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ERAZA\Documents\EPA Stuff\Task 5\"/>
    </mc:Choice>
  </mc:AlternateContent>
  <xr:revisionPtr revIDLastSave="0" documentId="13_ncr:1_{F801929D-FDBE-4A11-BE08-472A9076AC65}" xr6:coauthVersionLast="45" xr6:coauthVersionMax="45" xr10:uidLastSave="{00000000-0000-0000-0000-000000000000}"/>
  <bookViews>
    <workbookView xWindow="-108" yWindow="-108" windowWidth="23256" windowHeight="12576" firstSheet="23" activeTab="27" xr2:uid="{00000000-000D-0000-FFFF-FFFF00000000}"/>
  </bookViews>
  <sheets>
    <sheet name="Aerosol Master" sheetId="31" r:id="rId1"/>
    <sheet name="Aerosol Data" sheetId="32" r:id="rId2"/>
    <sheet name="Aqueous Suspension Master" sheetId="39" r:id="rId3"/>
    <sheet name="Aqueous Suspension Data" sheetId="40" r:id="rId4"/>
    <sheet name="Foam Ambiguous Master" sheetId="3" r:id="rId5"/>
    <sheet name="Foam Ambiguous Data" sheetId="4" r:id="rId6"/>
    <sheet name="Foam Spray Master" sheetId="19" r:id="rId7"/>
    <sheet name="Foam Spray Data" sheetId="20" r:id="rId8"/>
    <sheet name="Fogging Master" sheetId="1" r:id="rId9"/>
    <sheet name="Fogging Data" sheetId="2" r:id="rId10"/>
    <sheet name="Fumigation Master" sheetId="13" r:id="rId11"/>
    <sheet name="Fumigation Data" sheetId="14" r:id="rId12"/>
    <sheet name="Fumigation Liquid Master" sheetId="11" r:id="rId13"/>
    <sheet name="Fumigation Liquid Data" sheetId="12" r:id="rId14"/>
    <sheet name="Gauze Covering Master" sheetId="9" r:id="rId15"/>
    <sheet name="Gauze Covering Data" sheetId="10" r:id="rId16"/>
    <sheet name="Gauze Wipe Master" sheetId="37" r:id="rId17"/>
    <sheet name="Gauze Wipe Data" sheetId="38" r:id="rId18"/>
    <sheet name="Gel Master" sheetId="33" r:id="rId19"/>
    <sheet name="Gel Data" sheetId="34" r:id="rId20"/>
    <sheet name="Immersion Master" sheetId="7" r:id="rId21"/>
    <sheet name="Immersion Data" sheetId="8" r:id="rId22"/>
    <sheet name="Liquid Master" sheetId="21" r:id="rId23"/>
    <sheet name="Liquid Data" sheetId="22" r:id="rId24"/>
    <sheet name="Liquid Ambiguous Master" sheetId="27" r:id="rId25"/>
    <sheet name="Liquid Ambiguous Data" sheetId="28" r:id="rId26"/>
    <sheet name="Liquid Dropper Master" sheetId="25" r:id="rId27"/>
    <sheet name="Liquid Dropper Data" sheetId="26" r:id="rId28"/>
    <sheet name="Liquid Immersion Master" sheetId="15" r:id="rId29"/>
    <sheet name="Liquid Immersion Data" sheetId="16" r:id="rId30"/>
    <sheet name="Liquid Spray Master" sheetId="23" r:id="rId31"/>
    <sheet name="Liquid Spray Data" sheetId="24" r:id="rId32"/>
    <sheet name="Liquid Suspension Master" sheetId="41" r:id="rId33"/>
    <sheet name="Liquid Suspension Data" sheetId="42" r:id="rId34"/>
    <sheet name="Liquid Wipe Master" sheetId="5" r:id="rId35"/>
    <sheet name="Liquid Wipe Data" sheetId="6" r:id="rId36"/>
    <sheet name="Physical Master" sheetId="17" r:id="rId37"/>
    <sheet name="Physical Data" sheetId="18" r:id="rId38"/>
    <sheet name="Solid Powder Master" sheetId="35" r:id="rId39"/>
    <sheet name="Solid Powder Data" sheetId="36" r:id="rId40"/>
    <sheet name="Suspension Master" sheetId="29" r:id="rId41"/>
    <sheet name="Suspension Data" sheetId="30" r:id="rId4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" i="30" l="1"/>
  <c r="F18" i="30"/>
  <c r="F17" i="30"/>
  <c r="F16" i="30"/>
  <c r="F15" i="30"/>
  <c r="F14" i="30"/>
  <c r="F13" i="30"/>
  <c r="F12" i="30"/>
  <c r="F11" i="30"/>
  <c r="F19" i="36"/>
  <c r="F18" i="36"/>
  <c r="F17" i="36"/>
  <c r="F16" i="36"/>
  <c r="F15" i="36"/>
  <c r="F14" i="36"/>
  <c r="F13" i="36"/>
  <c r="F12" i="36"/>
  <c r="F11" i="36"/>
  <c r="F19" i="18"/>
  <c r="F18" i="18"/>
  <c r="F17" i="18"/>
  <c r="F16" i="18"/>
  <c r="F15" i="18"/>
  <c r="F13" i="18"/>
  <c r="F12" i="18"/>
  <c r="F11" i="18"/>
  <c r="F19" i="6"/>
  <c r="F18" i="6"/>
  <c r="F17" i="6"/>
  <c r="F16" i="6"/>
  <c r="F15" i="6"/>
  <c r="F14" i="6"/>
  <c r="F13" i="6"/>
  <c r="F12" i="6"/>
  <c r="F11" i="6"/>
  <c r="F19" i="42"/>
  <c r="F18" i="42"/>
  <c r="F17" i="42"/>
  <c r="F16" i="42"/>
  <c r="F15" i="42"/>
  <c r="F14" i="42"/>
  <c r="F13" i="42"/>
  <c r="F12" i="42"/>
  <c r="F11" i="42"/>
  <c r="F19" i="24"/>
  <c r="F18" i="24"/>
  <c r="F17" i="24"/>
  <c r="F16" i="24"/>
  <c r="F15" i="24"/>
  <c r="F14" i="24"/>
  <c r="F13" i="24"/>
  <c r="F12" i="24"/>
  <c r="F11" i="24"/>
  <c r="F19" i="16"/>
  <c r="F18" i="16"/>
  <c r="F17" i="16"/>
  <c r="F16" i="16"/>
  <c r="F15" i="16"/>
  <c r="F14" i="16"/>
  <c r="F13" i="16"/>
  <c r="F12" i="16"/>
  <c r="F11" i="16"/>
  <c r="F19" i="26"/>
  <c r="F18" i="26"/>
  <c r="F17" i="26"/>
  <c r="F16" i="26"/>
  <c r="F15" i="26"/>
  <c r="F14" i="26"/>
  <c r="F13" i="26"/>
  <c r="F12" i="26"/>
  <c r="F11" i="26"/>
  <c r="F19" i="28"/>
  <c r="F18" i="28"/>
  <c r="F17" i="28"/>
  <c r="F16" i="28"/>
  <c r="F15" i="28"/>
  <c r="F14" i="28"/>
  <c r="F13" i="28"/>
  <c r="F12" i="28"/>
  <c r="F11" i="28"/>
  <c r="F19" i="22"/>
  <c r="F18" i="22"/>
  <c r="F17" i="22"/>
  <c r="F16" i="22"/>
  <c r="F15" i="22"/>
  <c r="F14" i="22"/>
  <c r="F13" i="22"/>
  <c r="F12" i="22"/>
  <c r="F11" i="22"/>
  <c r="F19" i="8"/>
  <c r="F18" i="8"/>
  <c r="F17" i="8"/>
  <c r="F16" i="8"/>
  <c r="F15" i="8"/>
  <c r="F14" i="8"/>
  <c r="F13" i="8"/>
  <c r="F12" i="8"/>
  <c r="F11" i="8"/>
  <c r="F19" i="34"/>
  <c r="F18" i="34"/>
  <c r="F17" i="34"/>
  <c r="F16" i="34"/>
  <c r="F15" i="34"/>
  <c r="F14" i="34"/>
  <c r="F13" i="34"/>
  <c r="F12" i="34"/>
  <c r="F11" i="34"/>
  <c r="F19" i="38"/>
  <c r="F18" i="38"/>
  <c r="F17" i="38"/>
  <c r="F16" i="38"/>
  <c r="F15" i="38"/>
  <c r="F14" i="38"/>
  <c r="F13" i="38"/>
  <c r="F12" i="38"/>
  <c r="F11" i="38"/>
  <c r="F19" i="10"/>
  <c r="F18" i="10"/>
  <c r="F17" i="10"/>
  <c r="F16" i="10"/>
  <c r="F15" i="10"/>
  <c r="F14" i="10"/>
  <c r="F13" i="10"/>
  <c r="F12" i="10"/>
  <c r="F11" i="10"/>
  <c r="F19" i="12"/>
  <c r="F18" i="12"/>
  <c r="F17" i="12"/>
  <c r="F16" i="12"/>
  <c r="F15" i="12"/>
  <c r="F14" i="12"/>
  <c r="F13" i="12"/>
  <c r="F12" i="12"/>
  <c r="F11" i="12"/>
  <c r="F8557" i="14"/>
  <c r="F8556" i="14"/>
  <c r="F8555" i="14"/>
  <c r="F8554" i="14"/>
  <c r="F8553" i="14"/>
  <c r="F8552" i="14"/>
  <c r="F8551" i="14"/>
  <c r="F8550" i="14"/>
  <c r="F8549" i="14"/>
  <c r="F19" i="2"/>
  <c r="F18" i="2"/>
  <c r="F17" i="2"/>
  <c r="F16" i="2"/>
  <c r="F15" i="2"/>
  <c r="F14" i="2"/>
  <c r="F13" i="2"/>
  <c r="F12" i="2"/>
  <c r="F11" i="2"/>
  <c r="F19" i="20"/>
  <c r="F18" i="20"/>
  <c r="F17" i="20"/>
  <c r="F16" i="20"/>
  <c r="F15" i="20"/>
  <c r="F14" i="20"/>
  <c r="F13" i="20"/>
  <c r="F12" i="20"/>
  <c r="F11" i="20"/>
  <c r="F19" i="4"/>
  <c r="F18" i="4"/>
  <c r="F17" i="4"/>
  <c r="F16" i="4"/>
  <c r="F15" i="4"/>
  <c r="F14" i="4"/>
  <c r="F13" i="4"/>
  <c r="F12" i="4"/>
  <c r="F11" i="4"/>
  <c r="F19" i="40"/>
  <c r="F18" i="40"/>
  <c r="F17" i="40"/>
  <c r="F16" i="40"/>
  <c r="F15" i="40"/>
  <c r="F14" i="40"/>
  <c r="F13" i="40"/>
  <c r="F12" i="40"/>
  <c r="F11" i="40"/>
  <c r="F19" i="32"/>
  <c r="F18" i="32"/>
  <c r="F17" i="32"/>
  <c r="F16" i="32"/>
  <c r="F15" i="32"/>
  <c r="F14" i="32"/>
  <c r="F13" i="32"/>
  <c r="F12" i="32"/>
  <c r="F11" i="32"/>
  <c r="F14" i="18"/>
  <c r="B8551" i="14" l="1"/>
  <c r="E11" i="16"/>
  <c r="B11" i="16" a="1"/>
  <c r="B11" i="16" s="1"/>
  <c r="E11" i="24"/>
  <c r="B11" i="24" a="1"/>
  <c r="B11" i="24" s="1"/>
  <c r="E11" i="42"/>
  <c r="D11" i="42" s="1"/>
  <c r="B11" i="42" a="1"/>
  <c r="B11" i="42" s="1"/>
  <c r="E11" i="6"/>
  <c r="B11" i="6" a="1"/>
  <c r="B11" i="6" s="1"/>
  <c r="E11" i="38"/>
  <c r="B11" i="38" a="1"/>
  <c r="B11" i="38" s="1"/>
  <c r="E11" i="10"/>
  <c r="B11" i="10" a="1"/>
  <c r="B11" i="10" s="1"/>
  <c r="B11" i="32" a="1"/>
  <c r="B11" i="32" s="1"/>
  <c r="B11" i="40" a="1"/>
  <c r="B11" i="40" s="1"/>
  <c r="E19" i="38"/>
  <c r="B19" i="38" a="1"/>
  <c r="B19" i="38" s="1"/>
  <c r="E19" i="10"/>
  <c r="B19" i="10" a="1"/>
  <c r="B19" i="10" s="1"/>
  <c r="D19" i="12"/>
  <c r="E19" i="12"/>
  <c r="B19" i="12" a="1"/>
  <c r="B19" i="12" s="1"/>
  <c r="E8557" i="14"/>
  <c r="D8557" i="14" s="1"/>
  <c r="B8557" i="14" a="1"/>
  <c r="B8557" i="14" s="1"/>
  <c r="E19" i="2"/>
  <c r="B19" i="2" a="1"/>
  <c r="B19" i="2" s="1"/>
  <c r="E19" i="20"/>
  <c r="B19" i="20" a="1"/>
  <c r="B19" i="20" s="1"/>
  <c r="E19" i="4"/>
  <c r="B19" i="4" a="1"/>
  <c r="B19" i="4" s="1"/>
  <c r="E19" i="40"/>
  <c r="D19" i="40" s="1"/>
  <c r="B19" i="40"/>
  <c r="B19" i="40" a="1"/>
  <c r="E19" i="32"/>
  <c r="D19" i="32" s="1"/>
  <c r="B19" i="32" a="1"/>
  <c r="B19" i="32" s="1"/>
  <c r="E19" i="30"/>
  <c r="D19" i="30" s="1"/>
  <c r="B19" i="30" a="1"/>
  <c r="B19" i="30" s="1"/>
  <c r="E19" i="36"/>
  <c r="D19" i="36" s="1"/>
  <c r="B19" i="36" a="1"/>
  <c r="B19" i="36" s="1"/>
  <c r="E19" i="18"/>
  <c r="B19" i="18" a="1"/>
  <c r="B19" i="18" s="1"/>
  <c r="E19" i="6"/>
  <c r="D19" i="6" s="1"/>
  <c r="B19" i="6" a="1"/>
  <c r="B19" i="6" s="1"/>
  <c r="E19" i="42"/>
  <c r="D19" i="42" s="1"/>
  <c r="B19" i="42" a="1"/>
  <c r="B19" i="42" s="1"/>
  <c r="E19" i="24"/>
  <c r="D19" i="24" s="1"/>
  <c r="B19" i="24" a="1"/>
  <c r="B19" i="24" s="1"/>
  <c r="E19" i="16"/>
  <c r="B19" i="16" a="1"/>
  <c r="B19" i="16" s="1"/>
  <c r="E19" i="26"/>
  <c r="D19" i="26" s="1"/>
  <c r="B19" i="26" a="1"/>
  <c r="B19" i="26" s="1"/>
  <c r="E19" i="28"/>
  <c r="D19" i="28" s="1"/>
  <c r="B19" i="28" a="1"/>
  <c r="B19" i="28" s="1"/>
  <c r="E19" i="22"/>
  <c r="D19" i="22" s="1"/>
  <c r="B19" i="22" a="1"/>
  <c r="B19" i="22" s="1"/>
  <c r="E19" i="8"/>
  <c r="D19" i="8" s="1"/>
  <c r="B19" i="8" a="1"/>
  <c r="B19" i="8" s="1"/>
  <c r="E19" i="34"/>
  <c r="B19" i="34" a="1"/>
  <c r="B19" i="34" s="1"/>
  <c r="E18" i="30"/>
  <c r="B18" i="30" a="1"/>
  <c r="B18" i="30" s="1"/>
  <c r="E17" i="30"/>
  <c r="D17" i="30" s="1"/>
  <c r="B17" i="30" a="1"/>
  <c r="B17" i="30" s="1"/>
  <c r="E16" i="30"/>
  <c r="E15" i="30"/>
  <c r="D15" i="30" s="1"/>
  <c r="E14" i="30"/>
  <c r="D14" i="30" s="1"/>
  <c r="C14" i="30"/>
  <c r="E13" i="30"/>
  <c r="D13" i="30" s="1"/>
  <c r="E12" i="30"/>
  <c r="D12" i="30" s="1"/>
  <c r="B12" i="30" a="1"/>
  <c r="B12" i="30" s="1"/>
  <c r="E11" i="30"/>
  <c r="B11" i="30" a="1"/>
  <c r="B11" i="30" s="1"/>
  <c r="B4" i="30"/>
  <c r="B3" i="30"/>
  <c r="B2" i="30"/>
  <c r="E18" i="36"/>
  <c r="B18" i="36" a="1"/>
  <c r="B18" i="36" s="1"/>
  <c r="E17" i="36"/>
  <c r="C17" i="36" s="1"/>
  <c r="B17" i="36" a="1"/>
  <c r="B17" i="36" s="1"/>
  <c r="E16" i="36"/>
  <c r="D16" i="36" s="1"/>
  <c r="E15" i="36"/>
  <c r="E14" i="36"/>
  <c r="D14" i="36" s="1"/>
  <c r="E13" i="36"/>
  <c r="E12" i="36"/>
  <c r="B12" i="36"/>
  <c r="B12" i="36" a="1"/>
  <c r="E11" i="36"/>
  <c r="C11" i="36" s="1"/>
  <c r="B11" i="36" a="1"/>
  <c r="B11" i="36" s="1"/>
  <c r="B4" i="36"/>
  <c r="B3" i="36"/>
  <c r="B2" i="36"/>
  <c r="E18" i="18"/>
  <c r="B18" i="18" a="1"/>
  <c r="B18" i="18" s="1"/>
  <c r="E17" i="18"/>
  <c r="B17" i="18" a="1"/>
  <c r="B17" i="18" s="1"/>
  <c r="E16" i="18"/>
  <c r="E15" i="18"/>
  <c r="E14" i="18"/>
  <c r="E13" i="18"/>
  <c r="E12" i="18"/>
  <c r="B12" i="18" a="1"/>
  <c r="B12" i="18" s="1"/>
  <c r="E11" i="18"/>
  <c r="B11" i="18" a="1"/>
  <c r="B11" i="18" s="1"/>
  <c r="B4" i="18"/>
  <c r="B3" i="18"/>
  <c r="B2" i="18"/>
  <c r="E18" i="6"/>
  <c r="D18" i="6" s="1"/>
  <c r="B18" i="6" a="1"/>
  <c r="B18" i="6" s="1"/>
  <c r="E17" i="6"/>
  <c r="B17" i="6" a="1"/>
  <c r="B17" i="6" s="1"/>
  <c r="E16" i="6"/>
  <c r="E15" i="6"/>
  <c r="E14" i="6"/>
  <c r="D14" i="6" s="1"/>
  <c r="E13" i="6"/>
  <c r="D13" i="6" s="1"/>
  <c r="E12" i="6"/>
  <c r="B12" i="6" a="1"/>
  <c r="B12" i="6" s="1"/>
  <c r="B4" i="6"/>
  <c r="B3" i="6"/>
  <c r="B2" i="6"/>
  <c r="E18" i="42"/>
  <c r="B18" i="42" a="1"/>
  <c r="B18" i="42" s="1"/>
  <c r="E17" i="42"/>
  <c r="D17" i="42" s="1"/>
  <c r="B17" i="42" a="1"/>
  <c r="B17" i="42" s="1"/>
  <c r="E16" i="42"/>
  <c r="E15" i="42"/>
  <c r="E14" i="42"/>
  <c r="D14" i="42" s="1"/>
  <c r="E13" i="42"/>
  <c r="D13" i="42" s="1"/>
  <c r="E12" i="42"/>
  <c r="D12" i="42" s="1"/>
  <c r="B12" i="42" a="1"/>
  <c r="B12" i="42" s="1"/>
  <c r="B4" i="42"/>
  <c r="B3" i="42"/>
  <c r="B2" i="42"/>
  <c r="E18" i="24"/>
  <c r="C18" i="24" s="1"/>
  <c r="B18" i="24" a="1"/>
  <c r="B18" i="24" s="1"/>
  <c r="E17" i="24"/>
  <c r="D17" i="24" s="1"/>
  <c r="B17" i="24" a="1"/>
  <c r="B17" i="24" s="1"/>
  <c r="E16" i="24"/>
  <c r="D16" i="24" s="1"/>
  <c r="E15" i="24"/>
  <c r="D15" i="24" s="1"/>
  <c r="E14" i="24"/>
  <c r="C14" i="24" s="1"/>
  <c r="E13" i="24"/>
  <c r="B13" i="24" s="1"/>
  <c r="E12" i="24"/>
  <c r="D12" i="24" s="1"/>
  <c r="B12" i="24" a="1"/>
  <c r="B12" i="24" s="1"/>
  <c r="B4" i="24"/>
  <c r="B3" i="24"/>
  <c r="B2" i="24"/>
  <c r="E18" i="16"/>
  <c r="C18" i="16" s="1"/>
  <c r="B18" i="16" a="1"/>
  <c r="B18" i="16" s="1"/>
  <c r="E17" i="16"/>
  <c r="D17" i="16" s="1"/>
  <c r="B17" i="16" a="1"/>
  <c r="B17" i="16" s="1"/>
  <c r="E16" i="16"/>
  <c r="D16" i="16" s="1"/>
  <c r="E15" i="16"/>
  <c r="D15" i="16" s="1"/>
  <c r="E14" i="16"/>
  <c r="C14" i="16" s="1"/>
  <c r="E13" i="16"/>
  <c r="B13" i="16" s="1"/>
  <c r="E12" i="16"/>
  <c r="D12" i="16" s="1"/>
  <c r="B12" i="16" a="1"/>
  <c r="B12" i="16" s="1"/>
  <c r="B4" i="16"/>
  <c r="B3" i="16"/>
  <c r="B2" i="16"/>
  <c r="E18" i="26"/>
  <c r="B18" i="26" a="1"/>
  <c r="B18" i="26" s="1"/>
  <c r="E17" i="26"/>
  <c r="B17" i="26" a="1"/>
  <c r="B17" i="26" s="1"/>
  <c r="E16" i="26"/>
  <c r="D16" i="26" s="1"/>
  <c r="E15" i="26"/>
  <c r="E14" i="26"/>
  <c r="D14" i="26" s="1"/>
  <c r="E13" i="26"/>
  <c r="D13" i="26" s="1"/>
  <c r="E12" i="26"/>
  <c r="B12" i="26" a="1"/>
  <c r="B12" i="26" s="1"/>
  <c r="E11" i="26"/>
  <c r="D11" i="26" s="1"/>
  <c r="C11" i="26"/>
  <c r="B11" i="26" a="1"/>
  <c r="B11" i="26" s="1"/>
  <c r="B4" i="26"/>
  <c r="B3" i="26"/>
  <c r="B2" i="26"/>
  <c r="E18" i="28"/>
  <c r="D18" i="28" s="1"/>
  <c r="B18" i="28" a="1"/>
  <c r="B18" i="28" s="1"/>
  <c r="E17" i="28"/>
  <c r="D17" i="28" s="1"/>
  <c r="B17" i="28" a="1"/>
  <c r="B17" i="28" s="1"/>
  <c r="E16" i="28"/>
  <c r="D16" i="28" s="1"/>
  <c r="E15" i="28"/>
  <c r="E14" i="28"/>
  <c r="C14" i="28" s="1"/>
  <c r="E13" i="28"/>
  <c r="D13" i="28" s="1"/>
  <c r="E12" i="28"/>
  <c r="D12" i="28" s="1"/>
  <c r="B12" i="28" a="1"/>
  <c r="B12" i="28" s="1"/>
  <c r="E11" i="28"/>
  <c r="D11" i="28" s="1"/>
  <c r="B11" i="28" a="1"/>
  <c r="B11" i="28" s="1"/>
  <c r="B4" i="28"/>
  <c r="B3" i="28"/>
  <c r="B2" i="28"/>
  <c r="E18" i="22"/>
  <c r="D18" i="22" s="1"/>
  <c r="C18" i="22"/>
  <c r="B18" i="22" a="1"/>
  <c r="B18" i="22" s="1"/>
  <c r="E17" i="22"/>
  <c r="D17" i="22" s="1"/>
  <c r="B17" i="22" a="1"/>
  <c r="B17" i="22" s="1"/>
  <c r="E16" i="22"/>
  <c r="C16" i="22" s="1"/>
  <c r="E15" i="22"/>
  <c r="E14" i="22"/>
  <c r="C14" i="22" s="1"/>
  <c r="D14" i="22"/>
  <c r="E13" i="22"/>
  <c r="D13" i="22" s="1"/>
  <c r="C13" i="22"/>
  <c r="E12" i="22"/>
  <c r="B12" i="22" a="1"/>
  <c r="B12" i="22" s="1"/>
  <c r="E11" i="22"/>
  <c r="B11" i="22" a="1"/>
  <c r="B11" i="22" s="1"/>
  <c r="B4" i="22"/>
  <c r="B3" i="22"/>
  <c r="B2" i="22"/>
  <c r="E18" i="8"/>
  <c r="D18" i="8" s="1"/>
  <c r="B18" i="8" a="1"/>
  <c r="B18" i="8" s="1"/>
  <c r="E17" i="8"/>
  <c r="B17" i="8" a="1"/>
  <c r="B17" i="8" s="1"/>
  <c r="E16" i="8"/>
  <c r="E15" i="8"/>
  <c r="D15" i="8" s="1"/>
  <c r="E14" i="8"/>
  <c r="C14" i="8"/>
  <c r="E13" i="8"/>
  <c r="D13" i="8" s="1"/>
  <c r="E12" i="8"/>
  <c r="B12" i="8" a="1"/>
  <c r="B12" i="8" s="1"/>
  <c r="E11" i="8"/>
  <c r="B11" i="8" a="1"/>
  <c r="B11" i="8" s="1"/>
  <c r="B4" i="8"/>
  <c r="B3" i="8"/>
  <c r="B2" i="8"/>
  <c r="E18" i="34"/>
  <c r="D18" i="34" s="1"/>
  <c r="B18" i="34" a="1"/>
  <c r="B18" i="34" s="1"/>
  <c r="E17" i="34"/>
  <c r="B17" i="34" a="1"/>
  <c r="B17" i="34" s="1"/>
  <c r="E16" i="34"/>
  <c r="E15" i="34"/>
  <c r="D15" i="34" s="1"/>
  <c r="E14" i="34"/>
  <c r="C14" i="34"/>
  <c r="E13" i="34"/>
  <c r="D13" i="34" s="1"/>
  <c r="E12" i="34"/>
  <c r="B12" i="34" a="1"/>
  <c r="B12" i="34" s="1"/>
  <c r="E11" i="34"/>
  <c r="B11" i="34" a="1"/>
  <c r="B11" i="34" s="1"/>
  <c r="B4" i="34"/>
  <c r="B3" i="34"/>
  <c r="B2" i="34"/>
  <c r="E18" i="38"/>
  <c r="D18" i="38" s="1"/>
  <c r="B18" i="38" a="1"/>
  <c r="B18" i="38" s="1"/>
  <c r="E17" i="38"/>
  <c r="B17" i="38" a="1"/>
  <c r="B17" i="38" s="1"/>
  <c r="E16" i="38"/>
  <c r="E15" i="38"/>
  <c r="D15" i="38" s="1"/>
  <c r="D14" i="38"/>
  <c r="E14" i="38"/>
  <c r="C14" i="38"/>
  <c r="E13" i="38"/>
  <c r="D13" i="38" s="1"/>
  <c r="E12" i="38"/>
  <c r="B12" i="38" a="1"/>
  <c r="B12" i="38" s="1"/>
  <c r="B4" i="38"/>
  <c r="B3" i="38"/>
  <c r="B2" i="38"/>
  <c r="E18" i="10"/>
  <c r="D18" i="10" s="1"/>
  <c r="B18" i="10" a="1"/>
  <c r="B18" i="10" s="1"/>
  <c r="E17" i="10"/>
  <c r="D17" i="10" s="1"/>
  <c r="C17" i="10"/>
  <c r="B17" i="10" a="1"/>
  <c r="B17" i="10" s="1"/>
  <c r="E16" i="10"/>
  <c r="E15" i="10"/>
  <c r="E14" i="10"/>
  <c r="D14" i="10" s="1"/>
  <c r="E13" i="10"/>
  <c r="B13" i="10" s="1"/>
  <c r="E12" i="10"/>
  <c r="D12" i="10" s="1"/>
  <c r="B12" i="10" a="1"/>
  <c r="B12" i="10" s="1"/>
  <c r="B4" i="10"/>
  <c r="B3" i="10"/>
  <c r="B2" i="10"/>
  <c r="E18" i="12"/>
  <c r="D18" i="12" s="1"/>
  <c r="C18" i="12"/>
  <c r="B18" i="12" a="1"/>
  <c r="B18" i="12" s="1"/>
  <c r="E17" i="12"/>
  <c r="D17" i="12" s="1"/>
  <c r="B17" i="12" a="1"/>
  <c r="B17" i="12" s="1"/>
  <c r="E16" i="12"/>
  <c r="D16" i="12" s="1"/>
  <c r="E15" i="12"/>
  <c r="E14" i="12"/>
  <c r="D14" i="12" s="1"/>
  <c r="C14" i="12"/>
  <c r="E13" i="12"/>
  <c r="B13" i="12" s="1"/>
  <c r="D13" i="12"/>
  <c r="C13" i="12"/>
  <c r="E12" i="12"/>
  <c r="B12" i="12" a="1"/>
  <c r="B12" i="12" s="1"/>
  <c r="E11" i="12"/>
  <c r="B11" i="12" a="1"/>
  <c r="B11" i="12" s="1"/>
  <c r="B4" i="12"/>
  <c r="B3" i="12"/>
  <c r="B2" i="12"/>
  <c r="E8556" i="14"/>
  <c r="D8556" i="14" s="1"/>
  <c r="B8556" i="14" a="1"/>
  <c r="B8556" i="14" s="1"/>
  <c r="E8555" i="14"/>
  <c r="B8555" i="14" a="1"/>
  <c r="B8555" i="14" s="1"/>
  <c r="E8554" i="14"/>
  <c r="C8554" i="14" s="1"/>
  <c r="E8553" i="14"/>
  <c r="E8552" i="14"/>
  <c r="D8552" i="14" s="1"/>
  <c r="E8551" i="14"/>
  <c r="C8551" i="14" s="1"/>
  <c r="E8550" i="14"/>
  <c r="D8550" i="14" s="1"/>
  <c r="B8550" i="14" a="1"/>
  <c r="B8550" i="14" s="1"/>
  <c r="E8549" i="14"/>
  <c r="D8549" i="14" s="1"/>
  <c r="B8549" i="14" a="1"/>
  <c r="B8549" i="14" s="1"/>
  <c r="B8542" i="14"/>
  <c r="B8541" i="14"/>
  <c r="B8540" i="14"/>
  <c r="E18" i="2"/>
  <c r="D18" i="2" s="1"/>
  <c r="B18" i="2" a="1"/>
  <c r="B18" i="2" s="1"/>
  <c r="E17" i="2"/>
  <c r="D17" i="2" s="1"/>
  <c r="B17" i="2" a="1"/>
  <c r="B17" i="2" s="1"/>
  <c r="E16" i="2"/>
  <c r="D16" i="2"/>
  <c r="C16" i="2"/>
  <c r="E15" i="2"/>
  <c r="E14" i="2"/>
  <c r="D14" i="2" s="1"/>
  <c r="C14" i="2"/>
  <c r="E13" i="2"/>
  <c r="C13" i="2" s="1"/>
  <c r="D13" i="2"/>
  <c r="E12" i="2"/>
  <c r="D12" i="2" s="1"/>
  <c r="B12" i="2" a="1"/>
  <c r="B12" i="2" s="1"/>
  <c r="E11" i="2"/>
  <c r="B11" i="2" a="1"/>
  <c r="B11" i="2" s="1"/>
  <c r="B4" i="2"/>
  <c r="B3" i="2"/>
  <c r="B2" i="2"/>
  <c r="E18" i="20"/>
  <c r="D18" i="20" s="1"/>
  <c r="B18" i="20" a="1"/>
  <c r="B18" i="20" s="1"/>
  <c r="E17" i="20"/>
  <c r="D17" i="20" s="1"/>
  <c r="B17" i="20" a="1"/>
  <c r="B17" i="20" s="1"/>
  <c r="C16" i="20"/>
  <c r="E16" i="20"/>
  <c r="E15" i="20"/>
  <c r="D15" i="20" s="1"/>
  <c r="E14" i="20"/>
  <c r="D14" i="20" s="1"/>
  <c r="E13" i="20"/>
  <c r="D13" i="20" s="1"/>
  <c r="C13" i="20"/>
  <c r="E12" i="20"/>
  <c r="B12" i="20" a="1"/>
  <c r="B12" i="20" s="1"/>
  <c r="E11" i="20"/>
  <c r="D11" i="20" s="1"/>
  <c r="B11" i="20" a="1"/>
  <c r="B11" i="20" s="1"/>
  <c r="B4" i="20"/>
  <c r="B3" i="20"/>
  <c r="B2" i="20"/>
  <c r="E18" i="4"/>
  <c r="D18" i="4" s="1"/>
  <c r="B18" i="4" a="1"/>
  <c r="B18" i="4" s="1"/>
  <c r="E17" i="4"/>
  <c r="B17" i="4" a="1"/>
  <c r="B17" i="4" s="1"/>
  <c r="E16" i="4"/>
  <c r="D16" i="4" s="1"/>
  <c r="E15" i="4"/>
  <c r="D15" i="4" s="1"/>
  <c r="E14" i="4"/>
  <c r="D14" i="4" s="1"/>
  <c r="C14" i="4"/>
  <c r="E13" i="4"/>
  <c r="D13" i="4" s="1"/>
  <c r="E12" i="4"/>
  <c r="B12" i="4" a="1"/>
  <c r="B12" i="4" s="1"/>
  <c r="E11" i="4"/>
  <c r="D11" i="4" s="1"/>
  <c r="C11" i="4"/>
  <c r="B11" i="4" a="1"/>
  <c r="B11" i="4" s="1"/>
  <c r="B4" i="4"/>
  <c r="B3" i="4"/>
  <c r="B2" i="4"/>
  <c r="E18" i="40"/>
  <c r="D18" i="40" s="1"/>
  <c r="B18" i="40" a="1"/>
  <c r="B18" i="40" s="1"/>
  <c r="E17" i="40"/>
  <c r="D17" i="40" s="1"/>
  <c r="B17" i="40" a="1"/>
  <c r="B17" i="40" s="1"/>
  <c r="E16" i="40"/>
  <c r="D16" i="40" s="1"/>
  <c r="E15" i="40"/>
  <c r="E14" i="40"/>
  <c r="D14" i="40" s="1"/>
  <c r="C14" i="40"/>
  <c r="E13" i="40"/>
  <c r="B13" i="40" s="1"/>
  <c r="E12" i="40"/>
  <c r="D12" i="40" s="1"/>
  <c r="B12" i="40" a="1"/>
  <c r="B12" i="40" s="1"/>
  <c r="E11" i="40"/>
  <c r="D11" i="40" s="1"/>
  <c r="B4" i="40"/>
  <c r="B3" i="40"/>
  <c r="B2" i="40"/>
  <c r="E18" i="32"/>
  <c r="D18" i="32" s="1"/>
  <c r="B18" i="32" a="1"/>
  <c r="B18" i="32" s="1"/>
  <c r="E17" i="32"/>
  <c r="B17" i="32" a="1"/>
  <c r="B17" i="32" s="1"/>
  <c r="E16" i="32"/>
  <c r="D16" i="32" s="1"/>
  <c r="E15" i="32"/>
  <c r="D15" i="32" s="1"/>
  <c r="E14" i="32"/>
  <c r="D14" i="32" s="1"/>
  <c r="C14" i="32"/>
  <c r="E13" i="32"/>
  <c r="D13" i="32" s="1"/>
  <c r="E12" i="32"/>
  <c r="B12" i="32" a="1"/>
  <c r="B12" i="32" s="1"/>
  <c r="E11" i="32"/>
  <c r="D11" i="32" s="1"/>
  <c r="B4" i="32"/>
  <c r="B3" i="32"/>
  <c r="B2" i="32"/>
  <c r="C13" i="24" l="1"/>
  <c r="C8552" i="14"/>
  <c r="C8556" i="14"/>
  <c r="C13" i="16"/>
  <c r="C14" i="42"/>
  <c r="D13" i="18"/>
  <c r="D18" i="18"/>
  <c r="D15" i="18"/>
  <c r="D14" i="18"/>
  <c r="D15" i="6"/>
  <c r="B13" i="34"/>
  <c r="D11" i="38"/>
  <c r="D11" i="16"/>
  <c r="B13" i="8"/>
  <c r="D8554" i="14"/>
  <c r="D18" i="26"/>
  <c r="D14" i="16"/>
  <c r="D18" i="16"/>
  <c r="D14" i="24"/>
  <c r="D18" i="24"/>
  <c r="D16" i="6"/>
  <c r="D11" i="18"/>
  <c r="D16" i="18"/>
  <c r="D15" i="36"/>
  <c r="D19" i="34"/>
  <c r="D19" i="20"/>
  <c r="D19" i="10"/>
  <c r="B13" i="22"/>
  <c r="D11" i="12"/>
  <c r="D15" i="12"/>
  <c r="D15" i="10"/>
  <c r="D16" i="38"/>
  <c r="D11" i="34"/>
  <c r="D16" i="34"/>
  <c r="D11" i="8"/>
  <c r="D16" i="8"/>
  <c r="D11" i="22"/>
  <c r="D15" i="22"/>
  <c r="D14" i="28"/>
  <c r="C14" i="26"/>
  <c r="D15" i="42"/>
  <c r="D11" i="36"/>
  <c r="B13" i="32"/>
  <c r="B13" i="28"/>
  <c r="C18" i="2"/>
  <c r="D11" i="6"/>
  <c r="B13" i="26"/>
  <c r="D12" i="32"/>
  <c r="D17" i="32"/>
  <c r="D12" i="4"/>
  <c r="D17" i="4"/>
  <c r="D16" i="20"/>
  <c r="D8555" i="14"/>
  <c r="C16" i="12"/>
  <c r="D16" i="10"/>
  <c r="D15" i="28"/>
  <c r="D16" i="42"/>
  <c r="D12" i="6"/>
  <c r="D17" i="6"/>
  <c r="D12" i="18"/>
  <c r="D17" i="18"/>
  <c r="D11" i="30"/>
  <c r="D16" i="30"/>
  <c r="C19" i="8"/>
  <c r="D19" i="2"/>
  <c r="D19" i="38"/>
  <c r="B13" i="4"/>
  <c r="D13" i="40"/>
  <c r="D12" i="20"/>
  <c r="D11" i="2"/>
  <c r="D15" i="2"/>
  <c r="D8551" i="14"/>
  <c r="D12" i="12"/>
  <c r="D12" i="38"/>
  <c r="D17" i="38"/>
  <c r="D12" i="34"/>
  <c r="D17" i="34"/>
  <c r="D12" i="8"/>
  <c r="D17" i="8"/>
  <c r="D12" i="22"/>
  <c r="D16" i="22"/>
  <c r="D15" i="26"/>
  <c r="C16" i="16"/>
  <c r="C16" i="24"/>
  <c r="B13" i="20"/>
  <c r="D12" i="36"/>
  <c r="D17" i="36"/>
  <c r="D19" i="16"/>
  <c r="D19" i="18"/>
  <c r="B13" i="2"/>
  <c r="B13" i="42"/>
  <c r="B13" i="6"/>
  <c r="C14" i="6"/>
  <c r="C14" i="18"/>
  <c r="D13" i="36"/>
  <c r="B13" i="18"/>
  <c r="D11" i="10"/>
  <c r="D11" i="24"/>
  <c r="B13" i="36"/>
  <c r="D15" i="40"/>
  <c r="C14" i="20"/>
  <c r="C18" i="20"/>
  <c r="D8553" i="14"/>
  <c r="D13" i="10"/>
  <c r="D14" i="34"/>
  <c r="D14" i="8"/>
  <c r="D12" i="26"/>
  <c r="D17" i="26"/>
  <c r="D13" i="16"/>
  <c r="D13" i="24"/>
  <c r="D18" i="42"/>
  <c r="C14" i="36"/>
  <c r="D18" i="36"/>
  <c r="D18" i="30"/>
  <c r="D19" i="4"/>
  <c r="B13" i="38"/>
  <c r="B13" i="30"/>
  <c r="C11" i="16"/>
  <c r="C11" i="24"/>
  <c r="C11" i="42"/>
  <c r="C11" i="6"/>
  <c r="C11" i="38"/>
  <c r="C11" i="10"/>
  <c r="C19" i="38"/>
  <c r="C19" i="10"/>
  <c r="C19" i="12"/>
  <c r="C8557" i="14"/>
  <c r="C19" i="2"/>
  <c r="C19" i="20"/>
  <c r="C19" i="4"/>
  <c r="C19" i="40"/>
  <c r="C19" i="32"/>
  <c r="C19" i="30"/>
  <c r="C19" i="36"/>
  <c r="C19" i="18"/>
  <c r="C19" i="6"/>
  <c r="C19" i="42"/>
  <c r="C19" i="24"/>
  <c r="C19" i="16"/>
  <c r="C19" i="26"/>
  <c r="C19" i="28"/>
  <c r="C19" i="22"/>
  <c r="C19" i="34"/>
  <c r="C13" i="30"/>
  <c r="C16" i="30"/>
  <c r="C18" i="30"/>
  <c r="C11" i="30"/>
  <c r="C17" i="30"/>
  <c r="C12" i="30"/>
  <c r="C15" i="30"/>
  <c r="C13" i="36"/>
  <c r="C16" i="36"/>
  <c r="C18" i="36"/>
  <c r="C12" i="36"/>
  <c r="C15" i="36"/>
  <c r="C13" i="18"/>
  <c r="C16" i="18"/>
  <c r="C18" i="18"/>
  <c r="C11" i="18"/>
  <c r="C17" i="18"/>
  <c r="C12" i="18"/>
  <c r="C15" i="18"/>
  <c r="C13" i="6"/>
  <c r="C16" i="6"/>
  <c r="C18" i="6"/>
  <c r="C17" i="6"/>
  <c r="C12" i="6"/>
  <c r="C15" i="6"/>
  <c r="C13" i="42"/>
  <c r="C16" i="42"/>
  <c r="C18" i="42"/>
  <c r="C17" i="42"/>
  <c r="C12" i="42"/>
  <c r="C15" i="42"/>
  <c r="C17" i="24"/>
  <c r="C12" i="24"/>
  <c r="C15" i="24"/>
  <c r="C17" i="16"/>
  <c r="C12" i="16"/>
  <c r="C15" i="16"/>
  <c r="C13" i="26"/>
  <c r="C16" i="26"/>
  <c r="C18" i="26"/>
  <c r="C17" i="26"/>
  <c r="C12" i="26"/>
  <c r="C15" i="26"/>
  <c r="C13" i="28"/>
  <c r="C16" i="28"/>
  <c r="C18" i="28"/>
  <c r="C11" i="28"/>
  <c r="C17" i="28"/>
  <c r="C12" i="28"/>
  <c r="C15" i="28"/>
  <c r="C11" i="22"/>
  <c r="C17" i="22"/>
  <c r="C12" i="22"/>
  <c r="C15" i="22"/>
  <c r="C13" i="8"/>
  <c r="C16" i="8"/>
  <c r="C18" i="8"/>
  <c r="C11" i="8"/>
  <c r="C17" i="8"/>
  <c r="C12" i="8"/>
  <c r="C15" i="8"/>
  <c r="C13" i="34"/>
  <c r="C16" i="34"/>
  <c r="C18" i="34"/>
  <c r="C11" i="34"/>
  <c r="C17" i="34"/>
  <c r="C12" i="34"/>
  <c r="C15" i="34"/>
  <c r="C13" i="38"/>
  <c r="C16" i="38"/>
  <c r="C18" i="38"/>
  <c r="C17" i="38"/>
  <c r="C12" i="38"/>
  <c r="C15" i="38"/>
  <c r="C13" i="10"/>
  <c r="C16" i="10"/>
  <c r="C18" i="10"/>
  <c r="C14" i="10"/>
  <c r="C12" i="10"/>
  <c r="C15" i="10"/>
  <c r="C11" i="12"/>
  <c r="C17" i="12"/>
  <c r="C12" i="12"/>
  <c r="C15" i="12"/>
  <c r="C8549" i="14"/>
  <c r="C8555" i="14"/>
  <c r="C8550" i="14"/>
  <c r="C8553" i="14"/>
  <c r="C11" i="2"/>
  <c r="C17" i="2"/>
  <c r="C12" i="2"/>
  <c r="C15" i="2"/>
  <c r="C11" i="20"/>
  <c r="C17" i="20"/>
  <c r="C12" i="20"/>
  <c r="C15" i="20"/>
  <c r="C13" i="4"/>
  <c r="C16" i="4"/>
  <c r="C18" i="4"/>
  <c r="C17" i="4"/>
  <c r="C12" i="4"/>
  <c r="C15" i="4"/>
  <c r="C13" i="40"/>
  <c r="C16" i="40"/>
  <c r="C18" i="40"/>
  <c r="C11" i="40"/>
  <c r="C17" i="40"/>
  <c r="C12" i="40"/>
  <c r="C15" i="40"/>
  <c r="C13" i="32"/>
  <c r="C16" i="32"/>
  <c r="C18" i="32"/>
  <c r="C11" i="32"/>
  <c r="C17" i="32"/>
  <c r="C12" i="32"/>
  <c r="C15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<sst xmlns="http://schemas.openxmlformats.org/spreadsheetml/2006/main" count="106746" uniqueCount="1601">
  <si>
    <t>Ref</t>
  </si>
  <si>
    <t>GrimeDirt</t>
  </si>
  <si>
    <t>AppMeth</t>
  </si>
  <si>
    <t>LoadingUn</t>
  </si>
  <si>
    <t>LoadingNum</t>
  </si>
  <si>
    <t>ConvertedLoading</t>
  </si>
  <si>
    <t>ConvertedLoadingUn</t>
  </si>
  <si>
    <t>CoupArea</t>
  </si>
  <si>
    <t>CoupAreaUn</t>
  </si>
  <si>
    <t>ConvertedCoupArea</t>
  </si>
  <si>
    <t>ConvertedCoupAreaUn</t>
  </si>
  <si>
    <t>Rinsate</t>
  </si>
  <si>
    <t>RinsateUn</t>
  </si>
  <si>
    <t>ConcDoseCtrl</t>
  </si>
  <si>
    <t>ConcDoseNum</t>
  </si>
  <si>
    <t>ConcDoseUn</t>
  </si>
  <si>
    <t>ConvertedConcDose</t>
  </si>
  <si>
    <t>ConvertedConcDoseUn</t>
  </si>
  <si>
    <t>TempCtrl</t>
  </si>
  <si>
    <t>TempNum</t>
  </si>
  <si>
    <t>RHCtrl</t>
  </si>
  <si>
    <t>RHNum</t>
  </si>
  <si>
    <t>SurfMed</t>
  </si>
  <si>
    <t>ContTimeDesc</t>
  </si>
  <si>
    <t>ContTimeNumMin</t>
  </si>
  <si>
    <t>TotalApp</t>
  </si>
  <si>
    <t>EffGreater</t>
  </si>
  <si>
    <t>Eff</t>
  </si>
  <si>
    <t>EffMeas</t>
  </si>
  <si>
    <t>EffVar</t>
  </si>
  <si>
    <t>EffVarStat</t>
  </si>
  <si>
    <t>ConvertedEff</t>
  </si>
  <si>
    <t>ConvertedEffMeas</t>
  </si>
  <si>
    <t>LPosRec</t>
  </si>
  <si>
    <t>N</t>
  </si>
  <si>
    <t>MatComp</t>
  </si>
  <si>
    <t>VolApp</t>
  </si>
  <si>
    <t>VolAppUn</t>
  </si>
  <si>
    <t>ConvertedVolApp</t>
  </si>
  <si>
    <t>ConvertedVolAppUn</t>
  </si>
  <si>
    <t>CT</t>
  </si>
  <si>
    <t>CTUn</t>
  </si>
  <si>
    <t>RinsateLess</t>
  </si>
  <si>
    <t>Positives</t>
  </si>
  <si>
    <t>WaterRinse</t>
  </si>
  <si>
    <t>Surface</t>
  </si>
  <si>
    <t>VolAppDen(L/m^2)</t>
  </si>
  <si>
    <t>VolAppDenUn</t>
  </si>
  <si>
    <t>ClO2(ppm)</t>
  </si>
  <si>
    <t>MB(mg/L)</t>
  </si>
  <si>
    <t>H2O2(ppm)</t>
  </si>
  <si>
    <t>PosCalc</t>
  </si>
  <si>
    <t>LPosRecCalc</t>
  </si>
  <si>
    <t>Wood 2013 Evaluation of peracetic acid fog for the ictivation of Bacillus anthracis spore surrogates in a large decontamition chamber</t>
  </si>
  <si>
    <t>Fogging</t>
  </si>
  <si>
    <t>log(CFU)</t>
  </si>
  <si>
    <t>cm^2</t>
  </si>
  <si>
    <t>m^2</t>
  </si>
  <si>
    <t>no rinsate</t>
  </si>
  <si>
    <t>wt%</t>
  </si>
  <si>
    <t>stainless steel (Rear wall, left side)</t>
  </si>
  <si>
    <t>dwell time, not including aeration</t>
  </si>
  <si>
    <t>Lsurv</t>
  </si>
  <si>
    <t>SD</t>
  </si>
  <si>
    <t>mL/m^3</t>
  </si>
  <si>
    <t>steel</t>
  </si>
  <si>
    <t>mL/m^3/cm^2</t>
  </si>
  <si>
    <t>stainless steel (Rear wall, right side)</t>
  </si>
  <si>
    <t>stainless steel (Floor, left side)</t>
  </si>
  <si>
    <t>Stainless steel (Floor, right side</t>
  </si>
  <si>
    <t>stainless steel (Left wall)</t>
  </si>
  <si>
    <t>stainless steel (Right wall)</t>
  </si>
  <si>
    <t>Carpet</t>
  </si>
  <si>
    <t>carpet</t>
  </si>
  <si>
    <t>Wood</t>
  </si>
  <si>
    <t>wood</t>
  </si>
  <si>
    <t>Concrete</t>
  </si>
  <si>
    <t>concrete</t>
  </si>
  <si>
    <t>Wallboard</t>
  </si>
  <si>
    <t>wallboard</t>
  </si>
  <si>
    <t>USEPA 2014 Evaluation of Chlorine Dioxide Gas and Peracetic Acid Fog for the Decontamition of a Mock Heating, Ventilation, and Air Conditioning Duct System</t>
  </si>
  <si>
    <t>CFU</t>
  </si>
  <si>
    <t>mL</t>
  </si>
  <si>
    <t>galvanized metal HVAC duct location A</t>
  </si>
  <si>
    <t>dwell time (variable conditions)</t>
  </si>
  <si>
    <t>LR</t>
  </si>
  <si>
    <t>0.46</t>
  </si>
  <si>
    <t>no damage</t>
  </si>
  <si>
    <t>/cm^2</t>
  </si>
  <si>
    <t>galvanized metal HVAC duct location B</t>
  </si>
  <si>
    <t>1.0900000000000001</t>
  </si>
  <si>
    <t>galvanized metal HVAC duct location C</t>
  </si>
  <si>
    <t>0.26</t>
  </si>
  <si>
    <t>galvanized metal HVAC duct location D</t>
  </si>
  <si>
    <t>≥</t>
  </si>
  <si>
    <t>galvanized metal HVAC duct location E</t>
  </si>
  <si>
    <t>0.87</t>
  </si>
  <si>
    <t>galvanized metal HVAC duct location F</t>
  </si>
  <si>
    <t>0.5</t>
  </si>
  <si>
    <t>galvanized metal HVAC duct location G</t>
  </si>
  <si>
    <t>0.74</t>
  </si>
  <si>
    <t>galvanized metal HVAC duct location H</t>
  </si>
  <si>
    <t>1.48</t>
  </si>
  <si>
    <t>0.15</t>
  </si>
  <si>
    <t>0.35</t>
  </si>
  <si>
    <t>1.45</t>
  </si>
  <si>
    <t>0.3</t>
  </si>
  <si>
    <t>1.1299999999999999</t>
  </si>
  <si>
    <t>0.54</t>
  </si>
  <si>
    <t>Guan 2013 Influence of temperature and organic load on chemical disinfection of Geobacillus steareothermophilus spores, a surrogate for Bacillus anthracis</t>
  </si>
  <si>
    <t>0.35% w/v tryptone, 0.25% w/v bovine serum, 0.04% w/v mucin</t>
  </si>
  <si>
    <t>Foam Ambiguous</t>
  </si>
  <si>
    <t>combined</t>
  </si>
  <si>
    <t>stainless steel with organic load</t>
  </si>
  <si>
    <t>time until neutralization</t>
  </si>
  <si>
    <t>mL/cm^2</t>
  </si>
  <si>
    <t>5% w/v garden soil, 0.35% w/v tryptone, 0.25% w/v bovine serum, 0.04% w/v mucin</t>
  </si>
  <si>
    <t>stainless steel with organic and soil load</t>
  </si>
  <si>
    <t>Decontamition Methods For Environmental Surfaces Contamited Withbacterial Spores: Evaluation Of Spray Method Parameters And Impact Of Surface Grime</t>
  </si>
  <si>
    <t>Liquid Wipe</t>
  </si>
  <si>
    <t>5</t>
  </si>
  <si>
    <t>FAC ppm (FAC mg/L)</t>
  </si>
  <si>
    <t>18-24</t>
  </si>
  <si>
    <t>painted wallboard</t>
  </si>
  <si>
    <t>time until wet-vac sampling and run-off sampling, but wipe sampling conducted after 18 hour drying</t>
  </si>
  <si>
    <t>LRSurf</t>
  </si>
  <si>
    <t>28</t>
  </si>
  <si>
    <t>%RSD</t>
  </si>
  <si>
    <t>&lt;</t>
  </si>
  <si>
    <t>mL/</t>
  </si>
  <si>
    <t>2</t>
  </si>
  <si>
    <t>15</t>
  </si>
  <si>
    <t>Meyer 2014 Efficacy of sporicidal wipes for ictivation of a Bacillus anthracis surrogate</t>
  </si>
  <si>
    <t>wt% in wetting liquid</t>
  </si>
  <si>
    <t>Stainless steel</t>
  </si>
  <si>
    <t>continuously wetted</t>
  </si>
  <si>
    <t>7.27 </t>
  </si>
  <si>
    <t> 0.16</t>
  </si>
  <si>
    <t>1.96 x SE</t>
  </si>
  <si>
    <t>7.37 </t>
  </si>
  <si>
    <t> 0.18</t>
  </si>
  <si>
    <t>7.40 </t>
  </si>
  <si>
    <t> 0.28</t>
  </si>
  <si>
    <t>7.30 </t>
  </si>
  <si>
    <t> 0.19</t>
  </si>
  <si>
    <t>5.03 </t>
  </si>
  <si>
    <t> 1.47</t>
  </si>
  <si>
    <t>Glass</t>
  </si>
  <si>
    <t>7.47 </t>
  </si>
  <si>
    <t> 0.10</t>
  </si>
  <si>
    <t>glass</t>
  </si>
  <si>
    <t>7.50 </t>
  </si>
  <si>
    <t> 0.04</t>
  </si>
  <si>
    <t> 0.26</t>
  </si>
  <si>
    <t>7.33 </t>
  </si>
  <si>
    <t> 0.15</t>
  </si>
  <si>
    <t>3.01 </t>
  </si>
  <si>
    <t> 0.23</t>
  </si>
  <si>
    <t>Composite epoxy</t>
  </si>
  <si>
    <t> 0.09</t>
  </si>
  <si>
    <t>7.31 </t>
  </si>
  <si>
    <t> 0.11</t>
  </si>
  <si>
    <t>7.46 </t>
  </si>
  <si>
    <t> 0.07</t>
  </si>
  <si>
    <t>5.44 </t>
  </si>
  <si>
    <t> 1.04</t>
  </si>
  <si>
    <t>Painted dry wall</t>
  </si>
  <si>
    <t>7.34 </t>
  </si>
  <si>
    <t> 0.05</t>
  </si>
  <si>
    <t>5.71 </t>
  </si>
  <si>
    <t> 1.59</t>
  </si>
  <si>
    <t>7.32 </t>
  </si>
  <si>
    <t> 0.14</t>
  </si>
  <si>
    <t>3.26 </t>
  </si>
  <si>
    <t> 0.13</t>
  </si>
  <si>
    <t>Low-density polyethylene</t>
  </si>
  <si>
    <t> 0.06</t>
  </si>
  <si>
    <t>7.45 </t>
  </si>
  <si>
    <t> 0.12</t>
  </si>
  <si>
    <t>7.43 </t>
  </si>
  <si>
    <t> 0.08</t>
  </si>
  <si>
    <t>5.41 </t>
  </si>
  <si>
    <t> 1.22</t>
  </si>
  <si>
    <t>glass petri dish</t>
  </si>
  <si>
    <t>&gt;</t>
  </si>
  <si>
    <t>6.09 </t>
  </si>
  <si>
    <t>6.05 </t>
  </si>
  <si>
    <t> 0.30</t>
  </si>
  <si>
    <t>6.12 </t>
  </si>
  <si>
    <t>6.24 </t>
  </si>
  <si>
    <t> 0.03</t>
  </si>
  <si>
    <t>6.23 </t>
  </si>
  <si>
    <t> 0.17</t>
  </si>
  <si>
    <t>0.01 </t>
  </si>
  <si>
    <t>0</t>
  </si>
  <si>
    <t>Ceccanti 2011 Carrier tests to assess the effective sporicidal concentration of a liquid chemical disinfectant for a sanitization program</t>
  </si>
  <si>
    <t>0.06% albumin from bovine serum</t>
  </si>
  <si>
    <t>Immersion</t>
  </si>
  <si>
    <t>Teflon</t>
  </si>
  <si>
    <t>time immersed</t>
  </si>
  <si>
    <t>%CV</t>
  </si>
  <si>
    <t>No damage</t>
  </si>
  <si>
    <t>Linoleum</t>
  </si>
  <si>
    <t>smooth tile</t>
  </si>
  <si>
    <t>Polycarbote</t>
  </si>
  <si>
    <t>0.6% albumin from bovine serum</t>
  </si>
  <si>
    <t>Oie 2011 Disinfection methods for spores of Bacillus atrophaeus, B. anthracis, Clostridium tetani, C. botulinum and C. difficile</t>
  </si>
  <si>
    <t>Gauze Covering</t>
  </si>
  <si>
    <t>Cement</t>
  </si>
  <si>
    <t>time under gauze</t>
  </si>
  <si>
    <t>LSurv</t>
  </si>
  <si>
    <t>Plywood</t>
  </si>
  <si>
    <t>bare wood</t>
  </si>
  <si>
    <t>2013 Decontamition of Soil Contamited with Bacillus Anthracis Spores: Technology Evaluation Report</t>
  </si>
  <si>
    <t>Fumigation Liquid</t>
  </si>
  <si>
    <t>in^2</t>
  </si>
  <si>
    <t>wt% (liquid applied)</t>
  </si>
  <si>
    <t>topsoil</t>
  </si>
  <si>
    <t>contact time</t>
  </si>
  <si>
    <t>0.21</t>
  </si>
  <si>
    <t>uL</t>
  </si>
  <si>
    <t>soil</t>
  </si>
  <si>
    <t>uL/inch^2</t>
  </si>
  <si>
    <t>2.73</t>
  </si>
  <si>
    <t>2.19</t>
  </si>
  <si>
    <t>0.42</t>
  </si>
  <si>
    <t>1.76</t>
  </si>
  <si>
    <t>0.04</t>
  </si>
  <si>
    <t>0.19</t>
  </si>
  <si>
    <t>Arizo Test Dust</t>
  </si>
  <si>
    <t>1.23</t>
  </si>
  <si>
    <t>0.09</t>
  </si>
  <si>
    <t>0.03</t>
  </si>
  <si>
    <t>5.3999999999999999E-2</t>
  </si>
  <si>
    <t>0.47</t>
  </si>
  <si>
    <t>0.02</t>
  </si>
  <si>
    <t>0.05</t>
  </si>
  <si>
    <t>0.08</t>
  </si>
  <si>
    <t>0.17</t>
  </si>
  <si>
    <t>0.18</t>
  </si>
  <si>
    <t>0.11</t>
  </si>
  <si>
    <t>0.45</t>
  </si>
  <si>
    <t>0.24</t>
  </si>
  <si>
    <t>0.52</t>
  </si>
  <si>
    <t>2.2799999999999998</t>
  </si>
  <si>
    <t>2.2400000000000002</t>
  </si>
  <si>
    <t>2.9000000000000001E-2</t>
  </si>
  <si>
    <t>3.9E-2</t>
  </si>
  <si>
    <t>0.12</t>
  </si>
  <si>
    <t>2.4700000000000002</t>
  </si>
  <si>
    <t>Schbel 2014 Ictivation of Vegetative Microorganisms and Bacillus atrophaeus Endospores by Reactive Nitrogen Species ( RNS)</t>
  </si>
  <si>
    <t>Fumigation</t>
  </si>
  <si>
    <t>m^3</t>
  </si>
  <si>
    <t>kJ</t>
  </si>
  <si>
    <t>glass bottle interior</t>
  </si>
  <si>
    <t>variable-condition process</t>
  </si>
  <si>
    <t>/mL</t>
  </si>
  <si>
    <t>bovine serum albumin</t>
  </si>
  <si>
    <t>glass bottle interior coated with bovine serum</t>
  </si>
  <si>
    <t>Amorim 2013 Ictivation of E. coli and B. subtilis spores in ozonized cassava starch</t>
  </si>
  <si>
    <t>CFU/g</t>
  </si>
  <si>
    <t>kg</t>
  </si>
  <si>
    <t>mg/L</t>
  </si>
  <si>
    <t>cassava starch 30% moisture</t>
  </si>
  <si>
    <t>time mixed and ozoted</t>
  </si>
  <si>
    <t>~0.5</t>
  </si>
  <si>
    <t>/kg</t>
  </si>
  <si>
    <t>&lt;1</t>
  </si>
  <si>
    <t>small</t>
  </si>
  <si>
    <t>cassava starch 18% moisture</t>
  </si>
  <si>
    <t>Schbel 2012 Decontamition of Microbiologically Contamited Specimen by Direct and Indirect Plasma Treatment</t>
  </si>
  <si>
    <t>molecular sieves</t>
  </si>
  <si>
    <t>time exposed to plasma processed air</t>
  </si>
  <si>
    <t>seeds</t>
  </si>
  <si>
    <t>glass helices</t>
  </si>
  <si>
    <t>glass beads</t>
  </si>
  <si>
    <t>Sutton 2015 Methyl Iodide Fumigation of Bacillus anthracis Spores</t>
  </si>
  <si>
    <t>ppm</t>
  </si>
  <si>
    <t>19.4-21.1</t>
  </si>
  <si>
    <t>biological indicator 304 SS</t>
  </si>
  <si>
    <t>steady-state conditions</t>
  </si>
  <si>
    <t>Serre 2015 Whole-building decontamition of Bacillus anthracis Sterne spores by methyl bromide fumigation</t>
  </si>
  <si>
    <t>~10%</t>
  </si>
  <si>
    <t>3.31</t>
  </si>
  <si>
    <t>Kaspari 2014 Decontamition of a BSL3 laboratory by hydrogen peroxide fumigation using three different surrogates for Bacillus anthracis spores</t>
  </si>
  <si>
    <t>0.48175503327719138</t>
  </si>
  <si>
    <t>0.31666184688831361</t>
  </si>
  <si>
    <t>0.26726124191244305</t>
  </si>
  <si>
    <t>stainless steel in tyvek</t>
  </si>
  <si>
    <t>Lowe 2013 Decontamition of a hospital room using gaseous chlorine dioxide: Bacillus anthracis, Francisella tularensis, and Yersinia pestis</t>
  </si>
  <si>
    <t>polystyrene petri dish</t>
  </si>
  <si>
    <t>exposure phase (not including charging/aeration)</t>
  </si>
  <si>
    <t>(7.8-10.0)</t>
  </si>
  <si>
    <t>range</t>
  </si>
  <si>
    <t>(8.0-10.1)</t>
  </si>
  <si>
    <t>(6.8-8.9)</t>
  </si>
  <si>
    <t>biological indicator strip</t>
  </si>
  <si>
    <t>QualPos</t>
  </si>
  <si>
    <t>Lowe 2013 Evaluation of ambulance decontamition using gaseous chlorine dioxide</t>
  </si>
  <si>
    <t>spore solution on petri dish inside ambulance</t>
  </si>
  <si>
    <t>expoure phase at steady-state conditions (not including charge time)</t>
  </si>
  <si>
    <t>(8.6,10.0)</t>
  </si>
  <si>
    <t>not greater</t>
  </si>
  <si>
    <t>(7.8,8.7)</t>
  </si>
  <si>
    <t>8.3,9.7</t>
  </si>
  <si>
    <t>8.4,9.6</t>
  </si>
  <si>
    <t>QualNeg</t>
  </si>
  <si>
    <t>Lowe 2012 A case study on decontamition of a biosafety level-3 laboratory and associated ductwork within an operatiol building using gaseous chlorine dioxide</t>
  </si>
  <si>
    <t>exposure phase not including charging and aeration</t>
  </si>
  <si>
    <t>Pottage 2012 Low-temperature decontamition with hydrogen peroxide or chlorine dioxide for space applications</t>
  </si>
  <si>
    <t>biological indicator strips</t>
  </si>
  <si>
    <t>Pottage 2012 Meticillin-resistant Staphylococcus aureus is more resistant to vaporized hydrogen peroxide than commercial Geobacillus stearothermophilus biological indicators</t>
  </si>
  <si>
    <t>stainless steel bioindicator</t>
  </si>
  <si>
    <t>Rastogi 2010 Systematic evaluation of the efficacy of chlorine dioxide in decontamition of building interior surfaces contamited with anthrax spores</t>
  </si>
  <si>
    <t>0.1</t>
  </si>
  <si>
    <t>ppmv</t>
  </si>
  <si>
    <t>SD&lt;1</t>
  </si>
  <si>
    <t>&gt;5</t>
  </si>
  <si>
    <t>ceiling tile</t>
  </si>
  <si>
    <t>cinder block</t>
  </si>
  <si>
    <t>painted I-beam steel</t>
  </si>
  <si>
    <t>0.2</t>
  </si>
  <si>
    <t>1.3</t>
  </si>
  <si>
    <t>Ceiling tile</t>
  </si>
  <si>
    <t>0.7</t>
  </si>
  <si>
    <t>0.4</t>
  </si>
  <si>
    <t>0.9</t>
  </si>
  <si>
    <t>1.1000000000000001</t>
  </si>
  <si>
    <t>0.6</t>
  </si>
  <si>
    <t>Cinderblock</t>
  </si>
  <si>
    <t>1.7</t>
  </si>
  <si>
    <t>0.8</t>
  </si>
  <si>
    <t>1.2</t>
  </si>
  <si>
    <t>1.4</t>
  </si>
  <si>
    <t>1</t>
  </si>
  <si>
    <t>1.6</t>
  </si>
  <si>
    <t>1.5</t>
  </si>
  <si>
    <t>Cinder block</t>
  </si>
  <si>
    <t>2.2000000000000002</t>
  </si>
  <si>
    <t>2.1</t>
  </si>
  <si>
    <t>1.8</t>
  </si>
  <si>
    <t>2.2999999999999998</t>
  </si>
  <si>
    <t>Rastogi 2009 Quantitative method to determine sporicidal decontamition of building surfaces by gaseous fumigants, and issues related to laboratory-scale studies</t>
  </si>
  <si>
    <t>0% fetal bovine serum</t>
  </si>
  <si>
    <t>0.5% fetal bovine serum</t>
  </si>
  <si>
    <t>2% fetal bovine serum</t>
  </si>
  <si>
    <t>5% fetal bovine serum</t>
  </si>
  <si>
    <t>Rutala 2008 Impact of an oil-based lubricant on the effectiveness of the sterilization processes</t>
  </si>
  <si>
    <t>hydraulic fluid (20 microliters)</t>
  </si>
  <si>
    <t>plastic syringe barrel</t>
  </si>
  <si>
    <t>scalpel blade</t>
  </si>
  <si>
    <t>nonexposed areas of surgical instruments</t>
  </si>
  <si>
    <t>Rogers 2005 Decontamition assessment of Bacillus anthracis, Bacillus subtilis, and Geobacillus stearothermophilus spores on indoor surfaces using a hydrogen peroxide gas generator</t>
  </si>
  <si>
    <t>Industrial carpet</t>
  </si>
  <si>
    <t>dwell time</t>
  </si>
  <si>
    <t>Bare pine wood</t>
  </si>
  <si>
    <t>0.67</t>
  </si>
  <si>
    <t>Painted concrete</t>
  </si>
  <si>
    <t>painted concrete</t>
  </si>
  <si>
    <t>Decorative lamite</t>
  </si>
  <si>
    <t>lamite</t>
  </si>
  <si>
    <t>Galvanized metal ductwork</t>
  </si>
  <si>
    <t>Painted wallboard paper</t>
  </si>
  <si>
    <t>0.88</t>
  </si>
  <si>
    <t>0.98</t>
  </si>
  <si>
    <t>7.0000000000000007E-2</t>
  </si>
  <si>
    <t>stainless steel BI</t>
  </si>
  <si>
    <t>filter paper spore trip</t>
  </si>
  <si>
    <t>Buttner 2004 Determition of the efficacy of two building decontamition strategies by surface sampling with culture and quantitative PCR alysis</t>
  </si>
  <si>
    <t>ft^2</t>
  </si>
  <si>
    <t>Vinyl Tile</t>
  </si>
  <si>
    <t>SE</t>
  </si>
  <si>
    <t>/ft^2</t>
  </si>
  <si>
    <t>Wood Lamite</t>
  </si>
  <si>
    <t>painted metal</t>
  </si>
  <si>
    <t>Mau 2004 Development of a sterilizing in-place application for a production machine using Vaporized Hydrogen Peroxide</t>
  </si>
  <si>
    <t>stainless steel BI inside a tube</t>
  </si>
  <si>
    <t>sterilization phase</t>
  </si>
  <si>
    <t>discussed for machine, but not for indicator strips</t>
  </si>
  <si>
    <t>stainless steel BI inside a manufacturing machine</t>
  </si>
  <si>
    <t>Han 2003 Decontamition of Bacillus thuringiensis spores on selected surfaces by chlorine dioxide gas</t>
  </si>
  <si>
    <t>paper</t>
  </si>
  <si>
    <t>other porous</t>
  </si>
  <si>
    <t>epoxy</t>
  </si>
  <si>
    <t>plastic</t>
  </si>
  <si>
    <t>Li 2012 Decontamition of Bacillus subtilis var. niger spores on selected surfaces by chlorine dioxide gas</t>
  </si>
  <si>
    <t>organic burden in innoculua (15 g/L tryptone, 5 g/L soya peptone)</t>
  </si>
  <si>
    <t>800-830</t>
  </si>
  <si>
    <t>stainless steel</t>
  </si>
  <si>
    <t>prehumidified stainless steel</t>
  </si>
  <si>
    <t>polyvinyl chloride</t>
  </si>
  <si>
    <t>prehumidified polyvinyl chloride</t>
  </si>
  <si>
    <t>prehumidified glass</t>
  </si>
  <si>
    <t>painted steel</t>
  </si>
  <si>
    <t>prehumidified painted steel</t>
  </si>
  <si>
    <t>polyurethane</t>
  </si>
  <si>
    <t>prehumidified polyurethane</t>
  </si>
  <si>
    <t>cotton cloth</t>
  </si>
  <si>
    <t>prehumidified cotton cloth</t>
  </si>
  <si>
    <t>Kida 2007 Sporicidal Activity of the KMT Reagent in Its Vapor Phase against Geobacillus stearothermophilus Spores</t>
  </si>
  <si>
    <t>mM</t>
  </si>
  <si>
    <t>Polypropylene swab</t>
  </si>
  <si>
    <t>time exposed to volatalized solution</t>
  </si>
  <si>
    <t>Cotton swab</t>
  </si>
  <si>
    <t>calf serum</t>
  </si>
  <si>
    <t>Polypropylene swab with serum</t>
  </si>
  <si>
    <t>Cotton swab with serum</t>
  </si>
  <si>
    <t>Glass fiber filter swab</t>
  </si>
  <si>
    <t>Akbas 2008 Application of gaseous ozone to control populations of Escherichia coli, Bacillus cereus and Bacillus cereus spores in dried figs</t>
  </si>
  <si>
    <t>g</t>
  </si>
  <si>
    <t>3</t>
  </si>
  <si>
    <t>dried fig</t>
  </si>
  <si>
    <t>/g</t>
  </si>
  <si>
    <t>Malik 2013 The ictivation of Bacillus subtilis spores at low concentrations of hydrogen peroxide vapour</t>
  </si>
  <si>
    <t>isopore polycarbote membrane filter</t>
  </si>
  <si>
    <t>Johnston 2005 Evaluation of hydrogen peroxide vapour as a method for the decontamition of surfaces contamited with Clostridium botulinum spores</t>
  </si>
  <si>
    <t>stainless steel biological indicator</t>
  </si>
  <si>
    <t>Zoutman 2011 Effectiveness of a novel ozone-based system for the rapid high-level disinfection of health care spaces and surfaces</t>
  </si>
  <si>
    <t>0.06</t>
  </si>
  <si>
    <t xml:space="preserve"> 2011 Ozone Gas Decontamition of Materials Contamited with Bacillus Anthracis Spores</t>
  </si>
  <si>
    <t>Lamite</t>
  </si>
  <si>
    <t>Metal Ductwork</t>
  </si>
  <si>
    <t>Wallboard Paper</t>
  </si>
  <si>
    <t>0.43</t>
  </si>
  <si>
    <t>&lt;10%</t>
  </si>
  <si>
    <t>&lt;2%</t>
  </si>
  <si>
    <t>contact time MeBr conc. actively maintained</t>
  </si>
  <si>
    <t>0.72</t>
  </si>
  <si>
    <t>/inch^2</t>
  </si>
  <si>
    <t>1.01</t>
  </si>
  <si>
    <t>topsoil (dried)</t>
  </si>
  <si>
    <t>1.54</t>
  </si>
  <si>
    <t>0.79</t>
  </si>
  <si>
    <t>0.34</t>
  </si>
  <si>
    <t>Arizo test dust</t>
  </si>
  <si>
    <t>Arizo test dust (dried)</t>
  </si>
  <si>
    <t>0.39</t>
  </si>
  <si>
    <t>0.25</t>
  </si>
  <si>
    <t>1.29</t>
  </si>
  <si>
    <t>1.56</t>
  </si>
  <si>
    <t>0.86</t>
  </si>
  <si>
    <t>Rogers 2009 Large-scale ictivation of Bacillus anthracis Ames, Vollum, and Sterne spores using vaporous hydrogen peroxide</t>
  </si>
  <si>
    <t>Hypalon® Rubber Glove</t>
  </si>
  <si>
    <t>Stainless Steel</t>
  </si>
  <si>
    <t>Biological indicator</t>
  </si>
  <si>
    <t>Pellar 2004 Sporicidal Efficacy of Methyl Bromide in Decontamition of a Porous and a Non-Porous Surface</t>
  </si>
  <si>
    <t>mm^2</t>
  </si>
  <si>
    <t>time fumigated</t>
  </si>
  <si>
    <t>/mm^2</t>
  </si>
  <si>
    <t>0.5 % fetal bovine serum</t>
  </si>
  <si>
    <t>2.5 % fetal bovine serum</t>
  </si>
  <si>
    <t>5 % fetal bovine serum</t>
  </si>
  <si>
    <t>Stubblefield 2015 Potential Biodefense Model Applications For Portable Chlorine Dioxide Gas Production</t>
  </si>
  <si>
    <t>maximum ppm</t>
  </si>
  <si>
    <t>swine skin</t>
  </si>
  <si>
    <t>biological indicator</t>
  </si>
  <si>
    <t>Wood 2010 Evaluation Of Sulfuryl Fluoride And Ozone Fumigation Technologies To Ictivate Bacillus Anthracis Spores.</t>
  </si>
  <si>
    <t>g/m^3</t>
  </si>
  <si>
    <t>treated wood</t>
  </si>
  <si>
    <t xml:space="preserve">USEPA 2006 Evaluation of Sporicidal Decontamition Technology: Sabre Technical Services Chlorine Dioxide Gas Generator </t>
  </si>
  <si>
    <t>Industrial-Grade Carpet</t>
  </si>
  <si>
    <t>bleaching</t>
  </si>
  <si>
    <t>Bare Wood</t>
  </si>
  <si>
    <t>Decorative Lamite</t>
  </si>
  <si>
    <t>Galvanized Metal Ductwork</t>
  </si>
  <si>
    <t>Painted Wallboard Paper</t>
  </si>
  <si>
    <t>Painted Concrete</t>
  </si>
  <si>
    <t>USEPA 2010 Determining the Efficacy of Liquids and Fumigants in Systematic Decontamition Studies for Bacillus anthracis Using Multiple Test Methods</t>
  </si>
  <si>
    <t>Ceiling Tile</t>
  </si>
  <si>
    <t>Galvanized Metal</t>
  </si>
  <si>
    <t>CFU/mL</t>
  </si>
  <si>
    <t>Glass AOAC 2008.05</t>
  </si>
  <si>
    <t>porcelain penicylinder</t>
  </si>
  <si>
    <t>Suture Loop</t>
  </si>
  <si>
    <t>BI Stainless Steel in Tyvek® Packaging</t>
  </si>
  <si>
    <t>221-303</t>
  </si>
  <si>
    <t>Porcelain Penicylinder</t>
  </si>
  <si>
    <t xml:space="preserve">USEPA 2011 Decontamition of Materials with Ozone Gas in the Presence of Vaporous Organic Compounds </t>
  </si>
  <si>
    <t>43</t>
  </si>
  <si>
    <t>2.78 x SE</t>
  </si>
  <si>
    <t>0.61</t>
  </si>
  <si>
    <t>1.81</t>
  </si>
  <si>
    <t>0.32</t>
  </si>
  <si>
    <t>0.96</t>
  </si>
  <si>
    <t>23</t>
  </si>
  <si>
    <t>2.7</t>
  </si>
  <si>
    <t>steady-state conditions (spiked TME not maintained)</t>
  </si>
  <si>
    <t>0.16</t>
  </si>
  <si>
    <t>0.65</t>
  </si>
  <si>
    <t>1.55</t>
  </si>
  <si>
    <t>0.14000000000000001</t>
  </si>
  <si>
    <t>78</t>
  </si>
  <si>
    <t>1.9</t>
  </si>
  <si>
    <t>0.36</t>
  </si>
  <si>
    <t>0.22</t>
  </si>
  <si>
    <t>127</t>
  </si>
  <si>
    <t>0.78</t>
  </si>
  <si>
    <t>0.91</t>
  </si>
  <si>
    <t>steady-state conditions (spiked 1-hexene not maintained)</t>
  </si>
  <si>
    <t>1.92</t>
  </si>
  <si>
    <t>0.56000000000000005</t>
  </si>
  <si>
    <t>0.77</t>
  </si>
  <si>
    <t>227</t>
  </si>
  <si>
    <t>0.28000000000000003</t>
  </si>
  <si>
    <t>1.03</t>
  </si>
  <si>
    <t>0.28999999999999998</t>
  </si>
  <si>
    <t>91</t>
  </si>
  <si>
    <t>0.63</t>
  </si>
  <si>
    <t>0.41</t>
  </si>
  <si>
    <t>0.56999999999999995</t>
  </si>
  <si>
    <t>119</t>
  </si>
  <si>
    <t>0.13</t>
  </si>
  <si>
    <t>1.93</t>
  </si>
  <si>
    <t>0.84</t>
  </si>
  <si>
    <t>139</t>
  </si>
  <si>
    <t>0.57999999999999996</t>
  </si>
  <si>
    <t>1.41</t>
  </si>
  <si>
    <t>0.48</t>
  </si>
  <si>
    <t>111</t>
  </si>
  <si>
    <t>0.71</t>
  </si>
  <si>
    <t>2.54</t>
  </si>
  <si>
    <t>0.38</t>
  </si>
  <si>
    <t>1.35</t>
  </si>
  <si>
    <t>142</t>
  </si>
  <si>
    <t>0.27</t>
  </si>
  <si>
    <t>0.33</t>
  </si>
  <si>
    <t>124</t>
  </si>
  <si>
    <t>0.31</t>
  </si>
  <si>
    <t>1.04</t>
  </si>
  <si>
    <t>0.51</t>
  </si>
  <si>
    <t>1.53</t>
  </si>
  <si>
    <t>0.68</t>
  </si>
  <si>
    <t>205</t>
  </si>
  <si>
    <t>2.82</t>
  </si>
  <si>
    <t>1.66</t>
  </si>
  <si>
    <t>1.1499999999999999</t>
  </si>
  <si>
    <t>0.85</t>
  </si>
  <si>
    <t>USEPA 2013 Evaluation of Ethylene Oxide for the Ictivation of Bacillus anthracis</t>
  </si>
  <si>
    <t>"10%"</t>
  </si>
  <si>
    <t>3.14</t>
  </si>
  <si>
    <t>Bare Pine Wood</t>
  </si>
  <si>
    <t>Painted Canvas</t>
  </si>
  <si>
    <t>Archival Paper</t>
  </si>
  <si>
    <t>Silk Fabric</t>
  </si>
  <si>
    <t>Carbon Steel</t>
  </si>
  <si>
    <t>USEPA 2014 Evaluation of Methyl Iodide for the Ictivation of Bacillus anthracis</t>
  </si>
  <si>
    <t>20</t>
  </si>
  <si>
    <t>Industrial Carpet</t>
  </si>
  <si>
    <t>Pine Wood</t>
  </si>
  <si>
    <t>Unpainted Concrete</t>
  </si>
  <si>
    <t>USEPA 2014 Decontamition of a Mock Office Using Chlorine Dioxide Gas</t>
  </si>
  <si>
    <t>10%</t>
  </si>
  <si>
    <t>Galvanized metal</t>
  </si>
  <si>
    <t>0.23</t>
  </si>
  <si>
    <t>Painted drywall paper</t>
  </si>
  <si>
    <t>1.51</t>
  </si>
  <si>
    <t>0.95</t>
  </si>
  <si>
    <t>0.92</t>
  </si>
  <si>
    <t>19</t>
  </si>
  <si>
    <t>paper catalog</t>
  </si>
  <si>
    <t>keyboard</t>
  </si>
  <si>
    <t>chair back</t>
  </si>
  <si>
    <t>chair seat</t>
  </si>
  <si>
    <t>pin cushion screen</t>
  </si>
  <si>
    <t>office carpet</t>
  </si>
  <si>
    <t>desk top</t>
  </si>
  <si>
    <t>painted office drywall</t>
  </si>
  <si>
    <t>filing cabinet</t>
  </si>
  <si>
    <t>office air</t>
  </si>
  <si>
    <t>67</t>
  </si>
  <si>
    <t>18</t>
  </si>
  <si>
    <t>32</t>
  </si>
  <si>
    <t>34</t>
  </si>
  <si>
    <t>27</t>
  </si>
  <si>
    <t>157</t>
  </si>
  <si>
    <t>59</t>
  </si>
  <si>
    <t>35</t>
  </si>
  <si>
    <t>310</t>
  </si>
  <si>
    <t>177</t>
  </si>
  <si>
    <t>26</t>
  </si>
  <si>
    <t>204-215</t>
  </si>
  <si>
    <t>74-76</t>
  </si>
  <si>
    <t>1.26</t>
  </si>
  <si>
    <t>110-198</t>
  </si>
  <si>
    <t>74-75</t>
  </si>
  <si>
    <t>0.75</t>
  </si>
  <si>
    <t>0.76</t>
  </si>
  <si>
    <t>2388-2784</t>
  </si>
  <si>
    <t>73-75</t>
  </si>
  <si>
    <t>oxidation particles</t>
  </si>
  <si>
    <t>0.49</t>
  </si>
  <si>
    <t>3139-3353</t>
  </si>
  <si>
    <t>65-66</t>
  </si>
  <si>
    <t>174-186</t>
  </si>
  <si>
    <t>74-80</t>
  </si>
  <si>
    <t>3165-3454</t>
  </si>
  <si>
    <t>45-48</t>
  </si>
  <si>
    <t>206-217</t>
  </si>
  <si>
    <t>62-67</t>
  </si>
  <si>
    <t>fiberglass lined HVAC duct location A</t>
  </si>
  <si>
    <t>fiberglass lined HVAC duct location B</t>
  </si>
  <si>
    <t>fiberglass lined HVAC duct location C</t>
  </si>
  <si>
    <t>fiberglass lined HVAC duct location D</t>
  </si>
  <si>
    <t>fiberglass lined HVAC duct location E</t>
  </si>
  <si>
    <t>1.02</t>
  </si>
  <si>
    <t>fiberglass lined HVAC duct location F</t>
  </si>
  <si>
    <t>fiberglass lined HVAC duct location G</t>
  </si>
  <si>
    <t>1.73</t>
  </si>
  <si>
    <t>fiberglass lined HVAC duct location H</t>
  </si>
  <si>
    <t>185-203</t>
  </si>
  <si>
    <t>72-75</t>
  </si>
  <si>
    <t>1.06</t>
  </si>
  <si>
    <t>1425-1677</t>
  </si>
  <si>
    <t>75-80</t>
  </si>
  <si>
    <t>ambiguous</t>
  </si>
  <si>
    <t>1838-2339</t>
  </si>
  <si>
    <t>65-69</t>
  </si>
  <si>
    <t>Juergensmeyer 2007 Methyl bromide fumigant lethal to Bacillus anthracis spores</t>
  </si>
  <si>
    <t>Ryan 2014 Effect of inoculation method on the determition of decontamition efficacy against Bacillus spores</t>
  </si>
  <si>
    <t>10</t>
  </si>
  <si>
    <t>galvanized metal</t>
  </si>
  <si>
    <t>painted wallboard paper</t>
  </si>
  <si>
    <t>bare fir wood</t>
  </si>
  <si>
    <t>EPA 2012 Ictivation of Bacillus anthracis Spores in Soil Matrices with Chlorine Dioxide Gas</t>
  </si>
  <si>
    <t>378</t>
  </si>
  <si>
    <t>topsoil (1-cm deep)</t>
  </si>
  <si>
    <t>0.73</t>
  </si>
  <si>
    <t>AZ test dust (1-cm deep)</t>
  </si>
  <si>
    <t>485</t>
  </si>
  <si>
    <t>0.81</t>
  </si>
  <si>
    <t>328</t>
  </si>
  <si>
    <t>topsoil (2-cm deep)</t>
  </si>
  <si>
    <t>0.37</t>
  </si>
  <si>
    <t>0.94</t>
  </si>
  <si>
    <t>AZ test dust (2-cm deep)</t>
  </si>
  <si>
    <t>259</t>
  </si>
  <si>
    <t>0.66</t>
  </si>
  <si>
    <t>358</t>
  </si>
  <si>
    <t>0.55000000000000004</t>
  </si>
  <si>
    <t>0.83</t>
  </si>
  <si>
    <t>234</t>
  </si>
  <si>
    <t>EPA 2014 Methyl Bromide Decontamition of Indoor and Outdoor Materials Contamited with Bacillus anthracis Spores</t>
  </si>
  <si>
    <t>SD &lt; 5</t>
  </si>
  <si>
    <t>SD &lt; 0.58</t>
  </si>
  <si>
    <t>SD &lt; 2.99</t>
  </si>
  <si>
    <t>0.44</t>
  </si>
  <si>
    <t>1.34</t>
  </si>
  <si>
    <t>1.24</t>
  </si>
  <si>
    <t>0.99</t>
  </si>
  <si>
    <t>0.89</t>
  </si>
  <si>
    <t>0.53</t>
  </si>
  <si>
    <t>1.1200000000000001</t>
  </si>
  <si>
    <t>0.59</t>
  </si>
  <si>
    <t>1.31</t>
  </si>
  <si>
    <t>0.62</t>
  </si>
  <si>
    <t>1.65</t>
  </si>
  <si>
    <t>1.19</t>
  </si>
  <si>
    <t>1.1399999999999999</t>
  </si>
  <si>
    <t>0.93</t>
  </si>
  <si>
    <t>1.52</t>
  </si>
  <si>
    <t>1.08</t>
  </si>
  <si>
    <t>0.69</t>
  </si>
  <si>
    <t>1.07</t>
  </si>
  <si>
    <t>1.32</t>
  </si>
  <si>
    <t>1.78</t>
  </si>
  <si>
    <t>1.43</t>
  </si>
  <si>
    <t>0.64</t>
  </si>
  <si>
    <t>EPA 2015 Decontamition of Outdoor Materials Contamited with Anthrax Using Sodium Persulfate or Chloropicrin</t>
  </si>
  <si>
    <t>cm^3</t>
  </si>
  <si>
    <t>10.24</t>
  </si>
  <si>
    <t>Earthgro Topsoil</t>
  </si>
  <si>
    <t>time until aeration</t>
  </si>
  <si>
    <t>uL/cm^3</t>
  </si>
  <si>
    <t>4.17</t>
  </si>
  <si>
    <t>6.38</t>
  </si>
  <si>
    <t>Agvise Topsoil</t>
  </si>
  <si>
    <t>Agvise topsoil</t>
  </si>
  <si>
    <t>EPA 2011 Systematic Investigation of Liquid and Fumigant Decontamition Efficacy against Biological Agents Deposited on Test Coupons of Common Indoor Materials</t>
  </si>
  <si>
    <t>nonparametric p-value</t>
  </si>
  <si>
    <t>Glass (small)</t>
  </si>
  <si>
    <t>Cellulose Insulation</t>
  </si>
  <si>
    <t>(4.67,5.39)</t>
  </si>
  <si>
    <t>CI (a,b)</t>
  </si>
  <si>
    <t>Particle Board</t>
  </si>
  <si>
    <t>Plate Glass</t>
  </si>
  <si>
    <t>(1.65,3.11)</t>
  </si>
  <si>
    <t>(2.44,3.21)</t>
  </si>
  <si>
    <t>glass (small)</t>
  </si>
  <si>
    <t>(0.15,0.65)</t>
  </si>
  <si>
    <t>(1.32,1.86)</t>
  </si>
  <si>
    <t>(0.89,1.25)</t>
  </si>
  <si>
    <t>(2.95,4.39)</t>
  </si>
  <si>
    <t>(0.53,0.75)</t>
  </si>
  <si>
    <t>(1.87,2.09)</t>
  </si>
  <si>
    <t>(1.70,3.27)</t>
  </si>
  <si>
    <t>(4.16,4.56)</t>
  </si>
  <si>
    <t>(0.08,1.00)</t>
  </si>
  <si>
    <t>(1.34,1.46)</t>
  </si>
  <si>
    <t>(0.86,1.31)</t>
  </si>
  <si>
    <t>(1.75,2.06)</t>
  </si>
  <si>
    <t>(1.04,1.4675)</t>
  </si>
  <si>
    <t>(1.37,1.53)</t>
  </si>
  <si>
    <t>(1.29,1.54)</t>
  </si>
  <si>
    <t>(3.93,4.74)</t>
  </si>
  <si>
    <t>(3.07,3.29)</t>
  </si>
  <si>
    <t>(3.98,5.48)</t>
  </si>
  <si>
    <t>(1.92,3.53)</t>
  </si>
  <si>
    <t>(0.65,0.96)</t>
  </si>
  <si>
    <t>cellulose insulation</t>
  </si>
  <si>
    <t>(3.11,3.82)</t>
  </si>
  <si>
    <t>(3.90,5.47)</t>
  </si>
  <si>
    <t>decorative lamite</t>
  </si>
  <si>
    <t>(0.71,1.28)</t>
  </si>
  <si>
    <t>(1.16,2.29)</t>
  </si>
  <si>
    <t>industrial carpet</t>
  </si>
  <si>
    <t>(0.63,1.31)</t>
  </si>
  <si>
    <t>(3.39,4.74)</t>
  </si>
  <si>
    <t>Rogers 2006 Technology Evaluation Report on Evaluation of Chlorine Dioxide Gas Generator</t>
  </si>
  <si>
    <t>USEPA 2010 Persistence Testing and Evaluation of Fumigation Technologies for Decontamition of Building Materials Contamited with Biological Agents</t>
  </si>
  <si>
    <t>Aluminum</t>
  </si>
  <si>
    <t>Keyboard</t>
  </si>
  <si>
    <t>painted joint tape</t>
  </si>
  <si>
    <t>darkening</t>
  </si>
  <si>
    <t>Fumigate 10 min at 8 g/min;  dwell at 0.8 g/min</t>
  </si>
  <si>
    <t>Fumigate 5 min at 4 g/min; dwell at 0.8 g/min</t>
  </si>
  <si>
    <t>galvanized metal ductwork</t>
  </si>
  <si>
    <t>untreated wood</t>
  </si>
  <si>
    <t>Fumigate 15 mL Injected Over 15 min</t>
  </si>
  <si>
    <t>Three Fumigate Cycles Totaling 50 mL Injected Over 3 x 15 min.  Dwell Between Injections -- 45 min</t>
  </si>
  <si>
    <t>Fumigate 50 mL Injected Over 20 min</t>
  </si>
  <si>
    <t>additiol 4 hour aeration</t>
  </si>
  <si>
    <t>EPA 2016 Chlorine Dioxide Fumigation of Subway Materials Contamited with B. anthracis Surrogate Spores: Impact of Environmental Conditions and Presence of Dirt and Grime on Decontamition Efficacy</t>
  </si>
  <si>
    <t>subway grime</t>
  </si>
  <si>
    <t>see report</t>
  </si>
  <si>
    <t>grimed concrete</t>
  </si>
  <si>
    <t>0.62417736769795717</t>
  </si>
  <si>
    <t>grimed and washed concrete</t>
  </si>
  <si>
    <t>0.87337447776174693</t>
  </si>
  <si>
    <t>grimed steel</t>
  </si>
  <si>
    <t>0.2699513965050343</t>
  </si>
  <si>
    <t>grimed and washed steel</t>
  </si>
  <si>
    <t>1.1547901584188294</t>
  </si>
  <si>
    <t>grimed tile</t>
  </si>
  <si>
    <t>0.63008888601167534</t>
  </si>
  <si>
    <t>grimed and washed tile</t>
  </si>
  <si>
    <t>3.48062421137127</t>
  </si>
  <si>
    <t>grease</t>
  </si>
  <si>
    <t>greasy aluminum stub</t>
  </si>
  <si>
    <t>0.24669559309093181</t>
  </si>
  <si>
    <t>0.44812690043107695</t>
  </si>
  <si>
    <t>0.68391053652889156</t>
  </si>
  <si>
    <t>7.7530469629290305E-2</t>
  </si>
  <si>
    <t>0.45311361200607014</t>
  </si>
  <si>
    <t>0.2150724205795044</t>
  </si>
  <si>
    <t>0.18939632348661506</t>
  </si>
  <si>
    <t>7.8297846708225177E-2</t>
  </si>
  <si>
    <t>0.52510281999662645</t>
  </si>
  <si>
    <t>0.34695621604801535</t>
  </si>
  <si>
    <t>0.37470758827752459</t>
  </si>
  <si>
    <t>7.3386664387606784E-2</t>
  </si>
  <si>
    <t>0.28370366540030167</t>
  </si>
  <si>
    <t>0.11713982563937957</t>
  </si>
  <si>
    <t>7.4836865755060253E-2</t>
  </si>
  <si>
    <t>0.10967153270495408</t>
  </si>
  <si>
    <t>4.1337412601558335E-2</t>
  </si>
  <si>
    <t>0.15548817970378995</t>
  </si>
  <si>
    <t>0.27448217319202234</t>
  </si>
  <si>
    <t>0.16088429613579119</t>
  </si>
  <si>
    <t>0.83038924780228351</t>
  </si>
  <si>
    <t>7.2260163239569103E-2</t>
  </si>
  <si>
    <t>0.60537996159843788</t>
  </si>
  <si>
    <t>0.45153803913361262</t>
  </si>
  <si>
    <t>0.17265434597852375</t>
  </si>
  <si>
    <t>0.7612805052055861</t>
  </si>
  <si>
    <t>0.47876004476926409</t>
  </si>
  <si>
    <t>9.8295438041874017E-2</t>
  </si>
  <si>
    <t>0.6629520549441078</t>
  </si>
  <si>
    <t>0.44626461432357351</t>
  </si>
  <si>
    <t>0.63043552988287344</t>
  </si>
  <si>
    <t>0.17936610193483457</t>
  </si>
  <si>
    <t>0.57451813362338833</t>
  </si>
  <si>
    <t>1.1115708864905438</t>
  </si>
  <si>
    <t>3.981994954347515</t>
  </si>
  <si>
    <t>1.2302970483905031</t>
  </si>
  <si>
    <t>1.780300708720999</t>
  </si>
  <si>
    <t>2.1196641762069617</t>
  </si>
  <si>
    <t>1.5348280142108655</t>
  </si>
  <si>
    <t>0.44844802968483805</t>
  </si>
  <si>
    <t>0.53942700730080384</t>
  </si>
  <si>
    <t>1.0106053137008233</t>
  </si>
  <si>
    <t>3.2101189246115416</t>
  </si>
  <si>
    <t>1.7983721162055537</t>
  </si>
  <si>
    <t>0.30623921784969743</t>
  </si>
  <si>
    <t>0.7184615808430671</t>
  </si>
  <si>
    <t>0.6046076446951224</t>
  </si>
  <si>
    <t>0.43943942811746317</t>
  </si>
  <si>
    <t>0.8214281759227946</t>
  </si>
  <si>
    <t>0.43330031027622701</t>
  </si>
  <si>
    <t>2.9089382723124957</t>
  </si>
  <si>
    <t>0.27826178011020231</t>
  </si>
  <si>
    <t>0.6393694457865825</t>
  </si>
  <si>
    <t>1.3656253482100504</t>
  </si>
  <si>
    <t>0.69518518738580581</t>
  </si>
  <si>
    <t>0.51393779602782197</t>
  </si>
  <si>
    <t>0.71087540106449432</t>
  </si>
  <si>
    <t>0.76802122156112917</t>
  </si>
  <si>
    <t>0.28549043903723093</t>
  </si>
  <si>
    <t>0.55156948535149131</t>
  </si>
  <si>
    <t>0.44868064488147047</t>
  </si>
  <si>
    <t>1.5148983357601844</t>
  </si>
  <si>
    <t>0.28602800755284891</t>
  </si>
  <si>
    <t>0.43198798655117765</t>
  </si>
  <si>
    <t>0.25193144940130446</t>
  </si>
  <si>
    <t>0.12709215147842323</t>
  </si>
  <si>
    <t>0.20529937609988905</t>
  </si>
  <si>
    <t>0.25831708879332993</t>
  </si>
  <si>
    <t>0.10137061623103365</t>
  </si>
  <si>
    <t>9.7749939565299204E-2</t>
  </si>
  <si>
    <t>0.12677733182077017</t>
  </si>
  <si>
    <t>0.22385307389807416</t>
  </si>
  <si>
    <t>0.21159705017281738</t>
  </si>
  <si>
    <t>0.69693343202660196</t>
  </si>
  <si>
    <t>0.11226527151384735</t>
  </si>
  <si>
    <t>9.4240370345442998E-2</t>
  </si>
  <si>
    <t>0.4864846402927851</t>
  </si>
  <si>
    <t>0.18975421490584293</t>
  </si>
  <si>
    <t>0.80211020066995542</t>
  </si>
  <si>
    <t>0.20307366962338488</t>
  </si>
  <si>
    <t>0.76355448632758049</t>
  </si>
  <si>
    <t>0.77853985633959755</t>
  </si>
  <si>
    <t>0.40902110830781363</t>
  </si>
  <si>
    <t>0.52467311868123157</t>
  </si>
  <si>
    <t>0.87456643128263001</t>
  </si>
  <si>
    <t>1.2582599773567493</t>
  </si>
  <si>
    <t>3.3619491763674954</t>
  </si>
  <si>
    <t>1.961847697229216</t>
  </si>
  <si>
    <t>0.63426468580820372</t>
  </si>
  <si>
    <t>0.63279825905621379</t>
  </si>
  <si>
    <t>1.4142496167332863</t>
  </si>
  <si>
    <t>1.4695048279667127</t>
  </si>
  <si>
    <t>2.9422914743601676</t>
  </si>
  <si>
    <t>0.1426182383862844</t>
  </si>
  <si>
    <t>0.82329574626063717</t>
  </si>
  <si>
    <t>3.485379058304741</t>
  </si>
  <si>
    <t>0.98456011187395009</t>
  </si>
  <si>
    <t>0.32451491578293418</t>
  </si>
  <si>
    <t>2.9306883924874398</t>
  </si>
  <si>
    <t>0.77366719371335779</t>
  </si>
  <si>
    <t>0.74375109746716694</t>
  </si>
  <si>
    <t>2.2165081934375417</t>
  </si>
  <si>
    <t>0.51595957668314396</t>
  </si>
  <si>
    <t>1.8465641423552244</t>
  </si>
  <si>
    <t>0.49596846905942277</t>
  </si>
  <si>
    <t>0.52863862541200224</t>
  </si>
  <si>
    <t>0.26582894357573833</t>
  </si>
  <si>
    <t>1.8175867601348208</t>
  </si>
  <si>
    <t>5.3818229821269062E-2</t>
  </si>
  <si>
    <t>2.6045625863967405</t>
  </si>
  <si>
    <t>1.0157481123829175</t>
  </si>
  <si>
    <t>1.0807310883051469</t>
  </si>
  <si>
    <t>0.70688647746245148</t>
  </si>
  <si>
    <t>0.51479340019361997</t>
  </si>
  <si>
    <t>0.30685151446126646</t>
  </si>
  <si>
    <t>1.6029984389278085</t>
  </si>
  <si>
    <t>0.91577275309762851</t>
  </si>
  <si>
    <t>0.63217596708460155</t>
  </si>
  <si>
    <t>0.16944344727895352</t>
  </si>
  <si>
    <t>0.13066724630195953</t>
  </si>
  <si>
    <t>0.1828380929979137</t>
  </si>
  <si>
    <t>6.2662606990695605E-2</t>
  </si>
  <si>
    <t>0.16471674782234935</t>
  </si>
  <si>
    <t>0.11105151754286807</t>
  </si>
  <si>
    <t>0.22499552190194716</t>
  </si>
  <si>
    <t>0.17206396252980061</t>
  </si>
  <si>
    <t>0.69367515237273936</t>
  </si>
  <si>
    <t>0.15070285134493494</t>
  </si>
  <si>
    <t>0.11439599869866303</t>
  </si>
  <si>
    <t>0.52231803617032679</t>
  </si>
  <si>
    <t>0.1488716133943376</t>
  </si>
  <si>
    <t>0.7434416737359888</t>
  </si>
  <si>
    <t>0.46435325503240482</t>
  </si>
  <si>
    <t>1.1499427872533257</t>
  </si>
  <si>
    <t>0.80430866425248193</t>
  </si>
  <si>
    <t>1.0064236109311013</t>
  </si>
  <si>
    <t>0.72773933998521301</t>
  </si>
  <si>
    <t>1.2354711321065777</t>
  </si>
  <si>
    <t>0.3448144986258001</t>
  </si>
  <si>
    <t>1.4357004208039392</t>
  </si>
  <si>
    <t>0.93215456439106981</t>
  </si>
  <si>
    <t>0.82181749240728708</t>
  </si>
  <si>
    <t>2.5274628123349294</t>
  </si>
  <si>
    <t>2.6369040373843191</t>
  </si>
  <si>
    <t>0.14287291556047066</t>
  </si>
  <si>
    <t>1.0831633764216801</t>
  </si>
  <si>
    <t>3.6028518090490258</t>
  </si>
  <si>
    <t>1.1984623302692645</t>
  </si>
  <si>
    <t>0.32666930012470863</t>
  </si>
  <si>
    <t>U.S. Environmental Protection Agency 2017 Subway Railcar Decontamition with Methyl Bromide</t>
  </si>
  <si>
    <t>170-212</t>
  </si>
  <si>
    <t>22.1-24.9</t>
  </si>
  <si>
    <t>76.3-86.5</t>
  </si>
  <si>
    <t>nylon carpet</t>
  </si>
  <si>
    <t>fiberglass wall paneling</t>
  </si>
  <si>
    <t>aluminum</t>
  </si>
  <si>
    <t>rubber flooring</t>
  </si>
  <si>
    <t>mylar</t>
  </si>
  <si>
    <t>vinyl seating</t>
  </si>
  <si>
    <t>U.S. Environmental Protection Agency 2013 Bio-Response Operatiol Testing and Evaluation (BOTE) Project - Phase 1: Decontamition Assessment</t>
  </si>
  <si>
    <t>1000-4000</t>
  </si>
  <si>
    <t>floor 1: floors and ceilings (epoxy-coated, wood lamite, carpet, and ceiling tile)</t>
  </si>
  <si>
    <t>floor 2: floors and ceilings (epoxy-coated, wood lamite, carpet, and ceiling tile)</t>
  </si>
  <si>
    <t>floor 1: walls (painted wallboard and plastic walls)</t>
  </si>
  <si>
    <t>floor 2: walls (painted wallboard and plastic walls)</t>
  </si>
  <si>
    <t>Aydogan 2006 Application of gaseous ozone for ictivation of Bacillus subtilis spores</t>
  </si>
  <si>
    <t>vinyl floor tile</t>
  </si>
  <si>
    <t>hardwood</t>
  </si>
  <si>
    <t>grime from used carpet</t>
  </si>
  <si>
    <t>used cut-pile carpet</t>
  </si>
  <si>
    <t>loop-pile carpet</t>
  </si>
  <si>
    <t>Kreske 2006 Evaluation of chlorine, chlorine dioxide, and a peroxyacetic acid-based sanitizer for effectiveness in killing Bacillus cereus and Bacillus thuringiensis spores in suspensions, on the surface of stainless steel, and on apples</t>
  </si>
  <si>
    <t>Liquid Immersion</t>
  </si>
  <si>
    <t>ug/L FAC</t>
  </si>
  <si>
    <t>ug/L</t>
  </si>
  <si>
    <t>horse serum</t>
  </si>
  <si>
    <t>horse serum residue on stainless steel</t>
  </si>
  <si>
    <t>apples</t>
  </si>
  <si>
    <t>March 2015 The differential effects of heat-shocking on the viability of spores from Bacillus anthracis, Bacillus subtilis, and Clostridium sporogenes after treatment with peracetic acid- and glutaraldehyde-based disinfectants</t>
  </si>
  <si>
    <t>% ambiguous</t>
  </si>
  <si>
    <t>waterbath</t>
  </si>
  <si>
    <t>AOAC carrier (porcelain and suture)</t>
  </si>
  <si>
    <t>Omotade 2013 D-cycloserine or similar physiochemical compounds may be uniquely suited for use in Bacillus anthracis spore decontamition strategies</t>
  </si>
  <si>
    <t>suspension of nutrient rich media</t>
  </si>
  <si>
    <t>time in suspension</t>
  </si>
  <si>
    <t>Amoako 2013 Bacillus anthracis spore decontamition in food grease</t>
  </si>
  <si>
    <t>50-uL lard</t>
  </si>
  <si>
    <t>lard coated stainless steel (spores under lard)</t>
  </si>
  <si>
    <t>2.4</t>
  </si>
  <si>
    <t>Wood 2011 Optimizing acidified bleach solutions to improve sporicidal efficacy on building materials</t>
  </si>
  <si>
    <t>ceramic</t>
  </si>
  <si>
    <t>0.01</t>
  </si>
  <si>
    <t>1.21</t>
  </si>
  <si>
    <t>galvanized steel</t>
  </si>
  <si>
    <t>0.11043</t>
  </si>
  <si>
    <t>0.12991</t>
  </si>
  <si>
    <t>0.34715000000000001</t>
  </si>
  <si>
    <t>1.1170899999999999</t>
  </si>
  <si>
    <t>1.0290999999999999</t>
  </si>
  <si>
    <t>0.36107</t>
  </si>
  <si>
    <t>0.58436999999999995</t>
  </si>
  <si>
    <t>7.7420000000000003E-2</t>
  </si>
  <si>
    <t>0.34855999999999998</t>
  </si>
  <si>
    <t>maple wood</t>
  </si>
  <si>
    <t>0.30187000000000003</t>
  </si>
  <si>
    <t>0.56499999999999995</t>
  </si>
  <si>
    <t>0.33584000000000003</t>
  </si>
  <si>
    <t>0.18079000000000001</t>
  </si>
  <si>
    <t>Buhr 2011 Decontamition of a hard surface contamited with Bacillus anthracisDeltaSterne and B. anthracis Ames spores using electrochemically generated liquid-phase chlorine dioxide (eClO2)</t>
  </si>
  <si>
    <t>time before neutralization</t>
  </si>
  <si>
    <t>.5</t>
  </si>
  <si>
    <t>Hilgren 2009 Susceptibilities of Bacillus subtilis, Bacillus cereus, and Avirulent Bacillus anthracis Spores to Liquid Biocides</t>
  </si>
  <si>
    <t>flour paste</t>
  </si>
  <si>
    <t>flour paste on stainless steel</t>
  </si>
  <si>
    <t>time immersed before neutralization</t>
  </si>
  <si>
    <t>(1.35,2.75)</t>
  </si>
  <si>
    <t>(1.01,1.59)</t>
  </si>
  <si>
    <t>(0.81,1.67)</t>
  </si>
  <si>
    <t>(0.41,1.03)</t>
  </si>
  <si>
    <t>(0.82,1.68)</t>
  </si>
  <si>
    <t>(2.49,3.79)</t>
  </si>
  <si>
    <t>(2.37,4.03)</t>
  </si>
  <si>
    <t>(0.96,2.06)</t>
  </si>
  <si>
    <t>(1.14,2.10)</t>
  </si>
  <si>
    <t>(1.20,2.02)</t>
  </si>
  <si>
    <t>(0.68,1.16)</t>
  </si>
  <si>
    <t>(0.63,1.13)</t>
  </si>
  <si>
    <t>(1.15,2.13)</t>
  </si>
  <si>
    <t>(0.96,1.88)</t>
  </si>
  <si>
    <t>(1.93,3.33)</t>
  </si>
  <si>
    <t>(1.38,3.12)</t>
  </si>
  <si>
    <t>(1.29,3.39)</t>
  </si>
  <si>
    <t>(0.08,0.32)</t>
  </si>
  <si>
    <t>(0.07,0.29)</t>
  </si>
  <si>
    <t>(0.49,1.13)</t>
  </si>
  <si>
    <t>(5.26,6.36)</t>
  </si>
  <si>
    <t>(5.58,6.28)</t>
  </si>
  <si>
    <t>(0.52,1.38)</t>
  </si>
  <si>
    <t>(0.53,1.07)</t>
  </si>
  <si>
    <t>(1.66,4.60)</t>
  </si>
  <si>
    <t>&gt; 1</t>
  </si>
  <si>
    <t>Sagripanti 2007 Virulent spores of Bacillus anthracis and other Bacillus species deposited on solid surfaces have similar sensitivity to chemical decontamints</t>
  </si>
  <si>
    <t>rubber silicone butyl blend</t>
  </si>
  <si>
    <t>polyurethane painted aluminum</t>
  </si>
  <si>
    <t>0.97</t>
  </si>
  <si>
    <t>Morrow 2009 Enhanced Decontamition of Bacillus Spores in a Simulated Drinking Water System by Germint Addition</t>
  </si>
  <si>
    <t>biofilm</t>
  </si>
  <si>
    <t>CFU/cm^2</t>
  </si>
  <si>
    <t>biofilm covered copper pipe</t>
  </si>
  <si>
    <t>time immersed in germint solution</t>
  </si>
  <si>
    <t xml:space="preserve">time immersed </t>
  </si>
  <si>
    <t>time immersed after pretreatment</t>
  </si>
  <si>
    <t>time at temperature</t>
  </si>
  <si>
    <t>biofilm covered PVC pipe</t>
  </si>
  <si>
    <t>Tomasino 2008 Determining the efficacy of liquid sporicides against spores of Bacillus subtilis on a hard nonporous surface using the quantitative three step method: collaborative study</t>
  </si>
  <si>
    <t>300</t>
  </si>
  <si>
    <t>600</t>
  </si>
  <si>
    <t>1.18</t>
  </si>
  <si>
    <t>von Woedtke 2004 Sporicidal efficacy of hydrogen peroxide aerosol</t>
  </si>
  <si>
    <t>BioStrip (paper)</t>
  </si>
  <si>
    <t>min,max</t>
  </si>
  <si>
    <t>Cardoso 2011 Modeling of sporicidal effect of hydrogen peroxide in the sterilization of low density polyethylene film inoculated with Bacillus subtilis spores</t>
  </si>
  <si>
    <t>plastic (LDPE) films containing titanium dioxide</t>
  </si>
  <si>
    <t>César 2012 Antimicrobial effects of ozoted water on the sanitization of dental instruments contamited with E. coli, S. aureus, C. albicans, or the spores of B. atrophaeus</t>
  </si>
  <si>
    <t>diamond burs</t>
  </si>
  <si>
    <t>Wallace 2008 Laboratory-scale Study in Determining the Decontamition Standards for Personnel Protective Equipment Used by Homeland Defense Personnel: Evaluation of Commercial Off-the-shelf Technologies for Decontamition of Personnel Protec</t>
  </si>
  <si>
    <t>polycarbote</t>
  </si>
  <si>
    <t>butyl rubber</t>
  </si>
  <si>
    <t>tyvek</t>
  </si>
  <si>
    <t>Sagripanti 2006 Virulent Spores Of Bacillus Anthracis And Other Bacillus Species Deposited On Solid Surfaces Have Similar Sensitivity To Chemical Decontamints.</t>
  </si>
  <si>
    <t>silicone and butyl rubber blend</t>
  </si>
  <si>
    <t>painted aluminum alloy</t>
  </si>
  <si>
    <t>suture loop</t>
  </si>
  <si>
    <t>discarded</t>
  </si>
  <si>
    <t>plate glass</t>
  </si>
  <si>
    <t>0.014</t>
  </si>
  <si>
    <t>(3.78,4.28)</t>
  </si>
  <si>
    <t>(2.73,3.11)</t>
  </si>
  <si>
    <t>(3.83,4.00)</t>
  </si>
  <si>
    <t>p0.014</t>
  </si>
  <si>
    <t>(2.73,2.98)</t>
  </si>
  <si>
    <t>(4.38,5.73)</t>
  </si>
  <si>
    <t>(3.94,4.50)</t>
  </si>
  <si>
    <t>(3.64,4.58)</t>
  </si>
  <si>
    <t>(2.64,3.17)</t>
  </si>
  <si>
    <t>(3.85,4.14)</t>
  </si>
  <si>
    <t>(3.00,3.82)</t>
  </si>
  <si>
    <t>(3.91,4.41)</t>
  </si>
  <si>
    <t>(4.31,5.04)</t>
  </si>
  <si>
    <t>0.0135</t>
  </si>
  <si>
    <t>(4.81,5.26)</t>
  </si>
  <si>
    <t>(3.87,5.01)</t>
  </si>
  <si>
    <t>(3.89,5.27)</t>
  </si>
  <si>
    <t>Plate glass</t>
  </si>
  <si>
    <t>(3.29,3.51)</t>
  </si>
  <si>
    <t>(3.36,3.89)</t>
  </si>
  <si>
    <t>(3.86,4.09)</t>
  </si>
  <si>
    <t>(4.30,4.72)</t>
  </si>
  <si>
    <t>(3.01,3.27)</t>
  </si>
  <si>
    <t>(3.16,3.37)</t>
  </si>
  <si>
    <t>(4.05,4.50)</t>
  </si>
  <si>
    <t>Yogarasimha 2014 Peracetic Acid: A Practical Agent for Sterilizing Heat-Labile Polymeric Tissue-Engineering Scaffolds</t>
  </si>
  <si>
    <t>scaffold of polycaprolactone</t>
  </si>
  <si>
    <t>Iannotti 2013 ICTIVATION OF Bacillus atrophaeus SPORES IN HEALTHCARE WASTE BY UV LIGHT COUPLED WITH H2O2</t>
  </si>
  <si>
    <t>Physical</t>
  </si>
  <si>
    <t>W/kg</t>
  </si>
  <si>
    <t>healthcare waste</t>
  </si>
  <si>
    <t>da Silva 2012 Photo-ictivation of Bacillus endospores: inter-specific variability of ictivation efficiency</t>
  </si>
  <si>
    <t>W/m^2</t>
  </si>
  <si>
    <t>aqueous suspension</t>
  </si>
  <si>
    <t>time irradiated</t>
  </si>
  <si>
    <t>time in plasma</t>
  </si>
  <si>
    <t>Staack 2008 Effect of infrared heating on quality and microbial decontamition in paprika powder</t>
  </si>
  <si>
    <t>kW/m^2</t>
  </si>
  <si>
    <t>paprika (low moisture)</t>
  </si>
  <si>
    <t>color change</t>
  </si>
  <si>
    <t>paprika (medium moisture)</t>
  </si>
  <si>
    <t>paprika water slurry surface</t>
  </si>
  <si>
    <t>paprika water slurry interior</t>
  </si>
  <si>
    <t>paprika water slurry overall</t>
  </si>
  <si>
    <t>Grover,2012,Laccase- and chloroperoxidase-notube paint composites with bactericidal and sporicidal activity</t>
  </si>
  <si>
    <t>any painted surface</t>
  </si>
  <si>
    <t>%Kill</t>
  </si>
  <si>
    <t>2%</t>
  </si>
  <si>
    <t>1 standard deviation</t>
  </si>
  <si>
    <t>min</t>
  </si>
  <si>
    <t>variable condition process</t>
  </si>
  <si>
    <t>1%</t>
  </si>
  <si>
    <t>Purevdorj 2001 Kinetics of ictivation of Bacillus spores using low temperature argon plasma at different microwave power densities</t>
  </si>
  <si>
    <t>W/cm^3</t>
  </si>
  <si>
    <t>polypropylene</t>
  </si>
  <si>
    <t>time exposed to plasma</t>
  </si>
  <si>
    <t>&gt;3</t>
  </si>
  <si>
    <t>Warriner 2000 Ictivation of Bacillus subtilis spores on aluminum and polyethylene preformed cartons by UV-excimer laser irradiation</t>
  </si>
  <si>
    <t>J</t>
  </si>
  <si>
    <t>interior of aluminum carton</t>
  </si>
  <si>
    <t>treatment time (dose depends on number of pulses delivered)</t>
  </si>
  <si>
    <t>interior of polyethylene carton</t>
  </si>
  <si>
    <t>Zhang 2014 Ictivation of Bacillus subtilis Spores Using Various Combitions of Ultraviolet Treatment with Addition of Hydrogen Peroxide</t>
  </si>
  <si>
    <t>uW/cm^2</t>
  </si>
  <si>
    <t>Yang 2012 Highly Effective Large-Area Ictivation of B. subtilis Spore Using a Plar Dielectric Barrier Discharge Jet With CF4/Air Mixture</t>
  </si>
  <si>
    <t>liquid suspension atop agar</t>
  </si>
  <si>
    <t>SurvFrac</t>
  </si>
  <si>
    <t>Tomasula 2011 Pilot-scale crossflow-microfiltration and pasteurization to remove spores of Bacillus anthracis (Sterne) from milk</t>
  </si>
  <si>
    <t>milk</t>
  </si>
  <si>
    <t>DI water</t>
  </si>
  <si>
    <t>Buhr 2015 Test methods and response surface models for hot, humid air decontamition of materials contamited with dirty spores of Bacillus anthracis Sterne and Bacillus thuringiensis Al Hakam</t>
  </si>
  <si>
    <t>kaolin</t>
  </si>
  <si>
    <t>wiring insulation</t>
  </si>
  <si>
    <t>aluminum with aircraft performance coating</t>
  </si>
  <si>
    <t>anti-skid grit tape</t>
  </si>
  <si>
    <t>Plastic</t>
  </si>
  <si>
    <t>Nylon</t>
  </si>
  <si>
    <t>Kaolin</t>
  </si>
  <si>
    <t>humic acid and spent sporulation media</t>
  </si>
  <si>
    <t>Sol Cont</t>
  </si>
  <si>
    <t>.1</t>
  </si>
  <si>
    <t>.0</t>
  </si>
  <si>
    <t>.2</t>
  </si>
  <si>
    <t>.13</t>
  </si>
  <si>
    <t>.10</t>
  </si>
  <si>
    <t>.15</t>
  </si>
  <si>
    <t>.8</t>
  </si>
  <si>
    <t>.4</t>
  </si>
  <si>
    <t>.3</t>
  </si>
  <si>
    <t>.16</t>
  </si>
  <si>
    <t>.11</t>
  </si>
  <si>
    <t>.7</t>
  </si>
  <si>
    <t>.9</t>
  </si>
  <si>
    <t>Xing 2014 noscale structural and mechanical alysis of Bacillus anthracis spores ictivated with rapid dry heating</t>
  </si>
  <si>
    <t>gold foil</t>
  </si>
  <si>
    <t>Buhr 2012 Test method development to evaluate hot, humid air decontamition of materials contamited with Bacillus anthracis Sterne and B. thuringiensis Al Hakam spores</t>
  </si>
  <si>
    <t>Polypropylene</t>
  </si>
  <si>
    <t>wet polypropylene</t>
  </si>
  <si>
    <t>painted aluminum (aircraft performance coating)</t>
  </si>
  <si>
    <t>wiring insulation insulation</t>
  </si>
  <si>
    <t>Anti-skid material on aluminum</t>
  </si>
  <si>
    <t>4</t>
  </si>
  <si>
    <t>2.9</t>
  </si>
  <si>
    <t>12</t>
  </si>
  <si>
    <t>6</t>
  </si>
  <si>
    <t>InsulFab</t>
  </si>
  <si>
    <t>3.1</t>
  </si>
  <si>
    <t>33</t>
  </si>
  <si>
    <t>2.6</t>
  </si>
  <si>
    <t>2.5</t>
  </si>
  <si>
    <t>2.8</t>
  </si>
  <si>
    <t>Chaine 2012 Decontamition of sugar syrup by pulsed light</t>
  </si>
  <si>
    <t>J/cm^2</t>
  </si>
  <si>
    <t>water</t>
  </si>
  <si>
    <t>total duration of pulses</t>
  </si>
  <si>
    <t>"2-4"</t>
  </si>
  <si>
    <t>pure sucrose syrup</t>
  </si>
  <si>
    <t>industrial sucrose syrup</t>
  </si>
  <si>
    <t>Luksiene 2009 Ictivation of food pathogen Bacillus cereus by photosensitization in vitro and on the surface of packaging material</t>
  </si>
  <si>
    <t>mW/cm^2</t>
  </si>
  <si>
    <t>time illumited</t>
  </si>
  <si>
    <t>food packaging material (presumably plastic)</t>
  </si>
  <si>
    <t>Prasad 2009 Photocataytic ictivation of Bacillus anthracis by titania nomaterials</t>
  </si>
  <si>
    <t>liquid</t>
  </si>
  <si>
    <t>stainless steel knife handle</t>
  </si>
  <si>
    <t>Bandla 2012 UV-C treatment of soymilk in coiled tube UV reactors for ictivation of Escherichia coli W1485 and Bacillus cereus endospores</t>
  </si>
  <si>
    <t>mJ/cm^2</t>
  </si>
  <si>
    <t>soy milk</t>
  </si>
  <si>
    <t>residence time</t>
  </si>
  <si>
    <t>Menetrez 2006 Efficacy of UV irradiation on eight species of Bacillus</t>
  </si>
  <si>
    <t>uWs/cm^2</t>
  </si>
  <si>
    <t>agar plate</t>
  </si>
  <si>
    <t>Blatchley 2005 Ictivation of Bacillus spores by ultraviolet or gamma radiation</t>
  </si>
  <si>
    <t>aqueous buffer</t>
  </si>
  <si>
    <t>time irradiated at 140 uW/s</t>
  </si>
  <si>
    <t>Gy</t>
  </si>
  <si>
    <t>time irradiated at 14 gy/min</t>
  </si>
  <si>
    <t>aluminum foil</t>
  </si>
  <si>
    <t>painted paper</t>
  </si>
  <si>
    <t>nitrocellulose membrane</t>
  </si>
  <si>
    <t>Luksiene 2012 Reprint of: Novel approach to decontamite food-packaging from pathogens in non-thermal and not chemical way: Chlorophyllin-based photosensitization</t>
  </si>
  <si>
    <t>polyolefine</t>
  </si>
  <si>
    <t>Wu 2010 Ictivation of bacteria and fungus aerosols using microwave irradiation</t>
  </si>
  <si>
    <t>L</t>
  </si>
  <si>
    <t>W</t>
  </si>
  <si>
    <t>aerosol</t>
  </si>
  <si>
    <t>residence time in microwave</t>
  </si>
  <si>
    <t>/L</t>
  </si>
  <si>
    <t>/uL</t>
  </si>
  <si>
    <t>Joubert 2013 Ictivation of Bacillus subtilis var. niger of both spore and vegetative forms by means of coro discharges applied in water</t>
  </si>
  <si>
    <t>discharges (40A for 200nS)</t>
  </si>
  <si>
    <t>Spilimbergo 2002 Microbial ictivation by high-pressure</t>
  </si>
  <si>
    <t>bar</t>
  </si>
  <si>
    <t>Lonnen 2005 Solar and photocatalytic disinfection of protozoan, fungal and bacterial microbes in drinking water</t>
  </si>
  <si>
    <t>Huxford</t>
  </si>
  <si>
    <t>Marcum 2014 Measurements of D Damage and Repair in Bacillus anthracis Sterne Spores by UV Radiation</t>
  </si>
  <si>
    <t>checked by actinometry</t>
  </si>
  <si>
    <t>J/m^2</t>
  </si>
  <si>
    <t>Kesavan 2014 UV-C Decontamition of Aerosolized and Surface-Bound Single Spores and Bioclusters</t>
  </si>
  <si>
    <t>filter paper (4.4 um spore clusters)</t>
  </si>
  <si>
    <t>2log(SD(SurvFrac))</t>
  </si>
  <si>
    <t>2 or 4</t>
  </si>
  <si>
    <t>filter paper (2.8 um spore clusters)</t>
  </si>
  <si>
    <t>filter paper (single spores)</t>
  </si>
  <si>
    <t>CFU/L</t>
  </si>
  <si>
    <t>aerosol (4.4 um spore clusters)</t>
  </si>
  <si>
    <t>~0.3</t>
  </si>
  <si>
    <t>/m^3</t>
  </si>
  <si>
    <t>aerosol (2.8 um spore clusters)</t>
  </si>
  <si>
    <t>aerosol (single spores)</t>
  </si>
  <si>
    <t>Dauphin 2008 Gamma Irradiation Can Be Used to Ictivate Bacillus anthracis without Compromising the Sensitivity of Diagnostic Assays</t>
  </si>
  <si>
    <t>Mrad</t>
  </si>
  <si>
    <t>Liquid</t>
  </si>
  <si>
    <t>%Surv</t>
  </si>
  <si>
    <t>Tufts 2012 Thermal ictivation of Bacillus anthracis surrogate spores in a bench-scale enclosed landfill gas flare</t>
  </si>
  <si>
    <t>estimated</t>
  </si>
  <si>
    <t>spore residence time in flare</t>
  </si>
  <si>
    <t>Q</t>
  </si>
  <si>
    <t xml:space="preserve">USEPA 2012 Assessment of Liquid and Physical Decontamition Methods for Environmental Surfaces Contamited with Bacterial Spores: Development and Evaluation of the Decontamition Procedural Steps </t>
  </si>
  <si>
    <t>Carpet Horizontal</t>
  </si>
  <si>
    <t>/in^2</t>
  </si>
  <si>
    <t>Concrete Horizontal</t>
  </si>
  <si>
    <t>Deck Wood Horizontal</t>
  </si>
  <si>
    <t>Painted Wallboard Horizontal</t>
  </si>
  <si>
    <t>Concrete Vertical</t>
  </si>
  <si>
    <t>Dry Wall Vertical</t>
  </si>
  <si>
    <t>Rough-cut Wood Vertical</t>
  </si>
  <si>
    <t>5789000</t>
  </si>
  <si>
    <t>LRsurf</t>
  </si>
  <si>
    <t>yes</t>
  </si>
  <si>
    <t>2319000</t>
  </si>
  <si>
    <t>674000</t>
  </si>
  <si>
    <t>12595990</t>
  </si>
  <si>
    <t>Concrete vertical</t>
  </si>
  <si>
    <t>550990</t>
  </si>
  <si>
    <t>Dry Wall vertical</t>
  </si>
  <si>
    <t>2585990</t>
  </si>
  <si>
    <t>Rough-cut Wood vertical</t>
  </si>
  <si>
    <t>37292200</t>
  </si>
  <si>
    <t>38192200</t>
  </si>
  <si>
    <t>253200</t>
  </si>
  <si>
    <t>4029733</t>
  </si>
  <si>
    <t>6129733</t>
  </si>
  <si>
    <t>22499733</t>
  </si>
  <si>
    <t>USEPA 2010 Investigation of Simulated Sunlight in the Ictivation of B. anthracis and B. subtilis on Outdoor Materials</t>
  </si>
  <si>
    <t>Topsoil</t>
  </si>
  <si>
    <t>Edmonds 2014 Decontamition efficacy of three commercial-off-the-shelf (COTS) sporicidal disinfectants on medium-sized panels contamited with surrogate spores of Bacillus anthracis</t>
  </si>
  <si>
    <t>Foam Spray</t>
  </si>
  <si>
    <t>Steel</t>
  </si>
  <si>
    <t>continuously wetted followed by 2 hours of drying</t>
  </si>
  <si>
    <t>L/m^2</t>
  </si>
  <si>
    <t>Brick</t>
  </si>
  <si>
    <t>brick</t>
  </si>
  <si>
    <t>pressure-treated lumber</t>
  </si>
  <si>
    <t>Andre 2012 Evaluation of peracetic acid sanitizers efficiency against spores isolated from spoiled cans in suspension and on stainless steel surfaces</t>
  </si>
  <si>
    <t>CFU/100cm^2</t>
  </si>
  <si>
    <t>% wt/vol</t>
  </si>
  <si>
    <t>stainless steel (horizontal)</t>
  </si>
  <si>
    <t>contact time before water rinse</t>
  </si>
  <si>
    <t>stainless steel (vertical)</t>
  </si>
  <si>
    <t>Wood 2011 Efficacy of liquid spray decontamints for ictivation of Bacillus anthracis spores on building and outdoor materials</t>
  </si>
  <si>
    <t>ambient temperature</t>
  </si>
  <si>
    <t>Industrial-grade carpet</t>
  </si>
  <si>
    <t>Painted cinder block</t>
  </si>
  <si>
    <t>Wood 2010 Evaluation Of Liquid And Foam Technologies For The Ictivation Of Bacillus Anthracis Spores On Topsoil.</t>
  </si>
  <si>
    <t>EPA 2009 Evaluation of Liquid and Foam Technologies for the Decontamition of B. anthracis and B. subtilis on Building and Outdoor Materials: Technology Evaluation Report</t>
  </si>
  <si>
    <t>g/cm^2</t>
  </si>
  <si>
    <t>Painted Cinder Block</t>
  </si>
  <si>
    <t>paint peeling</t>
  </si>
  <si>
    <t xml:space="preserve">EPA 2010 Biological Agent Decontamition Technology Testing </t>
  </si>
  <si>
    <t>Porcelain</t>
  </si>
  <si>
    <t>Granite</t>
  </si>
  <si>
    <t>Asphalt Paving</t>
  </si>
  <si>
    <t>asphalt</t>
  </si>
  <si>
    <t>Treated Wood</t>
  </si>
  <si>
    <t>Butyl Rubber</t>
  </si>
  <si>
    <t>1.67</t>
  </si>
  <si>
    <t>Zhang 2016 Effects of electrolyzed oxidizing water on ictivation of Bacillus subtilis and Bacillus cereus spores in suspension and on carriers</t>
  </si>
  <si>
    <t>uL/cm^2</t>
  </si>
  <si>
    <t>0.3% organics (tryptone, bovine serum albumin, bovine mucin)</t>
  </si>
  <si>
    <t>stainless steel + 0.3% organic burden</t>
  </si>
  <si>
    <t>Frazer 2013 Sporicidal efficacy of pH-adjusted bleach for control of bioburden on production facility surfaces</t>
  </si>
  <si>
    <t>wt% OCl</t>
  </si>
  <si>
    <t>ambiguous surface</t>
  </si>
  <si>
    <t>Choi 2015 Effect of thiamine dilaurylsulfate against Escherichia coli O157:H7, Salmonella Typhimurium, Listeria monocytogenes and Bacillus cereus spores in custard cream</t>
  </si>
  <si>
    <t>custard cream</t>
  </si>
  <si>
    <t>error bars on graph</t>
  </si>
  <si>
    <t>Tarasenko 2008 Defensive and simultaneous actions of glycoconjugates during spore decontamition</t>
  </si>
  <si>
    <t>mg/mL</t>
  </si>
  <si>
    <t>time before dilution</t>
  </si>
  <si>
    <t>DeQueiroz 2008 Disinfection of Bacillus subtilis spore-contamited surface materials with a sodium hypochlorite and a hydrogen peroxide-based sanitizer</t>
  </si>
  <si>
    <t>Liquid Spray</t>
  </si>
  <si>
    <t>woven carpet</t>
  </si>
  <si>
    <t>acoustic ceiling tiles</t>
  </si>
  <si>
    <t>cork boards</t>
  </si>
  <si>
    <t>concrete blocks</t>
  </si>
  <si>
    <t>wood tiles</t>
  </si>
  <si>
    <t>rough surface patio tiles</t>
  </si>
  <si>
    <t>smooth surface patio tiles</t>
  </si>
  <si>
    <t>Friedline 2015 Sterilization of hydrogen peroxide resistant bacterial spores with stabilized chlorine dioxide</t>
  </si>
  <si>
    <t>time till neutralization</t>
  </si>
  <si>
    <t>3.4927603890268375</t>
  </si>
  <si>
    <t>2.3263358609287512</t>
  </si>
  <si>
    <t>2.1461280356782382</t>
  </si>
  <si>
    <t>vol%</t>
  </si>
  <si>
    <t>3.8</t>
  </si>
  <si>
    <t>Chatuev 2010 Alysis of the sporicidal activity of chlorine dioxide disinfectant against Bacillus anthracis (Sterne strain)</t>
  </si>
  <si>
    <t>mg tablet/L</t>
  </si>
  <si>
    <t>stainless steel (spores applied after decon agent)</t>
  </si>
  <si>
    <t>time before extraction</t>
  </si>
  <si>
    <t>1.27</t>
  </si>
  <si>
    <t>Unpainted concrete</t>
  </si>
  <si>
    <t>Omidbakhsh 2010 Evaluation of sporicidal activities of selected environmental surface disinfectants: carrier tests with the spores of Clostridium difficile and its surrogates</t>
  </si>
  <si>
    <t>soil load (unspecified)</t>
  </si>
  <si>
    <t>time till neutralizating</t>
  </si>
  <si>
    <t>mL/inch^2</t>
  </si>
  <si>
    <t>1.57</t>
  </si>
  <si>
    <t>1.46</t>
  </si>
  <si>
    <t>1.47</t>
  </si>
  <si>
    <t>g/L</t>
  </si>
  <si>
    <t>1.28</t>
  </si>
  <si>
    <t>rough-cut barn wood coupon</t>
  </si>
  <si>
    <t>painted wallboard coupon</t>
  </si>
  <si>
    <t>11</t>
  </si>
  <si>
    <t>rough-cut barn wood</t>
  </si>
  <si>
    <t>16</t>
  </si>
  <si>
    <t>725</t>
  </si>
  <si>
    <t>1784</t>
  </si>
  <si>
    <t>1314</t>
  </si>
  <si>
    <t>22</t>
  </si>
  <si>
    <t>14</t>
  </si>
  <si>
    <t>1554</t>
  </si>
  <si>
    <t>8</t>
  </si>
  <si>
    <t>1889</t>
  </si>
  <si>
    <t>1-g per square foot</t>
  </si>
  <si>
    <t>grimed Concrete</t>
  </si>
  <si>
    <t>3.4</t>
  </si>
  <si>
    <t>grimed rough-cut barn wood</t>
  </si>
  <si>
    <t>7.7</t>
  </si>
  <si>
    <t>21.9</t>
  </si>
  <si>
    <t>3.7</t>
  </si>
  <si>
    <t>15.6</t>
  </si>
  <si>
    <t>16.8</t>
  </si>
  <si>
    <t>4.1000000000000002E-2</t>
  </si>
  <si>
    <t>0.14299999999999999</t>
  </si>
  <si>
    <t>6.8000000000000005E-2</t>
  </si>
  <si>
    <t>1E-3</t>
  </si>
  <si>
    <t>2011 Effectiveness Of Physical And Chemical Cleaning And Disinfection Methods For Removing, Reducing Or Ictivating Agricultural Biological Threat Agents.</t>
  </si>
  <si>
    <t>23.73</t>
  </si>
  <si>
    <t>6000-6700</t>
  </si>
  <si>
    <t>time before moving coupons to drying area (no neutralization)</t>
  </si>
  <si>
    <t>L/inch^2</t>
  </si>
  <si>
    <t>26.05</t>
  </si>
  <si>
    <t>treated wood vertical</t>
  </si>
  <si>
    <t>43.75</t>
  </si>
  <si>
    <t>100</t>
  </si>
  <si>
    <t>24.93</t>
  </si>
  <si>
    <t>27.35</t>
  </si>
  <si>
    <t>28.88</t>
  </si>
  <si>
    <t>27.12</t>
  </si>
  <si>
    <t>13100</t>
  </si>
  <si>
    <t>83200</t>
  </si>
  <si>
    <t>207000</t>
  </si>
  <si>
    <t>146000</t>
  </si>
  <si>
    <t>251.72</t>
  </si>
  <si>
    <t>139.66</t>
  </si>
  <si>
    <t>USEPA 2011 Evaluating a Decontamition Technology Based on the Electrochemical Generation of Anolyte Solution against B. anthracis Spores</t>
  </si>
  <si>
    <t>1.05</t>
  </si>
  <si>
    <t>Painted Wallboard</t>
  </si>
  <si>
    <t>2.0499999999999998</t>
  </si>
  <si>
    <t>USEPA 2012 Decontamition of Indoor and Outdoor Materials with Aqueous Chlorine Dioxide Solutions</t>
  </si>
  <si>
    <t>0.82</t>
  </si>
  <si>
    <t>2.34</t>
  </si>
  <si>
    <t>123</t>
  </si>
  <si>
    <t>continuously wetted, then separate drying time</t>
  </si>
  <si>
    <t>slight fading</t>
  </si>
  <si>
    <t>damage to seal</t>
  </si>
  <si>
    <t>682</t>
  </si>
  <si>
    <t>31</t>
  </si>
  <si>
    <t>392</t>
  </si>
  <si>
    <t>136.4</t>
  </si>
  <si>
    <t>3304.4</t>
  </si>
  <si>
    <t>169.4</t>
  </si>
  <si>
    <t>23099</t>
  </si>
  <si>
    <t>106899</t>
  </si>
  <si>
    <t>24056</t>
  </si>
  <si>
    <t>3709856</t>
  </si>
  <si>
    <t>47388</t>
  </si>
  <si>
    <t>533888</t>
  </si>
  <si>
    <t>1649888</t>
  </si>
  <si>
    <t>617999962600</t>
  </si>
  <si>
    <t>14620.516440220854</t>
  </si>
  <si>
    <t>deck wood Vertical</t>
  </si>
  <si>
    <t>time till water rinse, then separate drying time</t>
  </si>
  <si>
    <t>mL/in^2</t>
  </si>
  <si>
    <t>1304.5582613412539</t>
  </si>
  <si>
    <t>USEPA 2014 Parametric Testing of Decontamition Chemistries to Guide Decontamition Selection I: Peracetic Acid</t>
  </si>
  <si>
    <t>vinyl flooring</t>
  </si>
  <si>
    <t>Calfee 2011 Lab-scale assessment to support remediation of outdoor surfaces contamited with Bacillus anthracis spores</t>
  </si>
  <si>
    <t>M</t>
  </si>
  <si>
    <t>4.53</t>
  </si>
  <si>
    <t>trigger pulls of sprayer</t>
  </si>
  <si>
    <t>trigger pulls of sprayer/cm^2</t>
  </si>
  <si>
    <t>3.71</t>
  </si>
  <si>
    <t>1.39</t>
  </si>
  <si>
    <t>1.49</t>
  </si>
  <si>
    <t>5.92</t>
  </si>
  <si>
    <t>3.74</t>
  </si>
  <si>
    <t>4.21</t>
  </si>
  <si>
    <t>3.49</t>
  </si>
  <si>
    <t>1.98</t>
  </si>
  <si>
    <t>2.2599999999999998</t>
  </si>
  <si>
    <t>2.33</t>
  </si>
  <si>
    <t>1.1599999999999999</t>
  </si>
  <si>
    <t>2.16</t>
  </si>
  <si>
    <t>9.4E-2</t>
  </si>
  <si>
    <t>greying</t>
  </si>
  <si>
    <t>8.3000000000000004E-2</t>
  </si>
  <si>
    <t>1.79</t>
  </si>
  <si>
    <t>1.87</t>
  </si>
  <si>
    <t>Rogers 2006 Technology Evaluation Report: Evaluation of Spray-Applied Sporicidal Decontamition Technologies</t>
  </si>
  <si>
    <t>212</t>
  </si>
  <si>
    <t>floor 1: floors (epoxy-coated and wood lamite)</t>
  </si>
  <si>
    <t>L/m^2/</t>
  </si>
  <si>
    <t>floor 2: floors (epoxy-coated and wood lamite)</t>
  </si>
  <si>
    <t>EPA 2017 Underground Transport Restoration (UTR) Operatiol Technology Demonstration (OTD)</t>
  </si>
  <si>
    <t>concrete (ceiling)</t>
  </si>
  <si>
    <t>wetted contact time</t>
  </si>
  <si>
    <t>concrete (walls)</t>
  </si>
  <si>
    <t>concrete (floors)</t>
  </si>
  <si>
    <t>Liquid Dropper</t>
  </si>
  <si>
    <t>Stratilo 2015 Decontamition Efficacy and Skin Toxicity of Two Decontamints against Bacillus anthracis</t>
  </si>
  <si>
    <t>Liquid Ambiguous</t>
  </si>
  <si>
    <t>no spores</t>
  </si>
  <si>
    <t>shaved porcine skin</t>
  </si>
  <si>
    <t>treatment time</t>
  </si>
  <si>
    <t>spores</t>
  </si>
  <si>
    <t>Buhr 2013 Decontamition of materials contamited with Bacillus anthracis and Bacillus thuringiensis Al Hakam spores using PES-Solid, a solid source of peracetic acid</t>
  </si>
  <si>
    <t>discarded (but spores filtered out)</t>
  </si>
  <si>
    <t>CARC-W coated stainless steel</t>
  </si>
  <si>
    <t>1.3 </t>
  </si>
  <si>
    <t> 0.8</t>
  </si>
  <si>
    <t>1.6 </t>
  </si>
  <si>
    <t> 1.3</t>
  </si>
  <si>
    <t> 1.6</t>
  </si>
  <si>
    <t>MgF2 glass</t>
  </si>
  <si>
    <t>0.0 </t>
  </si>
  <si>
    <t> 0</t>
  </si>
  <si>
    <t>0.4 </t>
  </si>
  <si>
    <t>Stainless steel 304</t>
  </si>
  <si>
    <t>0.3 </t>
  </si>
  <si>
    <t>aircraft performance coated aluminum (APC)</t>
  </si>
  <si>
    <t>vy ship topcoated stainless steel (NTC)</t>
  </si>
  <si>
    <t> 0.9</t>
  </si>
  <si>
    <t>0.1 </t>
  </si>
  <si>
    <t> 0.3</t>
  </si>
  <si>
    <t>Lexan</t>
  </si>
  <si>
    <t>LDPE</t>
  </si>
  <si>
    <t>1.9 </t>
  </si>
  <si>
    <t> 1.0</t>
  </si>
  <si>
    <t> 1.2</t>
  </si>
  <si>
    <t>2.2 </t>
  </si>
  <si>
    <t> 0.2</t>
  </si>
  <si>
    <t>0.5 </t>
  </si>
  <si>
    <t>0.2 </t>
  </si>
  <si>
    <t>0.7 </t>
  </si>
  <si>
    <t>0.8 </t>
  </si>
  <si>
    <t> 1.1</t>
  </si>
  <si>
    <t> 0.6</t>
  </si>
  <si>
    <t> 1.5</t>
  </si>
  <si>
    <t>2.6 </t>
  </si>
  <si>
    <t>Hilgren 2007 Ictivation of Bacillus anthracis spores by liquid biocides in the presence of food residue</t>
  </si>
  <si>
    <t>flour residue</t>
  </si>
  <si>
    <t>flour residue on stainless steel</t>
  </si>
  <si>
    <t>whole milk residue</t>
  </si>
  <si>
    <t>whole milk residue on stainless steel</t>
  </si>
  <si>
    <t>egg-yolk residue</t>
  </si>
  <si>
    <t>egg-yolk residue on stainless steel</t>
  </si>
  <si>
    <t>Brantner, 2014, Ictivation and ultrastructure alysis of Bacillus spp. And Clostridium perfringens spores</t>
  </si>
  <si>
    <t>Suspension</t>
  </si>
  <si>
    <t>steady state conditions</t>
  </si>
  <si>
    <t>Qual Pos</t>
  </si>
  <si>
    <t>Steady state conditions</t>
  </si>
  <si>
    <t>Aerosol</t>
  </si>
  <si>
    <t>&gt;6.3,&gt;6.3</t>
  </si>
  <si>
    <t>Polyethylene</t>
  </si>
  <si>
    <t>1.4,&gt;5.4</t>
  </si>
  <si>
    <t>Ceramics</t>
  </si>
  <si>
    <t>2.3,&gt;5.4</t>
  </si>
  <si>
    <t>Polystyrene</t>
  </si>
  <si>
    <t>1.6,&gt;5.3</t>
  </si>
  <si>
    <t>0.3,&gt;5.4</t>
  </si>
  <si>
    <t>Paper</t>
  </si>
  <si>
    <t>0.6,&gt;4.8</t>
  </si>
  <si>
    <t>0.1,&gt;5.4</t>
  </si>
  <si>
    <t>Gel</t>
  </si>
  <si>
    <t>Rogers 2009 Use of superabsorbent polymer gels for surface decontamition of Bacillus anthracis spores</t>
  </si>
  <si>
    <t>steel (chemical resistant coating)</t>
  </si>
  <si>
    <t>.82</t>
  </si>
  <si>
    <t>.41</t>
  </si>
  <si>
    <t>.17</t>
  </si>
  <si>
    <t>.44</t>
  </si>
  <si>
    <t>.31</t>
  </si>
  <si>
    <t>Koper 2002 noscale Powders And Formulations With Biocidal Activity Toward Spores And Vegetative Cells Of Bacillus Species, Viruses, And Toxins.</t>
  </si>
  <si>
    <t>Solid Powder</t>
  </si>
  <si>
    <t>nitrocellulose filter</t>
  </si>
  <si>
    <t>Gauze Wipe</t>
  </si>
  <si>
    <t>vinyl chloride plate</t>
  </si>
  <si>
    <t>Tile</t>
  </si>
  <si>
    <t>Aqueous Suspension</t>
  </si>
  <si>
    <t>Rivera 2014 Microbicidal Power of Alpha Radiation in Sterilizing Germiting Bacillus anthracis Spores</t>
  </si>
  <si>
    <t>Liquid Suspension</t>
  </si>
  <si>
    <t>uCi</t>
  </si>
  <si>
    <t>50-75</t>
  </si>
  <si>
    <t>Muhammad 2014 Ictivation of Bacillus spores in decontamition wash down wastewater using chlorine bleach solution</t>
  </si>
  <si>
    <t>197 mg/L TSS, 535 mg/L TDS, 146 NTU, 208 mg O2/L COD</t>
  </si>
  <si>
    <t>wash down water</t>
  </si>
  <si>
    <t>197 mg/L TSS, 535 mg/L TDS, 166 NTU, 258 mg O2/L COD</t>
  </si>
  <si>
    <t>197 mg/L TSS, 535 mg/L TDS, 154 NTU, 380 mg O2/L COD</t>
  </si>
  <si>
    <t>197 mg/L TSS, 535 mg/L TDS, 130 NTU, 233 mg O2/L COD</t>
  </si>
  <si>
    <t>121 mg/L TSS, 1766 mg/L TDS, 372 NTU, 4500 mg O2/L COD</t>
  </si>
  <si>
    <t>wash down water with 1% Dawn detergent</t>
  </si>
  <si>
    <t>121 mg/L TSS, 1766 mg/L TDS, 392 NTU, 6430 mg O2/L COD</t>
  </si>
  <si>
    <t>121 mg/L TSS, 1766 mg/L TDS, 389 NTU, 6000 mg O2/L COD</t>
  </si>
  <si>
    <t>22 mg/L TSS, 1438 mg/L TDS, 229 NTU, 5930 mg O2/L COD</t>
  </si>
  <si>
    <t>22 mg/L TSS, 1438 mg/L TDS, 275 NTU, 6590 mg O2/L COD</t>
  </si>
  <si>
    <t>22 mg/L TSS, 1438 mg/L TDS, 217 NTU, 5450 mg O2/L COD</t>
  </si>
  <si>
    <t>, 68 NTU, 3260 mg O2/L COD</t>
  </si>
  <si>
    <t>gallon</t>
  </si>
  <si>
    <t>wash down water with 1% Alconox detergent</t>
  </si>
  <si>
    <t>/gallon</t>
  </si>
  <si>
    <t>, 92 NTU, 2970 mg O2/L COD</t>
  </si>
  <si>
    <t>, 36 NTU, 3460 mg O2/L COD</t>
  </si>
  <si>
    <t>Grover 2013 Perhydrolase-notube paint composites with sporicidal and antiviral activity</t>
  </si>
  <si>
    <t>paint</t>
  </si>
  <si>
    <t>Banerjee, 2012, Light-activated porphyrin-based formulations to ictivate bacterial spores</t>
  </si>
  <si>
    <t>ug/mL</t>
  </si>
  <si>
    <t>Steady-state conditions</t>
  </si>
  <si>
    <t>March 2012 The differential susceptibility of spores from virulent and attenuated Bacillus anthracis strains to aldehyde- and hypochlorite-based disinfectants</t>
  </si>
  <si>
    <t>water bath</t>
  </si>
  <si>
    <t>aqueous solution</t>
  </si>
  <si>
    <t>smaller than pts</t>
  </si>
  <si>
    <t>error bars not defined</t>
  </si>
  <si>
    <t>%</t>
  </si>
  <si>
    <t>aqueous paint mixture</t>
  </si>
  <si>
    <t>Forsyth 2013 Enhanced Ictivation of Bacillus subtilis Spores during Solar Photolysis of Free Available Chlorine</t>
  </si>
  <si>
    <t>2SE</t>
  </si>
  <si>
    <t>thermostatted</t>
  </si>
  <si>
    <t>phosphate buffer pH=8</t>
  </si>
  <si>
    <t>small error bars not clearly defined</t>
  </si>
  <si>
    <t>phosphate buffer pH=6</t>
  </si>
  <si>
    <t>phosphate buffer pH=7</t>
  </si>
  <si>
    <t>ambient</t>
  </si>
  <si>
    <t>tural water (marysville)</t>
  </si>
  <si>
    <t>tural water (cedar)</t>
  </si>
  <si>
    <t>Talbot</t>
  </si>
  <si>
    <t>spores/L</t>
  </si>
  <si>
    <t>Roubos-van den Hil 2010 Soya bean tempe extracts show antibacterial activity against Bacillus cereus cells and spores</t>
  </si>
  <si>
    <t>Nerandzic 2015 Unlocking the Sporicidal Potential of Ethanol: Induced Sporicidal Activity of Ethanol against Clostridium difficile and Bacillus Spores under Altered Physical and Chemical Conditions</t>
  </si>
  <si>
    <t>v%</t>
  </si>
  <si>
    <t>aqueous</t>
  </si>
  <si>
    <t>aqueous suspsension</t>
  </si>
  <si>
    <t>% wt/vol (ambiguous)</t>
  </si>
  <si>
    <t>Sudhaus 2012 Ictivation kinetics of spores of Bacillus cereus strains treated by a peracetic acid-based disinfectant at different concentrations and temperatures</t>
  </si>
  <si>
    <t>protein</t>
  </si>
  <si>
    <t>aqueous suspension with protein load</t>
  </si>
  <si>
    <t>1 g/L glucose</t>
  </si>
  <si>
    <t>aqueous solution of 1g/L glucose</t>
  </si>
  <si>
    <t>Sagripanti 2011 Microbial ictivation for safe and rapid diagnostics of infectious samples</t>
  </si>
  <si>
    <t>Raber 2010 Decontamition options for Bacillus anthracis-contamited drinking water determined from spore surrogate studies</t>
  </si>
  <si>
    <t>Mohan 2009 Ictivation of Bacillus atrophaeus spores with surface-active peracids and characterization of formed free radicals using electron spin resonce spectroscopy</t>
  </si>
  <si>
    <t>Kida 2009 Bactericidal and sporicidal activities of an improved iodide formulation and its derivative</t>
  </si>
  <si>
    <t>% available iodine</t>
  </si>
  <si>
    <t>newborn calf serum</t>
  </si>
  <si>
    <t>aqueous suspension with 10% serum</t>
  </si>
  <si>
    <t>Heninger 2009 Decontamition of Bacillus anthracis Spores: Evaluation of Various Disinfectants</t>
  </si>
  <si>
    <t>Xu 2008 Ictivation of Bacillus anthracis spores by a combition of biocides and heating under high temperature short-time pasteurization conditions</t>
  </si>
  <si>
    <t>Rogers 2006 A prelimiry assessment of Bacillus anthracis spore ictivation using an electrochemically activated solution (ECASOL (TM))</t>
  </si>
  <si>
    <t>water (ECA1)</t>
  </si>
  <si>
    <t>water (ECA2)</t>
  </si>
  <si>
    <t>water (ECA3)</t>
  </si>
  <si>
    <t>water (ECA4)</t>
  </si>
  <si>
    <t>water (ECA5)</t>
  </si>
  <si>
    <t>Delcomyn 2005 Ictivation of Biological Agents Using Neutral Oxone-Chloride Solutions</t>
  </si>
  <si>
    <t>% w/v</t>
  </si>
  <si>
    <t>Acosta-Gío 2005 Sporicidal activity in liquid chemical products to sterilize or high-level disinfect medical and dental instruments</t>
  </si>
  <si>
    <t>manufacturer labeling</t>
  </si>
  <si>
    <t>Loshon 2001 Alysis of the killing of spores of Bacillus subtilis by a new disinfectant, Sterilox®</t>
  </si>
  <si>
    <t>&gt;2</t>
  </si>
  <si>
    <t>Addae 2014 Investigation of antimicrobial activity of photothermal therapeutic gold/copper sulfide core/shell noparticles to bacterial spores and cells</t>
  </si>
  <si>
    <t>Uhm 2007 A decontamition study of simulated chemical and biological agents</t>
  </si>
  <si>
    <t>40% ethanol as organic burden</t>
  </si>
  <si>
    <t>aqueous suspension with 40% ethanol</t>
  </si>
  <si>
    <t>Abdou 2007 Antimicrobial peptides derived from hen egg lysozyme with inhibitory effect against Bacillus species</t>
  </si>
  <si>
    <t>3.5</t>
  </si>
  <si>
    <t>Sudhaus 2014 Effectiveness of a peracetic acid-based disinfectant against spores of Bacillus cereus under different environmental conditions</t>
  </si>
  <si>
    <t>Qualneg</t>
  </si>
  <si>
    <t>Value</t>
  </si>
  <si>
    <t>Number of Records</t>
  </si>
  <si>
    <t>Records Including Grime Dirt</t>
  </si>
  <si>
    <t>Records Including Rinsate</t>
  </si>
  <si>
    <t>Units</t>
  </si>
  <si>
    <t>Minimum</t>
  </si>
  <si>
    <t>Maximum</t>
  </si>
  <si>
    <t>Mean/Mode</t>
  </si>
  <si>
    <t>Standard Deviation</t>
  </si>
  <si>
    <t>Coupon Area</t>
  </si>
  <si>
    <t>Loading</t>
  </si>
  <si>
    <t>Number of Applications</t>
  </si>
  <si>
    <t>Temperature</t>
  </si>
  <si>
    <t>Celsius</t>
  </si>
  <si>
    <t>Relative Humidity</t>
  </si>
  <si>
    <t>Contact Time</t>
  </si>
  <si>
    <t>Minutes</t>
  </si>
  <si>
    <t xml:space="preserve">Concentration of Active Decon Agent </t>
  </si>
  <si>
    <t>Efficacy</t>
  </si>
  <si>
    <t>Volume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</si>
</sst>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A3750B-3437-442E-8E78-69247887418B}" name="AerosolMaster" displayName="AerosolMaster" ref="A1:BA15" totalsRowShown="0" headerRowDxfId="83" headerRowBorderDxfId="82" tableBorderDxfId="81">
  <autoFilter ref="A1:BA15" xr:uid="{26C5432F-41EB-4851-A4B4-377EA06E5D01}"/>
  <tableColumns count="53">
    <tableColumn id="1" xr3:uid="{4A3AE176-94A1-4636-A66B-873C418F25A8}" name="Ref"/>
    <tableColumn id="2" xr3:uid="{3CE08DCD-2503-46C4-B1E0-75CB39086043}" name="GrimeDirt"/>
    <tableColumn id="3" xr3:uid="{9B4ED65E-204C-4CAD-8887-FA41D86219E9}" name="AppMeth"/>
    <tableColumn id="4" xr3:uid="{A976F61F-009F-4EF9-9996-4A7B0658E426}" name="LoadingUn"/>
    <tableColumn id="5" xr3:uid="{787810CF-0AB7-4A94-8B4E-D10A3119D107}" name="LoadingNum"/>
    <tableColumn id="6" xr3:uid="{7113C1EE-1E82-42D6-B4DE-F2F78D7C1979}" name="ConvertedLoading"/>
    <tableColumn id="7" xr3:uid="{FEB827C3-01BF-40BB-955A-18ECD4E5DC94}" name="ConvertedLoadingUn"/>
    <tableColumn id="8" xr3:uid="{ED29FD35-007F-4354-B0C3-5AED4B21F08C}" name="CoupArea"/>
    <tableColumn id="9" xr3:uid="{67F01FDA-3726-45FC-9E7D-445D3C7BB9E6}" name="CoupAreaUn"/>
    <tableColumn id="10" xr3:uid="{76432B2A-94B0-467F-897D-FB6B59C3161E}" name="ConvertedCoupArea"/>
    <tableColumn id="11" xr3:uid="{BCC86F7C-314F-4F49-8D52-D09AD67FCECE}" name="ConvertedCoupAreaUn"/>
    <tableColumn id="12" xr3:uid="{29DFE743-EA7F-4E45-BE93-6F43B1D1927A}" name="Rinsate"/>
    <tableColumn id="13" xr3:uid="{A0EFB105-19D2-46B3-B56B-26057E3A480D}" name="RinsateUn"/>
    <tableColumn id="14" xr3:uid="{8E140C92-70AE-4507-8025-7B6C62A28CC7}" name="ConcDoseCtrl"/>
    <tableColumn id="15" xr3:uid="{21013BC8-CEA4-453F-9FA1-E7BA69FF514B}" name="ConcDoseNum"/>
    <tableColumn id="16" xr3:uid="{E2C84D20-FE1D-42C3-AF12-ED25029932EC}" name="ConcDoseUn"/>
    <tableColumn id="17" xr3:uid="{19AAB2AB-299C-4E40-A102-5B142F681CBC}" name="ConvertedConcDose"/>
    <tableColumn id="18" xr3:uid="{96C2A1B8-B7EE-43A5-882B-BD31C3733726}" name="ConvertedConcDoseUn"/>
    <tableColumn id="19" xr3:uid="{081A1224-91E8-4FFE-85FE-C1919047F102}" name="TempCtrl"/>
    <tableColumn id="20" xr3:uid="{E0524B38-4174-4E28-B228-25475984F837}" name="TempNum"/>
    <tableColumn id="21" xr3:uid="{0DD32AD5-45DC-46F3-A830-1ED186834189}" name="RHCtrl"/>
    <tableColumn id="22" xr3:uid="{F647FB89-3343-4BED-A365-D91D4355B5EF}" name="RHNum"/>
    <tableColumn id="23" xr3:uid="{510523E6-7AC6-435E-9664-371F95B49066}" name="SurfMed"/>
    <tableColumn id="24" xr3:uid="{566319E0-1BBF-4E71-8DAC-F3150324FD6F}" name="ContTimeDesc"/>
    <tableColumn id="25" xr3:uid="{A190D5AB-A501-4350-B41E-CD3C14A7FCB3}" name="ContTimeNumMin"/>
    <tableColumn id="26" xr3:uid="{57DD2194-7E8B-41EE-90E0-0E52478D49B7}" name="TotalApp"/>
    <tableColumn id="27" xr3:uid="{548C11E2-CBEB-4502-AD02-EACE1A5F2DCF}" name="EffGreater"/>
    <tableColumn id="28" xr3:uid="{06EF2B77-27E4-4EF2-BBB9-1696B05E7791}" name="Eff"/>
    <tableColumn id="29" xr3:uid="{74287B6E-2679-4213-A147-CEB36664B1C3}" name="EffMeas"/>
    <tableColumn id="30" xr3:uid="{1F41E722-8356-47AA-A4EF-D634A3D04828}" name="EffVar"/>
    <tableColumn id="31" xr3:uid="{B36B8C4F-5817-48F7-98FE-A7772C69E6EE}" name="EffVarStat"/>
    <tableColumn id="32" xr3:uid="{68073475-8063-4B83-B01E-8C5734B29D74}" name="ConvertedEff"/>
    <tableColumn id="33" xr3:uid="{FA0D9040-D4C8-4FF1-B0B5-A1D1A2242BE8}" name="ConvertedEffMeas"/>
    <tableColumn id="34" xr3:uid="{7F1C7A5B-B523-4C48-BECD-7204F560F7AB}" name="LPosRec"/>
    <tableColumn id="35" xr3:uid="{8EF02B31-538C-4E6F-8B09-CA8CDB78EC2A}" name="N"/>
    <tableColumn id="36" xr3:uid="{0010F32C-73C4-4D14-B75E-2B5ACDBE28D6}" name="MatComp"/>
    <tableColumn id="37" xr3:uid="{7D8D5FA2-EBE0-413A-BA61-A7FAFDFCC44C}" name="VolApp"/>
    <tableColumn id="38" xr3:uid="{7DAD28A3-7DBF-48EA-9299-D36A089D2B29}" name="VolAppUn"/>
    <tableColumn id="39" xr3:uid="{5081433E-C550-46C6-9F71-0209667F9FB0}" name="ConvertedVolApp"/>
    <tableColumn id="40" xr3:uid="{27C1D037-AC11-4B62-801E-ABEEC74BF634}" name="ConvertedVolAppUn"/>
    <tableColumn id="41" xr3:uid="{C4C82F5B-70F5-4F7E-A02F-4CA4E3F17C5C}" name="CT"/>
    <tableColumn id="42" xr3:uid="{5C3D96D1-BCCF-4D46-A65D-37CED05BC512}" name="CTUn"/>
    <tableColumn id="43" xr3:uid="{5200AE6F-9CCD-4C22-B764-D4BDEDB6BC10}" name="RinsateLess"/>
    <tableColumn id="44" xr3:uid="{B066E658-4B72-4AE7-959E-3431C1D99A46}" name="Positives"/>
    <tableColumn id="45" xr3:uid="{BC0ACFE8-B2BF-4CA3-BD6C-1A862AF24A4B}" name="WaterRinse"/>
    <tableColumn id="46" xr3:uid="{EC209ED6-AEDB-4994-B33D-628BFBDBF679}" name="Surface"/>
    <tableColumn id="47" xr3:uid="{DFE4EDF1-06D8-4BEF-A954-C2DD32B5B490}" name="VolAppDen(L/m^2)"/>
    <tableColumn id="48" xr3:uid="{BF48BA72-0DD1-426F-8586-7BDC1AF54822}" name="VolAppDenUn"/>
    <tableColumn id="49" xr3:uid="{4A22A285-EAF4-442D-A6A7-3B9DC6BEBF66}" name="ClO2(ppm)"/>
    <tableColumn id="50" xr3:uid="{B1615CE7-62CC-42CA-ADD7-8F94E0FAC54D}" name="MB(mg/L)"/>
    <tableColumn id="51" xr3:uid="{57A1152F-BCD5-4611-9839-8E753CE59D74}" name="H2O2(ppm)"/>
    <tableColumn id="52" xr3:uid="{BD70FDD5-FB99-4B1C-A4EA-1FF7E0FEC623}" name="PosCalc"/>
    <tableColumn id="53" xr3:uid="{49ABD4E7-BB14-4264-AEE3-4D27A2C1ED95}" name="LPosRecCalc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28E157-60A0-4B93-BCEC-8CB59AA283A6}" name="AqueousSuspensionMaster" displayName="AqueousSuspensionMaster" ref="A1:BA54" totalsRowShown="0" headerRowDxfId="79" headerRowBorderDxfId="78" tableBorderDxfId="77">
  <autoFilter ref="A1:BA54" xr:uid="{89197BBD-1EB4-460D-8E75-E9CD3310DC07}"/>
  <tableColumns count="53">
    <tableColumn id="1" xr3:uid="{4912EBF1-81AE-4878-A504-CA4E0A605446}" name="Ref"/>
    <tableColumn id="2" xr3:uid="{5F8F9DC5-5D60-4C01-A036-5F70339531CC}" name="GrimeDirt"/>
    <tableColumn id="3" xr3:uid="{F8930B6C-9F57-45F5-AB8C-8D73A6AE4898}" name="AppMeth"/>
    <tableColumn id="4" xr3:uid="{617771FC-7079-4CCE-BCC1-5CDC76E897C8}" name="LoadingUn"/>
    <tableColumn id="5" xr3:uid="{87A64D2C-C030-4C13-B9C5-6EF92D2FD427}" name="LoadingNum"/>
    <tableColumn id="6" xr3:uid="{90591FAF-BAD7-4445-9944-91FC6F359779}" name="ConvertedLoading"/>
    <tableColumn id="7" xr3:uid="{BF97902C-D7CF-4D1E-80E3-B2820A0BE9BF}" name="ConvertedLoadingUn"/>
    <tableColumn id="8" xr3:uid="{EC582BA1-D008-4ACE-AE2C-2DFCFD5709E8}" name="CoupArea"/>
    <tableColumn id="9" xr3:uid="{BFF558F2-CD98-4B88-A05E-3816B7241A19}" name="CoupAreaUn"/>
    <tableColumn id="10" xr3:uid="{4745BF4E-64EC-4370-9B81-2FD80A20EFAA}" name="ConvertedCoupArea"/>
    <tableColumn id="11" xr3:uid="{E9AA1E54-F75E-49AF-818D-DF14A8DC647D}" name="ConvertedCoupAreaUn"/>
    <tableColumn id="12" xr3:uid="{1873B832-F3ED-451D-A98F-9A3EE991BFC9}" name="Rinsate"/>
    <tableColumn id="13" xr3:uid="{6D61CCAE-DAE0-4743-8C0F-525FBA73DAC1}" name="RinsateUn"/>
    <tableColumn id="14" xr3:uid="{6ED8A99A-BECC-433F-9604-C2D40F7252C6}" name="ConcDoseCtrl"/>
    <tableColumn id="15" xr3:uid="{27166EA9-ED38-4698-9F46-9ED2A05DC9E9}" name="ConcDoseNum"/>
    <tableColumn id="16" xr3:uid="{E70064D8-B3F7-43E2-859E-EA9557B71CBD}" name="ConcDoseUn"/>
    <tableColumn id="17" xr3:uid="{FB0CFC8E-3C3B-401D-967A-FA41F3805999}" name="ConvertedConcDose"/>
    <tableColumn id="18" xr3:uid="{B94A4DBF-9A64-42D5-BA26-65422068B358}" name="ConvertedConcDoseUn"/>
    <tableColumn id="19" xr3:uid="{76A92B83-F158-4BD9-965B-399FD6C4D720}" name="TempCtrl"/>
    <tableColumn id="20" xr3:uid="{8DBF3563-8CA7-4634-867A-AF650C677EEF}" name="TempNum"/>
    <tableColumn id="21" xr3:uid="{6D32129B-9BEF-4372-9F41-3358B106381F}" name="RHCtrl"/>
    <tableColumn id="22" xr3:uid="{58A1BC72-BD9B-4187-B908-33F78EA64867}" name="RHNum"/>
    <tableColumn id="23" xr3:uid="{473573E8-CBA0-45E3-BDCC-1DC5F039B06D}" name="SurfMed"/>
    <tableColumn id="24" xr3:uid="{973807E0-8821-4980-B348-254E8AEB6171}" name="ContTimeDesc"/>
    <tableColumn id="25" xr3:uid="{B936A2C9-B591-43DB-9D5E-F56FB4CC9841}" name="ContTimeNumMin"/>
    <tableColumn id="26" xr3:uid="{6CF9EE7D-A384-4746-8D53-4D1BEF33D2E1}" name="TotalApp"/>
    <tableColumn id="27" xr3:uid="{AB9A1A74-4FA2-4D88-939A-0FEE5400616A}" name="EffGreater"/>
    <tableColumn id="28" xr3:uid="{283E73F3-D8D7-4D4C-8470-4EA52E641D9A}" name="Eff"/>
    <tableColumn id="29" xr3:uid="{B39195BD-B6FA-4128-B627-67E194EDE5B4}" name="EffMeas"/>
    <tableColumn id="30" xr3:uid="{203199B4-721D-4562-83B5-A8D08C48D15F}" name="EffVar"/>
    <tableColumn id="31" xr3:uid="{E9468F05-039B-4268-AAC5-58E534119560}" name="EffVarStat"/>
    <tableColumn id="32" xr3:uid="{A9F140AF-DDF9-4CB5-97E1-0ACC85E00E38}" name="ConvertedEff"/>
    <tableColumn id="33" xr3:uid="{906F694A-D681-4497-AD6B-64DEE9DDB996}" name="ConvertedEffMeas"/>
    <tableColumn id="34" xr3:uid="{0246D9B4-8EF9-40D1-965B-6CC0B1422931}" name="LPosRec"/>
    <tableColumn id="35" xr3:uid="{6F59FDBE-B5F0-4EFB-864F-2F8911D479A4}" name="N"/>
    <tableColumn id="36" xr3:uid="{C378CA54-1F6F-45C4-A38C-4F195A8E2691}" name="MatComp"/>
    <tableColumn id="37" xr3:uid="{E4B8050B-BC17-4305-926E-0E120D95FF37}" name="VolApp"/>
    <tableColumn id="38" xr3:uid="{079552EE-B4D3-4A2F-B799-FECB4390BC1B}" name="VolAppUn"/>
    <tableColumn id="39" xr3:uid="{A753E174-C755-44AC-B3B3-B885221EB01C}" name="ConvertedVolApp"/>
    <tableColumn id="40" xr3:uid="{4F5AA430-44E0-486D-A810-0B833563E4D5}" name="ConvertedVolAppUn"/>
    <tableColumn id="41" xr3:uid="{41B83540-995D-4C30-83BE-BC63563261E9}" name="CT"/>
    <tableColumn id="42" xr3:uid="{A35637DD-332A-40A5-B02A-D3EC476676AD}" name="CTUn"/>
    <tableColumn id="43" xr3:uid="{135DF3CC-2A21-47D9-B923-3BB25F6251F6}" name="RinsateLess"/>
    <tableColumn id="44" xr3:uid="{21895A92-FBA4-4CCE-901E-98303A5ECFFF}" name="Positives"/>
    <tableColumn id="45" xr3:uid="{26E0C6F5-E6E0-4920-B373-EF04F5B86A6C}" name="WaterRinse"/>
    <tableColumn id="46" xr3:uid="{187FE86B-0E34-4941-AE70-CD98435DFBBB}" name="Surface"/>
    <tableColumn id="47" xr3:uid="{11341245-2DFB-4897-9CB6-930123C95730}" name="VolAppDen(L/m^2)"/>
    <tableColumn id="48" xr3:uid="{F431CC33-561F-4468-9A3F-59FF89C0079C}" name="VolAppDenUn"/>
    <tableColumn id="49" xr3:uid="{A16CF700-8ADB-43EC-B657-5AD1BD0CD174}" name="ClO2(ppm)"/>
    <tableColumn id="50" xr3:uid="{681849E0-0128-40CC-B311-15078790F9C7}" name="MB(mg/L)"/>
    <tableColumn id="51" xr3:uid="{F074BFF6-6392-4442-A071-048CEF6B9C8F}" name="H2O2(ppm)"/>
    <tableColumn id="52" xr3:uid="{B8322907-1881-4E08-BDCA-9062CC78EF8E}" name="PosCalc"/>
    <tableColumn id="53" xr3:uid="{3B822476-0A44-486E-8E84-C9D08F1F3F27}" name="LPosRecCalc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205D6F1-F71C-49D1-9E02-1AEEFA1EB7F7}" name="FoamAmbiguousMaster" displayName="FoamAmbiguousMaster" ref="A1:BA37" totalsRowShown="0" headerRowDxfId="75" headerRowBorderDxfId="74" tableBorderDxfId="73">
  <autoFilter ref="A1:BA37" xr:uid="{A4FC807C-EA7E-4794-ACB0-62991748E25E}"/>
  <tableColumns count="53">
    <tableColumn id="1" xr3:uid="{B3A54FB4-7E58-4E0C-BF8E-E13E4BC6CC77}" name="Ref"/>
    <tableColumn id="2" xr3:uid="{9E4F82ED-8C27-4085-B368-8949C6C0BEDF}" name="GrimeDirt"/>
    <tableColumn id="3" xr3:uid="{59E3C2EA-1677-46D0-B01A-748AC139CF6B}" name="AppMeth"/>
    <tableColumn id="4" xr3:uid="{2228522A-037D-4BA7-AE94-EC2EC1059CB0}" name="LoadingUn"/>
    <tableColumn id="5" xr3:uid="{B60D2CB0-394C-469F-AC9A-B9E83EA1A426}" name="LoadingNum"/>
    <tableColumn id="6" xr3:uid="{329E113C-9E9E-45E7-A26D-189BB19479E0}" name="ConvertedLoading"/>
    <tableColumn id="7" xr3:uid="{9389E8D0-5AEA-4785-B1D2-5DF3827BBC8B}" name="ConvertedLoadingUn"/>
    <tableColumn id="8" xr3:uid="{D8567922-654B-4EA0-AE82-63E9422A2826}" name="CoupArea"/>
    <tableColumn id="9" xr3:uid="{DBB72FCA-1426-43C5-9EF8-217E80161030}" name="CoupAreaUn"/>
    <tableColumn id="10" xr3:uid="{67637E50-3299-4F74-92DA-564C9A7924E2}" name="ConvertedCoupArea"/>
    <tableColumn id="11" xr3:uid="{82C1A390-3001-43F7-87F5-ADED32CF7C8A}" name="ConvertedCoupAreaUn"/>
    <tableColumn id="12" xr3:uid="{4BB628D3-E801-49F5-8E5B-70F893049AF5}" name="Rinsate"/>
    <tableColumn id="13" xr3:uid="{ED617CDD-7898-4DE3-A8EF-AC41C6163239}" name="RinsateUn"/>
    <tableColumn id="14" xr3:uid="{487B1039-2D39-4D0F-9923-6C657B0C5C16}" name="ConcDoseCtrl"/>
    <tableColumn id="15" xr3:uid="{799A7174-5755-4DE1-8DBB-19A333CFF620}" name="ConcDoseNum"/>
    <tableColumn id="16" xr3:uid="{5DC7B721-DEDC-4D41-BFC9-D1B5E90F1796}" name="ConcDoseUn"/>
    <tableColumn id="17" xr3:uid="{7B6318EB-8698-48B3-BBFF-8CCBA0110AD6}" name="ConvertedConcDose"/>
    <tableColumn id="18" xr3:uid="{D7F1B85E-8DD7-4635-98EC-BBE6A1C1038D}" name="ConvertedConcDoseUn"/>
    <tableColumn id="19" xr3:uid="{BBD43E1C-269D-4284-B30F-7B9F7D96DC51}" name="TempCtrl"/>
    <tableColumn id="20" xr3:uid="{D004FA6C-23FF-4CD1-917A-2EB43258C25E}" name="TempNum"/>
    <tableColumn id="21" xr3:uid="{0D8F22C7-192A-4005-B343-9A4D4074A0BC}" name="RHCtrl"/>
    <tableColumn id="22" xr3:uid="{8EB82D4B-4704-485F-AC2B-6E3925E45255}" name="RHNum"/>
    <tableColumn id="23" xr3:uid="{9F467E78-6C4F-444E-A8D5-FD2CB277ABA0}" name="SurfMed"/>
    <tableColumn id="24" xr3:uid="{E584775F-A51A-4ECF-9F2C-02D8AB5C5E57}" name="ContTimeDesc"/>
    <tableColumn id="25" xr3:uid="{ADBF3CE8-90A7-4928-84E3-823A8C10C743}" name="ContTimeNumMin"/>
    <tableColumn id="26" xr3:uid="{547A06C0-C263-4130-8BA7-0B55D2977489}" name="TotalApp"/>
    <tableColumn id="27" xr3:uid="{EF69A59C-43F8-407C-9362-D1008585A3DE}" name="EffGreater"/>
    <tableColumn id="28" xr3:uid="{D87FD8F5-289E-4AC3-8EC5-693FF0B321DD}" name="Eff"/>
    <tableColumn id="29" xr3:uid="{3DA518C1-38BF-4A24-B6A4-9D87D32BCB14}" name="EffMeas"/>
    <tableColumn id="30" xr3:uid="{3FAAD334-CE36-455B-BE42-8437FA3955A0}" name="EffVar"/>
    <tableColumn id="31" xr3:uid="{D5642A60-5BAF-4F60-9A16-4B85FAFC3D2B}" name="EffVarStat"/>
    <tableColumn id="32" xr3:uid="{87447DD3-F7B5-4F99-8BB1-44B84BCBA0C2}" name="ConvertedEff"/>
    <tableColumn id="33" xr3:uid="{CA831F2D-256D-4FA3-9FDC-18E1C0CDF6A9}" name="ConvertedEffMeas"/>
    <tableColumn id="34" xr3:uid="{B9E6ABEC-A0B0-407A-893C-9420FE9956DB}" name="LPosRec"/>
    <tableColumn id="35" xr3:uid="{D19EE301-0ED1-448E-BBB3-4AC45A1AB019}" name="N"/>
    <tableColumn id="36" xr3:uid="{A12125BD-EE8A-41DA-A385-2FB4C0CD2949}" name="MatComp"/>
    <tableColumn id="37" xr3:uid="{AA2C5F3B-D2E0-4BDE-BD00-E4463B885EF3}" name="VolApp"/>
    <tableColumn id="38" xr3:uid="{0A5BD61F-5BDB-4A5A-9896-6214501FF561}" name="VolAppUn"/>
    <tableColumn id="39" xr3:uid="{67D857AD-5488-4FDA-A581-FE25298890D8}" name="ConvertedVolApp"/>
    <tableColumn id="40" xr3:uid="{290CBC4F-A09E-4848-8771-1BC4E4F78CAF}" name="ConvertedVolAppUn"/>
    <tableColumn id="41" xr3:uid="{2AE68FB0-895B-438B-9F38-0E764C1CE891}" name="CT"/>
    <tableColumn id="42" xr3:uid="{7BED871E-2A5C-4D67-A7DE-F16ADED586B3}" name="CTUn"/>
    <tableColumn id="43" xr3:uid="{24A1EC7B-70F7-48DE-AFB1-173FC6180683}" name="RinsateLess"/>
    <tableColumn id="44" xr3:uid="{1FC0D34A-64D5-4444-B7CC-F1582C356374}" name="Positives"/>
    <tableColumn id="45" xr3:uid="{51E74BB3-C4C9-462B-8B76-C2F2BCF97600}" name="WaterRinse"/>
    <tableColumn id="46" xr3:uid="{3A9C797E-A9AC-46F7-9792-F5570FB0D1E9}" name="Surface"/>
    <tableColumn id="47" xr3:uid="{92793405-1C02-42AC-A474-D47301342AA2}" name="VolAppDen(L/m^2)"/>
    <tableColumn id="48" xr3:uid="{8428F426-BAD3-49B3-BA51-7D26466A5800}" name="VolAppDenUn"/>
    <tableColumn id="49" xr3:uid="{EE16E394-7D77-40F3-80ED-D689AB8BA36F}" name="ClO2(ppm)"/>
    <tableColumn id="50" xr3:uid="{ADF43314-EEA4-461F-BA9D-ADB1E56AD621}" name="MB(mg/L)"/>
    <tableColumn id="51" xr3:uid="{90067CB3-F866-4E6D-8243-BC0A0B8282F5}" name="H2O2(ppm)"/>
    <tableColumn id="52" xr3:uid="{140D1C9B-615B-4F93-A806-158A737979E7}" name="PosCalc"/>
    <tableColumn id="53" xr3:uid="{6E8030AC-28D2-4459-9EBA-F9E707628804}" name="LPosRecCalc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DA22C2-C4C2-4A10-8C72-A37818F324FB}" name="FoamSprayMaster" displayName="FoamSprayMaster" ref="A1:BA91" totalsRowShown="0" headerRowDxfId="71" headerRowBorderDxfId="70" tableBorderDxfId="69">
  <autoFilter ref="A1:BA91" xr:uid="{A78E95B7-EE49-4911-9120-AB3308508EBB}"/>
  <tableColumns count="53">
    <tableColumn id="1" xr3:uid="{95284AF6-9E88-43B9-8E22-15B735088920}" name="Ref"/>
    <tableColumn id="2" xr3:uid="{B65DA2AF-8BA3-426A-89FC-7D1789AE1318}" name="GrimeDirt"/>
    <tableColumn id="3" xr3:uid="{A2607753-1E93-45AA-AD43-48752A969DA3}" name="AppMeth"/>
    <tableColumn id="4" xr3:uid="{5F721E69-ACC4-4543-9F2A-897406117C87}" name="LoadingUn"/>
    <tableColumn id="5" xr3:uid="{394757B9-7117-4DF6-849F-FFB8DD707147}" name="LoadingNum"/>
    <tableColumn id="6" xr3:uid="{A7891608-8EB7-4C2D-A9C2-182B49D91885}" name="ConvertedLoading"/>
    <tableColumn id="7" xr3:uid="{11EB5BDE-6D74-4241-B8AC-278BC08E3230}" name="ConvertedLoadingUn"/>
    <tableColumn id="8" xr3:uid="{FF7D5BCA-9240-4A3D-9D10-42E0E4F4CE72}" name="CoupArea"/>
    <tableColumn id="9" xr3:uid="{2C166561-14CC-4559-88B3-A5846ED3C435}" name="CoupAreaUn"/>
    <tableColumn id="10" xr3:uid="{68B77157-3A31-460D-B2BB-F64776E61216}" name="ConvertedCoupArea"/>
    <tableColumn id="11" xr3:uid="{22B1CBE6-74AE-4160-9BCC-68C017AF3E8F}" name="ConvertedCoupAreaUn"/>
    <tableColumn id="12" xr3:uid="{C57ABE4B-B152-4882-B89C-D25FAC419423}" name="Rinsate"/>
    <tableColumn id="13" xr3:uid="{BCB53AE6-03D4-4894-A2D8-F8B126A9A552}" name="RinsateUn"/>
    <tableColumn id="14" xr3:uid="{E45F5677-A7B7-47DC-9C0A-BB4192A5ACEE}" name="ConcDoseCtrl"/>
    <tableColumn id="15" xr3:uid="{07004002-303C-409F-96AA-59B2DFFA2FE1}" name="ConcDoseNum"/>
    <tableColumn id="16" xr3:uid="{99489816-6CDF-4BB0-8F4B-0472AF18DD1F}" name="ConcDoseUn"/>
    <tableColumn id="17" xr3:uid="{0CC3605D-46FC-4CE3-BD05-2D17C676F900}" name="ConvertedConcDose"/>
    <tableColumn id="18" xr3:uid="{7DBD1956-5854-4026-85ED-AA1A542F4EBF}" name="ConvertedConcDoseUn"/>
    <tableColumn id="19" xr3:uid="{6B908F04-5567-4BF9-B5F8-CD9BA1C836FD}" name="TempCtrl"/>
    <tableColumn id="20" xr3:uid="{AAA95A1B-94BD-4C77-AFBF-480744931C35}" name="TempNum"/>
    <tableColumn id="21" xr3:uid="{0D527984-B927-4EF4-9945-A64AB86278C9}" name="RHCtrl"/>
    <tableColumn id="22" xr3:uid="{2C1A7C08-DC89-4A37-AD41-A4905EE986BA}" name="RHNum"/>
    <tableColumn id="23" xr3:uid="{44D5C470-4BD1-4EF2-8CC3-DCB3D6B3E854}" name="SurfMed"/>
    <tableColumn id="24" xr3:uid="{BB95CD4C-F6DB-4CB8-8CC8-7F71661465F5}" name="ContTimeDesc"/>
    <tableColumn id="25" xr3:uid="{ABECF16F-9355-4934-8444-1F5A4A05EED5}" name="ContTimeNumMin"/>
    <tableColumn id="26" xr3:uid="{1A70D93F-23EC-4431-B6D5-DDF9EF2EDE18}" name="TotalApp"/>
    <tableColumn id="27" xr3:uid="{93805EB8-A4C8-415E-850E-DF736C2024B9}" name="EffGreater"/>
    <tableColumn id="28" xr3:uid="{81EA1348-C852-41CA-8C72-46E27A7A9D5F}" name="Eff"/>
    <tableColumn id="29" xr3:uid="{EDABD5CD-3B7C-48D5-A65E-293F001DA5D1}" name="EffMeas"/>
    <tableColumn id="30" xr3:uid="{996784A1-5C69-40F0-93B3-60265CE09F99}" name="EffVar"/>
    <tableColumn id="31" xr3:uid="{45D8D8ED-42AF-4B76-876A-0D84EBA7F633}" name="EffVarStat"/>
    <tableColumn id="32" xr3:uid="{7038BFE5-43A2-43F2-A221-D26D4391DE80}" name="ConvertedEff"/>
    <tableColumn id="33" xr3:uid="{ADFF3FDC-D448-4EC1-A2AC-0256A237CD1F}" name="ConvertedEffMeas"/>
    <tableColumn id="34" xr3:uid="{0A1B254B-0EF4-4140-A518-3B7A98F90457}" name="LPosRec"/>
    <tableColumn id="35" xr3:uid="{CC2EFD40-E68A-42DC-BE6A-177C328FBA10}" name="N"/>
    <tableColumn id="36" xr3:uid="{4B7546C1-F145-4041-A851-AC7D8799AEFD}" name="MatComp"/>
    <tableColumn id="37" xr3:uid="{2BBF81A8-2DC8-416B-AD48-37F989EC1CFE}" name="VolApp"/>
    <tableColumn id="38" xr3:uid="{FEA881D3-02CF-4444-AC2C-C4E0B83B5304}" name="VolAppUn"/>
    <tableColumn id="39" xr3:uid="{BF07ED9F-7623-425C-9B7D-CC678076C711}" name="ConvertedVolApp"/>
    <tableColumn id="40" xr3:uid="{9C5F22D8-32E4-46CB-8262-784CC2A2D0AD}" name="ConvertedVolAppUn"/>
    <tableColumn id="41" xr3:uid="{656DB4AD-1710-4560-884B-62F651DB5EFD}" name="CT"/>
    <tableColumn id="42" xr3:uid="{BDFD88B7-AF7A-4373-92CE-C0E6EA5305B5}" name="CTUn"/>
    <tableColumn id="43" xr3:uid="{46FF4924-D9FE-4384-9E0A-E3B88383A357}" name="RinsateLess"/>
    <tableColumn id="44" xr3:uid="{2C8EDECE-5292-464C-8A75-CE23D3072E96}" name="Positives"/>
    <tableColumn id="45" xr3:uid="{231BFEC4-481C-458E-86B4-599B8C73CAAB}" name="WaterRinse"/>
    <tableColumn id="46" xr3:uid="{AB60EF8D-CE57-4C4D-9C57-CCDD293288E4}" name="Surface"/>
    <tableColumn id="47" xr3:uid="{DE1F90F2-22D9-4741-A3A4-A8949008FC74}" name="VolAppDen(L/m^2)"/>
    <tableColumn id="48" xr3:uid="{9013B461-5573-445E-9407-755BC4CDA504}" name="VolAppDenUn"/>
    <tableColumn id="49" xr3:uid="{22324689-B20B-4869-A5FC-062907B50D72}" name="ClO2(ppm)"/>
    <tableColumn id="50" xr3:uid="{7A026AB5-FEC4-4A3C-9244-743AA4278F3E}" name="MB(mg/L)"/>
    <tableColumn id="51" xr3:uid="{7E54F1E5-48F1-4691-B08B-81CA6642A8D9}" name="H2O2(ppm)"/>
    <tableColumn id="52" xr3:uid="{71AFCE69-643E-4F7B-8D1D-D9FC11139D6D}" name="PosCalc"/>
    <tableColumn id="53" xr3:uid="{29615453-0BAE-4D9C-B1FA-62824A6F78CC}" name="LPosRecCalc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BA488A5-448F-4DC6-8BAD-FA7BF327A2AB}" name="FoggingMaster" displayName="FoggingMaster" ref="A1:BA69" totalsRowShown="0" headerRowDxfId="67" headerRowBorderDxfId="66" tableBorderDxfId="65">
  <autoFilter ref="A1:BA69" xr:uid="{9CA29ECA-F3E2-43BC-850A-17A1DEA027C5}"/>
  <tableColumns count="53">
    <tableColumn id="1" xr3:uid="{F4471411-7F0B-4574-9CAC-DE6B750FC91D}" name="Ref"/>
    <tableColumn id="2" xr3:uid="{1FBA8E43-437F-442C-BF5D-FE374C3FD072}" name="GrimeDirt"/>
    <tableColumn id="3" xr3:uid="{4199E482-BA9C-410A-AF6B-F683DFE5F9F0}" name="AppMeth"/>
    <tableColumn id="4" xr3:uid="{8726A5EA-B519-4333-A770-3007C64ECF8A}" name="LoadingUn"/>
    <tableColumn id="5" xr3:uid="{6FE4C973-8F6E-43D8-A3EA-EF93E091292E}" name="LoadingNum"/>
    <tableColumn id="6" xr3:uid="{F9AC347F-4684-46A1-99DA-9403B38CC0A3}" name="ConvertedLoading"/>
    <tableColumn id="7" xr3:uid="{AE673AD1-B476-4712-9AE5-EAAD23AC3FAB}" name="ConvertedLoadingUn"/>
    <tableColumn id="8" xr3:uid="{2A0AA607-CFCC-4523-8A4A-10E3F0D953D9}" name="CoupArea"/>
    <tableColumn id="9" xr3:uid="{A9DE78D6-D385-4645-ACB3-4C68180B4C91}" name="CoupAreaUn"/>
    <tableColumn id="10" xr3:uid="{65D88FBA-EBD3-4567-B77E-B49E3811B7DB}" name="ConvertedCoupArea"/>
    <tableColumn id="11" xr3:uid="{06DE0E89-B3E0-47DD-9780-483CD7958EA4}" name="ConvertedCoupAreaUn"/>
    <tableColumn id="12" xr3:uid="{4A894C7B-DEE6-4416-A6B3-8283FDA01370}" name="Rinsate"/>
    <tableColumn id="13" xr3:uid="{75489B6C-6A09-4EEF-94CA-DC3DF4D93BD0}" name="RinsateUn"/>
    <tableColumn id="14" xr3:uid="{CD557B1F-0495-48D1-BB88-47CC1637D8AE}" name="ConcDoseCtrl"/>
    <tableColumn id="15" xr3:uid="{78246EEB-4058-4FB2-B512-C789A91583B1}" name="ConcDoseNum"/>
    <tableColumn id="16" xr3:uid="{F7E2280F-EB46-437E-A03F-963E91CC436F}" name="ConcDoseUn"/>
    <tableColumn id="17" xr3:uid="{917A1E9B-98B9-46EC-BEB9-2D5CE11375C6}" name="ConvertedConcDose"/>
    <tableColumn id="18" xr3:uid="{5FBA4181-D138-4E3E-98CA-1944ED003700}" name="ConvertedConcDoseUn"/>
    <tableColumn id="19" xr3:uid="{BC2ABF1E-73DB-49B2-B67A-BAC49649E002}" name="TempCtrl"/>
    <tableColumn id="20" xr3:uid="{57E18A36-E0E6-4045-BF6F-CAEE3EAE3B06}" name="TempNum"/>
    <tableColumn id="21" xr3:uid="{560A3F8D-87D2-4FB4-8CEB-08BAD9CB449C}" name="RHCtrl"/>
    <tableColumn id="22" xr3:uid="{7E4D636F-F055-45A9-B2CA-2CE00622DA09}" name="RHNum"/>
    <tableColumn id="23" xr3:uid="{A2601CC3-4595-4922-8860-1AD90F8D34A5}" name="SurfMed"/>
    <tableColumn id="24" xr3:uid="{B548CE98-97DA-4CA1-A8E0-767053843986}" name="ContTimeDesc"/>
    <tableColumn id="25" xr3:uid="{6521AC93-7B49-4335-98BD-C1EF9C49493D}" name="ContTimeNumMin"/>
    <tableColumn id="26" xr3:uid="{A2BAD1A4-8F6A-45AE-A159-A7E896DA8AFA}" name="TotalApp"/>
    <tableColumn id="27" xr3:uid="{044E574D-65A7-4F0B-9FE9-DBBF99BD78A2}" name="EffGreater"/>
    <tableColumn id="28" xr3:uid="{6D287788-FC1D-49D8-A1D7-1FF29D6FEEA3}" name="Eff"/>
    <tableColumn id="29" xr3:uid="{73FD1AC3-E681-41BD-A25B-C04F431D626D}" name="EffMeas"/>
    <tableColumn id="30" xr3:uid="{9D9264E8-E231-47C2-9D12-B7E8B895ED25}" name="EffVar"/>
    <tableColumn id="31" xr3:uid="{589D32F8-9AFB-444D-8A1A-804FD477ADD8}" name="EffVarStat"/>
    <tableColumn id="32" xr3:uid="{A66E6BF8-898B-4D78-87FB-C1CD19AAB4EC}" name="ConvertedEff"/>
    <tableColumn id="33" xr3:uid="{45A9937E-986D-4683-959C-386B3926407D}" name="ConvertedEffMeas"/>
    <tableColumn id="34" xr3:uid="{DCBD2A42-E247-4A25-883D-D2BB6B282F6B}" name="LPosRec"/>
    <tableColumn id="35" xr3:uid="{2339B47E-CD4A-4712-B1B1-26DEBE13394C}" name="N"/>
    <tableColumn id="36" xr3:uid="{9103C3DD-2E78-4EA2-862C-7B5081B74B1D}" name="MatComp"/>
    <tableColumn id="37" xr3:uid="{A8991E62-57BA-416C-8755-BFEF62430167}" name="VolApp"/>
    <tableColumn id="38" xr3:uid="{3463B1C9-18F4-44AD-B7FA-0BC83BE00EBC}" name="VolAppUn"/>
    <tableColumn id="39" xr3:uid="{E1C8E4C1-1E9D-42CF-8A96-B597689B6713}" name="ConvertedVolApp"/>
    <tableColumn id="40" xr3:uid="{89EB106D-7011-463D-8AED-C798CD67DA4D}" name="ConvertedVolAppUn"/>
    <tableColumn id="41" xr3:uid="{30DBE14E-803D-4B15-B015-FBAB37E9D979}" name="CT"/>
    <tableColumn id="42" xr3:uid="{CB43E914-6766-4D94-B1AC-BA00561668C0}" name="CTUn"/>
    <tableColumn id="43" xr3:uid="{69D70E1D-839E-4946-931E-533945419A77}" name="RinsateLess"/>
    <tableColumn id="44" xr3:uid="{F24F4082-5133-4278-8FE4-97B500893346}" name="Positives"/>
    <tableColumn id="45" xr3:uid="{FB474E21-014E-41EF-88B7-1B8F3C5DC434}" name="WaterRinse"/>
    <tableColumn id="46" xr3:uid="{B4536544-755B-455A-9CA9-3E2C0DBFF9A0}" name="Surface"/>
    <tableColumn id="47" xr3:uid="{D593EAEE-FE2C-4568-A6E8-9EEF1A17720D}" name="VolAppDen(L/m^2)"/>
    <tableColumn id="48" xr3:uid="{429FE6C9-3C3D-4DF1-AE52-90C0FE52BA8E}" name="VolAppDenUn"/>
    <tableColumn id="49" xr3:uid="{D7FEF599-732A-4E0C-A7EC-779037E1E678}" name="ClO2(ppm)"/>
    <tableColumn id="50" xr3:uid="{7331D8A7-8C2C-44FC-A20F-D6523CBA5041}" name="MB(mg/L)"/>
    <tableColumn id="51" xr3:uid="{01B29541-B3C6-4011-A339-AB5F8B8DAC01}" name="H2O2(ppm)"/>
    <tableColumn id="52" xr3:uid="{4FF7FEB9-1EC0-479D-B7A3-24F14C3A25EC}" name="PosCalc"/>
    <tableColumn id="53" xr3:uid="{64939874-6A93-42EB-A906-4DABB5647F3D}" name="LPosRecCalc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495EF5D-E5E8-4FE7-98D9-4FA97B444A52}" name="FumigationMaster" displayName="FumigationMaster" ref="A1:BA3059" totalsRowShown="0" headerRowDxfId="63" headerRowBorderDxfId="62" tableBorderDxfId="61">
  <autoFilter ref="A1:BA3059" xr:uid="{FEE101A3-799A-4000-93BC-27EB86C595D9}">
    <filterColumn colId="9">
      <customFilters>
        <customFilter operator="notEqual" val=" "/>
      </customFilters>
    </filterColumn>
    <filterColumn colId="10">
      <filters blank="1">
        <filter val="m^3"/>
      </filters>
    </filterColumn>
  </autoFilter>
  <tableColumns count="53">
    <tableColumn id="1" xr3:uid="{CF8BEB25-813F-4771-AC82-DC26CF665F69}" name="Ref"/>
    <tableColumn id="2" xr3:uid="{4905C7E4-FDCC-4B78-B447-F0638109BECF}" name="GrimeDirt"/>
    <tableColumn id="3" xr3:uid="{E4398F7B-31B0-4E6B-BE1B-5EACA5C07F71}" name="AppMeth"/>
    <tableColumn id="4" xr3:uid="{136E3523-1063-4FD9-B9FF-E0BD7B582628}" name="LoadingUn"/>
    <tableColumn id="5" xr3:uid="{9B58ED9C-66A0-4FE5-A255-AADB4EDC974B}" name="LoadingNum"/>
    <tableColumn id="6" xr3:uid="{E45A0ADA-79E2-41DE-B273-495B776405B6}" name="ConvertedLoading"/>
    <tableColumn id="7" xr3:uid="{94C21D20-7A0A-4370-8C24-CD53601031B7}" name="ConvertedLoadingUn"/>
    <tableColumn id="8" xr3:uid="{1BFD8763-A343-4EF1-B766-DE8AF47FB796}" name="CoupArea"/>
    <tableColumn id="9" xr3:uid="{24993800-8E75-4B75-A326-7E6328EAA3FF}" name="CoupAreaUn"/>
    <tableColumn id="10" xr3:uid="{9B2766A0-272A-4CEB-8F0E-6A9A46D6087B}" name="ConvertedCoupArea"/>
    <tableColumn id="11" xr3:uid="{4D6115B1-D813-4553-ABD6-2126959EF792}" name="ConvertedCoupAreaUn"/>
    <tableColumn id="12" xr3:uid="{1E54480F-A12B-4133-BBC8-5FC9F635BEB3}" name="Rinsate"/>
    <tableColumn id="13" xr3:uid="{2AEC2CC9-4F1F-4F06-8292-2D5D998242E8}" name="RinsateUn"/>
    <tableColumn id="14" xr3:uid="{DDDC1968-8C7E-44E0-85D8-DC2849DFBB81}" name="ConcDoseCtrl"/>
    <tableColumn id="15" xr3:uid="{DA69BD24-2389-477A-B259-1A8285049F59}" name="ConcDoseNum"/>
    <tableColumn id="16" xr3:uid="{29F28B49-5499-4B38-8B45-2AD5CC25A441}" name="ConcDoseUn"/>
    <tableColumn id="17" xr3:uid="{AF921A54-A9C7-438A-90EC-F5858B40B647}" name="ConvertedConcDose"/>
    <tableColumn id="18" xr3:uid="{EF621B2E-CB52-447F-A85A-31EEBC108261}" name="ConvertedConcDoseUn"/>
    <tableColumn id="19" xr3:uid="{AD39C87F-E617-4F03-B58B-6B284B144770}" name="TempCtrl"/>
    <tableColumn id="20" xr3:uid="{AEEF1A2A-B114-4484-8249-3659941FB454}" name="TempNum"/>
    <tableColumn id="21" xr3:uid="{51CE6448-2C26-4646-9352-4B193B8E03D3}" name="RHCtrl"/>
    <tableColumn id="22" xr3:uid="{673B0156-10D9-4C2C-8876-F30BBDD2A77D}" name="RHNum"/>
    <tableColumn id="23" xr3:uid="{07FE92E7-8C36-4119-8A0F-19268285E2D2}" name="SurfMed"/>
    <tableColumn id="24" xr3:uid="{79373F12-484D-4003-A092-68BB60E678E6}" name="ContTimeDesc"/>
    <tableColumn id="25" xr3:uid="{4314D65B-ABBA-420E-9BED-D89848035138}" name="ContTimeNumMin"/>
    <tableColumn id="26" xr3:uid="{F800CC9C-B09A-40C0-B0FF-2D0E5FEF0176}" name="TotalApp"/>
    <tableColumn id="27" xr3:uid="{4788DE0E-BAC0-44E9-875F-FEBE438AFA97}" name="EffGreater"/>
    <tableColumn id="28" xr3:uid="{C3F838CC-A503-431E-95EE-A8E33DC43A2A}" name="Eff"/>
    <tableColumn id="29" xr3:uid="{E3E287CA-808B-4A9D-9277-E09B33CFA194}" name="EffMeas"/>
    <tableColumn id="30" xr3:uid="{9FCAF0A2-ECAE-4CD8-9CA0-C9568C65986C}" name="EffVar"/>
    <tableColumn id="31" xr3:uid="{A284ED31-0A16-4951-B1AE-9786388CDE36}" name="EffVarStat"/>
    <tableColumn id="32" xr3:uid="{540D7705-0C7F-446B-A92F-16FA9E71B752}" name="ConvertedEff"/>
    <tableColumn id="33" xr3:uid="{E40BCCE7-8DCC-4E8D-8782-1C0ED36479ED}" name="ConvertedEffMeas"/>
    <tableColumn id="34" xr3:uid="{3B69FDA0-30D9-4556-9EE6-D2507F84A9DA}" name="LPosRec"/>
    <tableColumn id="35" xr3:uid="{53D191A4-732C-4275-BB0E-EFBD139A3911}" name="N"/>
    <tableColumn id="36" xr3:uid="{F77D3770-C7CA-4D97-B03C-6F6FB0908A58}" name="MatComp"/>
    <tableColumn id="37" xr3:uid="{F76B304E-59C9-4DB8-ADD1-B64CF48724B4}" name="VolApp"/>
    <tableColumn id="38" xr3:uid="{16CD1AA9-B327-485B-83C4-058FA5039B79}" name="VolAppUn"/>
    <tableColumn id="39" xr3:uid="{4F8C1E21-3300-47B1-AE42-FDCCD78C5270}" name="ConvertedVolApp"/>
    <tableColumn id="40" xr3:uid="{A9F4D481-A436-467E-8E23-7B25B7AD34B0}" name="ConvertedVolAppUn"/>
    <tableColumn id="41" xr3:uid="{F029F5F8-9D7C-4670-A915-AC4016A58428}" name="CT"/>
    <tableColumn id="42" xr3:uid="{D0D224F6-04E5-40D8-85F5-5FAE3D7D06F6}" name="CTUn"/>
    <tableColumn id="43" xr3:uid="{FEE1F571-274E-4C45-972C-9D758D587833}" name="RinsateLess"/>
    <tableColumn id="44" xr3:uid="{77CF73F0-92F8-46BF-97FD-C17C1963ABDB}" name="Positives"/>
    <tableColumn id="45" xr3:uid="{4C3E1B8B-15C9-4E3B-BB4D-6CF522925312}" name="WaterRinse"/>
    <tableColumn id="46" xr3:uid="{B99A6B72-8DC0-4599-B097-9565EED88B88}" name="Surface"/>
    <tableColumn id="47" xr3:uid="{AFAE11AB-92BD-49C7-9A0A-0508ABDE95E3}" name="VolAppDen(L/m^2)"/>
    <tableColumn id="48" xr3:uid="{00D894C7-A62F-4492-B958-7675C611C7FE}" name="VolAppDenUn"/>
    <tableColumn id="49" xr3:uid="{0250C995-E144-40A2-9A9D-6FCF1823875B}" name="ClO2(ppm)"/>
    <tableColumn id="50" xr3:uid="{D4241302-A4D9-42A6-A371-32567A066D8E}" name="MB(mg/L)"/>
    <tableColumn id="51" xr3:uid="{AD23E2F8-6DBF-413C-B1BA-B781B6A7D348}" name="H2O2(ppm)"/>
    <tableColumn id="52" xr3:uid="{202F24F2-DA5F-45C4-B8B6-2EA034454DBF}" name="PosCalc"/>
    <tableColumn id="53" xr3:uid="{0A2DEACC-F2D9-4B8F-91D6-E0B0A2C3F6BE}" name="LPosRecCalc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3B20EF2-06A3-4EB1-9B30-6EC5CB465675}" name="FumigationLiquidMaster" displayName="FumigationLiquidMaster" ref="A1:BA33" totalsRowShown="0" headerRowDxfId="59" headerRowBorderDxfId="58" tableBorderDxfId="57">
  <autoFilter ref="A1:BA33" xr:uid="{88FA0AC0-D2F0-4B63-B16A-06D1E4CA1B5E}"/>
  <tableColumns count="53">
    <tableColumn id="1" xr3:uid="{8E09ACC1-47DE-40AF-8976-BE1E394ABC68}" name="Ref"/>
    <tableColumn id="2" xr3:uid="{09E71EC3-2D3A-4E74-9800-C9C8C098FC95}" name="GrimeDirt"/>
    <tableColumn id="3" xr3:uid="{AAFB1781-1DF5-43A5-93D2-231E63E86612}" name="AppMeth"/>
    <tableColumn id="4" xr3:uid="{A8F08183-FF4E-4348-B72F-FBB9F188389C}" name="LoadingUn"/>
    <tableColumn id="5" xr3:uid="{C587B369-F18B-42E4-8652-87C22BB9082E}" name="LoadingNum"/>
    <tableColumn id="6" xr3:uid="{41ED004A-AA39-413A-9A7C-BADAA0C0515D}" name="ConvertedLoading"/>
    <tableColumn id="7" xr3:uid="{74E95E66-CD91-4F47-AC05-B6BB7B37DE5D}" name="ConvertedLoadingUn"/>
    <tableColumn id="8" xr3:uid="{AF25CC09-CB68-474E-BCB7-3BCC471516ED}" name="CoupArea"/>
    <tableColumn id="9" xr3:uid="{238412DD-A8F5-4D6A-A4DB-B106042B2288}" name="CoupAreaUn"/>
    <tableColumn id="10" xr3:uid="{7ABC4FA2-1D49-4C39-8EC7-63A3B81FEE7C}" name="ConvertedCoupArea"/>
    <tableColumn id="11" xr3:uid="{CB3933F4-AA67-4F6C-B68D-896A5423F010}" name="ConvertedCoupAreaUn"/>
    <tableColumn id="12" xr3:uid="{A4F79D26-6255-4A94-8BC6-EDE801DCAF5B}" name="Rinsate"/>
    <tableColumn id="13" xr3:uid="{830ACAB3-99F1-4F3C-A3B9-3B8A655521BB}" name="RinsateUn"/>
    <tableColumn id="14" xr3:uid="{ED00D661-529F-4C29-849A-B9A7A0A60111}" name="ConcDoseCtrl"/>
    <tableColumn id="15" xr3:uid="{1EE7DEC7-8450-4BF8-BAA5-992192B63C56}" name="ConcDoseNum"/>
    <tableColumn id="16" xr3:uid="{D932478F-2CF2-4246-936C-2378B863D0D5}" name="ConcDoseUn"/>
    <tableColumn id="17" xr3:uid="{29A33E3E-3496-4503-9C7F-7B232A094191}" name="ConvertedConcDose"/>
    <tableColumn id="18" xr3:uid="{8346BA0C-EE8A-4261-A791-ADA55FE57EC8}" name="ConvertedConcDoseUn"/>
    <tableColumn id="19" xr3:uid="{2B0AB717-B39A-4361-A542-AA2ADDD01818}" name="TempCtrl"/>
    <tableColumn id="20" xr3:uid="{76E811D8-33B3-43E5-AD90-BC4B396D1989}" name="TempNum"/>
    <tableColumn id="21" xr3:uid="{F0DF7572-F669-4994-8252-6E4557C96ED9}" name="RHCtrl"/>
    <tableColumn id="22" xr3:uid="{453FCCE2-EF77-4B2D-B3A0-ACDF447717E1}" name="RHNum"/>
    <tableColumn id="23" xr3:uid="{9F04D54D-5DCE-4FE7-9477-1420D6477D1E}" name="SurfMed"/>
    <tableColumn id="24" xr3:uid="{C363ACA0-D9C4-44BF-A1D2-62C074358629}" name="ContTimeDesc"/>
    <tableColumn id="25" xr3:uid="{5AB317C3-0F85-4192-BA78-26E96B70F6F7}" name="ContTimeNumMin"/>
    <tableColumn id="26" xr3:uid="{F9072F68-05F4-4FA2-B365-94A68883709D}" name="TotalApp"/>
    <tableColumn id="27" xr3:uid="{3FC516E7-CF87-4099-829A-2F577F493D86}" name="EffGreater"/>
    <tableColumn id="28" xr3:uid="{98FF9529-AD2A-4F90-ADAF-B4B83E798A9B}" name="Eff"/>
    <tableColumn id="29" xr3:uid="{CC6F62F6-6002-48C3-808A-3B4483BE9E2C}" name="EffMeas"/>
    <tableColumn id="30" xr3:uid="{B29A8BF5-9B65-43D5-BB5A-3F62589161D3}" name="EffVar"/>
    <tableColumn id="31" xr3:uid="{B3A478EA-9272-459C-8119-FF710D14E740}" name="EffVarStat"/>
    <tableColumn id="32" xr3:uid="{C864B980-35FA-4AE1-ACEF-FF010590F09A}" name="ConvertedEff"/>
    <tableColumn id="33" xr3:uid="{09514A19-1958-4EC9-9EB8-E2EA1B53332D}" name="ConvertedEffMeas"/>
    <tableColumn id="34" xr3:uid="{B8790D18-9611-41FA-B3BA-FB031CC30594}" name="LPosRec"/>
    <tableColumn id="35" xr3:uid="{0B1B8944-29A3-454B-A780-BE3000396E63}" name="N"/>
    <tableColumn id="36" xr3:uid="{1568B7B4-31AE-4DDB-90EE-24127C65C8D0}" name="MatComp"/>
    <tableColumn id="37" xr3:uid="{515EC576-E82B-46F8-BE82-FAA7A5F13C7F}" name="VolApp"/>
    <tableColumn id="38" xr3:uid="{3498603F-A648-4859-8AF4-2AB636D0C1B0}" name="VolAppUn"/>
    <tableColumn id="39" xr3:uid="{523FBD96-6908-445B-B20D-3522FBF58760}" name="ConvertedVolApp"/>
    <tableColumn id="40" xr3:uid="{3AB31A1C-2110-4226-B5AB-947EB51639C2}" name="ConvertedVolAppUn"/>
    <tableColumn id="41" xr3:uid="{A70124F0-20A7-4EB2-9075-34E28C75F3AE}" name="CT"/>
    <tableColumn id="42" xr3:uid="{A511C4B9-FC80-49A2-9D9C-EE404819C513}" name="CTUn"/>
    <tableColumn id="43" xr3:uid="{2D919EBD-D23A-4B81-B550-AFC656DA869A}" name="RinsateLess"/>
    <tableColumn id="44" xr3:uid="{930FA11C-0837-4377-9A45-6799348468E9}" name="Positives"/>
    <tableColumn id="45" xr3:uid="{1C94DB0F-680C-49C9-8F59-4FF795202AAB}" name="WaterRinse"/>
    <tableColumn id="46" xr3:uid="{1B61E5E0-8173-4292-B8BF-61F1D52CB5F6}" name="Surface"/>
    <tableColumn id="47" xr3:uid="{86C028D9-4C57-4AC7-9011-3B786740F981}" name="VolAppDen(L/m^2)"/>
    <tableColumn id="48" xr3:uid="{BAAFAB42-5B10-4A40-8BCD-A1DEBD71E3E9}" name="VolAppDenUn"/>
    <tableColumn id="49" xr3:uid="{A7DBD0BC-1904-4C78-A495-CCC956D9FC5F}" name="ClO2(ppm)"/>
    <tableColumn id="50" xr3:uid="{F3263F68-300D-4F96-915A-719B82623254}" name="MB(mg/L)"/>
    <tableColumn id="51" xr3:uid="{593986D3-5C38-44B1-AC04-A3C21CC5BB3B}" name="H2O2(ppm)"/>
    <tableColumn id="52" xr3:uid="{9F7AA581-5FA3-4B3D-8C4D-53C64434359E}" name="PosCalc"/>
    <tableColumn id="53" xr3:uid="{0D5F4B52-F512-45E4-BFD4-6CD5871A2E40}" name="LPosRecCalc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B5F8CB-2981-43A0-9211-4D63614CEF56}" name="LiquidSoakedGauzeCoveringMaster" displayName="LiquidSoakedGauzeCoveringMaster" ref="A1:BA48" totalsRowShown="0" headerRowDxfId="55" headerRowBorderDxfId="54" tableBorderDxfId="53">
  <autoFilter ref="A1:BA48" xr:uid="{B2A1BAED-BFFC-49D8-96B1-59A6A272FAE6}"/>
  <tableColumns count="53">
    <tableColumn id="1" xr3:uid="{552520E6-943A-43D2-9B7C-467C0393D492}" name="Ref"/>
    <tableColumn id="2" xr3:uid="{A0C86C70-16E0-41FA-A212-492A6BFA3824}" name="GrimeDirt"/>
    <tableColumn id="3" xr3:uid="{96CECE3B-68B5-4708-B6A7-8EAECBAA4BEF}" name="AppMeth"/>
    <tableColumn id="4" xr3:uid="{F525F29A-00F2-4208-B79A-B62538C76875}" name="LoadingUn"/>
    <tableColumn id="5" xr3:uid="{8D924D4C-AAEC-41F0-9646-BE29C9E3C55B}" name="LoadingNum"/>
    <tableColumn id="6" xr3:uid="{F4FFDA84-2229-4987-97C9-49C568A7637A}" name="ConvertedLoading"/>
    <tableColumn id="7" xr3:uid="{6A706753-B810-4CFE-B8F4-2568DF342104}" name="ConvertedLoadingUn"/>
    <tableColumn id="8" xr3:uid="{F9310B51-382C-4452-84AE-B1EE742153BB}" name="CoupArea"/>
    <tableColumn id="9" xr3:uid="{6E2E861B-200B-4061-8698-8C93B47D5FEB}" name="CoupAreaUn"/>
    <tableColumn id="10" xr3:uid="{5235D104-7153-4CCF-8459-7D791B72F69B}" name="ConvertedCoupArea"/>
    <tableColumn id="11" xr3:uid="{FDDAA7FE-4F93-4DF3-A2F1-58A590BD31ED}" name="ConvertedCoupAreaUn"/>
    <tableColumn id="12" xr3:uid="{7652E453-364E-4118-88FD-A6D40F7120C7}" name="Rinsate"/>
    <tableColumn id="13" xr3:uid="{B76357FF-4C90-4186-90DA-DF05CCBAC631}" name="RinsateUn"/>
    <tableColumn id="14" xr3:uid="{CDB5FC81-6F1D-4D75-B3BB-5053CBEFCC1A}" name="ConcDoseCtrl"/>
    <tableColumn id="15" xr3:uid="{DC69F1A9-6AD3-40D0-9DCE-00827111C31D}" name="ConcDoseNum"/>
    <tableColumn id="16" xr3:uid="{85A65AEA-D457-49E3-AEF1-33241AF87191}" name="ConcDoseUn"/>
    <tableColumn id="17" xr3:uid="{74ABD6B1-4285-4D58-B798-741ABECE9F6D}" name="ConvertedConcDose"/>
    <tableColumn id="18" xr3:uid="{D5B70C8E-C852-44D0-92E2-519CD260DBFA}" name="ConvertedConcDoseUn"/>
    <tableColumn id="19" xr3:uid="{91417B60-61D1-4EBB-846A-11283737B52B}" name="TempCtrl"/>
    <tableColumn id="20" xr3:uid="{C57E8066-C490-47E3-AD50-58F089FF08D4}" name="TempNum"/>
    <tableColumn id="21" xr3:uid="{01FD661C-DF23-4097-BE40-313440AD05D9}" name="RHCtrl"/>
    <tableColumn id="22" xr3:uid="{C6449030-71BC-420C-8099-F7D77B33D8DF}" name="RHNum"/>
    <tableColumn id="23" xr3:uid="{97DD56A7-D8DF-4722-897E-9E761246AC94}" name="SurfMed"/>
    <tableColumn id="24" xr3:uid="{C6FF4BC0-1D70-4766-AE90-FF52E3313EBD}" name="ContTimeDesc"/>
    <tableColumn id="25" xr3:uid="{8759A502-A963-4DB0-B4F9-58FCFA3EB29F}" name="ContTimeNumMin"/>
    <tableColumn id="26" xr3:uid="{0A5417A1-4190-4B6C-A2B2-B2C92AB6A264}" name="TotalApp"/>
    <tableColumn id="27" xr3:uid="{DCAA7B2B-B828-457D-96FB-0765F126ED39}" name="EffGreater"/>
    <tableColumn id="28" xr3:uid="{E1C8F280-5A5F-4099-A835-FFA00BF749AB}" name="Eff"/>
    <tableColumn id="29" xr3:uid="{BC0CAAEF-988B-45FA-9A0C-F3FD29872D80}" name="EffMeas"/>
    <tableColumn id="30" xr3:uid="{CBB578C1-4E6C-49D4-A83C-F1AC4AE6AE9B}" name="EffVar"/>
    <tableColumn id="31" xr3:uid="{320C579E-8256-414D-8128-2A74D6C50F26}" name="EffVarStat"/>
    <tableColumn id="32" xr3:uid="{0769F204-523A-489A-BD5D-D87072182F0B}" name="ConvertedEff"/>
    <tableColumn id="33" xr3:uid="{FBB4849D-C03F-4DB5-93E5-E0B3B38AFA12}" name="ConvertedEffMeas"/>
    <tableColumn id="34" xr3:uid="{7EBB3651-497E-44E3-A62D-02F8E5CCEED7}" name="LPosRec"/>
    <tableColumn id="35" xr3:uid="{F543B029-F946-4168-9BEA-2AE2C9123E9C}" name="N"/>
    <tableColumn id="36" xr3:uid="{22887D1A-FFC7-4BD9-80EC-F973EEA5C6CE}" name="MatComp"/>
    <tableColumn id="37" xr3:uid="{9BE204EF-FB20-44D4-B516-55E5E3F3E530}" name="VolApp"/>
    <tableColumn id="38" xr3:uid="{4B33DA22-A352-4DED-803D-1371503CC842}" name="VolAppUn"/>
    <tableColumn id="39" xr3:uid="{78D8CC3A-9C36-421C-BBC8-3BB95B910928}" name="ConvertedVolApp"/>
    <tableColumn id="40" xr3:uid="{5F8B0003-6452-420B-86DC-7D007E4753C7}" name="ConvertedVolAppUn"/>
    <tableColumn id="41" xr3:uid="{9B27B94D-9328-4236-AF64-2DB2446FEE6F}" name="CT"/>
    <tableColumn id="42" xr3:uid="{9AC000ED-9B7C-4EA7-9078-B83D3E1CB717}" name="CTUn"/>
    <tableColumn id="43" xr3:uid="{672A43E2-9BA2-4DF0-9EA5-7218F72AA152}" name="RinsateLess"/>
    <tableColumn id="44" xr3:uid="{CDE07259-D803-4E7E-8E6B-F9A879BAE159}" name="Positives"/>
    <tableColumn id="45" xr3:uid="{5C9B22D3-D4CB-43B6-B6FD-3503F436F8F4}" name="WaterRinse"/>
    <tableColumn id="46" xr3:uid="{52C40E66-1E4A-4358-9E83-22A3807982E9}" name="Surface"/>
    <tableColumn id="47" xr3:uid="{8B4F399B-DD26-451C-AA84-8DCF3D711116}" name="VolAppDen(L/m^2)"/>
    <tableColumn id="48" xr3:uid="{72CF63B2-0B41-48DB-82F1-E2B23912FFB9}" name="VolAppDenUn"/>
    <tableColumn id="49" xr3:uid="{7B45897E-0BA4-49E1-B06F-BCA43EE2F457}" name="ClO2(ppm)"/>
    <tableColumn id="50" xr3:uid="{2BA9D25E-6B5C-47D9-8D93-387EACCA1C94}" name="MB(mg/L)"/>
    <tableColumn id="51" xr3:uid="{386A49DB-13B2-409A-8AE6-8922E6A277CC}" name="H2O2(ppm)"/>
    <tableColumn id="52" xr3:uid="{FCBE8A15-ED2F-4B58-806E-29942D7B149A}" name="PosCalc"/>
    <tableColumn id="53" xr3:uid="{7F6E722C-0EA0-4488-8AB4-36CF637801C3}" name="LPosRecCalc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DE44DA-65A8-41CF-9667-66369DDAFAFA}" name="LiquidSoakedGauzeWipeMaster" displayName="LiquidSoakedGauzeWipeMaster" ref="A1:BA117" totalsRowShown="0" headerRowDxfId="51" headerRowBorderDxfId="50" tableBorderDxfId="49">
  <autoFilter ref="A1:BA117" xr:uid="{8F60AC22-5BA1-4CF9-BC6C-0E291C2C07E5}"/>
  <tableColumns count="53">
    <tableColumn id="1" xr3:uid="{BF0C4C47-BA8D-49D9-A440-952E96887BD0}" name="Ref"/>
    <tableColumn id="2" xr3:uid="{569CBA15-E7D3-4B71-A97E-2EF87A715F45}" name="GrimeDirt"/>
    <tableColumn id="3" xr3:uid="{F2FA452C-1890-4512-B694-79408FDC2FA7}" name="AppMeth"/>
    <tableColumn id="4" xr3:uid="{6C7D37B8-F0B8-4C93-A011-2E50A2F30A6C}" name="LoadingUn"/>
    <tableColumn id="5" xr3:uid="{F5EF4ACE-A8C1-426F-BBAA-EF480454C4EE}" name="LoadingNum"/>
    <tableColumn id="6" xr3:uid="{5B442178-1F09-4E99-BE4D-D45B520AF52A}" name="ConvertedLoading"/>
    <tableColumn id="7" xr3:uid="{140B590C-9B85-425C-BB96-DF717DDE1209}" name="ConvertedLoadingUn"/>
    <tableColumn id="8" xr3:uid="{27F8C805-739F-42E2-BEE8-B3FFC32568AF}" name="CoupArea"/>
    <tableColumn id="9" xr3:uid="{DE620797-4157-4D89-A7DA-1429F509937B}" name="CoupAreaUn"/>
    <tableColumn id="10" xr3:uid="{FB582918-4CA2-44D6-9EA7-B25B098B2FEA}" name="ConvertedCoupArea"/>
    <tableColumn id="11" xr3:uid="{46556C62-5990-4D5C-88AD-6B9FB2B1F526}" name="ConvertedCoupAreaUn"/>
    <tableColumn id="12" xr3:uid="{5B3D457A-494B-4F19-B6BC-1132912B3798}" name="Rinsate"/>
    <tableColumn id="13" xr3:uid="{96885857-771D-42AF-BC42-3405E703EF58}" name="RinsateUn"/>
    <tableColumn id="14" xr3:uid="{DDE3DA7C-FCDC-48D1-871D-094F4A67C854}" name="ConcDoseCtrl"/>
    <tableColumn id="15" xr3:uid="{FFF59CEB-3430-4B33-A29A-C283C73372F9}" name="ConcDoseNum"/>
    <tableColumn id="16" xr3:uid="{3759D220-6EC4-4F5F-A1A0-B0522C64B9A5}" name="ConcDoseUn"/>
    <tableColumn id="17" xr3:uid="{71AEA998-7590-4B5B-869A-B113E17F978A}" name="ConvertedConcDose"/>
    <tableColumn id="18" xr3:uid="{66C0DFBD-6339-4E25-BF9A-C8D02404280D}" name="ConvertedConcDoseUn"/>
    <tableColumn id="19" xr3:uid="{FCCD2018-7BCA-410E-B60C-7D8755A3EB40}" name="TempCtrl"/>
    <tableColumn id="20" xr3:uid="{E674AB08-0B0A-4206-9638-B3B8C5536359}" name="TempNum"/>
    <tableColumn id="21" xr3:uid="{C6AD0A3F-EE80-4A74-97D6-F1697963119F}" name="RHCtrl"/>
    <tableColumn id="22" xr3:uid="{B0899B59-50E9-4DDF-A8BB-0C5C50AE017B}" name="RHNum"/>
    <tableColumn id="23" xr3:uid="{374F2C4B-2B3B-4C2A-93E3-0C52C7340B57}" name="SurfMed"/>
    <tableColumn id="24" xr3:uid="{29E2D6B6-4488-459C-B18C-954AAE570265}" name="ContTimeDesc"/>
    <tableColumn id="25" xr3:uid="{E419553A-B3FD-47AD-8D76-0FE50A235429}" name="ContTimeNumMin"/>
    <tableColumn id="26" xr3:uid="{C4A1822A-D281-4651-8212-0BE2A74CC8FE}" name="TotalApp"/>
    <tableColumn id="27" xr3:uid="{A706007B-7F49-4CDC-8F20-C8B6CEC66E75}" name="EffGreater"/>
    <tableColumn id="28" xr3:uid="{0312571C-242D-4F3F-AE58-A72C9B3C2B6B}" name="Eff"/>
    <tableColumn id="29" xr3:uid="{F9E0F97D-AC02-45BB-9023-5B425820A662}" name="EffMeas"/>
    <tableColumn id="30" xr3:uid="{F06F3D49-5C4D-4D6F-8D4E-4AA732C191E6}" name="EffVar"/>
    <tableColumn id="31" xr3:uid="{827855EC-BB0F-4B16-8548-B640A2D2A0BD}" name="EffVarStat"/>
    <tableColumn id="32" xr3:uid="{A558B9B1-26D8-44C2-B279-B3660EB37976}" name="ConvertedEff"/>
    <tableColumn id="33" xr3:uid="{7DD56262-0404-41F7-8C30-94B8ED9658B6}" name="ConvertedEffMeas"/>
    <tableColumn id="34" xr3:uid="{9E1B3D7E-0BAC-4C41-9915-17796D720185}" name="LPosRec"/>
    <tableColumn id="35" xr3:uid="{539B3296-7CD9-4337-9254-FDC6A476A166}" name="N"/>
    <tableColumn id="36" xr3:uid="{B4B86DD1-C109-46F0-8578-693B7FF904A5}" name="MatComp"/>
    <tableColumn id="37" xr3:uid="{EAD6AC31-BF34-4C9D-A704-6F106D7B87E7}" name="VolApp"/>
    <tableColumn id="38" xr3:uid="{12C6EA8A-0D42-4111-9E9E-730837DE5C5F}" name="VolAppUn"/>
    <tableColumn id="39" xr3:uid="{E49B5F5E-20E2-462D-8E05-9524908A4631}" name="ConvertedVolApp"/>
    <tableColumn id="40" xr3:uid="{824CB0A3-B7FE-4618-89F7-3A7001365168}" name="ConvertedVolAppUn"/>
    <tableColumn id="41" xr3:uid="{7300D508-D680-4E80-8A56-36DEEC967082}" name="CT"/>
    <tableColumn id="42" xr3:uid="{B80D7A1B-FB0C-4B5D-818E-D6C3661DC6CF}" name="CTUn"/>
    <tableColumn id="43" xr3:uid="{D4A71C7A-F3E0-4809-BA3D-A2A5A6489F58}" name="RinsateLess"/>
    <tableColumn id="44" xr3:uid="{23DDED40-A38F-4435-B17C-CD8AAA881B90}" name="Positives"/>
    <tableColumn id="45" xr3:uid="{E7525329-DE55-440D-9D96-B2D7F22C79E8}" name="WaterRinse"/>
    <tableColumn id="46" xr3:uid="{FC9FD150-03ED-4B00-8453-86C1E9739072}" name="Surface"/>
    <tableColumn id="47" xr3:uid="{E10E7FCD-D21F-470D-AA82-430C5261775A}" name="VolAppDen(L/m^2)"/>
    <tableColumn id="48" xr3:uid="{2E4A8FBC-AF6D-444B-88E6-96C53549964F}" name="VolAppDenUn"/>
    <tableColumn id="49" xr3:uid="{9C5E84B3-D6A6-429F-8E50-C59230AA312F}" name="ClO2(ppm)"/>
    <tableColumn id="50" xr3:uid="{B3750F8C-1179-46DB-89AB-D80509F7645A}" name="MB(mg/L)"/>
    <tableColumn id="51" xr3:uid="{2D455A21-B9A5-4B6F-9197-5177CA50A961}" name="H2O2(ppm)"/>
    <tableColumn id="52" xr3:uid="{951413F3-CF06-4D90-890C-7EF760561EA0}" name="PosCalc"/>
    <tableColumn id="53" xr3:uid="{4E112A7A-8FCA-4788-B2FD-BA406227CD9E}" name="LPosRecCalc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10026C-FAD4-4A58-B250-B3A9F230CDDA}" name="GelMaster" displayName="GelMaster" ref="A1:BA10" totalsRowShown="0" headerRowDxfId="47" headerRowBorderDxfId="46" tableBorderDxfId="45">
  <autoFilter ref="A1:BA10" xr:uid="{D739B44C-45C8-4584-BBDD-BB8145086218}"/>
  <tableColumns count="53">
    <tableColumn id="1" xr3:uid="{517B4F32-3D25-4F6E-8A1D-1E3E66BE6F5C}" name="Ref"/>
    <tableColumn id="2" xr3:uid="{22EE30C0-9265-4F91-B002-87D6B36FD9FA}" name="GrimeDirt"/>
    <tableColumn id="3" xr3:uid="{56C0483D-4805-4B9B-9CE2-D297A76C0562}" name="AppMeth"/>
    <tableColumn id="4" xr3:uid="{11CE1D29-B23E-4B6F-8387-FF85F88400FE}" name="LoadingUn"/>
    <tableColumn id="5" xr3:uid="{8D7D5107-ABE5-4FCE-82FF-43098035B624}" name="LoadingNum"/>
    <tableColumn id="6" xr3:uid="{C900080B-D2FE-4981-87D7-009B06A27310}" name="ConvertedLoading"/>
    <tableColumn id="7" xr3:uid="{E5C887CD-C52E-488C-86A1-591EC4CF3F2F}" name="ConvertedLoadingUn"/>
    <tableColumn id="8" xr3:uid="{790778B1-CB2C-480F-9EA5-01BD699712FA}" name="CoupArea"/>
    <tableColumn id="9" xr3:uid="{FEECED03-5179-4B0C-9302-95C04A591983}" name="CoupAreaUn"/>
    <tableColumn id="10" xr3:uid="{4D326688-F6D3-4E7E-835A-A461DE65370F}" name="ConvertedCoupArea"/>
    <tableColumn id="11" xr3:uid="{21B8BC6C-6C21-4C9D-A2CE-5BB269AAE8A8}" name="ConvertedCoupAreaUn"/>
    <tableColumn id="12" xr3:uid="{AF7E8E2D-F276-41A7-9006-4278F8514F46}" name="Rinsate"/>
    <tableColumn id="13" xr3:uid="{E9A32D6D-5F4D-4739-82B6-4E9F255E3A22}" name="RinsateUn"/>
    <tableColumn id="14" xr3:uid="{5542A9FE-48AE-4445-95F8-4F3A3F35CCF2}" name="ConcDoseCtrl"/>
    <tableColumn id="15" xr3:uid="{CA2158C9-4326-471B-A6EB-CD98817DE7CE}" name="ConcDoseNum"/>
    <tableColumn id="16" xr3:uid="{E51E85C0-CBDF-4B9E-840A-651B398B07C5}" name="ConcDoseUn"/>
    <tableColumn id="17" xr3:uid="{23B9E135-D0DF-458A-A3C7-0BC89C7F6D7B}" name="ConvertedConcDose"/>
    <tableColumn id="18" xr3:uid="{C81B1235-11EA-46FB-A8B6-04C0E68F97F3}" name="ConvertedConcDoseUn"/>
    <tableColumn id="19" xr3:uid="{9F39EC4B-3C51-4014-AE65-50AFEDC58038}" name="TempCtrl"/>
    <tableColumn id="20" xr3:uid="{8B951F3C-830A-411A-85AC-E6049242B926}" name="TempNum"/>
    <tableColumn id="21" xr3:uid="{3AEB3927-5D77-446F-A711-FB3ADB282138}" name="RHCtrl"/>
    <tableColumn id="22" xr3:uid="{AEE72B54-0592-41D4-8EFE-381FAB704274}" name="RHNum"/>
    <tableColumn id="23" xr3:uid="{670A2E2A-4F27-490F-B621-2CBCFF8038FD}" name="SurfMed"/>
    <tableColumn id="24" xr3:uid="{C458E6DA-6C10-41F2-9181-8B34518447D2}" name="ContTimeDesc"/>
    <tableColumn id="25" xr3:uid="{5BA41105-D453-4500-A3B0-831B44DFBECE}" name="ContTimeNumMin"/>
    <tableColumn id="26" xr3:uid="{AEB20115-87A6-4056-824B-EB1E9CE7D67F}" name="TotalApp"/>
    <tableColumn id="27" xr3:uid="{3A7A7B8A-BD0E-463D-92F3-15168B096CB6}" name="EffGreater"/>
    <tableColumn id="28" xr3:uid="{92C35D85-0985-4AFF-B982-9D6C2919F42C}" name="Eff"/>
    <tableColumn id="29" xr3:uid="{EFD5B5EC-4521-4D1C-9B87-33ADAE3117F0}" name="EffMeas"/>
    <tableColumn id="30" xr3:uid="{886B826C-6B27-4168-91BD-900AD0D575A2}" name="EffVar"/>
    <tableColumn id="31" xr3:uid="{498293F8-BC6A-4294-9E2E-AD70DCCD9109}" name="EffVarStat"/>
    <tableColumn id="32" xr3:uid="{2D68C3B6-DDFB-49A9-A458-F9551302F53A}" name="ConvertedEff"/>
    <tableColumn id="33" xr3:uid="{EFDB8B8A-A57C-48F3-A184-5CAE554D19BC}" name="ConvertedEffMeas"/>
    <tableColumn id="34" xr3:uid="{4E2535E1-C68E-41F9-BB39-40C8A085D778}" name="LPosRec"/>
    <tableColumn id="35" xr3:uid="{8D82D336-8060-4C56-9253-CF87A448981B}" name="N"/>
    <tableColumn id="36" xr3:uid="{8220DE48-B760-4440-A848-CCC1E97CDC9A}" name="MatComp"/>
    <tableColumn id="37" xr3:uid="{2CA44157-1E0C-4DBD-A162-3CC1DF795FCE}" name="VolApp"/>
    <tableColumn id="38" xr3:uid="{10ACBB67-38E6-4254-9D7C-3AADFFCDF0CF}" name="VolAppUn"/>
    <tableColumn id="39" xr3:uid="{B9CB1BB8-7AD4-4CB7-8CC2-EAFBDF6210A9}" name="ConvertedVolApp"/>
    <tableColumn id="40" xr3:uid="{AF812353-4088-4DC5-B5F5-D9581015621F}" name="ConvertedVolAppUn"/>
    <tableColumn id="41" xr3:uid="{C2A67E7B-B9BF-40A7-A2BC-3FF37B607DE6}" name="CT"/>
    <tableColumn id="42" xr3:uid="{DCA1E4A9-7BD9-42C9-A33A-15A7375E2BAC}" name="CTUn"/>
    <tableColumn id="43" xr3:uid="{E80AEAF6-BCB5-4827-BCE4-F6524CF85FE2}" name="RinsateLess"/>
    <tableColumn id="44" xr3:uid="{8751D582-FF05-46A8-BB04-58C054219B22}" name="Positives"/>
    <tableColumn id="45" xr3:uid="{85EB53D9-09C8-4D6A-9318-64C61890C01F}" name="WaterRinse"/>
    <tableColumn id="46" xr3:uid="{0314CF94-B794-44A4-8E0F-E0D22EFE6E01}" name="Surface"/>
    <tableColumn id="47" xr3:uid="{77F1A264-115D-44B5-857D-5C90F3DCD8BB}" name="VolAppDen(L/m^2)"/>
    <tableColumn id="48" xr3:uid="{7625ED8E-1F13-46B5-9E2D-9C8477ABB0A9}" name="VolAppDenUn"/>
    <tableColumn id="49" xr3:uid="{BD671EF9-0A52-4929-A798-09EE6FD913E8}" name="ClO2(ppm)"/>
    <tableColumn id="50" xr3:uid="{1A99BEC2-640D-48D9-BE5C-B8627B352FBC}" name="MB(mg/L)"/>
    <tableColumn id="51" xr3:uid="{AC225BA9-3DB7-448A-BA3D-27ECE3DE57AB}" name="H2O2(ppm)"/>
    <tableColumn id="52" xr3:uid="{A2621B04-64A4-47BF-B59A-9A0932F88DB9}" name="PosCalc"/>
    <tableColumn id="53" xr3:uid="{68C114BA-E47E-4D14-B54E-9EF8E1A8A1F2}" name="LPosRecCalc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1206C3E-4B70-4107-9A18-46D497C65BFA}" name="ImmersionMaster" displayName="ImmersionMaster" ref="A1:BA13" totalsRowShown="0" headerRowDxfId="43" headerRowBorderDxfId="42" tableBorderDxfId="41">
  <autoFilter ref="A1:BA13" xr:uid="{BC048900-0ECE-4196-9073-0B6A5D5CEBEC}"/>
  <tableColumns count="53">
    <tableColumn id="1" xr3:uid="{D8E6027D-D45A-4B0C-8BC1-C0AD53347AFC}" name="Ref"/>
    <tableColumn id="2" xr3:uid="{CDDB5BD9-8B8B-4B62-B41E-916B9FB35305}" name="GrimeDirt"/>
    <tableColumn id="3" xr3:uid="{3F038D6D-05BF-41B3-9AD3-EFF35A236DD2}" name="AppMeth"/>
    <tableColumn id="4" xr3:uid="{59F321C1-236F-488D-B77E-9E102E939AB8}" name="LoadingUn"/>
    <tableColumn id="5" xr3:uid="{04281349-DC02-4D49-A85D-C8DDEBC90C21}" name="LoadingNum"/>
    <tableColumn id="6" xr3:uid="{855E5AC7-DCE0-444D-B083-D5D862B0CFD5}" name="ConvertedLoading"/>
    <tableColumn id="7" xr3:uid="{7793C2B9-39F9-473B-B4D5-DAF65F70D89B}" name="ConvertedLoadingUn"/>
    <tableColumn id="8" xr3:uid="{AA0060B7-0FB3-4D49-BA06-A029E71C7DBD}" name="CoupArea"/>
    <tableColumn id="9" xr3:uid="{40CCA1C4-0276-41DE-91AF-5A7D9B9BF41A}" name="CoupAreaUn"/>
    <tableColumn id="10" xr3:uid="{3578688E-A6B7-4DBA-B268-FF0BF343C061}" name="ConvertedCoupArea"/>
    <tableColumn id="11" xr3:uid="{CEFA65D5-3F0F-4EE6-86D5-FEA6EDB948E0}" name="ConvertedCoupAreaUn"/>
    <tableColumn id="12" xr3:uid="{447C3089-A726-45EF-BA5A-2F8794D6BA55}" name="Rinsate"/>
    <tableColumn id="13" xr3:uid="{AEDE4C49-F20A-47ED-8CB6-486A0C1CA470}" name="RinsateUn"/>
    <tableColumn id="14" xr3:uid="{2AEB90F7-A8CF-41BF-A621-06EA93C355FD}" name="ConcDoseCtrl"/>
    <tableColumn id="15" xr3:uid="{7DA95758-58EC-4CC3-86D0-43FDD3E04B9D}" name="ConcDoseNum"/>
    <tableColumn id="16" xr3:uid="{08A2DC03-C7C8-4171-981B-1BB449A0062B}" name="ConcDoseUn"/>
    <tableColumn id="17" xr3:uid="{98C013F6-4700-4D5C-941A-0F3F888A93BE}" name="ConvertedConcDose"/>
    <tableColumn id="18" xr3:uid="{4F6461F2-D218-42EC-84BD-9D4BF0E46376}" name="ConvertedConcDoseUn"/>
    <tableColumn id="19" xr3:uid="{47338D8C-9F54-4B92-A36E-3FE0D717C323}" name="TempCtrl"/>
    <tableColumn id="20" xr3:uid="{ACF82F01-2306-4EE9-959B-7A3202906DF5}" name="TempNum"/>
    <tableColumn id="21" xr3:uid="{46E97AA8-C14C-403C-96A8-120810CA52D5}" name="RHCtrl"/>
    <tableColumn id="22" xr3:uid="{2580E9A9-50B3-4EBC-8D12-F386A4929156}" name="RHNum"/>
    <tableColumn id="23" xr3:uid="{DC3C3F5A-712D-4E8D-BA86-980134EACEE4}" name="SurfMed"/>
    <tableColumn id="24" xr3:uid="{E4382CD6-1D78-48D8-80B7-865922EC3BCB}" name="ContTimeDesc"/>
    <tableColumn id="25" xr3:uid="{6B875F71-05A4-4666-A95E-A771222BC75F}" name="ContTimeNumMin"/>
    <tableColumn id="26" xr3:uid="{8CB5DF18-589F-47B0-8F1F-11C791E35C0C}" name="TotalApp"/>
    <tableColumn id="27" xr3:uid="{E0D55A61-14C2-432A-B638-158ED83B9154}" name="EffGreater"/>
    <tableColumn id="28" xr3:uid="{CA49D4A9-1737-4092-A177-FA1FD198A424}" name="Eff"/>
    <tableColumn id="29" xr3:uid="{FD741D60-464E-4D9B-AD38-8753F1CE5612}" name="EffMeas"/>
    <tableColumn id="30" xr3:uid="{E805C1E6-E42F-4B25-A31E-398379065BE6}" name="EffVar"/>
    <tableColumn id="31" xr3:uid="{ED0E18CC-204D-4EF5-937C-506B02D5E368}" name="EffVarStat"/>
    <tableColumn id="32" xr3:uid="{4012DADA-9468-4C43-BF83-DE4078D8F3E7}" name="ConvertedEff"/>
    <tableColumn id="33" xr3:uid="{3AA24A35-3BDD-4865-ABE2-5B382E09CE44}" name="ConvertedEffMeas"/>
    <tableColumn id="34" xr3:uid="{A5F6AD88-4CD8-49B6-9D75-627E1843B993}" name="LPosRec"/>
    <tableColumn id="35" xr3:uid="{5B15240B-C6C5-4D61-94E8-AF89792705EA}" name="N"/>
    <tableColumn id="36" xr3:uid="{12B8E55B-EA94-45A6-92B0-193A07B0F2B1}" name="MatComp"/>
    <tableColumn id="37" xr3:uid="{AC2AE0E6-A124-450A-BEA7-7DD5245F19ED}" name="VolApp"/>
    <tableColumn id="38" xr3:uid="{C73AFEC3-415E-428D-830C-88C8ED29C158}" name="VolAppUn"/>
    <tableColumn id="39" xr3:uid="{FB685937-A1A0-43B5-A001-306E25645C7B}" name="ConvertedVolApp"/>
    <tableColumn id="40" xr3:uid="{F8C5E437-BBF5-4016-BEB9-C83D21F9A35E}" name="ConvertedVolAppUn"/>
    <tableColumn id="41" xr3:uid="{DBF3CDA7-8B45-49AF-82A6-EBEE16AB79B9}" name="CT"/>
    <tableColumn id="42" xr3:uid="{515EE011-388A-4B1B-A0B7-FEDD73A3D028}" name="CTUn"/>
    <tableColumn id="43" xr3:uid="{6405DC7B-37AE-48AB-99B2-79E32E278B88}" name="RinsateLess"/>
    <tableColumn id="44" xr3:uid="{00A18467-A0AB-4582-8941-A6EF79FE5C02}" name="Positives"/>
    <tableColumn id="45" xr3:uid="{5C77CAC1-F7A8-44BD-A66D-7723B093D2E7}" name="WaterRinse"/>
    <tableColumn id="46" xr3:uid="{BEBC031C-EF4E-47BB-B196-F9C9E4694D59}" name="Surface"/>
    <tableColumn id="47" xr3:uid="{FE648387-69A9-48B1-B15B-BD247D9955F3}" name="VolAppDen(L/m^2)"/>
    <tableColumn id="48" xr3:uid="{0B70DDFB-56A3-49FC-A88A-7C7AE6BDED4E}" name="VolAppDenUn"/>
    <tableColumn id="49" xr3:uid="{81FE1541-8263-42D6-BD39-2A8FDE25CD8B}" name="ClO2(ppm)"/>
    <tableColumn id="50" xr3:uid="{93D06D25-ACC8-43EB-8119-82F50853E801}" name="MB(mg/L)"/>
    <tableColumn id="51" xr3:uid="{FB12CE25-914E-4216-8C07-835BB316FB6D}" name="H2O2(ppm)"/>
    <tableColumn id="52" xr3:uid="{9B483748-AF3E-4135-BCE0-6FF97A1E7899}" name="PosCalc"/>
    <tableColumn id="53" xr3:uid="{A554E89F-5F13-42FA-889C-510D7E4E4087}" name="LPosRecCalc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BCBACD-8FDA-47E3-8BBF-E72AFB0DBF47}" name="LiquidMaster" displayName="LiquidMaster" ref="A1:BA161" totalsRowShown="0" headerRowDxfId="39" headerRowBorderDxfId="38" tableBorderDxfId="37">
  <autoFilter ref="A1:BA161" xr:uid="{D2741AF0-4BA5-4C56-9375-27EBBB9C7349}"/>
  <tableColumns count="53">
    <tableColumn id="1" xr3:uid="{360A87F9-2CEE-46BF-AFDB-A17A85F18502}" name="Ref"/>
    <tableColumn id="2" xr3:uid="{65C9D5D1-7EED-47D1-AF42-5AE320CD89AD}" name="GrimeDirt"/>
    <tableColumn id="3" xr3:uid="{BF1C87BD-19AC-4A09-9604-87D67EF9DBF6}" name="AppMeth"/>
    <tableColumn id="4" xr3:uid="{749AE7FB-3D46-49DF-8AB2-154C2E9D02CF}" name="LoadingUn"/>
    <tableColumn id="5" xr3:uid="{4897F021-29F3-4219-8B24-6BED78401D24}" name="LoadingNum"/>
    <tableColumn id="6" xr3:uid="{239D82FF-3704-4DEE-AB62-5E4D13486B00}" name="ConvertedLoading"/>
    <tableColumn id="7" xr3:uid="{308C01DD-1F2F-4697-89E0-92DCF916478B}" name="ConvertedLoadingUn"/>
    <tableColumn id="8" xr3:uid="{9ACF0845-4F45-4F49-A27D-21EF1F9702CF}" name="CoupArea"/>
    <tableColumn id="9" xr3:uid="{B6FF7D37-3DA0-4BFA-A679-DAF01DA79EFC}" name="CoupAreaUn"/>
    <tableColumn id="10" xr3:uid="{F2810D63-81D4-4016-BE89-21AFA6DAE1A0}" name="ConvertedCoupArea"/>
    <tableColumn id="11" xr3:uid="{0CB405CF-C5C8-4C32-B075-B06CFD33421E}" name="ConvertedCoupAreaUn"/>
    <tableColumn id="12" xr3:uid="{34B572F2-4EEC-4F8E-8287-EA98CD962D53}" name="Rinsate"/>
    <tableColumn id="13" xr3:uid="{42BD4E53-1E8D-4C06-9753-F80922D4EE27}" name="RinsateUn"/>
    <tableColumn id="14" xr3:uid="{7D88330E-1BC7-4CB3-AC57-2B9A4ED4F444}" name="ConcDoseCtrl"/>
    <tableColumn id="15" xr3:uid="{FD0E5DE2-D281-428E-A570-1A81CFCF3786}" name="ConcDoseNum"/>
    <tableColumn id="16" xr3:uid="{222DC648-3304-458B-BC21-CE401BEC2394}" name="ConcDoseUn"/>
    <tableColumn id="17" xr3:uid="{D0AD4B70-3E00-4841-B40D-FCB113505D23}" name="ConvertedConcDose"/>
    <tableColumn id="18" xr3:uid="{09513BF7-C62E-44B2-8E87-2A7867A08F30}" name="ConvertedConcDoseUn"/>
    <tableColumn id="19" xr3:uid="{03DB26F0-854A-4BF5-BB6E-294FBB886BEB}" name="TempCtrl"/>
    <tableColumn id="20" xr3:uid="{9C702645-9D20-4333-9E8F-2D1E2D203143}" name="TempNum"/>
    <tableColumn id="21" xr3:uid="{A25FF483-F4FD-439C-894E-841C2D73E2D4}" name="RHCtrl"/>
    <tableColumn id="22" xr3:uid="{77D70E82-3333-4250-BBDF-A29659529198}" name="RHNum"/>
    <tableColumn id="23" xr3:uid="{B94E6207-57A2-4D36-BF04-2EFC0B6ED5E4}" name="SurfMed"/>
    <tableColumn id="24" xr3:uid="{8860B9C7-66B0-4071-B493-25F3B0D85B35}" name="ContTimeDesc"/>
    <tableColumn id="25" xr3:uid="{BBD659F5-4C37-4D19-AB01-B98227B5D5C3}" name="ContTimeNumMin"/>
    <tableColumn id="26" xr3:uid="{C0B983CF-07E4-473F-B36D-F802C7E6D141}" name="TotalApp"/>
    <tableColumn id="27" xr3:uid="{FB04D2EA-4B4B-4D27-8D21-87C53E105902}" name="EffGreater"/>
    <tableColumn id="28" xr3:uid="{1952D9EA-B0BC-49BD-8F36-0EDD3F66935B}" name="Eff"/>
    <tableColumn id="29" xr3:uid="{B1E7B068-7E49-480B-8086-60A689810C58}" name="EffMeas"/>
    <tableColumn id="30" xr3:uid="{3BD85995-09C1-4C6C-86F0-B558CEA1C256}" name="EffVar"/>
    <tableColumn id="31" xr3:uid="{4488AB42-BFDD-4E80-8A30-0481F7D8D4C1}" name="EffVarStat"/>
    <tableColumn id="32" xr3:uid="{B1587D03-480C-4D82-8163-1B56E1DC73EA}" name="ConvertedEff"/>
    <tableColumn id="33" xr3:uid="{2F9C29CF-9384-4449-B674-4C8E0DA22C6C}" name="ConvertedEffMeas"/>
    <tableColumn id="34" xr3:uid="{75AAD154-F88F-4E1E-BF30-76C413749427}" name="LPosRec"/>
    <tableColumn id="35" xr3:uid="{EF5E4938-1414-411B-B1E4-E61BF5D1B37A}" name="N"/>
    <tableColumn id="36" xr3:uid="{9DA07962-C4B4-4998-B3EE-91BE0A994E0F}" name="MatComp"/>
    <tableColumn id="37" xr3:uid="{73331E84-D516-426C-B802-C51E97B688B3}" name="VolApp"/>
    <tableColumn id="38" xr3:uid="{85AF814D-C6F0-40D6-8406-C8ECBEC970F6}" name="VolAppUn"/>
    <tableColumn id="39" xr3:uid="{7953BF07-6AA9-48C7-B1A4-0A2352CB4E1E}" name="ConvertedVolApp"/>
    <tableColumn id="40" xr3:uid="{1B1605C0-29BD-435E-A418-AF2AAE38BDF5}" name="ConvertedVolAppUn"/>
    <tableColumn id="41" xr3:uid="{B7CF9630-63E3-4776-9597-824BBCD16E15}" name="CT"/>
    <tableColumn id="42" xr3:uid="{169BAB9C-65C4-446C-9327-CFFE15F03155}" name="CTUn"/>
    <tableColumn id="43" xr3:uid="{4A30A18F-3F9C-4F0A-8159-7FF7FBFEEA5D}" name="RinsateLess"/>
    <tableColumn id="44" xr3:uid="{C47BF2F9-21CF-444D-B1A0-F1467534FAF5}" name="Positives"/>
    <tableColumn id="45" xr3:uid="{42DBDD59-21E7-4048-8FFC-3B47E5B49508}" name="WaterRinse"/>
    <tableColumn id="46" xr3:uid="{FAAA22FF-4FC0-44FB-A062-AC09424EAB5E}" name="Surface"/>
    <tableColumn id="47" xr3:uid="{1D51EBBD-14DC-45EC-A75B-97308616A774}" name="VolAppDen(L/m^2)"/>
    <tableColumn id="48" xr3:uid="{61A5E29A-F897-46D7-B72D-3E7B64BD9F7F}" name="VolAppDenUn"/>
    <tableColumn id="49" xr3:uid="{C7DA9295-62C3-418F-AC9B-5DDE5D27E102}" name="ClO2(ppm)"/>
    <tableColumn id="50" xr3:uid="{8941A63B-926E-4327-AE76-D40E463080C0}" name="MB(mg/L)"/>
    <tableColumn id="51" xr3:uid="{6C05E574-AFBE-4176-99E6-A1A800E2A8DB}" name="H2O2(ppm)"/>
    <tableColumn id="52" xr3:uid="{F049F8F9-0FB1-4DDC-8624-61FF50846094}" name="PosCalc"/>
    <tableColumn id="53" xr3:uid="{FD70B399-5BCD-4F61-8195-832FBEE69D28}" name="LPosRecCalc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CE2CD1-CBBB-4E89-9DA9-68E83105A2D8}" name="LiquidAmbiguousMaster" displayName="LiquidAmbiguousMaster" ref="A1:BA317" totalsRowShown="0" headerRowDxfId="35" headerRowBorderDxfId="34" tableBorderDxfId="33">
  <autoFilter ref="A1:BA317" xr:uid="{F731D315-1646-4875-92CB-1EE678DEE5BC}"/>
  <tableColumns count="53">
    <tableColumn id="1" xr3:uid="{01EF4FC7-8E07-412D-86BF-7A6624AF2A21}" name="Ref"/>
    <tableColumn id="2" xr3:uid="{11E8A7C9-2315-4F28-A65E-0BAE026A5FC2}" name="GrimeDirt"/>
    <tableColumn id="3" xr3:uid="{B2D240DC-8C9C-47DF-B039-965820FA7699}" name="AppMeth"/>
    <tableColumn id="4" xr3:uid="{855AC2F5-A22A-4045-AC4B-E747C710BE9D}" name="LoadingUn"/>
    <tableColumn id="5" xr3:uid="{B17CE4FE-CF13-49D1-8808-0793518F35B1}" name="LoadingNum"/>
    <tableColumn id="6" xr3:uid="{77AC20A0-CAA6-4A49-8A65-F062B1A7553F}" name="ConvertedLoading"/>
    <tableColumn id="7" xr3:uid="{53162526-24FA-4B68-8866-7C1DD53E4CD8}" name="ConvertedLoadingUn"/>
    <tableColumn id="8" xr3:uid="{E4F43CF0-2214-4B4F-AD35-B4396C60F3A2}" name="CoupArea"/>
    <tableColumn id="9" xr3:uid="{0CD3684E-B9C9-4DA4-82F0-5396EF47CAC5}" name="CoupAreaUn"/>
    <tableColumn id="10" xr3:uid="{BC8A1F21-8AE0-49A3-B252-4AFF53BA4465}" name="ConvertedCoupArea"/>
    <tableColumn id="11" xr3:uid="{E2E6F913-248E-4D30-90A4-D90DD3B0DF56}" name="ConvertedCoupAreaUn"/>
    <tableColumn id="12" xr3:uid="{2DE019EF-F9BD-49B3-940B-FC13E764A677}" name="Rinsate"/>
    <tableColumn id="13" xr3:uid="{94E19EE5-0D5C-47BF-8856-329018136FF1}" name="RinsateUn"/>
    <tableColumn id="14" xr3:uid="{791B440C-9D07-4562-B581-CDFABB98B01C}" name="ConcDoseCtrl"/>
    <tableColumn id="15" xr3:uid="{4AC3778F-DC92-4B69-890B-B21D3C809E03}" name="ConcDoseNum"/>
    <tableColumn id="16" xr3:uid="{1FFA8337-F297-486B-93E7-7F415420C35A}" name="ConcDoseUn"/>
    <tableColumn id="17" xr3:uid="{97CDB99E-410B-40FE-8184-AD856730C8D5}" name="ConvertedConcDose"/>
    <tableColumn id="18" xr3:uid="{0D6788E4-D364-492D-B9E7-17AC3157D323}" name="ConvertedConcDoseUn"/>
    <tableColumn id="19" xr3:uid="{7E774E25-EC5A-4367-AA84-80A7932F1B69}" name="TempCtrl"/>
    <tableColumn id="20" xr3:uid="{CE5CD444-94FD-483D-92DE-59A24CBB4129}" name="TempNum"/>
    <tableColumn id="21" xr3:uid="{9F7D454A-D5B1-482B-9A59-BC80B69D9AE0}" name="RHCtrl"/>
    <tableColumn id="22" xr3:uid="{C4B091AF-D9A2-4739-8822-5C4DF692F9B3}" name="RHNum"/>
    <tableColumn id="23" xr3:uid="{72EAA5AC-59C5-4B50-AB1F-C1CB31F93946}" name="SurfMed"/>
    <tableColumn id="24" xr3:uid="{B0852824-9A6F-43FE-9EA9-094BC165E37C}" name="ContTimeDesc"/>
    <tableColumn id="25" xr3:uid="{BE8384C3-BBEC-4D2B-93C8-0B036CE10273}" name="ContTimeNumMin"/>
    <tableColumn id="26" xr3:uid="{8C6F827C-D910-4FFF-BB81-F98CEA54C261}" name="TotalApp"/>
    <tableColumn id="27" xr3:uid="{AF8F83A4-6331-4BA0-B739-DDBE64DC2D09}" name="EffGreater"/>
    <tableColumn id="28" xr3:uid="{0FA04A74-7338-4E0A-8E8A-04669ABECA43}" name="Eff"/>
    <tableColumn id="29" xr3:uid="{41E9FFAF-BEF8-419D-AD3B-A825358861B1}" name="EffMeas"/>
    <tableColumn id="30" xr3:uid="{9121ADC7-22AB-43E2-9E6D-BE79425E6F34}" name="EffVar"/>
    <tableColumn id="31" xr3:uid="{3D3C49FF-E9C5-46E7-B8BD-0346EBC2C16B}" name="EffVarStat"/>
    <tableColumn id="32" xr3:uid="{B4278483-E474-434D-B153-16EC356697BD}" name="ConvertedEff"/>
    <tableColumn id="33" xr3:uid="{5527BA82-1F35-4DE5-B4DA-7FF328E79708}" name="ConvertedEffMeas"/>
    <tableColumn id="34" xr3:uid="{4421C06B-393A-4CF0-842D-31E1E46FB960}" name="LPosRec"/>
    <tableColumn id="35" xr3:uid="{A584C09B-14B9-43F2-9E69-8D49D5527C2C}" name="N"/>
    <tableColumn id="36" xr3:uid="{944B02EA-CE03-4275-8A91-7A6518E3CF8D}" name="MatComp"/>
    <tableColumn id="37" xr3:uid="{10B7DB1F-57D7-444B-90F8-0BB5A6FFCFC3}" name="VolApp"/>
    <tableColumn id="38" xr3:uid="{59B480C6-CE77-4E15-88AC-91FB1CA683E1}" name="VolAppUn"/>
    <tableColumn id="39" xr3:uid="{85965BBB-7249-454F-B1BB-2E56177A9ECA}" name="ConvertedVolApp"/>
    <tableColumn id="40" xr3:uid="{614C1A4D-ADE9-4085-A62B-7BB9E0F98C30}" name="ConvertedVolAppUn"/>
    <tableColumn id="41" xr3:uid="{5157A75B-BF3C-4E0A-BE43-7433E8ED7823}" name="CT"/>
    <tableColumn id="42" xr3:uid="{CD80163F-5A7E-4E3C-B133-1AF46E9F1E0D}" name="CTUn"/>
    <tableColumn id="43" xr3:uid="{D99C7028-98A4-4566-91EE-91C805284EB4}" name="RinsateLess"/>
    <tableColumn id="44" xr3:uid="{47362257-5A96-45EF-B48D-0D8CF627D46A}" name="Positives"/>
    <tableColumn id="45" xr3:uid="{CE225C6F-DAC8-4857-92E6-0E5E6513D4CD}" name="WaterRinse"/>
    <tableColumn id="46" xr3:uid="{CE9BA277-F229-4D59-8786-0716F897EF9A}" name="Surface"/>
    <tableColumn id="47" xr3:uid="{DC9B3E8E-AC15-40E5-8F1B-EFAA2FBD5651}" name="VolAppDen(L/m^2)"/>
    <tableColumn id="48" xr3:uid="{91CA7C5B-FAA5-463E-A534-766EBB16F186}" name="VolAppDenUn"/>
    <tableColumn id="49" xr3:uid="{7D21B700-B7AF-4915-A6CF-A110465870C8}" name="ClO2(ppm)"/>
    <tableColumn id="50" xr3:uid="{D8985FD5-D649-4E95-8858-59E4EAB68422}" name="MB(mg/L)"/>
    <tableColumn id="51" xr3:uid="{A252B073-47B8-4605-9B72-ADEE6D1C20BC}" name="H2O2(ppm)"/>
    <tableColumn id="52" xr3:uid="{20CBD366-2B59-4553-8375-C7AF67270E8B}" name="PosCalc"/>
    <tableColumn id="53" xr3:uid="{F8029DFE-2590-4FF7-B119-8962A93D752C}" name="LPosRecCalc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D03A58-B2F7-4568-A70B-2A0D04C83815}" name="LiquidDropperMaster" displayName="LiquidDropperMaster" ref="A1:BA3" totalsRowShown="0" headerRowDxfId="31" headerRowBorderDxfId="30" tableBorderDxfId="29">
  <autoFilter ref="A1:BA3" xr:uid="{A30FC7ED-A17C-4429-9A3F-8E7DC6CDC6F9}"/>
  <tableColumns count="53">
    <tableColumn id="1" xr3:uid="{0BD2D6C5-AF8D-47F5-805A-99F4E35A7445}" name="Ref"/>
    <tableColumn id="2" xr3:uid="{A01DD6DB-B3A8-4DE6-B9EA-713EC47DE8DC}" name="GrimeDirt"/>
    <tableColumn id="3" xr3:uid="{84407F70-0A00-4CA5-9DA5-168E101F2081}" name="AppMeth"/>
    <tableColumn id="4" xr3:uid="{15325868-8F4A-4C2C-9682-B0B1DA14DD8D}" name="LoadingUn"/>
    <tableColumn id="5" xr3:uid="{5C83F2AB-0C23-45C7-A582-07F4B646D614}" name="LoadingNum"/>
    <tableColumn id="6" xr3:uid="{B9A5ACFC-8F55-4794-9F8C-4FC3A008C903}" name="ConvertedLoading"/>
    <tableColumn id="7" xr3:uid="{E4ACE578-3F4B-4D82-94AC-0D7B76F30619}" name="ConvertedLoadingUn"/>
    <tableColumn id="8" xr3:uid="{F55732DA-1DE2-47BB-AA63-DB183CFE8F62}" name="CoupArea"/>
    <tableColumn id="9" xr3:uid="{4E091549-B838-4732-BF42-66190773C89D}" name="CoupAreaUn"/>
    <tableColumn id="10" xr3:uid="{780CC1C6-FF90-4259-9873-BF6C3EE64F63}" name="ConvertedCoupArea"/>
    <tableColumn id="11" xr3:uid="{7D308243-F518-41AB-840D-726F7D67D220}" name="ConvertedCoupAreaUn"/>
    <tableColumn id="12" xr3:uid="{B0BD2726-045D-4B68-83AE-DE32EDD7176D}" name="Rinsate"/>
    <tableColumn id="13" xr3:uid="{9E10CD5C-F221-433C-9DF4-48CCA9D87D89}" name="RinsateUn"/>
    <tableColumn id="14" xr3:uid="{8456CFC1-C4F5-42DD-AC8C-FCCC753BC599}" name="ConcDoseCtrl"/>
    <tableColumn id="15" xr3:uid="{A24B8DC6-67E0-436A-9BB2-7363823B1301}" name="ConcDoseNum"/>
    <tableColumn id="16" xr3:uid="{FF26184A-A5E6-409A-B5BE-8710CCCB31C6}" name="ConcDoseUn"/>
    <tableColumn id="17" xr3:uid="{76F39B5D-FA39-4657-B212-3A5DCDE92BC6}" name="ConvertedConcDose"/>
    <tableColumn id="18" xr3:uid="{D0160ECE-84D4-4E96-8E7C-B8CF0DA98909}" name="ConvertedConcDoseUn"/>
    <tableColumn id="19" xr3:uid="{09A37F0A-E1C9-4CAF-8029-582AF67D9112}" name="TempCtrl"/>
    <tableColumn id="20" xr3:uid="{17F02100-231F-456F-9D8C-E6C856574497}" name="TempNum"/>
    <tableColumn id="21" xr3:uid="{70808202-3FDF-48DB-9737-E8F3BC2368E3}" name="RHCtrl"/>
    <tableColumn id="22" xr3:uid="{E0063782-70EA-4DBC-9C59-73BE7AA8E1CE}" name="RHNum"/>
    <tableColumn id="23" xr3:uid="{FD482007-CE56-4D6E-9782-881F38043684}" name="SurfMed"/>
    <tableColumn id="24" xr3:uid="{093B9E1B-E836-487D-804C-8D646029AB5E}" name="ContTimeDesc"/>
    <tableColumn id="25" xr3:uid="{A2924ADD-F249-4EC2-8150-FAF4B5EE8398}" name="ContTimeNumMin"/>
    <tableColumn id="26" xr3:uid="{82EF5A67-FA6E-4235-88E4-BA41FF6DC03B}" name="TotalApp"/>
    <tableColumn id="27" xr3:uid="{4A2ADE04-DA64-4A25-9D46-9B308042E6F9}" name="EffGreater"/>
    <tableColumn id="28" xr3:uid="{217483F0-2C80-4CD5-8EB2-AD24EB2AFC55}" name="Eff"/>
    <tableColumn id="29" xr3:uid="{861B64A4-EBD4-467B-BFB4-3A076BA3D2F0}" name="EffMeas"/>
    <tableColumn id="30" xr3:uid="{9DA48FBC-8F5A-43FD-8515-6971B657B2D4}" name="EffVar"/>
    <tableColumn id="31" xr3:uid="{0800732D-8A6C-4B07-ABBD-ACC7055755DA}" name="EffVarStat"/>
    <tableColumn id="32" xr3:uid="{B069FCBC-A7E0-4B07-AE6C-109CEFCFAFA2}" name="ConvertedEff"/>
    <tableColumn id="33" xr3:uid="{DBB1163B-B161-469E-B9B4-FF5CCC9A5232}" name="ConvertedEffMeas"/>
    <tableColumn id="34" xr3:uid="{9C5A1988-70DD-47DA-83E6-835C3C866AF1}" name="LPosRec"/>
    <tableColumn id="35" xr3:uid="{CDA1594B-B28D-4EA9-9D46-4C0534D75CB5}" name="N"/>
    <tableColumn id="36" xr3:uid="{F65AE2CF-6296-43C9-B7DD-25C863438095}" name="MatComp"/>
    <tableColumn id="37" xr3:uid="{DE7B92F0-0578-4DF7-9D09-F86D22B72F49}" name="VolApp"/>
    <tableColumn id="38" xr3:uid="{623583A9-F726-4D44-A475-DF8BD75B2CFF}" name="VolAppUn"/>
    <tableColumn id="39" xr3:uid="{4F617BE3-8030-4958-B8C3-75AE8C494CEF}" name="ConvertedVolApp"/>
    <tableColumn id="40" xr3:uid="{2DFF63CD-455E-4C48-AD03-718596BB28A8}" name="ConvertedVolAppUn"/>
    <tableColumn id="41" xr3:uid="{72513518-45B4-4314-8B52-A5FE13E7E295}" name="CT"/>
    <tableColumn id="42" xr3:uid="{2E84A8FD-BE23-4EE3-B739-714A2D9B1FD1}" name="CTUn"/>
    <tableColumn id="43" xr3:uid="{63B3CD22-7BCF-4CC4-A94C-FDA0A76E08C6}" name="RinsateLess"/>
    <tableColumn id="44" xr3:uid="{A9695F43-2D86-435F-85D4-4DC2E3005054}" name="Positives"/>
    <tableColumn id="45" xr3:uid="{2E1E82C8-453B-4A45-8E41-2DBCA57A6726}" name="WaterRinse"/>
    <tableColumn id="46" xr3:uid="{B1A34CC0-156F-41E3-8A51-DC122DF1E7AA}" name="Surface"/>
    <tableColumn id="47" xr3:uid="{CDC4B83E-EA94-45A9-B5F0-BD3C64DCCDCB}" name="VolAppDen(L/m^2)"/>
    <tableColumn id="48" xr3:uid="{4029CE38-2865-40CB-83A8-80B5ABBA4FDC}" name="VolAppDenUn"/>
    <tableColumn id="49" xr3:uid="{9E076CE5-C249-44AE-9F6A-1723CABB9872}" name="ClO2(ppm)"/>
    <tableColumn id="50" xr3:uid="{01721082-97F1-44EA-8382-861DADA3CB81}" name="MB(mg/L)"/>
    <tableColumn id="51" xr3:uid="{FB8FEE34-D338-4A76-AAD2-93934BEEE73F}" name="H2O2(ppm)"/>
    <tableColumn id="52" xr3:uid="{0141A1EA-E2A1-44C6-802C-AC2A0A53A944}" name="PosCalc"/>
    <tableColumn id="53" xr3:uid="{0B55D99A-DAA5-42A4-9A1B-9490CDC2E02C}" name="LPosRecCalc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C4D9E7E-D544-44E5-94D3-0C09EF0D9856}" name="LiquidImmersionMaster" displayName="LiquidImmersionMaster" ref="A1:BA820" totalsRowShown="0" headerRowDxfId="27" headerRowBorderDxfId="26" tableBorderDxfId="25">
  <autoFilter ref="A1:BA820" xr:uid="{44204ECD-F2B8-4980-8955-E66A127D7938}"/>
  <tableColumns count="53">
    <tableColumn id="1" xr3:uid="{3E6F79B2-0B56-45AB-9517-30C2292A98BA}" name="Ref"/>
    <tableColumn id="2" xr3:uid="{0718987A-8513-4AB4-A222-CE3A5C5B32F7}" name="GrimeDirt"/>
    <tableColumn id="3" xr3:uid="{9BE0CA1F-31F7-4770-AA2F-04E8B03C4DBA}" name="AppMeth"/>
    <tableColumn id="4" xr3:uid="{44A75E82-34E6-409B-8FD0-0A6930D6543D}" name="LoadingUn"/>
    <tableColumn id="5" xr3:uid="{37FC4ACD-57F0-4350-9F90-522FD98FE11C}" name="LoadingNum"/>
    <tableColumn id="6" xr3:uid="{90DA9ADC-5AC0-4851-8FA7-15FA803211A6}" name="ConvertedLoading"/>
    <tableColumn id="7" xr3:uid="{F556F71D-53A9-4054-8C0A-C1E3B0B6C9AF}" name="ConvertedLoadingUn"/>
    <tableColumn id="8" xr3:uid="{4D53C870-A315-4350-B14F-6BBD7FF51BB8}" name="CoupArea"/>
    <tableColumn id="9" xr3:uid="{B1357525-3A27-40A4-93B0-3D2B1414D18D}" name="CoupAreaUn"/>
    <tableColumn id="10" xr3:uid="{F443DFBD-B12A-48C9-A602-9D676771F2DC}" name="ConvertedCoupArea"/>
    <tableColumn id="11" xr3:uid="{3925C092-17A3-4B6B-B86B-FD60885B7CAD}" name="ConvertedCoupAreaUn"/>
    <tableColumn id="12" xr3:uid="{8A976A92-672F-4606-BA95-1244B7E3D8E8}" name="Rinsate"/>
    <tableColumn id="13" xr3:uid="{97BC6CD4-788A-43AA-8765-A763C32E2F0B}" name="RinsateUn"/>
    <tableColumn id="14" xr3:uid="{CA3BFCDD-5E4F-4745-BD00-F62D724A468F}" name="ConcDoseCtrl"/>
    <tableColumn id="15" xr3:uid="{8F5D9292-762F-43D9-8B45-0A2ACC1E9556}" name="ConcDoseNum"/>
    <tableColumn id="16" xr3:uid="{A505C504-B1CB-4617-A05E-C4C9F88E0C3A}" name="ConcDoseUn"/>
    <tableColumn id="17" xr3:uid="{8D731B5D-C8FA-4F61-9E51-70D72FAFD12E}" name="ConvertedConcDose"/>
    <tableColumn id="18" xr3:uid="{01D4BE56-4E92-4773-9454-113A743D39D1}" name="ConvertedConcDoseUn"/>
    <tableColumn id="19" xr3:uid="{E55EE9B7-D737-4DE5-A8E2-26A21AE85F33}" name="TempCtrl"/>
    <tableColumn id="20" xr3:uid="{7FE569D7-115E-4FF9-B576-DE2357EB0A9C}" name="TempNum"/>
    <tableColumn id="21" xr3:uid="{9D1C6C0A-21F3-4399-9541-0589D34CA5D6}" name="RHCtrl"/>
    <tableColumn id="22" xr3:uid="{71A57C79-3866-43B4-8B9F-7089C9C4C5B4}" name="RHNum"/>
    <tableColumn id="23" xr3:uid="{0ECE2F3D-54DA-42EA-BFFC-E2D3457C6AF9}" name="SurfMed"/>
    <tableColumn id="24" xr3:uid="{D004C188-D112-4989-9E9D-648B99D2DDE2}" name="ContTimeDesc"/>
    <tableColumn id="25" xr3:uid="{F68F474F-8949-4DAD-A1A7-8C69154DAC95}" name="ContTimeNumMin"/>
    <tableColumn id="26" xr3:uid="{87EBAB9D-9E18-4078-A8C7-5CF5F069B28B}" name="TotalApp"/>
    <tableColumn id="27" xr3:uid="{6667A50B-723C-48EC-9466-9DCC5C44A555}" name="EffGreater"/>
    <tableColumn id="28" xr3:uid="{1E9CBC86-99C5-4BC4-BB4A-C7F7D1CAFA55}" name="Eff"/>
    <tableColumn id="29" xr3:uid="{4BBDEEC2-9E10-4EBD-8D9F-BA817F41875C}" name="EffMeas"/>
    <tableColumn id="30" xr3:uid="{7F097B18-8247-4D73-B02E-2731BF16B2E2}" name="EffVar"/>
    <tableColumn id="31" xr3:uid="{A14C7C72-D761-4638-AF19-9E7A607FB1B4}" name="EffVarStat"/>
    <tableColumn id="32" xr3:uid="{DFF96F8D-EB42-49A9-9B6A-CF2A59248536}" name="ConvertedEff"/>
    <tableColumn id="33" xr3:uid="{A6B1EF33-F737-4E6F-AB9A-1C2ADA36B22A}" name="ConvertedEffMeas"/>
    <tableColumn id="34" xr3:uid="{EA78B809-3862-4DF3-98EF-27D9EFE67222}" name="LPosRec"/>
    <tableColumn id="35" xr3:uid="{190AB7E2-FD2B-48DB-A21C-184861CAD179}" name="N"/>
    <tableColumn id="36" xr3:uid="{85AA87E0-2FDE-46C0-945C-A9E0F161DFC8}" name="MatComp"/>
    <tableColumn id="37" xr3:uid="{3720F3EC-7128-4D27-AB40-1A61864A2819}" name="VolApp"/>
    <tableColumn id="38" xr3:uid="{B9EE5564-71C7-4752-849F-4E461FC43697}" name="VolAppUn"/>
    <tableColumn id="39" xr3:uid="{03808D1D-6570-4F5A-A097-AB35051DA7D1}" name="ConvertedVolApp"/>
    <tableColumn id="40" xr3:uid="{710BFF23-AE8A-420B-9D0F-6B79C31A2D8F}" name="ConvertedVolAppUn"/>
    <tableColumn id="41" xr3:uid="{DB4AA2F2-54C2-4597-8804-52261E3FF8A6}" name="CT"/>
    <tableColumn id="42" xr3:uid="{FB64A200-76BE-4207-B29F-E4EC95245C77}" name="CTUn"/>
    <tableColumn id="43" xr3:uid="{3EF68DAA-D52D-4AED-8A63-45C41B4C9D82}" name="RinsateLess"/>
    <tableColumn id="44" xr3:uid="{CCA2E41F-A0F9-4436-AF71-1FC6219A91A5}" name="Positives"/>
    <tableColumn id="45" xr3:uid="{B9B8947B-9D4D-4D08-8EFE-BC2A167342DB}" name="WaterRinse"/>
    <tableColumn id="46" xr3:uid="{BD019D9B-D443-416C-A767-CE48C695000F}" name="Surface"/>
    <tableColumn id="47" xr3:uid="{B15177E8-801E-471B-B41C-BD9EB139F0C5}" name="VolAppDen(L/m^2)"/>
    <tableColumn id="48" xr3:uid="{86FFD03A-AF68-414C-926A-58A39CCD87B8}" name="VolAppDenUn"/>
    <tableColumn id="49" xr3:uid="{322A8677-B3E8-4EF3-B110-A9F791C27B1B}" name="ClO2(ppm)"/>
    <tableColumn id="50" xr3:uid="{358B76CF-3ADE-4591-ADD3-ACE9131E2EA2}" name="MB(mg/L)"/>
    <tableColumn id="51" xr3:uid="{81618F2A-F997-451A-A4DA-ABD72981AECC}" name="H2O2(ppm)"/>
    <tableColumn id="52" xr3:uid="{539B2DFB-4D50-4270-8F68-3FD08448297A}" name="PosCalc"/>
    <tableColumn id="53" xr3:uid="{FB7C408E-0EA1-4417-B824-A3DD808D8797}" name="LPosRecCalc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3781C7-7DF5-469F-83B8-89A3156979E7}" name="LiquidSprayMaster" displayName="LiquidSprayMaster" ref="A1:BA809" totalsRowShown="0" headerRowDxfId="23" headerRowBorderDxfId="22" tableBorderDxfId="21">
  <autoFilter ref="A1:BA809" xr:uid="{E3295C6F-02C1-406D-B44B-D02B30400830}"/>
  <tableColumns count="53">
    <tableColumn id="1" xr3:uid="{7FAAFCF3-F83A-43A4-9B92-4E4C393DCC3F}" name="Ref"/>
    <tableColumn id="2" xr3:uid="{B124A623-549B-4E56-B6BD-60552481ECE4}" name="GrimeDirt"/>
    <tableColumn id="3" xr3:uid="{5D27DB4B-1948-4731-881F-4765797BE296}" name="AppMeth"/>
    <tableColumn id="4" xr3:uid="{F3251B22-6187-4FD8-8D02-3EE2545BA358}" name="LoadingUn"/>
    <tableColumn id="5" xr3:uid="{2301FD35-166A-4889-AC4B-56920732E764}" name="LoadingNum"/>
    <tableColumn id="6" xr3:uid="{7B0653B4-8092-4D8E-8409-A3C22C9D3AF5}" name="ConvertedLoading"/>
    <tableColumn id="7" xr3:uid="{C193CCB9-3E8D-4A8F-A7B0-E61020A5E7DF}" name="ConvertedLoadingUn"/>
    <tableColumn id="8" xr3:uid="{7FA64201-3F28-4A0F-A84C-89940B30087F}" name="CoupArea"/>
    <tableColumn id="9" xr3:uid="{379AC7FF-C2F6-4313-9BD2-6A8F59ED6D7F}" name="CoupAreaUn"/>
    <tableColumn id="10" xr3:uid="{262E488F-E086-419E-8CA0-D6DF2DCD4A9E}" name="ConvertedCoupArea"/>
    <tableColumn id="11" xr3:uid="{38C1EA40-1E83-4178-8C41-B2417A8245D1}" name="ConvertedCoupAreaUn"/>
    <tableColumn id="12" xr3:uid="{19034707-6567-4370-ABD4-EEC8792BA6AA}" name="Rinsate"/>
    <tableColumn id="13" xr3:uid="{8936B54E-C77A-4035-B0BB-CF39AD7F33BF}" name="RinsateUn"/>
    <tableColumn id="14" xr3:uid="{43E7BC40-4269-458A-8918-0D77394D83D3}" name="ConcDoseCtrl"/>
    <tableColumn id="15" xr3:uid="{A7ECD421-E5D9-430B-8713-ACDCF5B3735F}" name="ConcDoseNum"/>
    <tableColumn id="16" xr3:uid="{7AD8F066-D130-4A6B-B4CD-8D7C3D35FBF6}" name="ConcDoseUn"/>
    <tableColumn id="17" xr3:uid="{67F49BF8-AB7C-4378-9EFC-42A60E839931}" name="ConvertedConcDose"/>
    <tableColumn id="18" xr3:uid="{A301CC00-F985-4EEF-BF5C-D86D5FDF472D}" name="ConvertedConcDoseUn"/>
    <tableColumn id="19" xr3:uid="{E0E5AC76-0379-4A95-A1BC-FF0588461CAB}" name="TempCtrl"/>
    <tableColumn id="20" xr3:uid="{DC586092-11F1-4F06-B148-CA0A8E5A9500}" name="TempNum"/>
    <tableColumn id="21" xr3:uid="{DC3732F1-453B-4BCB-8073-29CED3E6952A}" name="RHCtrl"/>
    <tableColumn id="22" xr3:uid="{DD423FA8-8A25-47E8-8204-0290055674D0}" name="RHNum"/>
    <tableColumn id="23" xr3:uid="{200C6CB4-808C-48CA-B197-8D2994DE56B9}" name="SurfMed"/>
    <tableColumn id="24" xr3:uid="{2881E00B-6BB8-4A7F-8477-4B2EED01C214}" name="ContTimeDesc"/>
    <tableColumn id="25" xr3:uid="{32D37729-B555-4FC9-992A-5994EE4FDFF9}" name="ContTimeNumMin"/>
    <tableColumn id="26" xr3:uid="{781FCE04-4B0F-4E9C-B687-3B081FC582A5}" name="TotalApp"/>
    <tableColumn id="27" xr3:uid="{F7E88E01-8E2C-499D-BD47-F9AF7C883A45}" name="EffGreater"/>
    <tableColumn id="28" xr3:uid="{A0374256-5FFB-4A75-BF4A-67231BB33F2F}" name="Eff"/>
    <tableColumn id="29" xr3:uid="{11A930ED-DD6B-40F3-AAAC-E2D63B1A3C7F}" name="EffMeas"/>
    <tableColumn id="30" xr3:uid="{37D7A151-D417-4A54-8FA4-CE31FA7241A0}" name="EffVar"/>
    <tableColumn id="31" xr3:uid="{D2ACED27-6859-44CB-8E98-99977E6F2BAF}" name="EffVarStat"/>
    <tableColumn id="32" xr3:uid="{471E9811-107C-4D77-A3F8-6900CF5D9CEC}" name="ConvertedEff"/>
    <tableColumn id="33" xr3:uid="{B35D7A4A-CF21-484E-A76E-18B829A798FB}" name="ConvertedEffMeas"/>
    <tableColumn id="34" xr3:uid="{FFEA7D37-C638-47BD-8E18-E157D5B59DB5}" name="LPosRec"/>
    <tableColumn id="35" xr3:uid="{F3E585AB-6EC5-4A78-8C47-1BE56F7EB440}" name="N"/>
    <tableColumn id="36" xr3:uid="{A5A9F3BD-8D9B-44C6-B3DC-000EC484062D}" name="MatComp"/>
    <tableColumn id="37" xr3:uid="{590D30A7-58FF-47FC-A07C-6BBD276DD7E6}" name="VolApp"/>
    <tableColumn id="38" xr3:uid="{34D14EAE-2506-45DC-B4A4-E0EE7AB5C239}" name="VolAppUn"/>
    <tableColumn id="39" xr3:uid="{116696C8-5FD3-4711-B81F-D48176727077}" name="ConvertedVolApp"/>
    <tableColumn id="40" xr3:uid="{DDC71C45-90AC-4D86-BEA4-4163495DD829}" name="ConvertedVolAppUn"/>
    <tableColumn id="41" xr3:uid="{5B7E9293-2332-4967-93A4-9F6F80DA082F}" name="CT"/>
    <tableColumn id="42" xr3:uid="{C00B741B-C9CD-4597-AED5-E1376F585692}" name="CTUn"/>
    <tableColumn id="43" xr3:uid="{A08FA3EB-6875-4468-B56E-16EC2DC98AB2}" name="RinsateLess"/>
    <tableColumn id="44" xr3:uid="{7B464122-C66D-4ACD-9336-13F8A0C629CB}" name="Positives"/>
    <tableColumn id="45" xr3:uid="{076A89CB-34C4-41D6-8F65-9D45B5E8A2FD}" name="WaterRinse"/>
    <tableColumn id="46" xr3:uid="{EDAF09A5-DCE4-4496-A925-4B02FCDB3A42}" name="Surface"/>
    <tableColumn id="47" xr3:uid="{16B87B88-92B3-4A5E-ADF3-2A158EE345E1}" name="VolAppDen(L/m^2)"/>
    <tableColumn id="48" xr3:uid="{A2DD7FF9-6AAE-4DAE-84F1-BA28A591E52D}" name="VolAppDenUn"/>
    <tableColumn id="49" xr3:uid="{C804685D-D719-4042-95DB-27BB4011F023}" name="ClO2(ppm)"/>
    <tableColumn id="50" xr3:uid="{355518D3-336B-4827-A999-A6934C95D090}" name="MB(mg/L)"/>
    <tableColumn id="51" xr3:uid="{CAB57ED1-5246-41A7-9446-0B2DB9858BE6}" name="H2O2(ppm)"/>
    <tableColumn id="52" xr3:uid="{815C01AD-DA61-4B89-9D95-884163B07042}" name="PosCalc"/>
    <tableColumn id="53" xr3:uid="{25DCE6FD-3B69-470C-8F31-F9F354C8F08B}" name="LPosRecCalc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46DAD2-0308-4AD6-A5B8-B0BBD769000C}" name="LiquidSuspensionMaster" displayName="LiquidSuspensionMaster" ref="A1:BA1681" totalsRowShown="0" headerRowDxfId="19" headerRowBorderDxfId="18" tableBorderDxfId="17">
  <autoFilter ref="A1:BA1681" xr:uid="{318986EE-8321-4FCC-BDA7-2BC3738EDF3B}"/>
  <tableColumns count="53">
    <tableColumn id="1" xr3:uid="{A749C5C4-4874-4B03-B063-CD2CBE9DA0AB}" name="Ref"/>
    <tableColumn id="2" xr3:uid="{C3F979CF-BEB3-4B02-97CC-596567059904}" name="GrimeDirt"/>
    <tableColumn id="3" xr3:uid="{E4CF6622-9FF4-4A89-9BB5-9B3E4DC271EA}" name="AppMeth"/>
    <tableColumn id="4" xr3:uid="{5C0388AF-33B3-4806-8405-DDF106AF65A2}" name="LoadingUn"/>
    <tableColumn id="5" xr3:uid="{BD04447E-36E1-4EF3-B6CA-17F99AC9A894}" name="LoadingNum"/>
    <tableColumn id="6" xr3:uid="{7F139264-F67D-416D-A3A3-02875049B183}" name="ConvertedLoading"/>
    <tableColumn id="7" xr3:uid="{ECC195C1-5A04-4B89-95EF-E2E132BC3B38}" name="ConvertedLoadingUn"/>
    <tableColumn id="8" xr3:uid="{91DA9282-10AA-402D-AEFE-E2B171218C6B}" name="CoupArea"/>
    <tableColumn id="9" xr3:uid="{D976707C-4D34-4C6C-AA80-33526952521C}" name="CoupAreaUn"/>
    <tableColumn id="10" xr3:uid="{062B5431-8531-472C-AE94-72B034917526}" name="ConvertedCoupArea"/>
    <tableColumn id="11" xr3:uid="{0E779CEB-CC25-464B-9A32-4A45CC9DBCB3}" name="ConvertedCoupAreaUn"/>
    <tableColumn id="12" xr3:uid="{E4C7145F-216F-45EF-9229-3B8DF3A90DE2}" name="Rinsate"/>
    <tableColumn id="13" xr3:uid="{619155B6-E440-4D54-8434-EAEC5941A452}" name="RinsateUn"/>
    <tableColumn id="14" xr3:uid="{703E8965-B392-4534-9BC5-704BBE2A776B}" name="ConcDoseCtrl"/>
    <tableColumn id="15" xr3:uid="{8461AECB-ACCD-4A9E-8BEA-50066BECCCE6}" name="ConcDoseNum"/>
    <tableColumn id="16" xr3:uid="{31F74E41-9056-4D4C-AA7C-73E80EFBE6FD}" name="ConcDoseUn"/>
    <tableColumn id="17" xr3:uid="{BD7C06D2-A4BA-48AE-AAE3-18261AEB018C}" name="ConvertedConcDose"/>
    <tableColumn id="18" xr3:uid="{05A1E289-91A1-4185-89BD-E834681EE521}" name="ConvertedConcDoseUn"/>
    <tableColumn id="19" xr3:uid="{E9A5B447-229F-4773-87BE-706340CF80CA}" name="TempCtrl"/>
    <tableColumn id="20" xr3:uid="{230608F3-5BE2-4D22-9C57-6821CB660BFF}" name="TempNum"/>
    <tableColumn id="21" xr3:uid="{56CF4DFF-2EBF-443E-A2AF-15C8A0A1F962}" name="RHCtrl"/>
    <tableColumn id="22" xr3:uid="{BE8BD63F-FA66-488B-A843-B481C9E49A3A}" name="RHNum"/>
    <tableColumn id="23" xr3:uid="{CEC2717C-B5EF-4858-9A7C-0A07A7CCA679}" name="SurfMed"/>
    <tableColumn id="24" xr3:uid="{4FE1A0E5-6B3B-439D-900C-F189E139DD53}" name="ContTimeDesc"/>
    <tableColumn id="25" xr3:uid="{7C51D233-BB73-41F8-9D44-15B6454A48BF}" name="ContTimeNumMin"/>
    <tableColumn id="26" xr3:uid="{BC81066D-6F62-49A1-A1E0-4BC9AC3E4A88}" name="TotalApp"/>
    <tableColumn id="27" xr3:uid="{F6190D3D-BBED-49FA-92BB-C452A1BE9DDE}" name="EffGreater"/>
    <tableColumn id="28" xr3:uid="{22CFDB2A-C93E-4AB8-8E38-09DE43BCEA11}" name="Eff"/>
    <tableColumn id="29" xr3:uid="{7B35BF89-08B2-4CF6-A9BB-3E7596FE533E}" name="EffMeas"/>
    <tableColumn id="30" xr3:uid="{721BF517-C447-4723-B1F9-C9F9B1040760}" name="EffVar"/>
    <tableColumn id="31" xr3:uid="{06FD104A-D701-48FF-BBA3-7D1C2BCC2DE2}" name="EffVarStat"/>
    <tableColumn id="32" xr3:uid="{509F091B-6095-43A6-B0CD-0C3D0D8E9967}" name="ConvertedEff"/>
    <tableColumn id="33" xr3:uid="{1565E313-308A-4F56-8D2C-11DFAB49BE0D}" name="ConvertedEffMeas"/>
    <tableColumn id="34" xr3:uid="{29423391-520F-4FF9-A2C1-2839D70374A8}" name="LPosRec"/>
    <tableColumn id="35" xr3:uid="{7E3D3399-35C3-468A-9BC4-481946FC7FE6}" name="N"/>
    <tableColumn id="36" xr3:uid="{EC0D9CDD-3F9F-4EA8-BF29-C777565AA2C7}" name="MatComp"/>
    <tableColumn id="37" xr3:uid="{A073CE09-9809-42FF-B3C9-DDBC34753894}" name="VolApp"/>
    <tableColumn id="38" xr3:uid="{17132F00-30D6-4E11-902A-96FA00FF1E11}" name="VolAppUn"/>
    <tableColumn id="39" xr3:uid="{CEF5E81D-C17C-487E-A963-C5ABD307B146}" name="ConvertedVolApp"/>
    <tableColumn id="40" xr3:uid="{75D4CDD2-F898-44E6-BCCA-E8101FCED976}" name="ConvertedVolAppUn"/>
    <tableColumn id="41" xr3:uid="{FE696E5A-0107-45B8-85B7-78905A32D13D}" name="CT"/>
    <tableColumn id="42" xr3:uid="{3B0AADC9-30F2-45A4-98EE-86AD9A8BA277}" name="CTUn"/>
    <tableColumn id="43" xr3:uid="{FB6CB39C-1C20-4E4F-A1ED-F05BA7FCEBD2}" name="RinsateLess"/>
    <tableColumn id="44" xr3:uid="{198BFA2F-7745-4706-A30B-2725EDBF6A56}" name="Positives"/>
    <tableColumn id="45" xr3:uid="{4271691B-2C97-4911-BAAB-7F2D08FA676D}" name="WaterRinse"/>
    <tableColumn id="46" xr3:uid="{C49E58C1-6786-4940-B8CD-CB2D30FBFFAC}" name="Surface"/>
    <tableColumn id="47" xr3:uid="{FE29AFA0-B07E-4E2C-977B-0213CA3310B8}" name="VolAppDen(L/m^2)"/>
    <tableColumn id="48" xr3:uid="{D6891193-2A18-4861-A91F-4B5B0029B1C7}" name="VolAppDenUn"/>
    <tableColumn id="49" xr3:uid="{0332CA74-0174-402E-805A-533155D011FE}" name="ClO2(ppm)"/>
    <tableColumn id="50" xr3:uid="{24E49E12-1710-4EC4-B991-A0F96CC82B7A}" name="MB(mg/L)"/>
    <tableColumn id="51" xr3:uid="{EED197CE-5C5F-4440-A277-FD9B6A74869C}" name="H2O2(ppm)"/>
    <tableColumn id="52" xr3:uid="{E80E1A16-0BFA-4F4C-AA7A-226B215358AE}" name="PosCalc"/>
    <tableColumn id="53" xr3:uid="{26DB298B-7ED9-4CE7-A604-CA99D877219E}" name="LPosRecCalc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EFE5C4-25C3-4E69-A147-8E8880F243EA}" name="LiquidWipeMaster" displayName="LiquidWipeMaster" ref="A1:BA38" totalsRowShown="0" headerRowDxfId="15" headerRowBorderDxfId="14" tableBorderDxfId="13">
  <autoFilter ref="A1:BA38" xr:uid="{D47EF227-5DC1-4CED-9C10-1FA261D460E4}"/>
  <tableColumns count="53">
    <tableColumn id="1" xr3:uid="{DD251BF5-8281-4C1D-93A7-27726CBA3043}" name="Ref"/>
    <tableColumn id="2" xr3:uid="{0AB9B82F-034E-4BC2-8041-FB62D5AEA04F}" name="GrimeDirt"/>
    <tableColumn id="3" xr3:uid="{A3DC90D4-37BC-4915-B9DD-F2DC5D713621}" name="AppMeth"/>
    <tableColumn id="4" xr3:uid="{C148A4EB-53AE-4DCD-89B8-4604CBA0DB44}" name="LoadingUn"/>
    <tableColumn id="5" xr3:uid="{F88BCE45-A575-4B28-AC0D-565FF446D53E}" name="LoadingNum"/>
    <tableColumn id="6" xr3:uid="{00E7E499-8564-4A39-B39E-88361C6D4F55}" name="ConvertedLoading"/>
    <tableColumn id="7" xr3:uid="{3D32E6DC-AA3D-4EA3-9E53-6370540B5F2C}" name="ConvertedLoadingUn"/>
    <tableColumn id="8" xr3:uid="{58DCB443-D7ED-4881-85D0-CB94987EED87}" name="CoupArea"/>
    <tableColumn id="9" xr3:uid="{775C7C92-6C21-402F-939D-7A929171BF8B}" name="CoupAreaUn"/>
    <tableColumn id="10" xr3:uid="{F5240104-84DD-46F8-BC11-E151156CA79A}" name="ConvertedCoupArea"/>
    <tableColumn id="11" xr3:uid="{3B9D3B6D-9E35-4508-AC32-E09F5B75D413}" name="ConvertedCoupAreaUn"/>
    <tableColumn id="12" xr3:uid="{9E7474E2-45BC-4D8F-B49E-0DA841014230}" name="Rinsate"/>
    <tableColumn id="13" xr3:uid="{C2BD2592-D907-44DD-95CC-258DD1CBF472}" name="RinsateUn"/>
    <tableColumn id="14" xr3:uid="{A5753362-B2B7-4EA4-81B9-08EA75F55BD6}" name="ConcDoseCtrl"/>
    <tableColumn id="15" xr3:uid="{3A77F9F5-5AA4-47D1-809E-B1E1B1911E00}" name="ConcDoseNum"/>
    <tableColumn id="16" xr3:uid="{BB729AF2-A36A-499A-8A4B-8CF30F0E6A92}" name="ConcDoseUn"/>
    <tableColumn id="17" xr3:uid="{8EF38543-F68B-4F41-90D4-53495F595C35}" name="ConvertedConcDose"/>
    <tableColumn id="18" xr3:uid="{F1F6C5E7-EE82-4FB3-8812-98FE4B5D4FE2}" name="ConvertedConcDoseUn"/>
    <tableColumn id="19" xr3:uid="{3EBB6182-F7B4-4AA2-8126-E48382871379}" name="TempCtrl"/>
    <tableColumn id="20" xr3:uid="{A5E0FF64-0F44-4D61-8843-6F1256C64940}" name="TempNum"/>
    <tableColumn id="21" xr3:uid="{274C1448-BE1B-48D7-B410-A88D3EADB5D5}" name="RHCtrl"/>
    <tableColumn id="22" xr3:uid="{2B540AC0-F63B-497D-8963-AF291D0A26EB}" name="RHNum"/>
    <tableColumn id="23" xr3:uid="{E14A85DE-64BA-4684-BE4E-7FF5AF328936}" name="SurfMed"/>
    <tableColumn id="24" xr3:uid="{EA7852F8-D9A2-4139-8E90-CA300A653A2C}" name="ContTimeDesc"/>
    <tableColumn id="25" xr3:uid="{A19D7569-E9B5-41E9-89DA-08D4A680F2B5}" name="ContTimeNumMin"/>
    <tableColumn id="26" xr3:uid="{0F2064E5-8D7D-474F-8535-1D30DAC46A17}" name="TotalApp"/>
    <tableColumn id="27" xr3:uid="{A6C9DA65-5838-42E3-A187-CE9085558B05}" name="EffGreater"/>
    <tableColumn id="28" xr3:uid="{C754D7E1-1EB2-438F-980F-5EEB2DC1961E}" name="Eff"/>
    <tableColumn id="29" xr3:uid="{5A344303-AFD0-4BFC-8EE3-8C3AA1CE019D}" name="EffMeas"/>
    <tableColumn id="30" xr3:uid="{8C23E6C0-D284-4C11-B825-CD1E28AD892D}" name="EffVar"/>
    <tableColumn id="31" xr3:uid="{8D9DF082-8AF2-4A51-82D5-0BCFDC14EAF6}" name="EffVarStat"/>
    <tableColumn id="32" xr3:uid="{89748851-327D-4B23-84D1-8C0AB80BB694}" name="ConvertedEff"/>
    <tableColumn id="33" xr3:uid="{766E0448-C81C-45A3-925E-B581262B4056}" name="ConvertedEffMeas"/>
    <tableColumn id="34" xr3:uid="{DFA962AC-2390-43FA-8B42-D92F9CC87C29}" name="LPosRec"/>
    <tableColumn id="35" xr3:uid="{BFA53003-23EF-45EF-913C-12406BFFBB88}" name="N"/>
    <tableColumn id="36" xr3:uid="{F79F3226-5196-414B-841C-D308E2B4E5CA}" name="MatComp"/>
    <tableColumn id="37" xr3:uid="{05D50F07-421E-40B9-9866-01F582C8D4E9}" name="VolApp"/>
    <tableColumn id="38" xr3:uid="{494635DA-C3A2-4E9F-807F-622DEB4E915C}" name="VolAppUn"/>
    <tableColumn id="39" xr3:uid="{933CD56D-561C-4E72-BC60-F861B4A3808E}" name="ConvertedVolApp"/>
    <tableColumn id="40" xr3:uid="{C20158C2-6741-4725-B82C-5FB4060C3EE4}" name="ConvertedVolAppUn"/>
    <tableColumn id="41" xr3:uid="{F982286A-3561-4DD0-BECB-08ACF55B4D8F}" name="CT"/>
    <tableColumn id="42" xr3:uid="{205FF901-88D2-4C31-A61F-43F642A6BC84}" name="CTUn"/>
    <tableColumn id="43" xr3:uid="{065D33F3-ECC2-4317-A502-2597E36D50CB}" name="RinsateLess"/>
    <tableColumn id="44" xr3:uid="{1FD3246D-067B-4EC4-9B2F-C7451B3E2E64}" name="Positives"/>
    <tableColumn id="45" xr3:uid="{22776610-6218-4A02-8BD0-E9C7367C13A5}" name="WaterRinse"/>
    <tableColumn id="46" xr3:uid="{973E70FA-26C7-4B3B-876C-D5A3573EAF07}" name="Surface"/>
    <tableColumn id="47" xr3:uid="{DDEEB9F9-BCE2-4455-A73B-C3DEB068A043}" name="VolAppDen(L/m^2)"/>
    <tableColumn id="48" xr3:uid="{2CFBAF57-4BA4-4ED7-B359-40FE8B31A4FD}" name="VolAppDenUn"/>
    <tableColumn id="49" xr3:uid="{5433DD81-91CF-492C-A451-703C9128C9D4}" name="ClO2(ppm)"/>
    <tableColumn id="50" xr3:uid="{BFFD54B7-3E21-41FB-AB4D-C8E7D0065CF7}" name="MB(mg/L)"/>
    <tableColumn id="51" xr3:uid="{78DDDCBE-6343-4119-8215-978D566A96D4}" name="H2O2(ppm)"/>
    <tableColumn id="52" xr3:uid="{192C72CD-D80F-4D17-9982-1EAEBA1A973C}" name="PosCalc"/>
    <tableColumn id="53" xr3:uid="{496D550F-2546-4F47-A6E2-452E508A512B}" name="LPosRecCalc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57645CC-FF7F-4D21-B529-D292C0438712}" name="PhysicalMaster" displayName="PhysicalMaster" ref="A1:BA1102" totalsRowShown="0" headerRowDxfId="11" headerRowBorderDxfId="10" tableBorderDxfId="9">
  <autoFilter ref="A1:BA1102" xr:uid="{27DE3BC0-4F0A-456D-84DB-163647EEF455}">
    <filterColumn colId="10">
      <filters>
        <filter val="m^3"/>
      </filters>
    </filterColumn>
  </autoFilter>
  <tableColumns count="53">
    <tableColumn id="1" xr3:uid="{DAF34316-6A50-42D3-A70B-F84D5E2AC425}" name="Ref"/>
    <tableColumn id="2" xr3:uid="{D72AD255-242D-4003-9C8F-E86A495DD031}" name="GrimeDirt"/>
    <tableColumn id="3" xr3:uid="{2ECB30D7-E742-401C-843E-5389E73C05D9}" name="AppMeth"/>
    <tableColumn id="4" xr3:uid="{E33B3145-BBA8-49F7-85BF-075E270F4C13}" name="LoadingUn"/>
    <tableColumn id="5" xr3:uid="{68A623BC-A1E6-4138-ADA7-FEE31785BAED}" name="LoadingNum"/>
    <tableColumn id="6" xr3:uid="{9D86074F-C423-4742-B53E-F9045922E1E3}" name="ConvertedLoading"/>
    <tableColumn id="7" xr3:uid="{F22B8249-7CD4-4714-ADB0-1DC889913578}" name="ConvertedLoadingUn"/>
    <tableColumn id="8" xr3:uid="{8491AEA5-C161-4218-A2C6-F8C266C79225}" name="CoupArea"/>
    <tableColumn id="9" xr3:uid="{077A2BD0-89DF-42D5-A00E-F33AF8A6E155}" name="CoupAreaUn"/>
    <tableColumn id="10" xr3:uid="{ECFF918A-6E4F-4543-8A4B-D10E18876FD6}" name="ConvertedCoupArea"/>
    <tableColumn id="11" xr3:uid="{E6585B86-9C1E-4D37-9742-478331F69456}" name="ConvertedCoupAreaUn"/>
    <tableColumn id="12" xr3:uid="{D814DBB1-7ACD-4C11-A94D-0D0210E30E45}" name="Rinsate"/>
    <tableColumn id="13" xr3:uid="{27FDCD15-F089-4733-8AEC-3BC50093AF11}" name="RinsateUn"/>
    <tableColumn id="14" xr3:uid="{E523A643-81DC-4C4F-B808-B3A1E5DBF4BC}" name="ConcDoseCtrl"/>
    <tableColumn id="15" xr3:uid="{53A139A8-F1BF-49A4-B9C0-DF8013D63104}" name="ConcDoseNum"/>
    <tableColumn id="16" xr3:uid="{43C4EAD6-6AEF-41B3-A58B-983BDB531EC2}" name="ConcDoseUn"/>
    <tableColumn id="17" xr3:uid="{4705C85D-A785-4A8B-949B-C83E799CDDA4}" name="ConvertedConcDose"/>
    <tableColumn id="18" xr3:uid="{A2671052-9CF7-4041-A17D-82CFCFBC3D5A}" name="ConvertedConcDoseUn"/>
    <tableColumn id="19" xr3:uid="{F13BA9A9-DDFB-44DE-BB5E-25A65AB10542}" name="TempCtrl"/>
    <tableColumn id="20" xr3:uid="{A6233177-716D-4BF2-9653-AAD37B208A43}" name="TempNum"/>
    <tableColumn id="21" xr3:uid="{7CB8B800-F1E5-49DB-96FD-00350CE3A20B}" name="RHCtrl"/>
    <tableColumn id="22" xr3:uid="{BE7329FF-D1E3-4D45-949A-B267B117D100}" name="RHNum"/>
    <tableColumn id="23" xr3:uid="{53488515-5EB8-45DE-8396-711B733537AE}" name="SurfMed"/>
    <tableColumn id="24" xr3:uid="{8E764721-F284-433B-8A8F-747D1839BC6B}" name="ContTimeDesc"/>
    <tableColumn id="25" xr3:uid="{787FDC17-46C1-4CD1-AA6E-6AC0736708C3}" name="ContTimeNumMin"/>
    <tableColumn id="26" xr3:uid="{BF0E747E-CC5C-4FB5-A067-A6FC44EAF7F3}" name="TotalApp"/>
    <tableColumn id="27" xr3:uid="{2EEF7831-F853-4BB0-8E74-E7CD00AA496E}" name="EffGreater"/>
    <tableColumn id="28" xr3:uid="{DC1C54C0-3683-4959-8463-422EFC5CA7FF}" name="Eff"/>
    <tableColumn id="29" xr3:uid="{4AEE2452-3805-426C-BE16-174C1C939641}" name="EffMeas"/>
    <tableColumn id="30" xr3:uid="{B65BFF8E-E5A2-43A1-9684-A19AD5C923FB}" name="EffVar"/>
    <tableColumn id="31" xr3:uid="{DBDA67A5-236C-4B4E-9675-AC00B7C77BF3}" name="EffVarStat"/>
    <tableColumn id="32" xr3:uid="{E0606D6F-84FB-4C26-9DB8-F8659A0A12D1}" name="ConvertedEff"/>
    <tableColumn id="33" xr3:uid="{639372B8-90C1-44DB-9D6D-8C990C1CB189}" name="ConvertedEffMeas"/>
    <tableColumn id="34" xr3:uid="{F443F747-FF90-4F3D-BA90-B245461DAB72}" name="LPosRec"/>
    <tableColumn id="35" xr3:uid="{1C2C9EE5-0130-45F3-B959-9C7FE070F228}" name="N"/>
    <tableColumn id="36" xr3:uid="{DC44F394-73A5-4CC9-A24E-D5A1FC5C2C89}" name="MatComp"/>
    <tableColumn id="37" xr3:uid="{082D03ED-A26E-426E-A8B4-4B4ED619FB8A}" name="VolApp"/>
    <tableColumn id="38" xr3:uid="{2F07FABF-2B28-4D21-9984-2DA18A64A3EB}" name="VolAppUn"/>
    <tableColumn id="39" xr3:uid="{C0D73D86-EA24-4B8F-A303-50694C35FB1A}" name="ConvertedVolApp"/>
    <tableColumn id="40" xr3:uid="{888AA776-ED77-4ABE-BDCE-7F96C7EBE7EF}" name="ConvertedVolAppUn"/>
    <tableColumn id="41" xr3:uid="{9388FFEF-820C-4251-80F9-154DEEE7B771}" name="CT"/>
    <tableColumn id="42" xr3:uid="{45D96F79-95E3-4DEC-BD21-358D445F4A91}" name="CTUn"/>
    <tableColumn id="43" xr3:uid="{55259EF2-B58C-4D56-B3FE-91FDD2717E81}" name="RinsateLess"/>
    <tableColumn id="44" xr3:uid="{9439FEBE-C11B-49C7-9565-12CD3BD711F0}" name="Positives"/>
    <tableColumn id="45" xr3:uid="{02E5CD17-D889-42B8-B946-14569A7A23F9}" name="WaterRinse"/>
    <tableColumn id="46" xr3:uid="{36139055-5CE9-4451-865A-19D963B0D997}" name="Surface"/>
    <tableColumn id="47" xr3:uid="{A5539804-C889-4347-922E-E58D65B4FF5B}" name="VolAppDen(L/m^2)"/>
    <tableColumn id="48" xr3:uid="{697F9191-FA69-4529-B088-1789E87CDD6D}" name="VolAppDenUn"/>
    <tableColumn id="49" xr3:uid="{A7C9E6DC-31D7-498B-9CE8-B8215AF04128}" name="ClO2(ppm)"/>
    <tableColumn id="50" xr3:uid="{572962E7-09DB-4AAE-8006-40E89938309B}" name="MB(mg/L)"/>
    <tableColumn id="51" xr3:uid="{8085A73F-8782-4699-A8A6-BAC30D3D6E57}" name="H2O2(ppm)"/>
    <tableColumn id="52" xr3:uid="{3B998665-479D-4284-8D7D-D7B04ACAB8CD}" name="PosCalc"/>
    <tableColumn id="53" xr3:uid="{ABC343DD-B841-44AF-AF5B-4947CB591651}" name="LPosRecCalc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5E7AAD-5F2A-4A99-8213-27B23A19B1B3}" name="SolidPowderMaster" displayName="SolidPowderMaster" ref="A1:BA6" totalsRowShown="0" headerRowDxfId="7" headerRowBorderDxfId="6" tableBorderDxfId="5">
  <autoFilter ref="A1:BA6" xr:uid="{15BEB479-1A58-424E-AB8F-E9DF85CC0EA1}"/>
  <tableColumns count="53">
    <tableColumn id="1" xr3:uid="{0CBB52A2-90F8-4CB6-AA1A-DDC1818E213B}" name="Ref"/>
    <tableColumn id="2" xr3:uid="{67144B82-4A79-4055-A155-5CE6769E3E59}" name="GrimeDirt"/>
    <tableColumn id="3" xr3:uid="{B25BB194-0873-49B6-A2CD-32BAF1118909}" name="AppMeth"/>
    <tableColumn id="4" xr3:uid="{4A42335A-55E5-4C41-89B0-E06A8A413555}" name="LoadingUn"/>
    <tableColumn id="5" xr3:uid="{75852488-2B3D-4E12-824E-E54B26209F43}" name="LoadingNum"/>
    <tableColumn id="6" xr3:uid="{B5C4E6A0-3AF3-4231-9198-16C95277B0B3}" name="ConvertedLoading"/>
    <tableColumn id="7" xr3:uid="{32D4456D-90BE-4034-95EE-7152461B1A83}" name="ConvertedLoadingUn"/>
    <tableColumn id="8" xr3:uid="{7F433736-E5B6-4ABF-9B49-041DC1258A54}" name="CoupArea"/>
    <tableColumn id="9" xr3:uid="{741DC031-2921-4403-83A6-F424240D01FB}" name="CoupAreaUn"/>
    <tableColumn id="10" xr3:uid="{279F4BD0-9054-4224-BE48-CF4D35675C94}" name="ConvertedCoupArea"/>
    <tableColumn id="11" xr3:uid="{F23626EB-954B-4039-BCEA-781999F4A1D4}" name="ConvertedCoupAreaUn"/>
    <tableColumn id="12" xr3:uid="{3BF6E378-EC2C-4344-BB42-421E8C07755E}" name="Rinsate"/>
    <tableColumn id="13" xr3:uid="{ECCC8941-1A7F-4D4F-85DB-438FFD52922D}" name="RinsateUn"/>
    <tableColumn id="14" xr3:uid="{DFD09D1F-10A5-4B84-8CCE-70821FE637D0}" name="ConcDoseCtrl"/>
    <tableColumn id="15" xr3:uid="{FBBB4BB2-4BA0-45E9-8982-E984930BF3F7}" name="ConcDoseNum"/>
    <tableColumn id="16" xr3:uid="{6426FA43-97B3-4C55-9E71-88B8A466A441}" name="ConcDoseUn"/>
    <tableColumn id="17" xr3:uid="{73FF790C-6179-4176-9E34-6F4033E589E6}" name="ConvertedConcDose"/>
    <tableColumn id="18" xr3:uid="{ABE72B48-A400-40D5-A515-5DE7BF1054F4}" name="ConvertedConcDoseUn"/>
    <tableColumn id="19" xr3:uid="{F49427B9-17EF-46B0-BDE9-D18C7C20C5AC}" name="TempCtrl"/>
    <tableColumn id="20" xr3:uid="{97F75A8E-9FB1-4A54-86F9-F62A6DF5B9A8}" name="TempNum"/>
    <tableColumn id="21" xr3:uid="{7F2E5DC7-9CAC-484B-8011-AC7EF50D8C14}" name="RHCtrl"/>
    <tableColumn id="22" xr3:uid="{DC05BA46-58B4-4C05-AEE2-B84FD2560272}" name="RHNum"/>
    <tableColumn id="23" xr3:uid="{7DCA0019-F552-47A6-9804-6C6D8C6C3F22}" name="SurfMed"/>
    <tableColumn id="24" xr3:uid="{A9E88685-EE44-4461-A894-BF84D5EB0A85}" name="ContTimeDesc"/>
    <tableColumn id="25" xr3:uid="{02468D88-D178-4CCC-8F1D-A75A60DAB0AD}" name="ContTimeNumMin"/>
    <tableColumn id="26" xr3:uid="{E8AB8DDA-9834-4FDE-A4D5-2A9E828B73A3}" name="TotalApp"/>
    <tableColumn id="27" xr3:uid="{2CAAB5C2-71AD-44A7-B412-C07C81EC1737}" name="EffGreater"/>
    <tableColumn id="28" xr3:uid="{0360ED6C-F034-4B94-95D0-166D51A805F9}" name="Eff"/>
    <tableColumn id="29" xr3:uid="{F6B26057-0623-47E0-8063-E0A1A1620099}" name="EffMeas"/>
    <tableColumn id="30" xr3:uid="{F798A2B3-A3ED-44BC-96DA-3E19A76ECF4C}" name="EffVar"/>
    <tableColumn id="31" xr3:uid="{95734AD0-534A-420D-A003-CBA025221603}" name="EffVarStat"/>
    <tableColumn id="32" xr3:uid="{09CB140D-2F41-426D-A982-17EC90050D46}" name="ConvertedEff"/>
    <tableColumn id="33" xr3:uid="{9AA9CCAD-B724-4BB7-81FD-8BEDAADDEC61}" name="ConvertedEffMeas"/>
    <tableColumn id="34" xr3:uid="{CA61A554-F195-42EF-8F6E-9DBDFF621676}" name="LPosRec"/>
    <tableColumn id="35" xr3:uid="{75044059-FC5A-4435-9D32-93C8FBB009DF}" name="N"/>
    <tableColumn id="36" xr3:uid="{CA24F2AB-C36B-4307-83A6-96671A82B5EE}" name="MatComp"/>
    <tableColumn id="37" xr3:uid="{15449CCD-6CE6-40B1-9CFB-305951CFB58C}" name="VolApp"/>
    <tableColumn id="38" xr3:uid="{26098E8F-C50F-4F66-ACB0-11442A7F5966}" name="VolAppUn"/>
    <tableColumn id="39" xr3:uid="{8F6A4041-1E5E-49FC-89CB-6C83CEE07979}" name="ConvertedVolApp"/>
    <tableColumn id="40" xr3:uid="{5BBB0E2D-AE90-4994-B356-B9F4A89EA6C1}" name="ConvertedVolAppUn"/>
    <tableColumn id="41" xr3:uid="{64388961-499E-46BB-B25A-8E0785ED959A}" name="CT"/>
    <tableColumn id="42" xr3:uid="{1FC021DD-4F27-43FD-A85D-AFFEACBF1D62}" name="CTUn"/>
    <tableColumn id="43" xr3:uid="{C43CB97A-523E-4D62-A691-EFEBCC11987B}" name="RinsateLess"/>
    <tableColumn id="44" xr3:uid="{415CA71E-720F-4A27-A1E7-FC0B4793507D}" name="Positives"/>
    <tableColumn id="45" xr3:uid="{B6EE7F3D-7C56-43B3-BFDD-C21AEBF6819D}" name="WaterRinse"/>
    <tableColumn id="46" xr3:uid="{E522FBE6-6652-43EC-B787-0AE9BEDA7DCF}" name="Surface"/>
    <tableColumn id="47" xr3:uid="{916E83D4-EC01-4A34-9E60-60E4B27B7C12}" name="VolAppDen(L/m^2)"/>
    <tableColumn id="48" xr3:uid="{6C2F3B9A-3358-4932-AD32-6C5BC0986A56}" name="VolAppDenUn"/>
    <tableColumn id="49" xr3:uid="{F1D23739-57B4-4E62-BBF0-C00F15094B49}" name="ClO2(ppm)"/>
    <tableColumn id="50" xr3:uid="{7B534FB5-3D86-4825-A07B-36EA34A5E77E}" name="MB(mg/L)"/>
    <tableColumn id="51" xr3:uid="{B0BDB867-D807-4717-A98F-764465DFAA12}" name="H2O2(ppm)"/>
    <tableColumn id="52" xr3:uid="{0FA3A05A-D559-4602-A676-643174B1C49A}" name="PosCalc"/>
    <tableColumn id="53" xr3:uid="{14A11244-9D5B-441D-A455-85E27F5D4D32}" name="LPosRecCalc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52178-97A8-45DC-881D-4E9FAFC465BD}" name="SuspensionMaster" displayName="SuspensionMaster" ref="A1:BA89" totalsRowShown="0" headerRowDxfId="3" headerRowBorderDxfId="2" tableBorderDxfId="1">
  <autoFilter ref="A1:BA89" xr:uid="{C08BD1AD-518D-401A-AE44-F15C25681219}"/>
  <tableColumns count="53">
    <tableColumn id="1" xr3:uid="{E8F5FF59-55F8-495E-8205-50DE26F5A28E}" name="Ref"/>
    <tableColumn id="2" xr3:uid="{B2DF7B7F-1835-4FC8-BDFA-2AB7FB6D5077}" name="GrimeDirt"/>
    <tableColumn id="3" xr3:uid="{59235C2F-6E42-49C0-A925-6402C2F824FF}" name="AppMeth"/>
    <tableColumn id="4" xr3:uid="{ECC7E376-3F28-42CF-A945-91913C46FA27}" name="LoadingUn"/>
    <tableColumn id="5" xr3:uid="{59FC188C-0309-4D7A-A406-B3C3371D03C9}" name="LoadingNum"/>
    <tableColumn id="6" xr3:uid="{A5938C7D-3D33-499B-9AD4-34C6FF5279F4}" name="ConvertedLoading"/>
    <tableColumn id="7" xr3:uid="{F96D6328-14AD-4769-8936-A2D7C5ED8F39}" name="ConvertedLoadingUn"/>
    <tableColumn id="8" xr3:uid="{EA80798F-5CD2-44E0-B33F-64050D26985C}" name="CoupArea"/>
    <tableColumn id="9" xr3:uid="{A1F49071-278D-4C14-8215-4C3A16400D03}" name="CoupAreaUn"/>
    <tableColumn id="10" xr3:uid="{D0FD675F-E9C9-4418-A03D-AB7353EEEC7B}" name="ConvertedCoupArea"/>
    <tableColumn id="11" xr3:uid="{D9A646B7-C0FE-4ACF-9F34-47A221B62F39}" name="ConvertedCoupAreaUn"/>
    <tableColumn id="12" xr3:uid="{B162B9B5-3F62-42C7-B62F-3367611F93EE}" name="Rinsate"/>
    <tableColumn id="13" xr3:uid="{07791DC3-71B3-48EE-ACCB-306D766E57BC}" name="RinsateUn"/>
    <tableColumn id="14" xr3:uid="{E581E0EF-E579-4C29-81BA-2315659C1302}" name="ConcDoseCtrl"/>
    <tableColumn id="15" xr3:uid="{8E941E03-8FA1-4BEB-A179-0DA518FF4C1F}" name="ConcDoseNum"/>
    <tableColumn id="16" xr3:uid="{49F2A332-3FCC-4F32-90B7-FB0692218601}" name="ConcDoseUn"/>
    <tableColumn id="17" xr3:uid="{4DD161FD-29B2-45B3-9981-8295B2213042}" name="ConvertedConcDose"/>
    <tableColumn id="18" xr3:uid="{E88DA9BF-8A02-49D6-8E63-E388FC056F01}" name="ConvertedConcDoseUn"/>
    <tableColumn id="19" xr3:uid="{B4EC92A7-A816-416B-876E-9725481D2686}" name="TempCtrl"/>
    <tableColumn id="20" xr3:uid="{ABA2CA8A-20BA-4689-A1BC-33D0D60BB282}" name="TempNum"/>
    <tableColumn id="21" xr3:uid="{A0462794-3D6D-48AA-AA2A-0690C1FBEB86}" name="RHCtrl"/>
    <tableColumn id="22" xr3:uid="{5D463F08-5171-4D04-89BC-62F28F0FB596}" name="RHNum"/>
    <tableColumn id="23" xr3:uid="{1F557A46-E131-4E91-AB23-175254E10E8F}" name="SurfMed"/>
    <tableColumn id="24" xr3:uid="{3D516C15-F62B-435C-ADF3-663FF89C0609}" name="ContTimeDesc"/>
    <tableColumn id="25" xr3:uid="{11EEC9F7-CFEE-4DA6-AB20-E6D2D1F2B682}" name="ContTimeNumMin"/>
    <tableColumn id="26" xr3:uid="{4FC68F51-04F8-4964-9709-257753E86879}" name="TotalApp"/>
    <tableColumn id="27" xr3:uid="{035C4A36-1DDF-495C-A1D2-79F2B8828C41}" name="EffGreater"/>
    <tableColumn id="28" xr3:uid="{CDD2779E-F536-416B-A5FB-99381E6CFF76}" name="Eff"/>
    <tableColumn id="29" xr3:uid="{C038FD5A-E9E9-4DCB-B8D6-7DDCCD8DD0BC}" name="EffMeas"/>
    <tableColumn id="30" xr3:uid="{7BA6171F-7CA8-46A2-9A75-76813361A582}" name="EffVar"/>
    <tableColumn id="31" xr3:uid="{6E909672-550F-418A-86E4-FD26E1F29F95}" name="EffVarStat"/>
    <tableColumn id="32" xr3:uid="{7D14AAB9-74D2-428B-BAA5-87027429D178}" name="ConvertedEff"/>
    <tableColumn id="33" xr3:uid="{6523C835-5699-400F-9D89-932D0170A5F7}" name="ConvertedEffMeas"/>
    <tableColumn id="34" xr3:uid="{54FC433D-C015-4A12-9D05-9AE533C149EE}" name="LPosRec"/>
    <tableColumn id="35" xr3:uid="{E12945FC-A811-486C-B221-1E9E9AE4C093}" name="N"/>
    <tableColumn id="36" xr3:uid="{0BCB17D8-C855-4400-BCD1-AA2F87D943AF}" name="MatComp"/>
    <tableColumn id="37" xr3:uid="{BDE814CD-7B16-4A2B-83AB-FCD0A0681D15}" name="VolApp"/>
    <tableColumn id="38" xr3:uid="{A4D581B6-04BE-4E3B-8928-951E76134657}" name="VolAppUn"/>
    <tableColumn id="39" xr3:uid="{04D974ED-D6A9-4EBC-99EB-036981355022}" name="ConvertedVolApp"/>
    <tableColumn id="40" xr3:uid="{A6F9591B-72A4-4A72-B2B0-15D18E6096BD}" name="ConvertedVolAppUn"/>
    <tableColumn id="41" xr3:uid="{CE4E67BA-27F0-4A63-B565-4BC2D1F5C60E}" name="CT"/>
    <tableColumn id="42" xr3:uid="{1B83E744-D4F7-4F94-82A1-D3B83C4C83BF}" name="CTUn"/>
    <tableColumn id="43" xr3:uid="{F31A7CB6-C8E9-4A0D-BCC4-567F2A7FBA44}" name="RinsateLess"/>
    <tableColumn id="44" xr3:uid="{0F5B42D5-EDE9-419E-A40D-80AE62D842F1}" name="Positives"/>
    <tableColumn id="45" xr3:uid="{394DA48D-176C-4E52-AE25-D3D56BC2052E}" name="WaterRinse"/>
    <tableColumn id="46" xr3:uid="{DD4FABEF-F31F-4880-B44C-032189B8BEA7}" name="Surface"/>
    <tableColumn id="47" xr3:uid="{32D78750-6A9F-4B2B-860C-08BC76D6CA29}" name="VolAppDen(L/m^2)"/>
    <tableColumn id="48" xr3:uid="{B2057C01-F99D-4026-B18B-6B101DB36678}" name="VolAppDenUn"/>
    <tableColumn id="49" xr3:uid="{0568BDBD-5872-4D86-97B1-17DED0004579}" name="ClO2(ppm)"/>
    <tableColumn id="50" xr3:uid="{4AD86098-7433-4971-A519-CC739EDCD3A3}" name="MB(mg/L)"/>
    <tableColumn id="51" xr3:uid="{3D4478DA-0429-4966-9A25-BF764FA375ED}" name="H2O2(ppm)"/>
    <tableColumn id="52" xr3:uid="{C89C5CC7-CF9C-41D0-BDDA-8D179CBB3489}" name="PosCalc"/>
    <tableColumn id="53" xr3:uid="{0873DADB-EA92-4616-B8A4-5E33D28652CB}" name="LPosRecCal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A15"/>
  <sheetViews>
    <sheetView topLeftCell="D1" workbookViewId="0">
      <selection activeCell="K5" sqref="K5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1006</v>
      </c>
      <c r="C2" t="s">
        <v>1467</v>
      </c>
      <c r="H2">
        <v>256</v>
      </c>
      <c r="I2" t="s">
        <v>446</v>
      </c>
      <c r="J2">
        <v>2.5599999999999999E-4</v>
      </c>
      <c r="K2" t="s">
        <v>57</v>
      </c>
      <c r="O2">
        <v>1</v>
      </c>
      <c r="P2" t="s">
        <v>59</v>
      </c>
      <c r="T2">
        <v>25</v>
      </c>
      <c r="V2">
        <v>50</v>
      </c>
      <c r="W2" t="s">
        <v>1007</v>
      </c>
      <c r="X2" t="s">
        <v>114</v>
      </c>
      <c r="Y2">
        <v>60.598006644517802</v>
      </c>
      <c r="AB2">
        <v>0.79648053724661105</v>
      </c>
      <c r="AC2" t="s">
        <v>85</v>
      </c>
      <c r="AE2" t="s">
        <v>1008</v>
      </c>
      <c r="AI2">
        <v>5</v>
      </c>
      <c r="AT2" t="s">
        <v>382</v>
      </c>
      <c r="AV2" t="s">
        <v>448</v>
      </c>
    </row>
    <row r="3" spans="1:53" x14ac:dyDescent="0.3">
      <c r="A3" t="s">
        <v>1006</v>
      </c>
      <c r="C3" t="s">
        <v>1467</v>
      </c>
      <c r="H3">
        <v>256</v>
      </c>
      <c r="I3" t="s">
        <v>446</v>
      </c>
      <c r="J3">
        <v>2.5599999999999999E-4</v>
      </c>
      <c r="K3" t="s">
        <v>57</v>
      </c>
      <c r="O3">
        <v>1</v>
      </c>
      <c r="P3" t="s">
        <v>59</v>
      </c>
      <c r="T3">
        <v>25</v>
      </c>
      <c r="V3">
        <v>50</v>
      </c>
      <c r="W3" t="s">
        <v>1007</v>
      </c>
      <c r="X3" t="s">
        <v>114</v>
      </c>
      <c r="Y3">
        <v>177.8073089700996</v>
      </c>
      <c r="AB3">
        <v>1.40382622393566</v>
      </c>
      <c r="AC3" t="s">
        <v>85</v>
      </c>
      <c r="AE3" t="s">
        <v>1008</v>
      </c>
      <c r="AI3">
        <v>5</v>
      </c>
      <c r="AT3" t="s">
        <v>382</v>
      </c>
      <c r="AV3" t="s">
        <v>448</v>
      </c>
    </row>
    <row r="4" spans="1:53" x14ac:dyDescent="0.3">
      <c r="A4" t="s">
        <v>1006</v>
      </c>
      <c r="C4" t="s">
        <v>1467</v>
      </c>
      <c r="H4">
        <v>256</v>
      </c>
      <c r="I4" t="s">
        <v>446</v>
      </c>
      <c r="J4">
        <v>2.5599999999999999E-4</v>
      </c>
      <c r="K4" t="s">
        <v>57</v>
      </c>
      <c r="O4">
        <v>1</v>
      </c>
      <c r="P4" t="s">
        <v>59</v>
      </c>
      <c r="T4">
        <v>25</v>
      </c>
      <c r="V4">
        <v>50</v>
      </c>
      <c r="W4" t="s">
        <v>1007</v>
      </c>
      <c r="X4" t="s">
        <v>114</v>
      </c>
      <c r="Y4">
        <v>300.3986710963452</v>
      </c>
      <c r="AB4">
        <v>2.38531691746465</v>
      </c>
      <c r="AC4" t="s">
        <v>85</v>
      </c>
      <c r="AE4" t="s">
        <v>1008</v>
      </c>
      <c r="AI4">
        <v>5</v>
      </c>
      <c r="AT4" t="s">
        <v>382</v>
      </c>
      <c r="AV4" t="s">
        <v>448</v>
      </c>
    </row>
    <row r="5" spans="1:53" x14ac:dyDescent="0.3">
      <c r="A5" t="s">
        <v>1006</v>
      </c>
      <c r="C5" t="s">
        <v>1467</v>
      </c>
      <c r="H5">
        <v>256</v>
      </c>
      <c r="I5" t="s">
        <v>446</v>
      </c>
      <c r="J5">
        <v>2.5599999999999999E-4</v>
      </c>
      <c r="K5" t="s">
        <v>57</v>
      </c>
      <c r="O5">
        <v>1</v>
      </c>
      <c r="P5" t="s">
        <v>59</v>
      </c>
      <c r="T5">
        <v>25</v>
      </c>
      <c r="V5">
        <v>50</v>
      </c>
      <c r="W5" t="s">
        <v>1007</v>
      </c>
      <c r="X5" t="s">
        <v>114</v>
      </c>
      <c r="Y5">
        <v>419.40199335548158</v>
      </c>
      <c r="AB5">
        <v>2.5059694067901801</v>
      </c>
      <c r="AC5" t="s">
        <v>85</v>
      </c>
      <c r="AE5" t="s">
        <v>1008</v>
      </c>
      <c r="AI5">
        <v>5</v>
      </c>
      <c r="AT5" t="s">
        <v>382</v>
      </c>
      <c r="AV5" t="s">
        <v>448</v>
      </c>
    </row>
    <row r="6" spans="1:53" x14ac:dyDescent="0.3">
      <c r="A6" t="s">
        <v>1006</v>
      </c>
      <c r="C6" t="s">
        <v>1467</v>
      </c>
      <c r="H6">
        <v>256</v>
      </c>
      <c r="I6" t="s">
        <v>446</v>
      </c>
      <c r="J6">
        <v>2.5599999999999999E-4</v>
      </c>
      <c r="K6" t="s">
        <v>57</v>
      </c>
      <c r="O6">
        <v>1</v>
      </c>
      <c r="P6" t="s">
        <v>59</v>
      </c>
      <c r="T6">
        <v>25</v>
      </c>
      <c r="V6">
        <v>50</v>
      </c>
      <c r="W6" t="s">
        <v>1007</v>
      </c>
      <c r="X6" t="s">
        <v>114</v>
      </c>
      <c r="Y6">
        <v>30.697674418604571</v>
      </c>
      <c r="AB6">
        <v>1.52122455747626</v>
      </c>
      <c r="AC6" t="s">
        <v>85</v>
      </c>
      <c r="AE6" t="s">
        <v>1008</v>
      </c>
      <c r="AI6">
        <v>5</v>
      </c>
      <c r="AT6" t="s">
        <v>382</v>
      </c>
      <c r="AV6" t="s">
        <v>448</v>
      </c>
    </row>
    <row r="7" spans="1:53" x14ac:dyDescent="0.3">
      <c r="A7" t="s">
        <v>1006</v>
      </c>
      <c r="C7" t="s">
        <v>1467</v>
      </c>
      <c r="H7">
        <v>256</v>
      </c>
      <c r="I7" t="s">
        <v>446</v>
      </c>
      <c r="J7">
        <v>2.5599999999999999E-4</v>
      </c>
      <c r="K7" t="s">
        <v>57</v>
      </c>
      <c r="O7">
        <v>1</v>
      </c>
      <c r="P7" t="s">
        <v>59</v>
      </c>
      <c r="T7">
        <v>25</v>
      </c>
      <c r="V7">
        <v>50</v>
      </c>
      <c r="W7" t="s">
        <v>1007</v>
      </c>
      <c r="X7" t="s">
        <v>114</v>
      </c>
      <c r="Y7">
        <v>60</v>
      </c>
      <c r="AB7">
        <v>1.32056543547651</v>
      </c>
      <c r="AC7" t="s">
        <v>85</v>
      </c>
      <c r="AE7" t="s">
        <v>1008</v>
      </c>
      <c r="AI7">
        <v>5</v>
      </c>
      <c r="AT7" t="s">
        <v>382</v>
      </c>
      <c r="AV7" t="s">
        <v>448</v>
      </c>
    </row>
    <row r="8" spans="1:53" x14ac:dyDescent="0.3">
      <c r="A8" t="s">
        <v>1006</v>
      </c>
      <c r="C8" t="s">
        <v>1467</v>
      </c>
      <c r="H8">
        <v>256</v>
      </c>
      <c r="I8" t="s">
        <v>446</v>
      </c>
      <c r="J8">
        <v>2.5599999999999999E-4</v>
      </c>
      <c r="K8" t="s">
        <v>57</v>
      </c>
      <c r="O8">
        <v>1</v>
      </c>
      <c r="P8" t="s">
        <v>59</v>
      </c>
      <c r="T8">
        <v>25</v>
      </c>
      <c r="V8">
        <v>50</v>
      </c>
      <c r="W8" t="s">
        <v>1007</v>
      </c>
      <c r="X8" t="s">
        <v>114</v>
      </c>
      <c r="Y8">
        <v>120.99667774086301</v>
      </c>
      <c r="AB8">
        <v>6.2970608962401</v>
      </c>
      <c r="AC8" t="s">
        <v>85</v>
      </c>
      <c r="AE8" t="s">
        <v>1008</v>
      </c>
      <c r="AI8">
        <v>5</v>
      </c>
      <c r="AT8" t="s">
        <v>382</v>
      </c>
      <c r="AV8" t="s">
        <v>448</v>
      </c>
    </row>
    <row r="9" spans="1:53" x14ac:dyDescent="0.3">
      <c r="A9" t="s">
        <v>1006</v>
      </c>
      <c r="C9" t="s">
        <v>1467</v>
      </c>
      <c r="H9">
        <v>256</v>
      </c>
      <c r="I9" t="s">
        <v>446</v>
      </c>
      <c r="J9">
        <v>2.5599999999999999E-4</v>
      </c>
      <c r="K9" t="s">
        <v>57</v>
      </c>
      <c r="O9">
        <v>1</v>
      </c>
      <c r="P9" t="s">
        <v>59</v>
      </c>
      <c r="T9">
        <v>60</v>
      </c>
      <c r="V9">
        <v>50</v>
      </c>
      <c r="W9" t="s">
        <v>1007</v>
      </c>
      <c r="X9" t="s">
        <v>114</v>
      </c>
      <c r="Y9">
        <v>10</v>
      </c>
      <c r="AA9" t="s">
        <v>184</v>
      </c>
      <c r="AB9">
        <v>6.3</v>
      </c>
      <c r="AC9" t="s">
        <v>85</v>
      </c>
      <c r="AD9" t="s">
        <v>1468</v>
      </c>
      <c r="AE9" t="s">
        <v>1008</v>
      </c>
      <c r="AI9">
        <v>5</v>
      </c>
      <c r="AT9" t="s">
        <v>382</v>
      </c>
      <c r="AV9" t="s">
        <v>448</v>
      </c>
      <c r="AZ9">
        <v>0</v>
      </c>
      <c r="BA9">
        <v>6.3</v>
      </c>
    </row>
    <row r="10" spans="1:53" x14ac:dyDescent="0.3">
      <c r="A10" t="s">
        <v>1006</v>
      </c>
      <c r="C10" t="s">
        <v>1467</v>
      </c>
      <c r="D10" t="s">
        <v>81</v>
      </c>
      <c r="E10">
        <v>1000000</v>
      </c>
      <c r="H10">
        <v>255</v>
      </c>
      <c r="I10" t="s">
        <v>446</v>
      </c>
      <c r="J10">
        <v>2.5500000000000002E-4</v>
      </c>
      <c r="K10" t="s">
        <v>57</v>
      </c>
      <c r="O10">
        <v>1</v>
      </c>
      <c r="P10" t="s">
        <v>59</v>
      </c>
      <c r="T10">
        <v>60</v>
      </c>
      <c r="V10">
        <v>50</v>
      </c>
      <c r="W10" t="s">
        <v>1469</v>
      </c>
      <c r="X10" t="s">
        <v>114</v>
      </c>
      <c r="Y10">
        <v>10</v>
      </c>
      <c r="AA10" t="s">
        <v>184</v>
      </c>
      <c r="AB10">
        <v>5.4</v>
      </c>
      <c r="AC10" t="s">
        <v>85</v>
      </c>
      <c r="AD10" t="s">
        <v>1470</v>
      </c>
      <c r="AE10" t="s">
        <v>1008</v>
      </c>
      <c r="AI10">
        <v>5</v>
      </c>
      <c r="AV10" t="s">
        <v>448</v>
      </c>
      <c r="AZ10">
        <v>0</v>
      </c>
      <c r="BA10">
        <v>5.4</v>
      </c>
    </row>
    <row r="11" spans="1:53" x14ac:dyDescent="0.3">
      <c r="A11" t="s">
        <v>1006</v>
      </c>
      <c r="C11" t="s">
        <v>1467</v>
      </c>
      <c r="D11" t="s">
        <v>81</v>
      </c>
      <c r="E11">
        <v>1000000</v>
      </c>
      <c r="H11">
        <v>255</v>
      </c>
      <c r="I11" t="s">
        <v>446</v>
      </c>
      <c r="J11">
        <v>2.5500000000000002E-4</v>
      </c>
      <c r="K11" t="s">
        <v>57</v>
      </c>
      <c r="O11">
        <v>1</v>
      </c>
      <c r="P11" t="s">
        <v>59</v>
      </c>
      <c r="T11">
        <v>60</v>
      </c>
      <c r="V11">
        <v>50</v>
      </c>
      <c r="W11" t="s">
        <v>1471</v>
      </c>
      <c r="X11" t="s">
        <v>114</v>
      </c>
      <c r="Y11">
        <v>10</v>
      </c>
      <c r="AB11">
        <v>3.5</v>
      </c>
      <c r="AC11" t="s">
        <v>85</v>
      </c>
      <c r="AD11" t="s">
        <v>1472</v>
      </c>
      <c r="AE11" t="s">
        <v>1008</v>
      </c>
      <c r="AI11">
        <v>5</v>
      </c>
      <c r="AT11" t="s">
        <v>203</v>
      </c>
      <c r="AV11" t="s">
        <v>448</v>
      </c>
    </row>
    <row r="12" spans="1:53" x14ac:dyDescent="0.3">
      <c r="A12" t="s">
        <v>1006</v>
      </c>
      <c r="C12" t="s">
        <v>1467</v>
      </c>
      <c r="D12" t="s">
        <v>81</v>
      </c>
      <c r="E12">
        <v>1000000</v>
      </c>
      <c r="H12">
        <v>255</v>
      </c>
      <c r="I12" t="s">
        <v>446</v>
      </c>
      <c r="J12">
        <v>2.5500000000000002E-4</v>
      </c>
      <c r="K12" t="s">
        <v>57</v>
      </c>
      <c r="O12">
        <v>1</v>
      </c>
      <c r="P12" t="s">
        <v>59</v>
      </c>
      <c r="T12">
        <v>60</v>
      </c>
      <c r="V12">
        <v>50</v>
      </c>
      <c r="W12" t="s">
        <v>1473</v>
      </c>
      <c r="X12" t="s">
        <v>114</v>
      </c>
      <c r="Y12">
        <v>10</v>
      </c>
      <c r="AB12">
        <v>2.2000000000000002</v>
      </c>
      <c r="AC12" t="s">
        <v>85</v>
      </c>
      <c r="AD12" t="s">
        <v>1474</v>
      </c>
      <c r="AE12" t="s">
        <v>1008</v>
      </c>
      <c r="AI12">
        <v>5</v>
      </c>
      <c r="AV12" t="s">
        <v>448</v>
      </c>
    </row>
    <row r="13" spans="1:53" x14ac:dyDescent="0.3">
      <c r="A13" t="s">
        <v>1006</v>
      </c>
      <c r="C13" t="s">
        <v>1467</v>
      </c>
      <c r="D13" t="s">
        <v>81</v>
      </c>
      <c r="E13">
        <v>1000000</v>
      </c>
      <c r="H13">
        <v>255</v>
      </c>
      <c r="I13" t="s">
        <v>446</v>
      </c>
      <c r="J13">
        <v>2.5500000000000002E-4</v>
      </c>
      <c r="K13" t="s">
        <v>57</v>
      </c>
      <c r="O13">
        <v>1</v>
      </c>
      <c r="P13" t="s">
        <v>59</v>
      </c>
      <c r="T13">
        <v>60</v>
      </c>
      <c r="V13">
        <v>50</v>
      </c>
      <c r="W13" t="s">
        <v>1161</v>
      </c>
      <c r="X13" t="s">
        <v>114</v>
      </c>
      <c r="Y13">
        <v>10</v>
      </c>
      <c r="AB13">
        <v>1.9</v>
      </c>
      <c r="AC13" t="s">
        <v>85</v>
      </c>
      <c r="AD13" t="s">
        <v>1475</v>
      </c>
      <c r="AE13" t="s">
        <v>1008</v>
      </c>
      <c r="AI13">
        <v>5</v>
      </c>
      <c r="AV13" t="s">
        <v>448</v>
      </c>
    </row>
    <row r="14" spans="1:53" x14ac:dyDescent="0.3">
      <c r="A14" t="s">
        <v>1006</v>
      </c>
      <c r="C14" t="s">
        <v>1467</v>
      </c>
      <c r="D14" t="s">
        <v>81</v>
      </c>
      <c r="E14">
        <v>1000000</v>
      </c>
      <c r="H14">
        <v>256</v>
      </c>
      <c r="I14" t="s">
        <v>446</v>
      </c>
      <c r="J14">
        <v>2.5599999999999999E-4</v>
      </c>
      <c r="K14" t="s">
        <v>57</v>
      </c>
      <c r="O14">
        <v>1</v>
      </c>
      <c r="P14" t="s">
        <v>59</v>
      </c>
      <c r="T14">
        <v>60</v>
      </c>
      <c r="V14">
        <v>50</v>
      </c>
      <c r="W14" t="s">
        <v>1476</v>
      </c>
      <c r="X14" t="s">
        <v>114</v>
      </c>
      <c r="Y14">
        <v>10</v>
      </c>
      <c r="AB14">
        <v>1.2</v>
      </c>
      <c r="AC14" t="s">
        <v>85</v>
      </c>
      <c r="AD14" t="s">
        <v>1477</v>
      </c>
      <c r="AE14" t="s">
        <v>1008</v>
      </c>
      <c r="AI14">
        <v>5</v>
      </c>
      <c r="AT14" t="s">
        <v>382</v>
      </c>
      <c r="AV14" t="s">
        <v>448</v>
      </c>
    </row>
    <row r="15" spans="1:53" x14ac:dyDescent="0.3">
      <c r="A15" t="s">
        <v>1006</v>
      </c>
      <c r="C15" t="s">
        <v>1467</v>
      </c>
      <c r="D15" t="s">
        <v>81</v>
      </c>
      <c r="E15">
        <v>1000000</v>
      </c>
      <c r="H15">
        <v>133</v>
      </c>
      <c r="I15" t="s">
        <v>446</v>
      </c>
      <c r="J15">
        <v>1.3300000000000001E-4</v>
      </c>
      <c r="K15" t="s">
        <v>57</v>
      </c>
      <c r="O15">
        <v>1</v>
      </c>
      <c r="P15" t="s">
        <v>59</v>
      </c>
      <c r="T15">
        <v>60</v>
      </c>
      <c r="V15">
        <v>50</v>
      </c>
      <c r="W15" t="s">
        <v>150</v>
      </c>
      <c r="X15" t="s">
        <v>114</v>
      </c>
      <c r="Y15">
        <v>10</v>
      </c>
      <c r="AB15">
        <v>0.4</v>
      </c>
      <c r="AC15" t="s">
        <v>85</v>
      </c>
      <c r="AD15" t="s">
        <v>1478</v>
      </c>
      <c r="AE15" t="s">
        <v>1008</v>
      </c>
      <c r="AI15">
        <v>5</v>
      </c>
      <c r="AT15" t="s">
        <v>150</v>
      </c>
      <c r="AV15" t="s">
        <v>448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9"/>
  <sheetViews>
    <sheetView workbookViewId="0">
      <selection activeCell="H29" sqref="H29"/>
    </sheetView>
  </sheetViews>
  <sheetFormatPr defaultRowHeight="14.4" x14ac:dyDescent="0.3"/>
  <cols>
    <col min="1" max="1" width="32.109375" style="3" bestFit="1" customWidth="1"/>
    <col min="2" max="2" width="8" style="3" bestFit="1" customWidth="1"/>
    <col min="3" max="3" width="9" style="3" bestFit="1" customWidth="1"/>
    <col min="4" max="5" width="12" style="3" bestFit="1" customWidth="1"/>
    <col min="6" max="6" width="16.5546875" style="3" bestFit="1" customWidth="1"/>
  </cols>
  <sheetData>
    <row r="1" spans="1:6" x14ac:dyDescent="0.3">
      <c r="A1" s="1"/>
      <c r="B1" s="3" t="s">
        <v>1581</v>
      </c>
    </row>
    <row r="2" spans="1:6" x14ac:dyDescent="0.3">
      <c r="A2" s="3" t="s">
        <v>1582</v>
      </c>
      <c r="B2" s="3">
        <f>COUNTA(AerosolMaster[Ref])</f>
        <v>14</v>
      </c>
    </row>
    <row r="3" spans="1:6" x14ac:dyDescent="0.3">
      <c r="A3" s="3" t="s">
        <v>1583</v>
      </c>
      <c r="B3" s="3">
        <f>COUNTA(AerosolMaster[GrimeDirt])</f>
        <v>0</v>
      </c>
    </row>
    <row r="4" spans="1:6" x14ac:dyDescent="0.3">
      <c r="A4" s="3" t="s">
        <v>1584</v>
      </c>
      <c r="B4" s="3">
        <f>COUNTA(AerosolMaster[Rinsate])</f>
        <v>0</v>
      </c>
    </row>
    <row r="10" spans="1:6" x14ac:dyDescent="0.3"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AerosolMaster[ConvertedCoupAreaUn]),COUNTIF(AerosolMaster[ConvertedCoupAreaUn],INDEX(AerosolMaster[ConvertedCoupAreaUn],MATCH(TRUE,AerosolMaster[ConvertedCoupAreaUn]&lt;&gt;"",0)))=COUNTIF(AerosolMaster[ConvertedCoupAreaUn],"&lt;&gt;"),""),INDEX(AerosolMaster[ConvertedCoupAreaUn],MATCH(TRUE,AerosolMaster[ConvertedCoupAreaUn]&lt;&gt;"",0)), "multiple units given"),"NA")</f>
        <v>m^2</v>
      </c>
      <c r="C11" s="3">
        <f>IF(AND(ISNUMBER(E11),ISNUMBER(F11)),MIN(AerosolMaster[ConvertedCoupArea]),"NA")</f>
        <v>1.3300000000000001E-4</v>
      </c>
      <c r="D11" s="3">
        <f>IF(AND(ISNUMBER(E11),ISNUMBER(F11)),MAX(AerosolMaster[ConvertedCoupArea]),"NA")</f>
        <v>2.5599999999999999E-4</v>
      </c>
      <c r="E11" s="3">
        <f>IFERROR(AVERAGE(AerosolMaster[ConvertedCoupArea]),"NA")</f>
        <v>2.4692857142857144E-4</v>
      </c>
      <c r="F11" s="3">
        <f>IFERROR(STDEV(AerosolMaster[ConvertedCoupArea]),"NA")</f>
        <v>3.2794146489214257E-5</v>
      </c>
    </row>
    <row r="12" spans="1:6" x14ac:dyDescent="0.3">
      <c r="A12" s="3" t="s">
        <v>1591</v>
      </c>
      <c r="B12" s="3" t="str" cm="1">
        <f t="array" ref="B12">IFERROR(IF(IF(COUNTA(AerosolMaster[LoadingUn]),COUNTIF(AerosolMaster[LoadingUn],INDEX(AerosolMaster[LoadingUn],MATCH(TRUE,AerosolMaster[LoadingUn]&lt;&gt;"",0)))=COUNTIF(AerosolMaster[LoadingUn],"&lt;&gt;"),""),INDEX(AerosolMaster[LoadingUn],MATCH(TRUE,AerosolMaster[LoadingUn]&lt;&gt;"",0)), "multiple units given"),"NA")</f>
        <v>CFU</v>
      </c>
      <c r="C12" s="3">
        <f>IF(AND(ISNUMBER(E12),ISNUMBER(F12)),MIN(AerosolMaster[LoadingNum]),"NA")</f>
        <v>1000000</v>
      </c>
      <c r="D12" s="3">
        <f>IF(AND(ISNUMBER(E12),ISNUMBER(F12)),MAX(AerosolMaster[LoadingNum]),"NA")</f>
        <v>1000000</v>
      </c>
      <c r="E12" s="3">
        <f>IFERROR(AVERAGE(AerosolMaster[LoadingNum]),"NA")</f>
        <v>1000000</v>
      </c>
      <c r="F12" s="3">
        <f>IFERROR(STDEV(AerosolMaster[LoadingNum]),"NA")</f>
        <v>0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IF(AND(ISNUMBER(E13),ISNUMBER(F13)),MIN(AerosolMaster[TotalApp]),"NA")</f>
        <v>NA</v>
      </c>
      <c r="D13" s="3" t="str">
        <f>IF(AND(ISNUMBER(E13),ISNUMBER(F13)),MAX(AerosolMaster[TotalApp]),"NA")</f>
        <v>NA</v>
      </c>
      <c r="E13" s="3" t="str">
        <f>IFERROR(AVERAGE(AerosolMaster[TotalApp]),"NA")</f>
        <v>NA</v>
      </c>
      <c r="F13" s="3" t="str">
        <f>IFERROR(STDEV(AerosolMaster[TotalApp]),"NA")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IF(AND(ISNUMBER(E14),ISNUMBER(F14)),MIN(AerosolMaster[TempNum]),"NA")</f>
        <v>25</v>
      </c>
      <c r="D14" s="3">
        <f>IF(AND(ISNUMBER(E14),ISNUMBER(F14)),MAX(AerosolMaster[TempNum]),"NA")</f>
        <v>60</v>
      </c>
      <c r="E14" s="3">
        <f>IFERROR(AVERAGE(AerosolMaster[TempNum]),"NA")</f>
        <v>42.5</v>
      </c>
      <c r="F14" s="3">
        <f>IFERROR(STDEV(AerosolMaster[TempNum]),"NA")</f>
        <v>18.16060825819698</v>
      </c>
    </row>
    <row r="15" spans="1:6" x14ac:dyDescent="0.3">
      <c r="A15" s="3" t="s">
        <v>1595</v>
      </c>
      <c r="B15" s="3" t="s">
        <v>1527</v>
      </c>
      <c r="C15" s="3">
        <f>IF(AND(ISNUMBER(E15),ISNUMBER(F15)),MIN(AerosolMaster[RHNum]),"NA")</f>
        <v>50</v>
      </c>
      <c r="D15" s="3">
        <f>IF(AND(ISNUMBER(E15),ISNUMBER(F15)),MAX(AerosolMaster[RHNum]),"NA")</f>
        <v>50</v>
      </c>
      <c r="E15" s="3">
        <f>IFERROR(AVERAGE(AerosolMaster[RHNum]),"NA")</f>
        <v>50</v>
      </c>
      <c r="F15" s="3">
        <f>IFERROR(STDEV(AerosolMaster[RHNum]),"NA")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IF(AND(ISNUMBER(E16),ISNUMBER(F16)),MIN(AerosolMaster[ContTimeNumMin]),"NA")</f>
        <v>10</v>
      </c>
      <c r="D16" s="3">
        <f>IF(AND(ISNUMBER(E16),ISNUMBER(F16)),MAX(AerosolMaster[ContTimeNumMin]),"NA")</f>
        <v>419.40199335548158</v>
      </c>
      <c r="E16" s="3">
        <f>IFERROR(AVERAGE(AerosolMaster[ContTimeNumMin]),"NA")</f>
        <v>88.564309444707987</v>
      </c>
      <c r="F16" s="3">
        <f>IFERROR(STDEV(AerosolMaster[ContTimeNumMin]),"NA")</f>
        <v>127.54986285752786</v>
      </c>
    </row>
    <row r="17" spans="1:6" x14ac:dyDescent="0.3">
      <c r="A17" s="3" t="s">
        <v>1598</v>
      </c>
      <c r="B17" s="3" t="str" cm="1">
        <f t="array" ref="B17">IFERROR(IF(IF(COUNTA(AerosolMaster[ConcDoseUn]),COUNTIF(AerosolMaster[ConcDoseUn],INDEX(AerosolMaster[ConcDoseUn],MATCH(TRUE,AerosolMaster[ConcDoseUn]&lt;&gt;"",0)))=COUNTIF(AerosolMaster[ConcDoseUn],"&lt;&gt;"),""),INDEX(AerosolMaster[ConcDoseUn],MATCH(TRUE,AerosolMaster[ConcDoseUn]&lt;&gt;"",0)), "multiple units given"),"NA")</f>
        <v>wt%</v>
      </c>
      <c r="C17" s="3">
        <f>IF(AND(ISNUMBER(E17),ISNUMBER(F17)),MIN(AerosolMaster[ConcDoseNum]),"NA")</f>
        <v>1</v>
      </c>
      <c r="D17" s="3">
        <f>IF(AND(ISNUMBER(E17),ISNUMBER(F17)),MAX(AerosolMaster[ConcDoseNum]),"NA")</f>
        <v>1</v>
      </c>
      <c r="E17" s="3">
        <f>IFERROR(AVERAGE(AerosolMaster[ConcDoseNum]),"NA")</f>
        <v>1</v>
      </c>
      <c r="F17" s="3">
        <f>IFERROR(STDEV(AerosolMaster[ConcDoseNum]),"NA")</f>
        <v>0</v>
      </c>
    </row>
    <row r="18" spans="1:6" x14ac:dyDescent="0.3">
      <c r="A18" s="3" t="s">
        <v>1599</v>
      </c>
      <c r="B18" s="3" t="str" cm="1">
        <f t="array" ref="B18">IFERROR(IF(IF(COUNTA(AerosolMaster[EffMeas]),COUNTIF(AerosolMaster[EffMeas],INDEX(AerosolMaster[EffMeas],MATCH(TRUE,AerosolMaster[EffMeas]&lt;&gt;"",0)))=COUNTIF(AerosolMaster[EffMeas],"&lt;&gt;"),""),INDEX(AerosolMaster[EffMeas],MATCH(TRUE,AerosolMaster[EffMeas]&lt;&gt;"",0)), "multiple units given"),"NA")</f>
        <v>LR</v>
      </c>
      <c r="C18" s="3">
        <f>IF(AND(ISNUMBER(E18),ISNUMBER(F18)),MIN(AerosolMaster[Eff]),"NA")</f>
        <v>0.4</v>
      </c>
      <c r="D18" s="3">
        <f>IF(AND(ISNUMBER(E18),ISNUMBER(F18)),MAX(AerosolMaster[Eff]),"NA")</f>
        <v>6.3</v>
      </c>
      <c r="E18" s="3">
        <f>IFERROR(AVERAGE(AerosolMaster[Eff]),"NA")</f>
        <v>2.6521745696164269</v>
      </c>
      <c r="F18" s="3">
        <f>IFERROR(STDEV(AerosolMaster[Eff]),"NA")</f>
        <v>1.9798854408244602</v>
      </c>
    </row>
    <row r="19" spans="1:6" x14ac:dyDescent="0.3">
      <c r="A19" s="3" t="s">
        <v>1600</v>
      </c>
      <c r="B19" s="3" t="str" cm="1">
        <f t="array" ref="B19">IFERROR(IF(IF(COUNTA(AerosolMaster[ConvertedVolAppUn]),COUNTIF(AerosolMaster[ConvertedVolAppUn],INDEX(AerosolMaster[ConvertedVolAppUn],MATCH(TRUE,AerosolMaster[ConvertedVolAppUn]&lt;&gt;"",0)))=COUNTIF(AerosolMaster[ConvertedVolAppUn],"&lt;&gt;"),""),INDEX(AerosolMaster[ConvertedVolAppUn],MATCH(TRUE,AerosolMaster[ConvertedVolAppUn]&lt;&gt;"",0)), "multiple units given"),"NA")</f>
        <v>NA</v>
      </c>
      <c r="C19" s="3" t="str">
        <f>IF(AND(ISNUMBER(E19),ISNUMBER(F19)),MIN(AerosolMaster[ConvertedVolApp]),"NA")</f>
        <v>NA</v>
      </c>
      <c r="D19" s="3" t="str">
        <f>IF(AND(ISNUMBER(E19),ISNUMBER(F19)),MAX(AerosolMaster[ConvertedVolApp]),"NA")</f>
        <v>NA</v>
      </c>
      <c r="E19" s="3" t="str">
        <f>IFERROR(AVERAGE(AerosolMaster[ConvertedVolApp]),"NA")</f>
        <v>NA</v>
      </c>
      <c r="F19" s="3" t="str">
        <f>IFERROR(STDEV(AerosolMaster[ConvertedVolApp]),"NA")</f>
        <v>NA</v>
      </c>
    </row>
  </sheetData>
  <conditionalFormatting sqref="B11:B19">
    <cfRule type="cellIs" dxfId="80" priority="1" operator="equal">
      <formula>"multiple units given"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A54"/>
  <sheetViews>
    <sheetView topLeftCell="O28" workbookViewId="0">
      <selection activeCell="T2" sqref="T2:T54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206</v>
      </c>
      <c r="C2" t="s">
        <v>1493</v>
      </c>
      <c r="D2" t="s">
        <v>470</v>
      </c>
      <c r="E2">
        <v>10000000</v>
      </c>
      <c r="H2">
        <v>1</v>
      </c>
      <c r="I2" t="s">
        <v>82</v>
      </c>
      <c r="J2">
        <v>9.9999999999999995E-7</v>
      </c>
      <c r="K2" t="s">
        <v>252</v>
      </c>
      <c r="O2">
        <v>0.1</v>
      </c>
      <c r="P2" t="s">
        <v>59</v>
      </c>
      <c r="S2">
        <v>2</v>
      </c>
      <c r="T2">
        <v>22</v>
      </c>
      <c r="V2">
        <v>50</v>
      </c>
      <c r="W2" t="s">
        <v>1057</v>
      </c>
      <c r="X2" t="s">
        <v>114</v>
      </c>
      <c r="Y2">
        <v>0</v>
      </c>
      <c r="AB2">
        <v>7.04139268515822</v>
      </c>
      <c r="AC2" t="s">
        <v>210</v>
      </c>
      <c r="AH2">
        <v>7</v>
      </c>
      <c r="AV2" t="s">
        <v>256</v>
      </c>
      <c r="BA2">
        <v>7</v>
      </c>
    </row>
    <row r="3" spans="1:53" x14ac:dyDescent="0.3">
      <c r="A3" t="s">
        <v>206</v>
      </c>
      <c r="C3" t="s">
        <v>1493</v>
      </c>
      <c r="D3" t="s">
        <v>470</v>
      </c>
      <c r="E3">
        <v>10000000</v>
      </c>
      <c r="H3">
        <v>1</v>
      </c>
      <c r="I3" t="s">
        <v>82</v>
      </c>
      <c r="J3">
        <v>9.9999999999999995E-7</v>
      </c>
      <c r="K3" t="s">
        <v>252</v>
      </c>
      <c r="O3">
        <v>0.1</v>
      </c>
      <c r="P3" t="s">
        <v>59</v>
      </c>
      <c r="S3">
        <v>2</v>
      </c>
      <c r="T3">
        <v>22</v>
      </c>
      <c r="V3">
        <v>50</v>
      </c>
      <c r="W3" t="s">
        <v>1057</v>
      </c>
      <c r="X3" t="s">
        <v>114</v>
      </c>
      <c r="Y3">
        <v>1</v>
      </c>
      <c r="AB3">
        <v>7</v>
      </c>
      <c r="AC3" t="s">
        <v>210</v>
      </c>
      <c r="AH3">
        <v>7</v>
      </c>
      <c r="AV3" t="s">
        <v>256</v>
      </c>
      <c r="BA3">
        <v>7</v>
      </c>
    </row>
    <row r="4" spans="1:53" x14ac:dyDescent="0.3">
      <c r="A4" t="s">
        <v>206</v>
      </c>
      <c r="C4" t="s">
        <v>1493</v>
      </c>
      <c r="D4" t="s">
        <v>470</v>
      </c>
      <c r="E4">
        <v>10000000</v>
      </c>
      <c r="H4">
        <v>1</v>
      </c>
      <c r="I4" t="s">
        <v>82</v>
      </c>
      <c r="J4">
        <v>9.9999999999999995E-7</v>
      </c>
      <c r="K4" t="s">
        <v>252</v>
      </c>
      <c r="O4">
        <v>0.1</v>
      </c>
      <c r="P4" t="s">
        <v>59</v>
      </c>
      <c r="S4">
        <v>2</v>
      </c>
      <c r="T4">
        <v>22</v>
      </c>
      <c r="V4">
        <v>50</v>
      </c>
      <c r="W4" t="s">
        <v>1057</v>
      </c>
      <c r="X4" t="s">
        <v>114</v>
      </c>
      <c r="Y4">
        <v>5</v>
      </c>
      <c r="AB4">
        <v>6.7993405494535804</v>
      </c>
      <c r="AC4" t="s">
        <v>210</v>
      </c>
      <c r="AH4">
        <v>7</v>
      </c>
      <c r="AV4" t="s">
        <v>256</v>
      </c>
      <c r="BA4">
        <v>7</v>
      </c>
    </row>
    <row r="5" spans="1:53" x14ac:dyDescent="0.3">
      <c r="A5" t="s">
        <v>206</v>
      </c>
      <c r="C5" t="s">
        <v>1493</v>
      </c>
      <c r="D5" t="s">
        <v>470</v>
      </c>
      <c r="E5">
        <v>10000000</v>
      </c>
      <c r="H5">
        <v>1</v>
      </c>
      <c r="I5" t="s">
        <v>82</v>
      </c>
      <c r="J5">
        <v>9.9999999999999995E-7</v>
      </c>
      <c r="K5" t="s">
        <v>252</v>
      </c>
      <c r="O5">
        <v>0.1</v>
      </c>
      <c r="P5" t="s">
        <v>59</v>
      </c>
      <c r="S5">
        <v>2</v>
      </c>
      <c r="T5">
        <v>22</v>
      </c>
      <c r="V5">
        <v>50</v>
      </c>
      <c r="W5" t="s">
        <v>1057</v>
      </c>
      <c r="X5" t="s">
        <v>114</v>
      </c>
      <c r="Y5">
        <v>10</v>
      </c>
      <c r="AB5">
        <v>6.8750612633917001</v>
      </c>
      <c r="AC5" t="s">
        <v>210</v>
      </c>
      <c r="AH5">
        <v>7</v>
      </c>
      <c r="AV5" t="s">
        <v>256</v>
      </c>
      <c r="BA5">
        <v>7</v>
      </c>
    </row>
    <row r="6" spans="1:53" x14ac:dyDescent="0.3">
      <c r="A6" t="s">
        <v>206</v>
      </c>
      <c r="C6" t="s">
        <v>1493</v>
      </c>
      <c r="D6" t="s">
        <v>470</v>
      </c>
      <c r="E6">
        <v>10000000</v>
      </c>
      <c r="H6">
        <v>1</v>
      </c>
      <c r="I6" t="s">
        <v>82</v>
      </c>
      <c r="J6">
        <v>9.9999999999999995E-7</v>
      </c>
      <c r="K6" t="s">
        <v>252</v>
      </c>
      <c r="O6">
        <v>0.1</v>
      </c>
      <c r="P6" t="s">
        <v>59</v>
      </c>
      <c r="S6">
        <v>2</v>
      </c>
      <c r="T6">
        <v>22</v>
      </c>
      <c r="V6">
        <v>50</v>
      </c>
      <c r="W6" t="s">
        <v>1057</v>
      </c>
      <c r="X6" t="s">
        <v>114</v>
      </c>
      <c r="Y6">
        <v>20</v>
      </c>
      <c r="AB6">
        <v>6.2304489213782697</v>
      </c>
      <c r="AC6" t="s">
        <v>210</v>
      </c>
      <c r="AH6">
        <v>7</v>
      </c>
      <c r="AV6" t="s">
        <v>256</v>
      </c>
      <c r="BA6">
        <v>7</v>
      </c>
    </row>
    <row r="7" spans="1:53" x14ac:dyDescent="0.3">
      <c r="A7" t="s">
        <v>206</v>
      </c>
      <c r="C7" t="s">
        <v>1493</v>
      </c>
      <c r="D7" t="s">
        <v>470</v>
      </c>
      <c r="E7">
        <v>10000000</v>
      </c>
      <c r="H7">
        <v>1</v>
      </c>
      <c r="I7" t="s">
        <v>82</v>
      </c>
      <c r="J7">
        <v>9.9999999999999995E-7</v>
      </c>
      <c r="K7" t="s">
        <v>252</v>
      </c>
      <c r="O7">
        <v>0.1</v>
      </c>
      <c r="P7" t="s">
        <v>59</v>
      </c>
      <c r="S7">
        <v>2</v>
      </c>
      <c r="T7">
        <v>22</v>
      </c>
      <c r="V7">
        <v>50</v>
      </c>
      <c r="W7" t="s">
        <v>1057</v>
      </c>
      <c r="X7" t="s">
        <v>114</v>
      </c>
      <c r="Y7">
        <v>30</v>
      </c>
      <c r="AA7" t="s">
        <v>128</v>
      </c>
      <c r="AB7">
        <v>1.6989700043360101</v>
      </c>
      <c r="AC7" t="s">
        <v>210</v>
      </c>
      <c r="AH7">
        <v>7</v>
      </c>
      <c r="AV7" t="s">
        <v>256</v>
      </c>
      <c r="AZ7">
        <v>0</v>
      </c>
      <c r="BA7">
        <v>7</v>
      </c>
    </row>
    <row r="8" spans="1:53" x14ac:dyDescent="0.3">
      <c r="A8" t="s">
        <v>206</v>
      </c>
      <c r="C8" t="s">
        <v>1493</v>
      </c>
      <c r="D8" t="s">
        <v>470</v>
      </c>
      <c r="E8">
        <v>10000000</v>
      </c>
      <c r="H8">
        <v>1</v>
      </c>
      <c r="I8" t="s">
        <v>82</v>
      </c>
      <c r="J8">
        <v>9.9999999999999995E-7</v>
      </c>
      <c r="K8" t="s">
        <v>252</v>
      </c>
      <c r="O8">
        <v>0.1</v>
      </c>
      <c r="P8" t="s">
        <v>59</v>
      </c>
      <c r="S8">
        <v>2</v>
      </c>
      <c r="T8">
        <v>22</v>
      </c>
      <c r="V8">
        <v>50</v>
      </c>
      <c r="W8" t="s">
        <v>1057</v>
      </c>
      <c r="X8" t="s">
        <v>114</v>
      </c>
      <c r="Y8">
        <v>60</v>
      </c>
      <c r="AA8" t="s">
        <v>128</v>
      </c>
      <c r="AB8">
        <v>1.6989700043360101</v>
      </c>
      <c r="AC8" t="s">
        <v>210</v>
      </c>
      <c r="AH8">
        <v>7</v>
      </c>
      <c r="AV8" t="s">
        <v>256</v>
      </c>
      <c r="AZ8">
        <v>0</v>
      </c>
      <c r="BA8">
        <v>7</v>
      </c>
    </row>
    <row r="9" spans="1:53" x14ac:dyDescent="0.3">
      <c r="A9" t="s">
        <v>206</v>
      </c>
      <c r="C9" t="s">
        <v>1493</v>
      </c>
      <c r="D9" t="s">
        <v>470</v>
      </c>
      <c r="E9">
        <v>10000000</v>
      </c>
      <c r="H9">
        <v>1</v>
      </c>
      <c r="I9" t="s">
        <v>82</v>
      </c>
      <c r="J9">
        <v>9.9999999999999995E-7</v>
      </c>
      <c r="K9" t="s">
        <v>252</v>
      </c>
      <c r="O9">
        <v>0.1</v>
      </c>
      <c r="P9" t="s">
        <v>59</v>
      </c>
      <c r="S9">
        <v>2</v>
      </c>
      <c r="T9">
        <v>22</v>
      </c>
      <c r="V9">
        <v>50</v>
      </c>
      <c r="W9" t="s">
        <v>1057</v>
      </c>
      <c r="X9" t="s">
        <v>114</v>
      </c>
      <c r="Y9">
        <v>120</v>
      </c>
      <c r="AA9" t="s">
        <v>128</v>
      </c>
      <c r="AB9">
        <v>1.6989700043360101</v>
      </c>
      <c r="AC9" t="s">
        <v>210</v>
      </c>
      <c r="AH9">
        <v>7</v>
      </c>
      <c r="AV9" t="s">
        <v>256</v>
      </c>
      <c r="AZ9">
        <v>0</v>
      </c>
      <c r="BA9">
        <v>7</v>
      </c>
    </row>
    <row r="10" spans="1:53" x14ac:dyDescent="0.3">
      <c r="A10" t="s">
        <v>206</v>
      </c>
      <c r="C10" t="s">
        <v>1493</v>
      </c>
      <c r="D10" t="s">
        <v>470</v>
      </c>
      <c r="E10">
        <v>10000000</v>
      </c>
      <c r="H10">
        <v>1</v>
      </c>
      <c r="I10" t="s">
        <v>82</v>
      </c>
      <c r="J10">
        <v>9.9999999999999995E-7</v>
      </c>
      <c r="K10" t="s">
        <v>252</v>
      </c>
      <c r="O10">
        <v>0.1</v>
      </c>
      <c r="P10" t="s">
        <v>59</v>
      </c>
      <c r="S10">
        <v>2</v>
      </c>
      <c r="T10">
        <v>22</v>
      </c>
      <c r="V10">
        <v>50</v>
      </c>
      <c r="W10" t="s">
        <v>1057</v>
      </c>
      <c r="X10" t="s">
        <v>114</v>
      </c>
      <c r="Y10">
        <v>0</v>
      </c>
      <c r="AB10">
        <v>7.04139268515822</v>
      </c>
      <c r="AC10" t="s">
        <v>210</v>
      </c>
      <c r="AH10">
        <v>7</v>
      </c>
      <c r="AV10" t="s">
        <v>256</v>
      </c>
      <c r="BA10">
        <v>7</v>
      </c>
    </row>
    <row r="11" spans="1:53" x14ac:dyDescent="0.3">
      <c r="A11" t="s">
        <v>206</v>
      </c>
      <c r="C11" t="s">
        <v>1493</v>
      </c>
      <c r="D11" t="s">
        <v>470</v>
      </c>
      <c r="E11">
        <v>10000000</v>
      </c>
      <c r="H11">
        <v>1</v>
      </c>
      <c r="I11" t="s">
        <v>82</v>
      </c>
      <c r="J11">
        <v>9.9999999999999995E-7</v>
      </c>
      <c r="K11" t="s">
        <v>252</v>
      </c>
      <c r="O11">
        <v>0.1</v>
      </c>
      <c r="P11" t="s">
        <v>59</v>
      </c>
      <c r="S11">
        <v>2</v>
      </c>
      <c r="T11">
        <v>22</v>
      </c>
      <c r="V11">
        <v>50</v>
      </c>
      <c r="W11" t="s">
        <v>1057</v>
      </c>
      <c r="X11" t="s">
        <v>114</v>
      </c>
      <c r="Y11">
        <v>1</v>
      </c>
      <c r="AB11">
        <v>6.1139433523068298</v>
      </c>
      <c r="AC11" t="s">
        <v>210</v>
      </c>
      <c r="AH11">
        <v>7</v>
      </c>
      <c r="AV11" t="s">
        <v>256</v>
      </c>
      <c r="BA11">
        <v>7</v>
      </c>
    </row>
    <row r="12" spans="1:53" x14ac:dyDescent="0.3">
      <c r="A12" t="s">
        <v>206</v>
      </c>
      <c r="C12" t="s">
        <v>1493</v>
      </c>
      <c r="D12" t="s">
        <v>470</v>
      </c>
      <c r="E12">
        <v>10000000</v>
      </c>
      <c r="H12">
        <v>1</v>
      </c>
      <c r="I12" t="s">
        <v>82</v>
      </c>
      <c r="J12">
        <v>9.9999999999999995E-7</v>
      </c>
      <c r="K12" t="s">
        <v>252</v>
      </c>
      <c r="O12">
        <v>0.1</v>
      </c>
      <c r="P12" t="s">
        <v>59</v>
      </c>
      <c r="S12">
        <v>2</v>
      </c>
      <c r="T12">
        <v>22</v>
      </c>
      <c r="V12">
        <v>50</v>
      </c>
      <c r="W12" t="s">
        <v>1057</v>
      </c>
      <c r="X12" t="s">
        <v>114</v>
      </c>
      <c r="Y12">
        <v>5</v>
      </c>
      <c r="AB12">
        <v>5.8450980400142498</v>
      </c>
      <c r="AC12" t="s">
        <v>210</v>
      </c>
      <c r="AH12">
        <v>7</v>
      </c>
      <c r="AV12" t="s">
        <v>256</v>
      </c>
      <c r="BA12">
        <v>7</v>
      </c>
    </row>
    <row r="13" spans="1:53" x14ac:dyDescent="0.3">
      <c r="A13" t="s">
        <v>206</v>
      </c>
      <c r="C13" t="s">
        <v>1493</v>
      </c>
      <c r="D13" t="s">
        <v>470</v>
      </c>
      <c r="E13">
        <v>10000000</v>
      </c>
      <c r="H13">
        <v>1</v>
      </c>
      <c r="I13" t="s">
        <v>82</v>
      </c>
      <c r="J13">
        <v>9.9999999999999995E-7</v>
      </c>
      <c r="K13" t="s">
        <v>252</v>
      </c>
      <c r="O13">
        <v>0.1</v>
      </c>
      <c r="P13" t="s">
        <v>59</v>
      </c>
      <c r="S13">
        <v>2</v>
      </c>
      <c r="T13">
        <v>22</v>
      </c>
      <c r="V13">
        <v>50</v>
      </c>
      <c r="W13" t="s">
        <v>1057</v>
      </c>
      <c r="X13" t="s">
        <v>114</v>
      </c>
      <c r="Y13">
        <v>10</v>
      </c>
      <c r="AB13">
        <v>3.1139433523068298</v>
      </c>
      <c r="AC13" t="s">
        <v>210</v>
      </c>
      <c r="AH13">
        <v>7</v>
      </c>
      <c r="AV13" t="s">
        <v>256</v>
      </c>
      <c r="BA13">
        <v>7</v>
      </c>
    </row>
    <row r="14" spans="1:53" x14ac:dyDescent="0.3">
      <c r="A14" t="s">
        <v>206</v>
      </c>
      <c r="C14" t="s">
        <v>1493</v>
      </c>
      <c r="D14" t="s">
        <v>470</v>
      </c>
      <c r="E14">
        <v>10000000</v>
      </c>
      <c r="H14">
        <v>1</v>
      </c>
      <c r="I14" t="s">
        <v>82</v>
      </c>
      <c r="J14">
        <v>9.9999999999999995E-7</v>
      </c>
      <c r="K14" t="s">
        <v>252</v>
      </c>
      <c r="O14">
        <v>0.1</v>
      </c>
      <c r="P14" t="s">
        <v>59</v>
      </c>
      <c r="S14">
        <v>2</v>
      </c>
      <c r="T14">
        <v>22</v>
      </c>
      <c r="V14">
        <v>50</v>
      </c>
      <c r="W14" t="s">
        <v>1057</v>
      </c>
      <c r="X14" t="s">
        <v>114</v>
      </c>
      <c r="Y14">
        <v>20</v>
      </c>
      <c r="AA14" t="s">
        <v>128</v>
      </c>
      <c r="AB14">
        <v>1.6989700043360101</v>
      </c>
      <c r="AC14" t="s">
        <v>210</v>
      </c>
      <c r="AH14">
        <v>7</v>
      </c>
      <c r="AV14" t="s">
        <v>256</v>
      </c>
      <c r="AZ14">
        <v>0</v>
      </c>
      <c r="BA14">
        <v>7</v>
      </c>
    </row>
    <row r="15" spans="1:53" x14ac:dyDescent="0.3">
      <c r="A15" t="s">
        <v>206</v>
      </c>
      <c r="C15" t="s">
        <v>1493</v>
      </c>
      <c r="D15" t="s">
        <v>470</v>
      </c>
      <c r="E15">
        <v>10000000</v>
      </c>
      <c r="H15">
        <v>1</v>
      </c>
      <c r="I15" t="s">
        <v>82</v>
      </c>
      <c r="J15">
        <v>9.9999999999999995E-7</v>
      </c>
      <c r="K15" t="s">
        <v>252</v>
      </c>
      <c r="O15">
        <v>0.1</v>
      </c>
      <c r="P15" t="s">
        <v>59</v>
      </c>
      <c r="S15">
        <v>2</v>
      </c>
      <c r="T15">
        <v>22</v>
      </c>
      <c r="V15">
        <v>50</v>
      </c>
      <c r="W15" t="s">
        <v>1057</v>
      </c>
      <c r="X15" t="s">
        <v>114</v>
      </c>
      <c r="Y15">
        <v>30</v>
      </c>
      <c r="AA15" t="s">
        <v>128</v>
      </c>
      <c r="AB15">
        <v>1.6989700043360101</v>
      </c>
      <c r="AC15" t="s">
        <v>210</v>
      </c>
      <c r="AH15">
        <v>7</v>
      </c>
      <c r="AV15" t="s">
        <v>256</v>
      </c>
      <c r="AZ15">
        <v>0</v>
      </c>
      <c r="BA15">
        <v>7</v>
      </c>
    </row>
    <row r="16" spans="1:53" x14ac:dyDescent="0.3">
      <c r="A16" t="s">
        <v>206</v>
      </c>
      <c r="C16" t="s">
        <v>1493</v>
      </c>
      <c r="D16" t="s">
        <v>470</v>
      </c>
      <c r="E16">
        <v>10000000</v>
      </c>
      <c r="H16">
        <v>1</v>
      </c>
      <c r="I16" t="s">
        <v>82</v>
      </c>
      <c r="J16">
        <v>9.9999999999999995E-7</v>
      </c>
      <c r="K16" t="s">
        <v>252</v>
      </c>
      <c r="O16">
        <v>0.1</v>
      </c>
      <c r="P16" t="s">
        <v>59</v>
      </c>
      <c r="S16">
        <v>2</v>
      </c>
      <c r="T16">
        <v>22</v>
      </c>
      <c r="V16">
        <v>50</v>
      </c>
      <c r="W16" t="s">
        <v>1057</v>
      </c>
      <c r="X16" t="s">
        <v>114</v>
      </c>
      <c r="Y16">
        <v>60</v>
      </c>
      <c r="AA16" t="s">
        <v>128</v>
      </c>
      <c r="AB16">
        <v>1.6989700043360101</v>
      </c>
      <c r="AC16" t="s">
        <v>210</v>
      </c>
      <c r="AH16">
        <v>7</v>
      </c>
      <c r="AV16" t="s">
        <v>256</v>
      </c>
      <c r="AZ16">
        <v>0</v>
      </c>
      <c r="BA16">
        <v>7</v>
      </c>
    </row>
    <row r="17" spans="1:53" x14ac:dyDescent="0.3">
      <c r="A17" t="s">
        <v>206</v>
      </c>
      <c r="C17" t="s">
        <v>1493</v>
      </c>
      <c r="D17" t="s">
        <v>470</v>
      </c>
      <c r="E17">
        <v>10000000</v>
      </c>
      <c r="H17">
        <v>1</v>
      </c>
      <c r="I17" t="s">
        <v>82</v>
      </c>
      <c r="J17">
        <v>9.9999999999999995E-7</v>
      </c>
      <c r="K17" t="s">
        <v>252</v>
      </c>
      <c r="O17">
        <v>0.1</v>
      </c>
      <c r="P17" t="s">
        <v>59</v>
      </c>
      <c r="S17">
        <v>2</v>
      </c>
      <c r="T17">
        <v>22</v>
      </c>
      <c r="V17">
        <v>50</v>
      </c>
      <c r="W17" t="s">
        <v>1057</v>
      </c>
      <c r="X17" t="s">
        <v>114</v>
      </c>
      <c r="Y17">
        <v>120</v>
      </c>
      <c r="AA17" t="s">
        <v>128</v>
      </c>
      <c r="AB17">
        <v>1.6989700043360101</v>
      </c>
      <c r="AC17" t="s">
        <v>210</v>
      </c>
      <c r="AH17">
        <v>7</v>
      </c>
      <c r="AV17" t="s">
        <v>256</v>
      </c>
      <c r="AZ17">
        <v>0</v>
      </c>
      <c r="BA17">
        <v>7</v>
      </c>
    </row>
    <row r="18" spans="1:53" x14ac:dyDescent="0.3">
      <c r="A18" t="s">
        <v>206</v>
      </c>
      <c r="C18" t="s">
        <v>1493</v>
      </c>
      <c r="D18" t="s">
        <v>470</v>
      </c>
      <c r="E18">
        <v>10000000</v>
      </c>
      <c r="H18">
        <v>1</v>
      </c>
      <c r="I18" t="s">
        <v>82</v>
      </c>
      <c r="J18">
        <v>9.9999999999999995E-7</v>
      </c>
      <c r="K18" t="s">
        <v>252</v>
      </c>
      <c r="O18">
        <v>0.1</v>
      </c>
      <c r="P18" t="s">
        <v>59</v>
      </c>
      <c r="S18">
        <v>2</v>
      </c>
      <c r="T18">
        <v>22</v>
      </c>
      <c r="V18">
        <v>50</v>
      </c>
      <c r="W18" t="s">
        <v>1057</v>
      </c>
      <c r="X18" t="s">
        <v>114</v>
      </c>
      <c r="Y18">
        <v>0</v>
      </c>
      <c r="AB18">
        <v>7.04139268515822</v>
      </c>
      <c r="AC18" t="s">
        <v>210</v>
      </c>
      <c r="AH18">
        <v>7</v>
      </c>
      <c r="AV18" t="s">
        <v>256</v>
      </c>
      <c r="BA18">
        <v>7</v>
      </c>
    </row>
    <row r="19" spans="1:53" x14ac:dyDescent="0.3">
      <c r="A19" t="s">
        <v>206</v>
      </c>
      <c r="C19" t="s">
        <v>1493</v>
      </c>
      <c r="D19" t="s">
        <v>470</v>
      </c>
      <c r="E19">
        <v>10000000</v>
      </c>
      <c r="H19">
        <v>1</v>
      </c>
      <c r="I19" t="s">
        <v>82</v>
      </c>
      <c r="J19">
        <v>9.9999999999999995E-7</v>
      </c>
      <c r="K19" t="s">
        <v>252</v>
      </c>
      <c r="O19">
        <v>0.1</v>
      </c>
      <c r="P19" t="s">
        <v>59</v>
      </c>
      <c r="S19">
        <v>2</v>
      </c>
      <c r="T19">
        <v>22</v>
      </c>
      <c r="V19">
        <v>50</v>
      </c>
      <c r="W19" t="s">
        <v>1057</v>
      </c>
      <c r="X19" t="s">
        <v>114</v>
      </c>
      <c r="Y19">
        <v>1</v>
      </c>
      <c r="AB19">
        <v>7</v>
      </c>
      <c r="AC19" t="s">
        <v>210</v>
      </c>
      <c r="AH19">
        <v>7</v>
      </c>
      <c r="AV19" t="s">
        <v>256</v>
      </c>
      <c r="BA19">
        <v>7</v>
      </c>
    </row>
    <row r="20" spans="1:53" x14ac:dyDescent="0.3">
      <c r="A20" t="s">
        <v>206</v>
      </c>
      <c r="C20" t="s">
        <v>1493</v>
      </c>
      <c r="D20" t="s">
        <v>470</v>
      </c>
      <c r="E20">
        <v>10000000</v>
      </c>
      <c r="H20">
        <v>1</v>
      </c>
      <c r="I20" t="s">
        <v>82</v>
      </c>
      <c r="J20">
        <v>9.9999999999999995E-7</v>
      </c>
      <c r="K20" t="s">
        <v>252</v>
      </c>
      <c r="O20">
        <v>0.1</v>
      </c>
      <c r="P20" t="s">
        <v>59</v>
      </c>
      <c r="S20">
        <v>2</v>
      </c>
      <c r="T20">
        <v>22</v>
      </c>
      <c r="V20">
        <v>50</v>
      </c>
      <c r="W20" t="s">
        <v>1057</v>
      </c>
      <c r="X20" t="s">
        <v>114</v>
      </c>
      <c r="Y20">
        <v>5</v>
      </c>
      <c r="AB20">
        <v>6.7993405494535804</v>
      </c>
      <c r="AC20" t="s">
        <v>210</v>
      </c>
      <c r="AH20">
        <v>7</v>
      </c>
      <c r="AV20" t="s">
        <v>256</v>
      </c>
      <c r="BA20">
        <v>7</v>
      </c>
    </row>
    <row r="21" spans="1:53" x14ac:dyDescent="0.3">
      <c r="A21" t="s">
        <v>206</v>
      </c>
      <c r="C21" t="s">
        <v>1493</v>
      </c>
      <c r="D21" t="s">
        <v>470</v>
      </c>
      <c r="E21">
        <v>10000000</v>
      </c>
      <c r="H21">
        <v>1</v>
      </c>
      <c r="I21" t="s">
        <v>82</v>
      </c>
      <c r="J21">
        <v>9.9999999999999995E-7</v>
      </c>
      <c r="K21" t="s">
        <v>252</v>
      </c>
      <c r="O21">
        <v>0.1</v>
      </c>
      <c r="P21" t="s">
        <v>59</v>
      </c>
      <c r="S21">
        <v>2</v>
      </c>
      <c r="T21">
        <v>22</v>
      </c>
      <c r="V21">
        <v>50</v>
      </c>
      <c r="W21" t="s">
        <v>1057</v>
      </c>
      <c r="X21" t="s">
        <v>114</v>
      </c>
      <c r="Y21">
        <v>10</v>
      </c>
      <c r="AB21">
        <v>6.8750612633917001</v>
      </c>
      <c r="AC21" t="s">
        <v>210</v>
      </c>
      <c r="AH21">
        <v>7</v>
      </c>
      <c r="AV21" t="s">
        <v>256</v>
      </c>
      <c r="BA21">
        <v>7</v>
      </c>
    </row>
    <row r="22" spans="1:53" x14ac:dyDescent="0.3">
      <c r="A22" t="s">
        <v>206</v>
      </c>
      <c r="C22" t="s">
        <v>1493</v>
      </c>
      <c r="D22" t="s">
        <v>470</v>
      </c>
      <c r="E22">
        <v>10000000</v>
      </c>
      <c r="H22">
        <v>1</v>
      </c>
      <c r="I22" t="s">
        <v>82</v>
      </c>
      <c r="J22">
        <v>9.9999999999999995E-7</v>
      </c>
      <c r="K22" t="s">
        <v>252</v>
      </c>
      <c r="O22">
        <v>0.1</v>
      </c>
      <c r="P22" t="s">
        <v>59</v>
      </c>
      <c r="S22">
        <v>2</v>
      </c>
      <c r="T22">
        <v>22</v>
      </c>
      <c r="V22">
        <v>50</v>
      </c>
      <c r="W22" t="s">
        <v>1057</v>
      </c>
      <c r="X22" t="s">
        <v>114</v>
      </c>
      <c r="Y22">
        <v>20</v>
      </c>
      <c r="AB22">
        <v>6.2304489213782697</v>
      </c>
      <c r="AC22" t="s">
        <v>210</v>
      </c>
      <c r="AH22">
        <v>7</v>
      </c>
      <c r="AV22" t="s">
        <v>256</v>
      </c>
      <c r="BA22">
        <v>7</v>
      </c>
    </row>
    <row r="23" spans="1:53" x14ac:dyDescent="0.3">
      <c r="A23" t="s">
        <v>206</v>
      </c>
      <c r="C23" t="s">
        <v>1493</v>
      </c>
      <c r="D23" t="s">
        <v>470</v>
      </c>
      <c r="E23">
        <v>10000000</v>
      </c>
      <c r="H23">
        <v>1</v>
      </c>
      <c r="I23" t="s">
        <v>82</v>
      </c>
      <c r="J23">
        <v>9.9999999999999995E-7</v>
      </c>
      <c r="K23" t="s">
        <v>252</v>
      </c>
      <c r="O23">
        <v>0.1</v>
      </c>
      <c r="P23" t="s">
        <v>59</v>
      </c>
      <c r="S23">
        <v>2</v>
      </c>
      <c r="T23">
        <v>22</v>
      </c>
      <c r="V23">
        <v>50</v>
      </c>
      <c r="W23" t="s">
        <v>1057</v>
      </c>
      <c r="X23" t="s">
        <v>114</v>
      </c>
      <c r="Y23">
        <v>30</v>
      </c>
      <c r="AA23" t="s">
        <v>128</v>
      </c>
      <c r="AB23">
        <v>1.6989700043360101</v>
      </c>
      <c r="AC23" t="s">
        <v>210</v>
      </c>
      <c r="AH23">
        <v>7</v>
      </c>
      <c r="AV23" t="s">
        <v>256</v>
      </c>
      <c r="AZ23">
        <v>0</v>
      </c>
      <c r="BA23">
        <v>7</v>
      </c>
    </row>
    <row r="24" spans="1:53" x14ac:dyDescent="0.3">
      <c r="A24" t="s">
        <v>206</v>
      </c>
      <c r="C24" t="s">
        <v>1493</v>
      </c>
      <c r="D24" t="s">
        <v>470</v>
      </c>
      <c r="E24">
        <v>10000000</v>
      </c>
      <c r="H24">
        <v>1</v>
      </c>
      <c r="I24" t="s">
        <v>82</v>
      </c>
      <c r="J24">
        <v>9.9999999999999995E-7</v>
      </c>
      <c r="K24" t="s">
        <v>252</v>
      </c>
      <c r="O24">
        <v>0.1</v>
      </c>
      <c r="P24" t="s">
        <v>59</v>
      </c>
      <c r="S24">
        <v>2</v>
      </c>
      <c r="T24">
        <v>22</v>
      </c>
      <c r="V24">
        <v>50</v>
      </c>
      <c r="W24" t="s">
        <v>1057</v>
      </c>
      <c r="X24" t="s">
        <v>114</v>
      </c>
      <c r="Y24">
        <v>60</v>
      </c>
      <c r="AA24" t="s">
        <v>128</v>
      </c>
      <c r="AB24">
        <v>1.6989700043360101</v>
      </c>
      <c r="AC24" t="s">
        <v>210</v>
      </c>
      <c r="AH24">
        <v>7</v>
      </c>
      <c r="AV24" t="s">
        <v>256</v>
      </c>
      <c r="AZ24">
        <v>0</v>
      </c>
      <c r="BA24">
        <v>7</v>
      </c>
    </row>
    <row r="25" spans="1:53" x14ac:dyDescent="0.3">
      <c r="A25" t="s">
        <v>206</v>
      </c>
      <c r="C25" t="s">
        <v>1493</v>
      </c>
      <c r="D25" t="s">
        <v>470</v>
      </c>
      <c r="E25">
        <v>10000000</v>
      </c>
      <c r="H25">
        <v>1</v>
      </c>
      <c r="I25" t="s">
        <v>82</v>
      </c>
      <c r="J25">
        <v>9.9999999999999995E-7</v>
      </c>
      <c r="K25" t="s">
        <v>252</v>
      </c>
      <c r="O25">
        <v>0.1</v>
      </c>
      <c r="P25" t="s">
        <v>59</v>
      </c>
      <c r="S25">
        <v>2</v>
      </c>
      <c r="T25">
        <v>22</v>
      </c>
      <c r="V25">
        <v>50</v>
      </c>
      <c r="W25" t="s">
        <v>1057</v>
      </c>
      <c r="X25" t="s">
        <v>114</v>
      </c>
      <c r="Y25">
        <v>0</v>
      </c>
      <c r="AB25">
        <v>7.1461280356782302</v>
      </c>
      <c r="AC25" t="s">
        <v>210</v>
      </c>
      <c r="AH25">
        <v>7.1</v>
      </c>
      <c r="AV25" t="s">
        <v>256</v>
      </c>
      <c r="BA25">
        <v>7.1</v>
      </c>
    </row>
    <row r="26" spans="1:53" x14ac:dyDescent="0.3">
      <c r="A26" t="s">
        <v>206</v>
      </c>
      <c r="C26" t="s">
        <v>1493</v>
      </c>
      <c r="D26" t="s">
        <v>470</v>
      </c>
      <c r="E26">
        <v>10000000</v>
      </c>
      <c r="H26">
        <v>1</v>
      </c>
      <c r="I26" t="s">
        <v>82</v>
      </c>
      <c r="J26">
        <v>9.9999999999999995E-7</v>
      </c>
      <c r="K26" t="s">
        <v>252</v>
      </c>
      <c r="O26">
        <v>0.1</v>
      </c>
      <c r="P26" t="s">
        <v>59</v>
      </c>
      <c r="S26">
        <v>2</v>
      </c>
      <c r="T26">
        <v>22</v>
      </c>
      <c r="V26">
        <v>50</v>
      </c>
      <c r="W26" t="s">
        <v>1057</v>
      </c>
      <c r="X26" t="s">
        <v>114</v>
      </c>
      <c r="Y26">
        <v>0.25</v>
      </c>
      <c r="AB26">
        <v>1.8750612633917001</v>
      </c>
      <c r="AC26" t="s">
        <v>210</v>
      </c>
      <c r="AH26">
        <v>7</v>
      </c>
      <c r="AV26" t="s">
        <v>256</v>
      </c>
      <c r="BA26">
        <v>7</v>
      </c>
    </row>
    <row r="27" spans="1:53" x14ac:dyDescent="0.3">
      <c r="A27" t="s">
        <v>206</v>
      </c>
      <c r="C27" t="s">
        <v>1493</v>
      </c>
      <c r="D27" t="s">
        <v>470</v>
      </c>
      <c r="E27">
        <v>10000000</v>
      </c>
      <c r="H27">
        <v>1</v>
      </c>
      <c r="I27" t="s">
        <v>82</v>
      </c>
      <c r="J27">
        <v>9.9999999999999995E-7</v>
      </c>
      <c r="K27" t="s">
        <v>252</v>
      </c>
      <c r="O27">
        <v>0.1</v>
      </c>
      <c r="P27" t="s">
        <v>59</v>
      </c>
      <c r="S27">
        <v>2</v>
      </c>
      <c r="T27">
        <v>22</v>
      </c>
      <c r="V27">
        <v>50</v>
      </c>
      <c r="W27" t="s">
        <v>1057</v>
      </c>
      <c r="X27" t="s">
        <v>114</v>
      </c>
      <c r="Y27">
        <v>0.5</v>
      </c>
      <c r="AA27" t="s">
        <v>128</v>
      </c>
      <c r="AB27">
        <v>1.6989700043360101</v>
      </c>
      <c r="AC27" t="s">
        <v>210</v>
      </c>
      <c r="AH27">
        <v>7</v>
      </c>
      <c r="AV27" t="s">
        <v>256</v>
      </c>
      <c r="AZ27">
        <v>0</v>
      </c>
      <c r="BA27">
        <v>7</v>
      </c>
    </row>
    <row r="28" spans="1:53" x14ac:dyDescent="0.3">
      <c r="A28" t="s">
        <v>206</v>
      </c>
      <c r="C28" t="s">
        <v>1493</v>
      </c>
      <c r="D28" t="s">
        <v>470</v>
      </c>
      <c r="E28">
        <v>10000000</v>
      </c>
      <c r="H28">
        <v>1</v>
      </c>
      <c r="I28" t="s">
        <v>82</v>
      </c>
      <c r="J28">
        <v>9.9999999999999995E-7</v>
      </c>
      <c r="K28" t="s">
        <v>252</v>
      </c>
      <c r="O28">
        <v>0.1</v>
      </c>
      <c r="P28" t="s">
        <v>59</v>
      </c>
      <c r="S28">
        <v>2</v>
      </c>
      <c r="T28">
        <v>22</v>
      </c>
      <c r="V28">
        <v>50</v>
      </c>
      <c r="W28" t="s">
        <v>1057</v>
      </c>
      <c r="X28" t="s">
        <v>114</v>
      </c>
      <c r="Y28">
        <v>1</v>
      </c>
      <c r="AA28" t="s">
        <v>128</v>
      </c>
      <c r="AB28">
        <v>1.6989700043360101</v>
      </c>
      <c r="AC28" t="s">
        <v>210</v>
      </c>
      <c r="AH28">
        <v>7</v>
      </c>
      <c r="AV28" t="s">
        <v>256</v>
      </c>
      <c r="AZ28">
        <v>0</v>
      </c>
      <c r="BA28">
        <v>7</v>
      </c>
    </row>
    <row r="29" spans="1:53" x14ac:dyDescent="0.3">
      <c r="A29" t="s">
        <v>206</v>
      </c>
      <c r="C29" t="s">
        <v>1493</v>
      </c>
      <c r="D29" t="s">
        <v>470</v>
      </c>
      <c r="E29">
        <v>10000000</v>
      </c>
      <c r="H29">
        <v>1</v>
      </c>
      <c r="I29" t="s">
        <v>82</v>
      </c>
      <c r="J29">
        <v>9.9999999999999995E-7</v>
      </c>
      <c r="K29" t="s">
        <v>252</v>
      </c>
      <c r="O29">
        <v>0.1</v>
      </c>
      <c r="P29" t="s">
        <v>59</v>
      </c>
      <c r="S29">
        <v>2</v>
      </c>
      <c r="T29">
        <v>22</v>
      </c>
      <c r="V29">
        <v>50</v>
      </c>
      <c r="W29" t="s">
        <v>1057</v>
      </c>
      <c r="X29" t="s">
        <v>114</v>
      </c>
      <c r="Y29">
        <v>5</v>
      </c>
      <c r="AA29" t="s">
        <v>128</v>
      </c>
      <c r="AB29">
        <v>1.6989700043360101</v>
      </c>
      <c r="AC29" t="s">
        <v>210</v>
      </c>
      <c r="AH29">
        <v>7</v>
      </c>
      <c r="AV29" t="s">
        <v>256</v>
      </c>
      <c r="AZ29">
        <v>0</v>
      </c>
      <c r="BA29">
        <v>7</v>
      </c>
    </row>
    <row r="30" spans="1:53" x14ac:dyDescent="0.3">
      <c r="A30" t="s">
        <v>206</v>
      </c>
      <c r="C30" t="s">
        <v>1493</v>
      </c>
      <c r="D30" t="s">
        <v>470</v>
      </c>
      <c r="E30">
        <v>10000000</v>
      </c>
      <c r="H30">
        <v>1</v>
      </c>
      <c r="I30" t="s">
        <v>82</v>
      </c>
      <c r="J30">
        <v>9.9999999999999995E-7</v>
      </c>
      <c r="K30" t="s">
        <v>252</v>
      </c>
      <c r="O30">
        <v>0.1</v>
      </c>
      <c r="P30" t="s">
        <v>59</v>
      </c>
      <c r="S30">
        <v>2</v>
      </c>
      <c r="T30">
        <v>22</v>
      </c>
      <c r="V30">
        <v>50</v>
      </c>
      <c r="W30" t="s">
        <v>1057</v>
      </c>
      <c r="X30" t="s">
        <v>114</v>
      </c>
      <c r="Y30">
        <v>10</v>
      </c>
      <c r="AA30" t="s">
        <v>128</v>
      </c>
      <c r="AB30">
        <v>1.6989700043360101</v>
      </c>
      <c r="AC30" t="s">
        <v>210</v>
      </c>
      <c r="AH30">
        <v>7</v>
      </c>
      <c r="AV30" t="s">
        <v>256</v>
      </c>
      <c r="AZ30">
        <v>0</v>
      </c>
      <c r="BA30">
        <v>7</v>
      </c>
    </row>
    <row r="31" spans="1:53" x14ac:dyDescent="0.3">
      <c r="A31" t="s">
        <v>206</v>
      </c>
      <c r="C31" t="s">
        <v>1493</v>
      </c>
      <c r="D31" t="s">
        <v>470</v>
      </c>
      <c r="E31">
        <v>10000000</v>
      </c>
      <c r="H31">
        <v>1</v>
      </c>
      <c r="I31" t="s">
        <v>82</v>
      </c>
      <c r="J31">
        <v>9.9999999999999995E-7</v>
      </c>
      <c r="K31" t="s">
        <v>252</v>
      </c>
      <c r="O31">
        <v>0.1</v>
      </c>
      <c r="P31" t="s">
        <v>59</v>
      </c>
      <c r="S31">
        <v>2</v>
      </c>
      <c r="T31">
        <v>22</v>
      </c>
      <c r="V31">
        <v>50</v>
      </c>
      <c r="W31" t="s">
        <v>1057</v>
      </c>
      <c r="X31" t="s">
        <v>114</v>
      </c>
      <c r="Y31">
        <v>20</v>
      </c>
      <c r="AA31" t="s">
        <v>128</v>
      </c>
      <c r="AB31">
        <v>1.6989700043360101</v>
      </c>
      <c r="AC31" t="s">
        <v>210</v>
      </c>
      <c r="AH31">
        <v>7</v>
      </c>
      <c r="AV31" t="s">
        <v>256</v>
      </c>
      <c r="AZ31">
        <v>0</v>
      </c>
      <c r="BA31">
        <v>7</v>
      </c>
    </row>
    <row r="32" spans="1:53" x14ac:dyDescent="0.3">
      <c r="A32" t="s">
        <v>206</v>
      </c>
      <c r="C32" t="s">
        <v>1493</v>
      </c>
      <c r="D32" t="s">
        <v>470</v>
      </c>
      <c r="E32">
        <v>10000000</v>
      </c>
      <c r="H32">
        <v>1</v>
      </c>
      <c r="I32" t="s">
        <v>82</v>
      </c>
      <c r="J32">
        <v>9.9999999999999995E-7</v>
      </c>
      <c r="K32" t="s">
        <v>252</v>
      </c>
      <c r="O32">
        <v>0.1</v>
      </c>
      <c r="P32" t="s">
        <v>59</v>
      </c>
      <c r="S32">
        <v>2</v>
      </c>
      <c r="T32">
        <v>22</v>
      </c>
      <c r="V32">
        <v>50</v>
      </c>
      <c r="W32" t="s">
        <v>1057</v>
      </c>
      <c r="X32" t="s">
        <v>114</v>
      </c>
      <c r="Y32">
        <v>30</v>
      </c>
      <c r="AA32" t="s">
        <v>128</v>
      </c>
      <c r="AB32">
        <v>1.6989700043360101</v>
      </c>
      <c r="AC32" t="s">
        <v>210</v>
      </c>
      <c r="AH32">
        <v>7</v>
      </c>
      <c r="AV32" t="s">
        <v>256</v>
      </c>
      <c r="AZ32">
        <v>0</v>
      </c>
      <c r="BA32">
        <v>7</v>
      </c>
    </row>
    <row r="33" spans="1:53" x14ac:dyDescent="0.3">
      <c r="A33" t="s">
        <v>206</v>
      </c>
      <c r="C33" t="s">
        <v>1493</v>
      </c>
      <c r="D33" t="s">
        <v>470</v>
      </c>
      <c r="E33">
        <v>10000000</v>
      </c>
      <c r="H33">
        <v>1</v>
      </c>
      <c r="I33" t="s">
        <v>82</v>
      </c>
      <c r="J33">
        <v>9.9999999999999995E-7</v>
      </c>
      <c r="K33" t="s">
        <v>252</v>
      </c>
      <c r="O33">
        <v>0.1</v>
      </c>
      <c r="P33" t="s">
        <v>59</v>
      </c>
      <c r="S33">
        <v>2</v>
      </c>
      <c r="T33">
        <v>22</v>
      </c>
      <c r="V33">
        <v>50</v>
      </c>
      <c r="W33" t="s">
        <v>1057</v>
      </c>
      <c r="X33" t="s">
        <v>114</v>
      </c>
      <c r="Y33">
        <v>60</v>
      </c>
      <c r="AA33" t="s">
        <v>128</v>
      </c>
      <c r="AB33">
        <v>1.6989700043360101</v>
      </c>
      <c r="AC33" t="s">
        <v>210</v>
      </c>
      <c r="AH33">
        <v>7</v>
      </c>
      <c r="AV33" t="s">
        <v>256</v>
      </c>
      <c r="AZ33">
        <v>0</v>
      </c>
      <c r="BA33">
        <v>7</v>
      </c>
    </row>
    <row r="34" spans="1:53" x14ac:dyDescent="0.3">
      <c r="A34" t="s">
        <v>206</v>
      </c>
      <c r="C34" t="s">
        <v>1493</v>
      </c>
      <c r="D34" t="s">
        <v>470</v>
      </c>
      <c r="E34">
        <v>10000000</v>
      </c>
      <c r="H34">
        <v>1</v>
      </c>
      <c r="I34" t="s">
        <v>82</v>
      </c>
      <c r="J34">
        <v>9.9999999999999995E-7</v>
      </c>
      <c r="K34" t="s">
        <v>252</v>
      </c>
      <c r="O34">
        <v>0.5</v>
      </c>
      <c r="P34" t="s">
        <v>59</v>
      </c>
      <c r="S34">
        <v>2</v>
      </c>
      <c r="T34">
        <v>22</v>
      </c>
      <c r="V34">
        <v>50</v>
      </c>
      <c r="W34" t="s">
        <v>1057</v>
      </c>
      <c r="X34" t="s">
        <v>114</v>
      </c>
      <c r="Y34">
        <v>0</v>
      </c>
      <c r="AB34">
        <v>7.1760912590556796</v>
      </c>
      <c r="AC34" t="s">
        <v>210</v>
      </c>
      <c r="AH34">
        <v>7.2</v>
      </c>
      <c r="AV34" t="s">
        <v>256</v>
      </c>
      <c r="BA34">
        <v>7.2</v>
      </c>
    </row>
    <row r="35" spans="1:53" x14ac:dyDescent="0.3">
      <c r="A35" t="s">
        <v>206</v>
      </c>
      <c r="C35" t="s">
        <v>1493</v>
      </c>
      <c r="D35" t="s">
        <v>470</v>
      </c>
      <c r="E35">
        <v>10000000</v>
      </c>
      <c r="H35">
        <v>1</v>
      </c>
      <c r="I35" t="s">
        <v>82</v>
      </c>
      <c r="J35">
        <v>9.9999999999999995E-7</v>
      </c>
      <c r="K35" t="s">
        <v>252</v>
      </c>
      <c r="O35">
        <v>0.5</v>
      </c>
      <c r="P35" t="s">
        <v>59</v>
      </c>
      <c r="S35">
        <v>2</v>
      </c>
      <c r="T35">
        <v>22</v>
      </c>
      <c r="V35">
        <v>50</v>
      </c>
      <c r="W35" t="s">
        <v>1057</v>
      </c>
      <c r="X35" t="s">
        <v>114</v>
      </c>
      <c r="Y35">
        <v>1</v>
      </c>
      <c r="AB35">
        <v>7.1139433523068298</v>
      </c>
      <c r="AC35" t="s">
        <v>210</v>
      </c>
      <c r="AH35">
        <v>7.2</v>
      </c>
      <c r="AV35" t="s">
        <v>256</v>
      </c>
      <c r="BA35">
        <v>7.2</v>
      </c>
    </row>
    <row r="36" spans="1:53" x14ac:dyDescent="0.3">
      <c r="A36" t="s">
        <v>206</v>
      </c>
      <c r="C36" t="s">
        <v>1493</v>
      </c>
      <c r="D36" t="s">
        <v>470</v>
      </c>
      <c r="E36">
        <v>10000000</v>
      </c>
      <c r="H36">
        <v>1</v>
      </c>
      <c r="I36" t="s">
        <v>82</v>
      </c>
      <c r="J36">
        <v>9.9999999999999995E-7</v>
      </c>
      <c r="K36" t="s">
        <v>252</v>
      </c>
      <c r="O36">
        <v>0.5</v>
      </c>
      <c r="P36" t="s">
        <v>59</v>
      </c>
      <c r="S36">
        <v>2</v>
      </c>
      <c r="T36">
        <v>22</v>
      </c>
      <c r="V36">
        <v>50</v>
      </c>
      <c r="W36" t="s">
        <v>1057</v>
      </c>
      <c r="X36" t="s">
        <v>114</v>
      </c>
      <c r="Y36">
        <v>5</v>
      </c>
      <c r="AB36">
        <v>6.8920946026904799</v>
      </c>
      <c r="AC36" t="s">
        <v>210</v>
      </c>
      <c r="AH36">
        <v>7.2</v>
      </c>
      <c r="AV36" t="s">
        <v>256</v>
      </c>
      <c r="BA36">
        <v>7.2</v>
      </c>
    </row>
    <row r="37" spans="1:53" x14ac:dyDescent="0.3">
      <c r="A37" t="s">
        <v>206</v>
      </c>
      <c r="C37" t="s">
        <v>1493</v>
      </c>
      <c r="D37" t="s">
        <v>470</v>
      </c>
      <c r="E37">
        <v>10000000</v>
      </c>
      <c r="H37">
        <v>1</v>
      </c>
      <c r="I37" t="s">
        <v>82</v>
      </c>
      <c r="J37">
        <v>9.9999999999999995E-7</v>
      </c>
      <c r="K37" t="s">
        <v>252</v>
      </c>
      <c r="O37">
        <v>0.5</v>
      </c>
      <c r="P37" t="s">
        <v>59</v>
      </c>
      <c r="S37">
        <v>2</v>
      </c>
      <c r="T37">
        <v>22</v>
      </c>
      <c r="V37">
        <v>50</v>
      </c>
      <c r="W37" t="s">
        <v>1057</v>
      </c>
      <c r="X37" t="s">
        <v>114</v>
      </c>
      <c r="Y37">
        <v>10</v>
      </c>
      <c r="AB37">
        <v>6</v>
      </c>
      <c r="AC37" t="s">
        <v>210</v>
      </c>
      <c r="AH37">
        <v>7.2</v>
      </c>
      <c r="AV37" t="s">
        <v>256</v>
      </c>
      <c r="BA37">
        <v>7.2</v>
      </c>
    </row>
    <row r="38" spans="1:53" x14ac:dyDescent="0.3">
      <c r="A38" t="s">
        <v>206</v>
      </c>
      <c r="C38" t="s">
        <v>1493</v>
      </c>
      <c r="D38" t="s">
        <v>470</v>
      </c>
      <c r="E38">
        <v>10000000</v>
      </c>
      <c r="H38">
        <v>1</v>
      </c>
      <c r="I38" t="s">
        <v>82</v>
      </c>
      <c r="J38">
        <v>9.9999999999999995E-7</v>
      </c>
      <c r="K38" t="s">
        <v>252</v>
      </c>
      <c r="O38">
        <v>0.5</v>
      </c>
      <c r="P38" t="s">
        <v>59</v>
      </c>
      <c r="S38">
        <v>2</v>
      </c>
      <c r="T38">
        <v>22</v>
      </c>
      <c r="V38">
        <v>50</v>
      </c>
      <c r="W38" t="s">
        <v>1057</v>
      </c>
      <c r="X38" t="s">
        <v>114</v>
      </c>
      <c r="Y38">
        <v>20</v>
      </c>
      <c r="AA38" t="s">
        <v>128</v>
      </c>
      <c r="AB38">
        <v>1.6989700043360101</v>
      </c>
      <c r="AC38" t="s">
        <v>210</v>
      </c>
      <c r="AH38">
        <v>7.2</v>
      </c>
      <c r="AV38" t="s">
        <v>256</v>
      </c>
      <c r="AZ38">
        <v>0</v>
      </c>
      <c r="BA38">
        <v>7.2</v>
      </c>
    </row>
    <row r="39" spans="1:53" x14ac:dyDescent="0.3">
      <c r="A39" t="s">
        <v>206</v>
      </c>
      <c r="C39" t="s">
        <v>1493</v>
      </c>
      <c r="D39" t="s">
        <v>470</v>
      </c>
      <c r="E39">
        <v>10000000</v>
      </c>
      <c r="H39">
        <v>1</v>
      </c>
      <c r="I39" t="s">
        <v>82</v>
      </c>
      <c r="J39">
        <v>9.9999999999999995E-7</v>
      </c>
      <c r="K39" t="s">
        <v>252</v>
      </c>
      <c r="O39">
        <v>0.5</v>
      </c>
      <c r="P39" t="s">
        <v>59</v>
      </c>
      <c r="S39">
        <v>2</v>
      </c>
      <c r="T39">
        <v>22</v>
      </c>
      <c r="V39">
        <v>50</v>
      </c>
      <c r="W39" t="s">
        <v>1057</v>
      </c>
      <c r="X39" t="s">
        <v>114</v>
      </c>
      <c r="Y39">
        <v>30</v>
      </c>
      <c r="AA39" t="s">
        <v>128</v>
      </c>
      <c r="AB39">
        <v>1.6989700043360101</v>
      </c>
      <c r="AC39" t="s">
        <v>210</v>
      </c>
      <c r="AH39">
        <v>7.2</v>
      </c>
      <c r="AV39" t="s">
        <v>256</v>
      </c>
      <c r="AZ39">
        <v>0</v>
      </c>
      <c r="BA39">
        <v>7.2</v>
      </c>
    </row>
    <row r="40" spans="1:53" x14ac:dyDescent="0.3">
      <c r="A40" t="s">
        <v>206</v>
      </c>
      <c r="C40" t="s">
        <v>1493</v>
      </c>
      <c r="D40" t="s">
        <v>470</v>
      </c>
      <c r="E40">
        <v>10000000</v>
      </c>
      <c r="H40">
        <v>1</v>
      </c>
      <c r="I40" t="s">
        <v>82</v>
      </c>
      <c r="J40">
        <v>9.9999999999999995E-7</v>
      </c>
      <c r="K40" t="s">
        <v>252</v>
      </c>
      <c r="O40">
        <v>0.5</v>
      </c>
      <c r="P40" t="s">
        <v>59</v>
      </c>
      <c r="S40">
        <v>2</v>
      </c>
      <c r="T40">
        <v>22</v>
      </c>
      <c r="V40">
        <v>50</v>
      </c>
      <c r="W40" t="s">
        <v>1057</v>
      </c>
      <c r="X40" t="s">
        <v>114</v>
      </c>
      <c r="Y40">
        <v>60</v>
      </c>
      <c r="AA40" t="s">
        <v>128</v>
      </c>
      <c r="AB40">
        <v>1.6989700043360101</v>
      </c>
      <c r="AC40" t="s">
        <v>210</v>
      </c>
      <c r="AH40">
        <v>7.2</v>
      </c>
      <c r="AV40" t="s">
        <v>256</v>
      </c>
      <c r="AZ40">
        <v>0</v>
      </c>
      <c r="BA40">
        <v>7.2</v>
      </c>
    </row>
    <row r="41" spans="1:53" x14ac:dyDescent="0.3">
      <c r="A41" t="s">
        <v>206</v>
      </c>
      <c r="C41" t="s">
        <v>1493</v>
      </c>
      <c r="D41" t="s">
        <v>470</v>
      </c>
      <c r="E41">
        <v>10000000</v>
      </c>
      <c r="H41">
        <v>1</v>
      </c>
      <c r="I41" t="s">
        <v>82</v>
      </c>
      <c r="J41">
        <v>9.9999999999999995E-7</v>
      </c>
      <c r="K41" t="s">
        <v>252</v>
      </c>
      <c r="O41">
        <v>0.5</v>
      </c>
      <c r="P41" t="s">
        <v>59</v>
      </c>
      <c r="S41">
        <v>2</v>
      </c>
      <c r="T41">
        <v>22</v>
      </c>
      <c r="V41">
        <v>50</v>
      </c>
      <c r="W41" t="s">
        <v>1057</v>
      </c>
      <c r="X41" t="s">
        <v>114</v>
      </c>
      <c r="Y41">
        <v>0</v>
      </c>
      <c r="AB41">
        <v>7</v>
      </c>
      <c r="AC41" t="s">
        <v>210</v>
      </c>
      <c r="AH41">
        <v>7</v>
      </c>
      <c r="AV41" t="s">
        <v>256</v>
      </c>
      <c r="BA41">
        <v>7</v>
      </c>
    </row>
    <row r="42" spans="1:53" x14ac:dyDescent="0.3">
      <c r="A42" t="s">
        <v>206</v>
      </c>
      <c r="C42" t="s">
        <v>1493</v>
      </c>
      <c r="D42" t="s">
        <v>470</v>
      </c>
      <c r="E42">
        <v>10000000</v>
      </c>
      <c r="H42">
        <v>1</v>
      </c>
      <c r="I42" t="s">
        <v>82</v>
      </c>
      <c r="J42">
        <v>9.9999999999999995E-7</v>
      </c>
      <c r="K42" t="s">
        <v>252</v>
      </c>
      <c r="O42">
        <v>0.5</v>
      </c>
      <c r="P42" t="s">
        <v>59</v>
      </c>
      <c r="S42">
        <v>2</v>
      </c>
      <c r="T42">
        <v>22</v>
      </c>
      <c r="V42">
        <v>50</v>
      </c>
      <c r="W42" t="s">
        <v>1057</v>
      </c>
      <c r="X42" t="s">
        <v>114</v>
      </c>
      <c r="Y42">
        <v>0.25</v>
      </c>
      <c r="AA42" t="s">
        <v>128</v>
      </c>
      <c r="AB42">
        <v>1.6989700043360101</v>
      </c>
      <c r="AC42" t="s">
        <v>210</v>
      </c>
      <c r="AH42">
        <v>7</v>
      </c>
      <c r="AV42" t="s">
        <v>256</v>
      </c>
      <c r="AZ42">
        <v>0</v>
      </c>
      <c r="BA42">
        <v>7</v>
      </c>
    </row>
    <row r="43" spans="1:53" x14ac:dyDescent="0.3">
      <c r="A43" t="s">
        <v>206</v>
      </c>
      <c r="C43" t="s">
        <v>1493</v>
      </c>
      <c r="D43" t="s">
        <v>470</v>
      </c>
      <c r="E43">
        <v>10000000</v>
      </c>
      <c r="H43">
        <v>1</v>
      </c>
      <c r="I43" t="s">
        <v>82</v>
      </c>
      <c r="J43">
        <v>9.9999999999999995E-7</v>
      </c>
      <c r="K43" t="s">
        <v>252</v>
      </c>
      <c r="O43">
        <v>0.5</v>
      </c>
      <c r="P43" t="s">
        <v>59</v>
      </c>
      <c r="S43">
        <v>2</v>
      </c>
      <c r="T43">
        <v>22</v>
      </c>
      <c r="V43">
        <v>50</v>
      </c>
      <c r="W43" t="s">
        <v>1057</v>
      </c>
      <c r="X43" t="s">
        <v>114</v>
      </c>
      <c r="Y43">
        <v>0.5</v>
      </c>
      <c r="AA43" t="s">
        <v>128</v>
      </c>
      <c r="AB43">
        <v>1.6989700043360101</v>
      </c>
      <c r="AC43" t="s">
        <v>210</v>
      </c>
      <c r="AH43">
        <v>7</v>
      </c>
      <c r="AV43" t="s">
        <v>256</v>
      </c>
      <c r="AZ43">
        <v>0</v>
      </c>
      <c r="BA43">
        <v>7</v>
      </c>
    </row>
    <row r="44" spans="1:53" x14ac:dyDescent="0.3">
      <c r="A44" t="s">
        <v>206</v>
      </c>
      <c r="C44" t="s">
        <v>1493</v>
      </c>
      <c r="D44" t="s">
        <v>470</v>
      </c>
      <c r="E44">
        <v>10000000</v>
      </c>
      <c r="H44">
        <v>1</v>
      </c>
      <c r="I44" t="s">
        <v>82</v>
      </c>
      <c r="J44">
        <v>9.9999999999999995E-7</v>
      </c>
      <c r="K44" t="s">
        <v>252</v>
      </c>
      <c r="O44">
        <v>0.5</v>
      </c>
      <c r="P44" t="s">
        <v>59</v>
      </c>
      <c r="S44">
        <v>2</v>
      </c>
      <c r="T44">
        <v>22</v>
      </c>
      <c r="V44">
        <v>50</v>
      </c>
      <c r="W44" t="s">
        <v>1057</v>
      </c>
      <c r="X44" t="s">
        <v>114</v>
      </c>
      <c r="Y44">
        <v>1</v>
      </c>
      <c r="AA44" t="s">
        <v>128</v>
      </c>
      <c r="AB44">
        <v>1.6989700043360101</v>
      </c>
      <c r="AC44" t="s">
        <v>210</v>
      </c>
      <c r="AH44">
        <v>7</v>
      </c>
      <c r="AV44" t="s">
        <v>256</v>
      </c>
      <c r="AZ44">
        <v>0</v>
      </c>
      <c r="BA44">
        <v>7</v>
      </c>
    </row>
    <row r="45" spans="1:53" x14ac:dyDescent="0.3">
      <c r="A45" t="s">
        <v>206</v>
      </c>
      <c r="C45" t="s">
        <v>1493</v>
      </c>
      <c r="D45" t="s">
        <v>470</v>
      </c>
      <c r="E45">
        <v>10000000</v>
      </c>
      <c r="H45">
        <v>1</v>
      </c>
      <c r="I45" t="s">
        <v>82</v>
      </c>
      <c r="J45">
        <v>9.9999999999999995E-7</v>
      </c>
      <c r="K45" t="s">
        <v>252</v>
      </c>
      <c r="O45">
        <v>0.5</v>
      </c>
      <c r="P45" t="s">
        <v>59</v>
      </c>
      <c r="S45">
        <v>2</v>
      </c>
      <c r="T45">
        <v>22</v>
      </c>
      <c r="V45">
        <v>50</v>
      </c>
      <c r="W45" t="s">
        <v>1057</v>
      </c>
      <c r="X45" t="s">
        <v>114</v>
      </c>
      <c r="Y45">
        <v>5</v>
      </c>
      <c r="AA45" t="s">
        <v>128</v>
      </c>
      <c r="AB45">
        <v>1.6989700043360101</v>
      </c>
      <c r="AC45" t="s">
        <v>210</v>
      </c>
      <c r="AH45">
        <v>7</v>
      </c>
      <c r="AV45" t="s">
        <v>256</v>
      </c>
      <c r="AZ45">
        <v>0</v>
      </c>
      <c r="BA45">
        <v>7</v>
      </c>
    </row>
    <row r="46" spans="1:53" x14ac:dyDescent="0.3">
      <c r="A46" t="s">
        <v>206</v>
      </c>
      <c r="C46" t="s">
        <v>1493</v>
      </c>
      <c r="D46" t="s">
        <v>470</v>
      </c>
      <c r="E46">
        <v>10000000</v>
      </c>
      <c r="H46">
        <v>1</v>
      </c>
      <c r="I46" t="s">
        <v>82</v>
      </c>
      <c r="J46">
        <v>9.9999999999999995E-7</v>
      </c>
      <c r="K46" t="s">
        <v>252</v>
      </c>
      <c r="O46">
        <v>0.5</v>
      </c>
      <c r="P46" t="s">
        <v>59</v>
      </c>
      <c r="S46">
        <v>2</v>
      </c>
      <c r="T46">
        <v>22</v>
      </c>
      <c r="V46">
        <v>50</v>
      </c>
      <c r="W46" t="s">
        <v>1057</v>
      </c>
      <c r="X46" t="s">
        <v>114</v>
      </c>
      <c r="Y46">
        <v>10</v>
      </c>
      <c r="AA46" t="s">
        <v>128</v>
      </c>
      <c r="AB46">
        <v>1.6989700043360101</v>
      </c>
      <c r="AC46" t="s">
        <v>210</v>
      </c>
      <c r="AH46">
        <v>7</v>
      </c>
      <c r="AV46" t="s">
        <v>256</v>
      </c>
      <c r="AZ46">
        <v>0</v>
      </c>
      <c r="BA46">
        <v>7</v>
      </c>
    </row>
    <row r="47" spans="1:53" x14ac:dyDescent="0.3">
      <c r="A47" t="s">
        <v>206</v>
      </c>
      <c r="C47" t="s">
        <v>1493</v>
      </c>
      <c r="D47" t="s">
        <v>470</v>
      </c>
      <c r="E47">
        <v>10000000</v>
      </c>
      <c r="H47">
        <v>1</v>
      </c>
      <c r="I47" t="s">
        <v>82</v>
      </c>
      <c r="J47">
        <v>9.9999999999999995E-7</v>
      </c>
      <c r="K47" t="s">
        <v>252</v>
      </c>
      <c r="O47">
        <v>0.5</v>
      </c>
      <c r="P47" t="s">
        <v>59</v>
      </c>
      <c r="S47">
        <v>2</v>
      </c>
      <c r="T47">
        <v>22</v>
      </c>
      <c r="V47">
        <v>50</v>
      </c>
      <c r="W47" t="s">
        <v>1057</v>
      </c>
      <c r="X47" t="s">
        <v>114</v>
      </c>
      <c r="Y47">
        <v>20</v>
      </c>
      <c r="AA47" t="s">
        <v>128</v>
      </c>
      <c r="AB47">
        <v>1.6989700043360101</v>
      </c>
      <c r="AC47" t="s">
        <v>210</v>
      </c>
      <c r="AH47">
        <v>7</v>
      </c>
      <c r="AV47" t="s">
        <v>256</v>
      </c>
      <c r="AZ47">
        <v>0</v>
      </c>
      <c r="BA47">
        <v>7</v>
      </c>
    </row>
    <row r="48" spans="1:53" x14ac:dyDescent="0.3">
      <c r="A48" t="s">
        <v>206</v>
      </c>
      <c r="C48" t="s">
        <v>1493</v>
      </c>
      <c r="D48" t="s">
        <v>470</v>
      </c>
      <c r="E48">
        <v>10000000</v>
      </c>
      <c r="H48">
        <v>1</v>
      </c>
      <c r="I48" t="s">
        <v>82</v>
      </c>
      <c r="J48">
        <v>9.9999999999999995E-7</v>
      </c>
      <c r="K48" t="s">
        <v>252</v>
      </c>
      <c r="O48">
        <v>0.5</v>
      </c>
      <c r="P48" t="s">
        <v>59</v>
      </c>
      <c r="S48">
        <v>2</v>
      </c>
      <c r="T48">
        <v>22</v>
      </c>
      <c r="V48">
        <v>50</v>
      </c>
      <c r="W48" t="s">
        <v>1057</v>
      </c>
      <c r="X48" t="s">
        <v>114</v>
      </c>
      <c r="Y48">
        <v>30</v>
      </c>
      <c r="AA48" t="s">
        <v>128</v>
      </c>
      <c r="AB48">
        <v>1.6989700043360101</v>
      </c>
      <c r="AC48" t="s">
        <v>210</v>
      </c>
      <c r="AH48">
        <v>7</v>
      </c>
      <c r="AV48" t="s">
        <v>256</v>
      </c>
      <c r="AZ48">
        <v>0</v>
      </c>
      <c r="BA48">
        <v>7</v>
      </c>
    </row>
    <row r="49" spans="1:53" x14ac:dyDescent="0.3">
      <c r="A49" t="s">
        <v>206</v>
      </c>
      <c r="C49" t="s">
        <v>1493</v>
      </c>
      <c r="D49" t="s">
        <v>470</v>
      </c>
      <c r="E49">
        <v>10000000</v>
      </c>
      <c r="H49">
        <v>1</v>
      </c>
      <c r="I49" t="s">
        <v>82</v>
      </c>
      <c r="J49">
        <v>9.9999999999999995E-7</v>
      </c>
      <c r="K49" t="s">
        <v>252</v>
      </c>
      <c r="O49">
        <v>0.5</v>
      </c>
      <c r="P49" t="s">
        <v>59</v>
      </c>
      <c r="S49">
        <v>2</v>
      </c>
      <c r="T49">
        <v>22</v>
      </c>
      <c r="V49">
        <v>50</v>
      </c>
      <c r="W49" t="s">
        <v>1057</v>
      </c>
      <c r="X49" t="s">
        <v>114</v>
      </c>
      <c r="Y49">
        <v>60</v>
      </c>
      <c r="AA49" t="s">
        <v>128</v>
      </c>
      <c r="AB49">
        <v>1.6989700043360101</v>
      </c>
      <c r="AC49" t="s">
        <v>210</v>
      </c>
      <c r="AH49">
        <v>7</v>
      </c>
      <c r="AV49" t="s">
        <v>256</v>
      </c>
      <c r="AZ49">
        <v>0</v>
      </c>
      <c r="BA49">
        <v>7</v>
      </c>
    </row>
    <row r="50" spans="1:53" x14ac:dyDescent="0.3">
      <c r="A50" t="s">
        <v>206</v>
      </c>
      <c r="C50" t="s">
        <v>1493</v>
      </c>
      <c r="D50" t="s">
        <v>470</v>
      </c>
      <c r="E50">
        <v>10000000</v>
      </c>
      <c r="H50">
        <v>1</v>
      </c>
      <c r="I50" t="s">
        <v>82</v>
      </c>
      <c r="J50">
        <v>9.9999999999999995E-7</v>
      </c>
      <c r="K50" t="s">
        <v>252</v>
      </c>
      <c r="O50">
        <v>10</v>
      </c>
      <c r="P50" t="s">
        <v>59</v>
      </c>
      <c r="S50">
        <v>2</v>
      </c>
      <c r="T50">
        <v>22</v>
      </c>
      <c r="V50">
        <v>50</v>
      </c>
      <c r="W50" t="s">
        <v>1057</v>
      </c>
      <c r="X50" t="s">
        <v>114</v>
      </c>
      <c r="Y50">
        <v>0</v>
      </c>
      <c r="AB50">
        <v>6.8750612633917001</v>
      </c>
      <c r="AC50" t="s">
        <v>210</v>
      </c>
      <c r="AH50">
        <v>6.9</v>
      </c>
      <c r="AV50" t="s">
        <v>256</v>
      </c>
      <c r="BA50">
        <v>6.9</v>
      </c>
    </row>
    <row r="51" spans="1:53" x14ac:dyDescent="0.3">
      <c r="A51" t="s">
        <v>206</v>
      </c>
      <c r="C51" t="s">
        <v>1493</v>
      </c>
      <c r="D51" t="s">
        <v>470</v>
      </c>
      <c r="E51">
        <v>10000000</v>
      </c>
      <c r="H51">
        <v>1</v>
      </c>
      <c r="I51" t="s">
        <v>82</v>
      </c>
      <c r="J51">
        <v>9.9999999999999995E-7</v>
      </c>
      <c r="K51" t="s">
        <v>252</v>
      </c>
      <c r="O51">
        <v>10</v>
      </c>
      <c r="P51" t="s">
        <v>59</v>
      </c>
      <c r="S51">
        <v>2</v>
      </c>
      <c r="T51">
        <v>22</v>
      </c>
      <c r="V51">
        <v>50</v>
      </c>
      <c r="W51" t="s">
        <v>1057</v>
      </c>
      <c r="X51" t="s">
        <v>114</v>
      </c>
      <c r="Y51">
        <v>10</v>
      </c>
      <c r="AB51">
        <v>6.8129133566428504</v>
      </c>
      <c r="AC51" t="s">
        <v>210</v>
      </c>
      <c r="AH51">
        <v>6.9</v>
      </c>
      <c r="AV51" t="s">
        <v>256</v>
      </c>
      <c r="BA51">
        <v>6.9</v>
      </c>
    </row>
    <row r="52" spans="1:53" x14ac:dyDescent="0.3">
      <c r="A52" t="s">
        <v>206</v>
      </c>
      <c r="C52" t="s">
        <v>1493</v>
      </c>
      <c r="D52" t="s">
        <v>470</v>
      </c>
      <c r="E52">
        <v>10000000</v>
      </c>
      <c r="H52">
        <v>1</v>
      </c>
      <c r="I52" t="s">
        <v>82</v>
      </c>
      <c r="J52">
        <v>9.9999999999999995E-7</v>
      </c>
      <c r="K52" t="s">
        <v>252</v>
      </c>
      <c r="O52">
        <v>10</v>
      </c>
      <c r="P52" t="s">
        <v>59</v>
      </c>
      <c r="S52">
        <v>2</v>
      </c>
      <c r="T52">
        <v>22</v>
      </c>
      <c r="V52">
        <v>50</v>
      </c>
      <c r="W52" t="s">
        <v>1057</v>
      </c>
      <c r="X52" t="s">
        <v>114</v>
      </c>
      <c r="Y52">
        <v>20</v>
      </c>
      <c r="AB52">
        <v>6.9030899869919402</v>
      </c>
      <c r="AC52" t="s">
        <v>210</v>
      </c>
      <c r="AH52">
        <v>6.9</v>
      </c>
      <c r="AV52" t="s">
        <v>256</v>
      </c>
      <c r="BA52">
        <v>6.9</v>
      </c>
    </row>
    <row r="53" spans="1:53" x14ac:dyDescent="0.3">
      <c r="A53" t="s">
        <v>206</v>
      </c>
      <c r="C53" t="s">
        <v>1493</v>
      </c>
      <c r="D53" t="s">
        <v>470</v>
      </c>
      <c r="E53">
        <v>10000000</v>
      </c>
      <c r="H53">
        <v>1</v>
      </c>
      <c r="I53" t="s">
        <v>82</v>
      </c>
      <c r="J53">
        <v>9.9999999999999995E-7</v>
      </c>
      <c r="K53" t="s">
        <v>252</v>
      </c>
      <c r="O53">
        <v>10</v>
      </c>
      <c r="P53" t="s">
        <v>59</v>
      </c>
      <c r="S53">
        <v>2</v>
      </c>
      <c r="T53">
        <v>22</v>
      </c>
      <c r="V53">
        <v>50</v>
      </c>
      <c r="W53" t="s">
        <v>1057</v>
      </c>
      <c r="X53" t="s">
        <v>114</v>
      </c>
      <c r="Y53">
        <v>30</v>
      </c>
      <c r="AB53">
        <v>6.8129133566428504</v>
      </c>
      <c r="AC53" t="s">
        <v>210</v>
      </c>
      <c r="AH53">
        <v>6.9</v>
      </c>
      <c r="AV53" t="s">
        <v>256</v>
      </c>
      <c r="BA53">
        <v>6.9</v>
      </c>
    </row>
    <row r="54" spans="1:53" x14ac:dyDescent="0.3">
      <c r="A54" t="s">
        <v>206</v>
      </c>
      <c r="C54" t="s">
        <v>1493</v>
      </c>
      <c r="D54" t="s">
        <v>470</v>
      </c>
      <c r="E54">
        <v>10000000</v>
      </c>
      <c r="H54">
        <v>1</v>
      </c>
      <c r="I54" t="s">
        <v>82</v>
      </c>
      <c r="J54">
        <v>9.9999999999999995E-7</v>
      </c>
      <c r="K54" t="s">
        <v>252</v>
      </c>
      <c r="O54">
        <v>10</v>
      </c>
      <c r="P54" t="s">
        <v>59</v>
      </c>
      <c r="S54">
        <v>2</v>
      </c>
      <c r="T54">
        <v>22</v>
      </c>
      <c r="V54">
        <v>50</v>
      </c>
      <c r="W54" t="s">
        <v>1057</v>
      </c>
      <c r="X54" t="s">
        <v>114</v>
      </c>
      <c r="Y54">
        <v>60</v>
      </c>
      <c r="AB54">
        <v>6.8450980400142498</v>
      </c>
      <c r="AC54" t="s">
        <v>210</v>
      </c>
      <c r="AH54">
        <v>6.9</v>
      </c>
      <c r="AV54" t="s">
        <v>256</v>
      </c>
      <c r="BA54">
        <v>6.9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9"/>
  <sheetViews>
    <sheetView workbookViewId="0">
      <selection activeCell="C17" sqref="C17:F17"/>
    </sheetView>
  </sheetViews>
  <sheetFormatPr defaultRowHeight="14.4" x14ac:dyDescent="0.3"/>
  <cols>
    <col min="1" max="1" width="32.109375" bestFit="1" customWidth="1"/>
    <col min="2" max="2" width="7.5546875" bestFit="1" customWidth="1"/>
    <col min="3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COUNTA(AqueousSuspensionMaster[Ref])</f>
        <v>53</v>
      </c>
      <c r="C2" s="3"/>
      <c r="D2" s="3"/>
      <c r="E2" s="3"/>
      <c r="F2" s="3"/>
    </row>
    <row r="3" spans="1:6" x14ac:dyDescent="0.3">
      <c r="A3" s="3" t="s">
        <v>1583</v>
      </c>
      <c r="B3" s="3">
        <f>COUNTA(AqueousSuspensionMaster[GrimeDirt])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COUNTA(AqueousSuspensionMaster[Rinsate])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AqueousSuspensionMaster[ConvertedCoupAreaUn]),COUNTIF(AqueousSuspensionMaster[ConvertedCoupAreaUn],INDEX(AqueousSuspensionMaster[ConvertedCoupAreaUn],MATCH(TRUE,AqueousSuspensionMaster[ConvertedCoupAreaUn]&lt;&gt;"",0)))=COUNTIF(AqueousSuspensionMaster[ConvertedCoupAreaUn],"&lt;&gt;"),""),INDEX(AqueousSuspensionMaster[ConvertedCoupAreaUn],MATCH(TRUE,AqueousSuspensionMaster[ConvertedCoupAreaUn]&lt;&gt;"",0)), "multiple units given"),"NA")</f>
        <v>m^3</v>
      </c>
      <c r="C11" s="3">
        <f>IF(AND(ISNUMBER(E11),ISNUMBER(F11)),MIN(AqueousSuspensionMaster[ConvertedCoupArea]),"NA")</f>
        <v>9.9999999999999995E-7</v>
      </c>
      <c r="D11" s="3">
        <f>IF(AND(ISNUMBER(E11),ISNUMBER(F11)),MAX(AqueousSuspensionMaster[ConvertedCoupArea]),"NA")</f>
        <v>9.9999999999999995E-7</v>
      </c>
      <c r="E11" s="3">
        <f>IFERROR(AVERAGE(AqueousSuspensionMaster[ConvertedCoupArea]),"NA")</f>
        <v>9.999999999999989E-7</v>
      </c>
      <c r="F11" s="3">
        <f>IFERROR(STDEV(AqueousSuspensionMaster[ConvertedCoupArea]),"NA")</f>
        <v>1.0689233879808895E-21</v>
      </c>
    </row>
    <row r="12" spans="1:6" x14ac:dyDescent="0.3">
      <c r="A12" s="3" t="s">
        <v>1591</v>
      </c>
      <c r="B12" s="3" t="str" cm="1">
        <f t="array" ref="B12">IFERROR(IF(IF(COUNTA(AqueousSuspensionMaster[LoadingUn]),COUNTIF(AqueousSuspensionMaster[LoadingUn],INDEX(AqueousSuspensionMaster[LoadingUn],MATCH(TRUE,AqueousSuspensionMaster[LoadingUn]&lt;&gt;"",0)))=COUNTIF(AqueousSuspensionMaster[LoadingUn],"&lt;&gt;"),""),INDEX(AqueousSuspensionMaster[LoadingUn],MATCH(TRUE,AqueousSuspensionMaster[LoadingUn]&lt;&gt;"",0)), "multiple units given"),"NA")</f>
        <v>CFU/mL</v>
      </c>
      <c r="C12" s="3">
        <f>IF(AND(ISNUMBER(E12),ISNUMBER(F12)),MIN(AqueousSuspensionMaster[LoadingNum]),"NA")</f>
        <v>10000000</v>
      </c>
      <c r="D12" s="3">
        <f>IF(AND(ISNUMBER(E12),ISNUMBER(F12)),MAX(AqueousSuspensionMaster[LoadingNum]),"NA")</f>
        <v>10000000</v>
      </c>
      <c r="E12" s="3">
        <f>IFERROR(AVERAGE(AqueousSuspensionMaster[LoadingNum]),"NA")</f>
        <v>10000000</v>
      </c>
      <c r="F12" s="3">
        <f>IFERROR(STDEV(AqueousSuspensionMaster[LoadingNum]),"NA")</f>
        <v>0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IF(AND(ISNUMBER(E13),ISNUMBER(F13)),MIN(AqueousSuspensionMaster[TotalApp]),"NA")</f>
        <v>NA</v>
      </c>
      <c r="D13" s="3" t="str">
        <f>IF(AND(ISNUMBER(E13),ISNUMBER(F13)),MAX(AqueousSuspensionMaster[TotalApp]),"NA")</f>
        <v>NA</v>
      </c>
      <c r="E13" s="3" t="str">
        <f>IFERROR(AVERAGE(AqueousSuspensionMaster[TotalApp]),"NA")</f>
        <v>NA</v>
      </c>
      <c r="F13" s="3" t="str">
        <f>IFERROR(STDEV(AqueousSuspensionMaster[TotalApp]),"NA")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IF(AND(ISNUMBER(E14),ISNUMBER(F14)),MIN(AqueousSuspensionMaster[TempNum]),"NA")</f>
        <v>22</v>
      </c>
      <c r="D14" s="3">
        <f>IF(AND(ISNUMBER(E14),ISNUMBER(F14)),MAX(AqueousSuspensionMaster[TempNum]),"NA")</f>
        <v>22</v>
      </c>
      <c r="E14" s="3">
        <f>IFERROR(AVERAGE(AqueousSuspensionMaster[TempNum]),"NA")</f>
        <v>22</v>
      </c>
      <c r="F14" s="3">
        <f>IFERROR(STDEV(AqueousSuspensionMaster[TempNum]),"NA")</f>
        <v>0</v>
      </c>
    </row>
    <row r="15" spans="1:6" x14ac:dyDescent="0.3">
      <c r="A15" s="3" t="s">
        <v>1595</v>
      </c>
      <c r="B15" s="3" t="s">
        <v>1527</v>
      </c>
      <c r="C15" s="3">
        <f>IF(AND(ISNUMBER(E15),ISNUMBER(F15)),MIN(AqueousSuspensionMaster[RHNum]),"NA")</f>
        <v>50</v>
      </c>
      <c r="D15" s="3">
        <f>IF(AND(ISNUMBER(E15),ISNUMBER(F15)),MAX(AqueousSuspensionMaster[RHNum]),"NA")</f>
        <v>50</v>
      </c>
      <c r="E15" s="3">
        <f>IFERROR(AVERAGE(AqueousSuspensionMaster[RHNum]),"NA")</f>
        <v>50</v>
      </c>
      <c r="F15" s="3">
        <f>IFERROR(STDEV(AqueousSuspensionMaster[RHNum]),"NA")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IF(AND(ISNUMBER(E16),ISNUMBER(F16)),MIN(AqueousSuspensionMaster[ContTimeNumMin]),"NA")</f>
        <v>0</v>
      </c>
      <c r="D16" s="3">
        <f>IF(AND(ISNUMBER(E16),ISNUMBER(F16)),MAX(AqueousSuspensionMaster[ContTimeNumMin]),"NA")</f>
        <v>120</v>
      </c>
      <c r="E16" s="3">
        <f>IFERROR(AVERAGE(AqueousSuspensionMaster[ContTimeNumMin]),"NA")</f>
        <v>21.084905660377359</v>
      </c>
      <c r="F16" s="3">
        <f>IFERROR(STDEV(AqueousSuspensionMaster[ContTimeNumMin]),"NA")</f>
        <v>27.87135382311445</v>
      </c>
    </row>
    <row r="17" spans="1:6" x14ac:dyDescent="0.3">
      <c r="A17" s="3" t="s">
        <v>1598</v>
      </c>
      <c r="B17" s="3" t="str" cm="1">
        <f t="array" ref="B17">IFERROR(IF(IF(COUNTA(AqueousSuspensionMaster[ConcDoseUn]),COUNTIF(AqueousSuspensionMaster[ConcDoseUn],INDEX(AqueousSuspensionMaster[ConcDoseUn],MATCH(TRUE,AqueousSuspensionMaster[ConcDoseUn]&lt;&gt;"",0)))=COUNTIF(AqueousSuspensionMaster[ConcDoseUn],"&lt;&gt;"),""),INDEX(AqueousSuspensionMaster[ConcDoseUn],MATCH(TRUE,AqueousSuspensionMaster[ConcDoseUn]&lt;&gt;"",0)), "multiple units given"),"NA")</f>
        <v>wt%</v>
      </c>
      <c r="C17" s="3">
        <f>IF(AND(ISNUMBER(E17),ISNUMBER(F17)),MIN(AqueousSuspensionMaster[ConcDoseNum]),"NA")</f>
        <v>0.1</v>
      </c>
      <c r="D17" s="3">
        <f>IF(AND(ISNUMBER(E17),ISNUMBER(F17)),MAX(AqueousSuspensionMaster[ConcDoseNum]),"NA")</f>
        <v>10</v>
      </c>
      <c r="E17" s="3">
        <f>IFERROR(AVERAGE(AqueousSuspensionMaster[ConcDoseNum]),"NA")</f>
        <v>1.1547169811320754</v>
      </c>
      <c r="F17" s="3">
        <f>IFERROR(STDEV(AqueousSuspensionMaster[ConcDoseNum]),"NA")</f>
        <v>2.8878103254978935</v>
      </c>
    </row>
    <row r="18" spans="1:6" x14ac:dyDescent="0.3">
      <c r="A18" s="3" t="s">
        <v>1599</v>
      </c>
      <c r="B18" s="3" t="str" cm="1">
        <f t="array" ref="B18">IFERROR(IF(IF(COUNTA(AqueousSuspensionMaster[EffMeas]),COUNTIF(AqueousSuspensionMaster[EffMeas],INDEX(AqueousSuspensionMaster[EffMeas],MATCH(TRUE,AqueousSuspensionMaster[EffMeas]&lt;&gt;"",0)))=COUNTIF(AqueousSuspensionMaster[EffMeas],"&lt;&gt;"),""),INDEX(AqueousSuspensionMaster[EffMeas],MATCH(TRUE,AqueousSuspensionMaster[EffMeas]&lt;&gt;"",0)), "multiple units given"),"NA")</f>
        <v>LSurv</v>
      </c>
      <c r="C18" s="3">
        <f>IF(AND(ISNUMBER(E18),ISNUMBER(F18)),MIN(AqueousSuspensionMaster[Eff]),"NA")</f>
        <v>1.6989700043360101</v>
      </c>
      <c r="D18" s="3">
        <f>IF(AND(ISNUMBER(E18),ISNUMBER(F18)),MAX(AqueousSuspensionMaster[Eff]),"NA")</f>
        <v>7.1760912590556796</v>
      </c>
      <c r="E18" s="3">
        <f>IFERROR(AVERAGE(AqueousSuspensionMaster[Eff]),"NA")</f>
        <v>4.0251216774043108</v>
      </c>
      <c r="F18" s="3">
        <f>IFERROR(STDEV(AqueousSuspensionMaster[Eff]),"NA")</f>
        <v>2.540679343214824</v>
      </c>
    </row>
    <row r="19" spans="1:6" x14ac:dyDescent="0.3">
      <c r="A19" s="3" t="s">
        <v>1600</v>
      </c>
      <c r="B19" s="3" t="str" cm="1">
        <f t="array" ref="B19">IFERROR(IF(IF(COUNTA(AqueousSuspensionMaster[ConvertedVolAppUn]),COUNTIF(AqueousSuspensionMaster[ConvertedVolAppUn],INDEX(AqueousSuspensionMaster[ConvertedVolAppUn],MATCH(TRUE,AqueousSuspensionMaster[ConvertedVolAppUn]&lt;&gt;"",0)))=COUNTIF(AqueousSuspensionMaster[ConvertedVolAppUn],"&lt;&gt;"),""),INDEX(AqueousSuspensionMaster[ConvertedVolAppUn],MATCH(TRUE,AqueousSuspensionMaster[ConvertedVolAppUn]&lt;&gt;"",0)), "multiple units given"),"NA")</f>
        <v>NA</v>
      </c>
      <c r="C19" s="3" t="str">
        <f>IF(AND(ISNUMBER(E19),ISNUMBER(F19)),MIN(AqueousSuspensionMaster[ConvertedVolApp]),"NA")</f>
        <v>NA</v>
      </c>
      <c r="D19" s="3" t="str">
        <f>IF(AND(ISNUMBER(E19),ISNUMBER(F19)),MAX(AqueousSuspensionMaster[ConvertedVolApp]),"NA")</f>
        <v>NA</v>
      </c>
      <c r="E19" s="3" t="str">
        <f>IFERROR(AVERAGE(AqueousSuspensionMaster[ConvertedVolApp]),"NA")</f>
        <v>NA</v>
      </c>
      <c r="F19" s="3" t="str">
        <f>IFERROR(STDEV(AqueousSuspensionMaster[ConvertedVolApp]),"NA")</f>
        <v>NA</v>
      </c>
    </row>
  </sheetData>
  <conditionalFormatting sqref="B11:B19">
    <cfRule type="cellIs" dxfId="76" priority="1" operator="equal">
      <formula>"multiple units given"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37"/>
  <sheetViews>
    <sheetView workbookViewId="0">
      <selection activeCell="F21" sqref="F21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109</v>
      </c>
      <c r="B2" t="s">
        <v>110</v>
      </c>
      <c r="C2" t="s">
        <v>111</v>
      </c>
      <c r="D2" t="s">
        <v>81</v>
      </c>
      <c r="E2">
        <v>4600000</v>
      </c>
      <c r="H2">
        <v>0.79</v>
      </c>
      <c r="I2" t="s">
        <v>56</v>
      </c>
      <c r="J2">
        <v>7.9000000000000009E-5</v>
      </c>
      <c r="K2" t="s">
        <v>57</v>
      </c>
      <c r="L2" t="s">
        <v>112</v>
      </c>
      <c r="O2">
        <v>2</v>
      </c>
      <c r="P2" t="s">
        <v>59</v>
      </c>
      <c r="T2">
        <v>23</v>
      </c>
      <c r="V2">
        <v>50</v>
      </c>
      <c r="W2" t="s">
        <v>113</v>
      </c>
      <c r="X2" t="s">
        <v>114</v>
      </c>
      <c r="Y2">
        <v>4.9800000000000004</v>
      </c>
      <c r="AB2">
        <v>0.90434782608695397</v>
      </c>
      <c r="AC2" t="s">
        <v>85</v>
      </c>
      <c r="AI2">
        <v>2</v>
      </c>
      <c r="AK2">
        <v>0.05</v>
      </c>
      <c r="AL2" t="s">
        <v>82</v>
      </c>
      <c r="AM2">
        <v>0.05</v>
      </c>
      <c r="AN2" t="s">
        <v>82</v>
      </c>
      <c r="AU2">
        <v>0.63291139240506333</v>
      </c>
      <c r="AV2" t="s">
        <v>115</v>
      </c>
    </row>
    <row r="3" spans="1:53" x14ac:dyDescent="0.3">
      <c r="A3" t="s">
        <v>109</v>
      </c>
      <c r="B3" t="s">
        <v>110</v>
      </c>
      <c r="C3" t="s">
        <v>111</v>
      </c>
      <c r="D3" t="s">
        <v>81</v>
      </c>
      <c r="E3">
        <v>4600000</v>
      </c>
      <c r="H3">
        <v>0.79</v>
      </c>
      <c r="I3" t="s">
        <v>56</v>
      </c>
      <c r="J3">
        <v>7.9000000000000009E-5</v>
      </c>
      <c r="K3" t="s">
        <v>57</v>
      </c>
      <c r="L3" t="s">
        <v>112</v>
      </c>
      <c r="O3">
        <v>2</v>
      </c>
      <c r="P3" t="s">
        <v>59</v>
      </c>
      <c r="T3">
        <v>23</v>
      </c>
      <c r="V3">
        <v>50</v>
      </c>
      <c r="W3" t="s">
        <v>113</v>
      </c>
      <c r="X3" t="s">
        <v>114</v>
      </c>
      <c r="Y3">
        <v>15</v>
      </c>
      <c r="AB3">
        <v>0.55652173913043401</v>
      </c>
      <c r="AC3" t="s">
        <v>85</v>
      </c>
      <c r="AI3">
        <v>2</v>
      </c>
      <c r="AK3">
        <v>0.05</v>
      </c>
      <c r="AL3" t="s">
        <v>82</v>
      </c>
      <c r="AM3">
        <v>0.05</v>
      </c>
      <c r="AN3" t="s">
        <v>82</v>
      </c>
      <c r="AU3">
        <v>0.63291139240506333</v>
      </c>
      <c r="AV3" t="s">
        <v>115</v>
      </c>
    </row>
    <row r="4" spans="1:53" x14ac:dyDescent="0.3">
      <c r="A4" t="s">
        <v>109</v>
      </c>
      <c r="B4" t="s">
        <v>110</v>
      </c>
      <c r="C4" t="s">
        <v>111</v>
      </c>
      <c r="D4" t="s">
        <v>81</v>
      </c>
      <c r="E4">
        <v>4600000</v>
      </c>
      <c r="H4">
        <v>0.79</v>
      </c>
      <c r="I4" t="s">
        <v>56</v>
      </c>
      <c r="J4">
        <v>7.9000000000000009E-5</v>
      </c>
      <c r="K4" t="s">
        <v>57</v>
      </c>
      <c r="L4" t="s">
        <v>112</v>
      </c>
      <c r="O4">
        <v>2</v>
      </c>
      <c r="P4" t="s">
        <v>59</v>
      </c>
      <c r="T4">
        <v>23</v>
      </c>
      <c r="V4">
        <v>50</v>
      </c>
      <c r="W4" t="s">
        <v>113</v>
      </c>
      <c r="X4" t="s">
        <v>114</v>
      </c>
      <c r="Y4">
        <v>30</v>
      </c>
      <c r="AB4">
        <v>2.0173913043478202</v>
      </c>
      <c r="AC4" t="s">
        <v>85</v>
      </c>
      <c r="AI4">
        <v>2</v>
      </c>
      <c r="AK4">
        <v>0.05</v>
      </c>
      <c r="AL4" t="s">
        <v>82</v>
      </c>
      <c r="AM4">
        <v>0.05</v>
      </c>
      <c r="AN4" t="s">
        <v>82</v>
      </c>
      <c r="AU4">
        <v>0.63291139240506333</v>
      </c>
      <c r="AV4" t="s">
        <v>115</v>
      </c>
    </row>
    <row r="5" spans="1:53" x14ac:dyDescent="0.3">
      <c r="A5" t="s">
        <v>109</v>
      </c>
      <c r="B5" t="s">
        <v>110</v>
      </c>
      <c r="C5" t="s">
        <v>111</v>
      </c>
      <c r="D5" t="s">
        <v>81</v>
      </c>
      <c r="E5">
        <v>4600000</v>
      </c>
      <c r="H5">
        <v>0.79</v>
      </c>
      <c r="I5" t="s">
        <v>56</v>
      </c>
      <c r="J5">
        <v>7.9000000000000009E-5</v>
      </c>
      <c r="K5" t="s">
        <v>57</v>
      </c>
      <c r="L5" t="s">
        <v>112</v>
      </c>
      <c r="O5">
        <v>2</v>
      </c>
      <c r="P5" t="s">
        <v>59</v>
      </c>
      <c r="T5">
        <v>23</v>
      </c>
      <c r="V5">
        <v>50</v>
      </c>
      <c r="W5" t="s">
        <v>113</v>
      </c>
      <c r="X5" t="s">
        <v>114</v>
      </c>
      <c r="Y5">
        <v>60</v>
      </c>
      <c r="AB5">
        <v>1.98260869565217</v>
      </c>
      <c r="AC5" t="s">
        <v>85</v>
      </c>
      <c r="AI5">
        <v>2</v>
      </c>
      <c r="AK5">
        <v>0.05</v>
      </c>
      <c r="AL5" t="s">
        <v>82</v>
      </c>
      <c r="AM5">
        <v>0.05</v>
      </c>
      <c r="AN5" t="s">
        <v>82</v>
      </c>
      <c r="AU5">
        <v>0.63291139240506333</v>
      </c>
      <c r="AV5" t="s">
        <v>115</v>
      </c>
    </row>
    <row r="6" spans="1:53" x14ac:dyDescent="0.3">
      <c r="A6" t="s">
        <v>109</v>
      </c>
      <c r="B6" t="s">
        <v>110</v>
      </c>
      <c r="C6" t="s">
        <v>111</v>
      </c>
      <c r="D6" t="s">
        <v>81</v>
      </c>
      <c r="E6">
        <v>4600000</v>
      </c>
      <c r="H6">
        <v>0.79</v>
      </c>
      <c r="I6" t="s">
        <v>56</v>
      </c>
      <c r="J6">
        <v>7.9000000000000009E-5</v>
      </c>
      <c r="K6" t="s">
        <v>57</v>
      </c>
      <c r="L6" t="s">
        <v>112</v>
      </c>
      <c r="O6">
        <v>2</v>
      </c>
      <c r="P6" t="s">
        <v>59</v>
      </c>
      <c r="T6">
        <v>23</v>
      </c>
      <c r="V6">
        <v>50</v>
      </c>
      <c r="W6" t="s">
        <v>113</v>
      </c>
      <c r="X6" t="s">
        <v>114</v>
      </c>
      <c r="Y6">
        <v>120</v>
      </c>
      <c r="AB6">
        <v>2.6434782608695602</v>
      </c>
      <c r="AC6" t="s">
        <v>85</v>
      </c>
      <c r="AI6">
        <v>2</v>
      </c>
      <c r="AK6">
        <v>0.05</v>
      </c>
      <c r="AL6" t="s">
        <v>82</v>
      </c>
      <c r="AM6">
        <v>0.05</v>
      </c>
      <c r="AN6" t="s">
        <v>82</v>
      </c>
      <c r="AU6">
        <v>0.63291139240506333</v>
      </c>
      <c r="AV6" t="s">
        <v>115</v>
      </c>
    </row>
    <row r="7" spans="1:53" x14ac:dyDescent="0.3">
      <c r="A7" t="s">
        <v>109</v>
      </c>
      <c r="B7" t="s">
        <v>110</v>
      </c>
      <c r="C7" t="s">
        <v>111</v>
      </c>
      <c r="D7" t="s">
        <v>81</v>
      </c>
      <c r="E7">
        <v>4600000</v>
      </c>
      <c r="H7">
        <v>0.79</v>
      </c>
      <c r="I7" t="s">
        <v>56</v>
      </c>
      <c r="J7">
        <v>7.9000000000000009E-5</v>
      </c>
      <c r="K7" t="s">
        <v>57</v>
      </c>
      <c r="L7" t="s">
        <v>112</v>
      </c>
      <c r="O7">
        <v>2</v>
      </c>
      <c r="P7" t="s">
        <v>59</v>
      </c>
      <c r="T7">
        <v>23</v>
      </c>
      <c r="V7">
        <v>50</v>
      </c>
      <c r="W7" t="s">
        <v>113</v>
      </c>
      <c r="X7" t="s">
        <v>114</v>
      </c>
      <c r="Y7">
        <v>1440</v>
      </c>
      <c r="AB7">
        <v>5.5304347826086904</v>
      </c>
      <c r="AC7" t="s">
        <v>85</v>
      </c>
      <c r="AI7">
        <v>2</v>
      </c>
      <c r="AK7">
        <v>0.05</v>
      </c>
      <c r="AL7" t="s">
        <v>82</v>
      </c>
      <c r="AM7">
        <v>0.05</v>
      </c>
      <c r="AN7" t="s">
        <v>82</v>
      </c>
      <c r="AU7">
        <v>0.63291139240506333</v>
      </c>
      <c r="AV7" t="s">
        <v>115</v>
      </c>
    </row>
    <row r="8" spans="1:53" x14ac:dyDescent="0.3">
      <c r="A8" t="s">
        <v>109</v>
      </c>
      <c r="B8" t="s">
        <v>110</v>
      </c>
      <c r="C8" t="s">
        <v>111</v>
      </c>
      <c r="D8" t="s">
        <v>81</v>
      </c>
      <c r="E8">
        <v>4600000</v>
      </c>
      <c r="H8">
        <v>0.79</v>
      </c>
      <c r="I8" t="s">
        <v>56</v>
      </c>
      <c r="J8">
        <v>7.9000000000000009E-5</v>
      </c>
      <c r="K8" t="s">
        <v>57</v>
      </c>
      <c r="L8" t="s">
        <v>112</v>
      </c>
      <c r="O8">
        <v>2</v>
      </c>
      <c r="P8" t="s">
        <v>59</v>
      </c>
      <c r="T8">
        <v>-20</v>
      </c>
      <c r="V8">
        <v>50</v>
      </c>
      <c r="W8" t="s">
        <v>113</v>
      </c>
      <c r="X8" t="s">
        <v>114</v>
      </c>
      <c r="Y8">
        <v>4.9800000000000004</v>
      </c>
      <c r="AB8">
        <v>0.57391304347826</v>
      </c>
      <c r="AC8" t="s">
        <v>85</v>
      </c>
      <c r="AI8">
        <v>2</v>
      </c>
      <c r="AK8">
        <v>0.05</v>
      </c>
      <c r="AL8" t="s">
        <v>82</v>
      </c>
      <c r="AM8">
        <v>0.05</v>
      </c>
      <c r="AN8" t="s">
        <v>82</v>
      </c>
      <c r="AU8">
        <v>0.63291139240506333</v>
      </c>
      <c r="AV8" t="s">
        <v>115</v>
      </c>
    </row>
    <row r="9" spans="1:53" x14ac:dyDescent="0.3">
      <c r="A9" t="s">
        <v>109</v>
      </c>
      <c r="B9" t="s">
        <v>110</v>
      </c>
      <c r="C9" t="s">
        <v>111</v>
      </c>
      <c r="D9" t="s">
        <v>81</v>
      </c>
      <c r="E9">
        <v>4600000</v>
      </c>
      <c r="H9">
        <v>0.79</v>
      </c>
      <c r="I9" t="s">
        <v>56</v>
      </c>
      <c r="J9">
        <v>7.9000000000000009E-5</v>
      </c>
      <c r="K9" t="s">
        <v>57</v>
      </c>
      <c r="L9" t="s">
        <v>112</v>
      </c>
      <c r="O9">
        <v>2</v>
      </c>
      <c r="P9" t="s">
        <v>59</v>
      </c>
      <c r="T9">
        <v>-20</v>
      </c>
      <c r="V9">
        <v>50</v>
      </c>
      <c r="W9" t="s">
        <v>113</v>
      </c>
      <c r="X9" t="s">
        <v>114</v>
      </c>
      <c r="Y9">
        <v>15</v>
      </c>
      <c r="AB9">
        <v>0.86956521739130299</v>
      </c>
      <c r="AC9" t="s">
        <v>85</v>
      </c>
      <c r="AI9">
        <v>2</v>
      </c>
      <c r="AK9">
        <v>0.05</v>
      </c>
      <c r="AL9" t="s">
        <v>82</v>
      </c>
      <c r="AM9">
        <v>0.05</v>
      </c>
      <c r="AN9" t="s">
        <v>82</v>
      </c>
      <c r="AU9">
        <v>0.63291139240506333</v>
      </c>
      <c r="AV9" t="s">
        <v>115</v>
      </c>
    </row>
    <row r="10" spans="1:53" x14ac:dyDescent="0.3">
      <c r="A10" t="s">
        <v>109</v>
      </c>
      <c r="B10" t="s">
        <v>110</v>
      </c>
      <c r="C10" t="s">
        <v>111</v>
      </c>
      <c r="D10" t="s">
        <v>81</v>
      </c>
      <c r="E10">
        <v>4600000</v>
      </c>
      <c r="H10">
        <v>0.79</v>
      </c>
      <c r="I10" t="s">
        <v>56</v>
      </c>
      <c r="J10">
        <v>7.9000000000000009E-5</v>
      </c>
      <c r="K10" t="s">
        <v>57</v>
      </c>
      <c r="L10" t="s">
        <v>112</v>
      </c>
      <c r="O10">
        <v>2</v>
      </c>
      <c r="P10" t="s">
        <v>59</v>
      </c>
      <c r="T10">
        <v>-20</v>
      </c>
      <c r="V10">
        <v>50</v>
      </c>
      <c r="W10" t="s">
        <v>113</v>
      </c>
      <c r="X10" t="s">
        <v>114</v>
      </c>
      <c r="Y10">
        <v>30</v>
      </c>
      <c r="AB10">
        <v>0.81739130434782503</v>
      </c>
      <c r="AC10" t="s">
        <v>85</v>
      </c>
      <c r="AI10">
        <v>2</v>
      </c>
      <c r="AK10">
        <v>0.05</v>
      </c>
      <c r="AL10" t="s">
        <v>82</v>
      </c>
      <c r="AM10">
        <v>0.05</v>
      </c>
      <c r="AN10" t="s">
        <v>82</v>
      </c>
      <c r="AU10">
        <v>0.63291139240506333</v>
      </c>
      <c r="AV10" t="s">
        <v>115</v>
      </c>
    </row>
    <row r="11" spans="1:53" x14ac:dyDescent="0.3">
      <c r="A11" t="s">
        <v>109</v>
      </c>
      <c r="B11" t="s">
        <v>110</v>
      </c>
      <c r="C11" t="s">
        <v>111</v>
      </c>
      <c r="D11" t="s">
        <v>81</v>
      </c>
      <c r="E11">
        <v>4600000</v>
      </c>
      <c r="H11">
        <v>0.79</v>
      </c>
      <c r="I11" t="s">
        <v>56</v>
      </c>
      <c r="J11">
        <v>7.9000000000000009E-5</v>
      </c>
      <c r="K11" t="s">
        <v>57</v>
      </c>
      <c r="L11" t="s">
        <v>112</v>
      </c>
      <c r="O11">
        <v>2</v>
      </c>
      <c r="P11" t="s">
        <v>59</v>
      </c>
      <c r="T11">
        <v>-20</v>
      </c>
      <c r="V11">
        <v>50</v>
      </c>
      <c r="W11" t="s">
        <v>113</v>
      </c>
      <c r="X11" t="s">
        <v>114</v>
      </c>
      <c r="Y11">
        <v>60</v>
      </c>
      <c r="AB11">
        <v>0.46956521739130402</v>
      </c>
      <c r="AC11" t="s">
        <v>85</v>
      </c>
      <c r="AI11">
        <v>2</v>
      </c>
      <c r="AK11">
        <v>0.05</v>
      </c>
      <c r="AL11" t="s">
        <v>82</v>
      </c>
      <c r="AM11">
        <v>0.05</v>
      </c>
      <c r="AN11" t="s">
        <v>82</v>
      </c>
      <c r="AU11">
        <v>0.63291139240506333</v>
      </c>
      <c r="AV11" t="s">
        <v>115</v>
      </c>
    </row>
    <row r="12" spans="1:53" x14ac:dyDescent="0.3">
      <c r="A12" t="s">
        <v>109</v>
      </c>
      <c r="B12" t="s">
        <v>110</v>
      </c>
      <c r="C12" t="s">
        <v>111</v>
      </c>
      <c r="D12" t="s">
        <v>81</v>
      </c>
      <c r="E12">
        <v>4600000</v>
      </c>
      <c r="H12">
        <v>0.79</v>
      </c>
      <c r="I12" t="s">
        <v>56</v>
      </c>
      <c r="J12">
        <v>7.9000000000000009E-5</v>
      </c>
      <c r="K12" t="s">
        <v>57</v>
      </c>
      <c r="L12" t="s">
        <v>112</v>
      </c>
      <c r="O12">
        <v>2</v>
      </c>
      <c r="P12" t="s">
        <v>59</v>
      </c>
      <c r="T12">
        <v>-20</v>
      </c>
      <c r="V12">
        <v>50</v>
      </c>
      <c r="W12" t="s">
        <v>113</v>
      </c>
      <c r="X12" t="s">
        <v>114</v>
      </c>
      <c r="Y12">
        <v>120</v>
      </c>
      <c r="AB12">
        <v>0.62608695652173796</v>
      </c>
      <c r="AC12" t="s">
        <v>85</v>
      </c>
      <c r="AI12">
        <v>2</v>
      </c>
      <c r="AK12">
        <v>0.05</v>
      </c>
      <c r="AL12" t="s">
        <v>82</v>
      </c>
      <c r="AM12">
        <v>0.05</v>
      </c>
      <c r="AN12" t="s">
        <v>82</v>
      </c>
      <c r="AU12">
        <v>0.63291139240506333</v>
      </c>
      <c r="AV12" t="s">
        <v>115</v>
      </c>
    </row>
    <row r="13" spans="1:53" x14ac:dyDescent="0.3">
      <c r="A13" t="s">
        <v>109</v>
      </c>
      <c r="B13" t="s">
        <v>110</v>
      </c>
      <c r="C13" t="s">
        <v>111</v>
      </c>
      <c r="D13" t="s">
        <v>81</v>
      </c>
      <c r="E13">
        <v>4600000</v>
      </c>
      <c r="H13">
        <v>0.79</v>
      </c>
      <c r="I13" t="s">
        <v>56</v>
      </c>
      <c r="J13">
        <v>7.9000000000000009E-5</v>
      </c>
      <c r="K13" t="s">
        <v>57</v>
      </c>
      <c r="L13" t="s">
        <v>112</v>
      </c>
      <c r="O13">
        <v>2</v>
      </c>
      <c r="P13" t="s">
        <v>59</v>
      </c>
      <c r="T13">
        <v>-20</v>
      </c>
      <c r="V13">
        <v>50</v>
      </c>
      <c r="W13" t="s">
        <v>113</v>
      </c>
      <c r="X13" t="s">
        <v>114</v>
      </c>
      <c r="Y13">
        <v>1440</v>
      </c>
      <c r="AB13">
        <v>0.52173913043478204</v>
      </c>
      <c r="AC13" t="s">
        <v>85</v>
      </c>
      <c r="AI13">
        <v>2</v>
      </c>
      <c r="AK13">
        <v>0.05</v>
      </c>
      <c r="AL13" t="s">
        <v>82</v>
      </c>
      <c r="AM13">
        <v>0.05</v>
      </c>
      <c r="AN13" t="s">
        <v>82</v>
      </c>
      <c r="AU13">
        <v>0.63291139240506333</v>
      </c>
      <c r="AV13" t="s">
        <v>115</v>
      </c>
    </row>
    <row r="14" spans="1:53" x14ac:dyDescent="0.3">
      <c r="A14" t="s">
        <v>109</v>
      </c>
      <c r="B14" t="s">
        <v>110</v>
      </c>
      <c r="C14" t="s">
        <v>111</v>
      </c>
      <c r="D14" t="s">
        <v>81</v>
      </c>
      <c r="E14">
        <v>4600000</v>
      </c>
      <c r="H14">
        <v>0.79</v>
      </c>
      <c r="I14" t="s">
        <v>56</v>
      </c>
      <c r="J14">
        <v>7.9000000000000009E-5</v>
      </c>
      <c r="K14" t="s">
        <v>57</v>
      </c>
      <c r="L14" t="s">
        <v>112</v>
      </c>
      <c r="O14">
        <v>2</v>
      </c>
      <c r="P14" t="s">
        <v>59</v>
      </c>
      <c r="T14">
        <v>4</v>
      </c>
      <c r="V14">
        <v>50</v>
      </c>
      <c r="W14" t="s">
        <v>113</v>
      </c>
      <c r="X14" t="s">
        <v>114</v>
      </c>
      <c r="Y14">
        <v>4.9800000000000004</v>
      </c>
      <c r="AB14">
        <v>6.9565217391303905E-2</v>
      </c>
      <c r="AC14" t="s">
        <v>85</v>
      </c>
      <c r="AI14">
        <v>2</v>
      </c>
      <c r="AK14">
        <v>0.05</v>
      </c>
      <c r="AL14" t="s">
        <v>82</v>
      </c>
      <c r="AM14">
        <v>0.05</v>
      </c>
      <c r="AN14" t="s">
        <v>82</v>
      </c>
      <c r="AU14">
        <v>0.63291139240506333</v>
      </c>
      <c r="AV14" t="s">
        <v>115</v>
      </c>
    </row>
    <row r="15" spans="1:53" x14ac:dyDescent="0.3">
      <c r="A15" t="s">
        <v>109</v>
      </c>
      <c r="B15" t="s">
        <v>110</v>
      </c>
      <c r="C15" t="s">
        <v>111</v>
      </c>
      <c r="D15" t="s">
        <v>81</v>
      </c>
      <c r="E15">
        <v>4600000</v>
      </c>
      <c r="H15">
        <v>0.79</v>
      </c>
      <c r="I15" t="s">
        <v>56</v>
      </c>
      <c r="J15">
        <v>7.9000000000000009E-5</v>
      </c>
      <c r="K15" t="s">
        <v>57</v>
      </c>
      <c r="L15" t="s">
        <v>112</v>
      </c>
      <c r="O15">
        <v>2</v>
      </c>
      <c r="P15" t="s">
        <v>59</v>
      </c>
      <c r="T15">
        <v>4</v>
      </c>
      <c r="V15">
        <v>50</v>
      </c>
      <c r="W15" t="s">
        <v>113</v>
      </c>
      <c r="X15" t="s">
        <v>114</v>
      </c>
      <c r="Y15">
        <v>15</v>
      </c>
      <c r="AB15">
        <v>0.55652173913043401</v>
      </c>
      <c r="AC15" t="s">
        <v>85</v>
      </c>
      <c r="AI15">
        <v>2</v>
      </c>
      <c r="AK15">
        <v>0.05</v>
      </c>
      <c r="AL15" t="s">
        <v>82</v>
      </c>
      <c r="AM15">
        <v>0.05</v>
      </c>
      <c r="AN15" t="s">
        <v>82</v>
      </c>
      <c r="AU15">
        <v>0.63291139240506333</v>
      </c>
      <c r="AV15" t="s">
        <v>115</v>
      </c>
    </row>
    <row r="16" spans="1:53" x14ac:dyDescent="0.3">
      <c r="A16" t="s">
        <v>109</v>
      </c>
      <c r="B16" t="s">
        <v>110</v>
      </c>
      <c r="C16" t="s">
        <v>111</v>
      </c>
      <c r="D16" t="s">
        <v>81</v>
      </c>
      <c r="E16">
        <v>4600000</v>
      </c>
      <c r="H16">
        <v>0.79</v>
      </c>
      <c r="I16" t="s">
        <v>56</v>
      </c>
      <c r="J16">
        <v>7.9000000000000009E-5</v>
      </c>
      <c r="K16" t="s">
        <v>57</v>
      </c>
      <c r="L16" t="s">
        <v>112</v>
      </c>
      <c r="O16">
        <v>2</v>
      </c>
      <c r="P16" t="s">
        <v>59</v>
      </c>
      <c r="T16">
        <v>4</v>
      </c>
      <c r="V16">
        <v>50</v>
      </c>
      <c r="W16" t="s">
        <v>113</v>
      </c>
      <c r="X16" t="s">
        <v>114</v>
      </c>
      <c r="Y16">
        <v>30</v>
      </c>
      <c r="AB16">
        <v>0.26086956521739102</v>
      </c>
      <c r="AC16" t="s">
        <v>85</v>
      </c>
      <c r="AI16">
        <v>2</v>
      </c>
      <c r="AK16">
        <v>0.05</v>
      </c>
      <c r="AL16" t="s">
        <v>82</v>
      </c>
      <c r="AM16">
        <v>0.05</v>
      </c>
      <c r="AN16" t="s">
        <v>82</v>
      </c>
      <c r="AU16">
        <v>0.63291139240506333</v>
      </c>
      <c r="AV16" t="s">
        <v>115</v>
      </c>
    </row>
    <row r="17" spans="1:48" x14ac:dyDescent="0.3">
      <c r="A17" t="s">
        <v>109</v>
      </c>
      <c r="B17" t="s">
        <v>110</v>
      </c>
      <c r="C17" t="s">
        <v>111</v>
      </c>
      <c r="D17" t="s">
        <v>81</v>
      </c>
      <c r="E17">
        <v>4600000</v>
      </c>
      <c r="H17">
        <v>0.79</v>
      </c>
      <c r="I17" t="s">
        <v>56</v>
      </c>
      <c r="J17">
        <v>7.9000000000000009E-5</v>
      </c>
      <c r="K17" t="s">
        <v>57</v>
      </c>
      <c r="L17" t="s">
        <v>112</v>
      </c>
      <c r="O17">
        <v>2</v>
      </c>
      <c r="P17" t="s">
        <v>59</v>
      </c>
      <c r="T17">
        <v>4</v>
      </c>
      <c r="V17">
        <v>50</v>
      </c>
      <c r="W17" t="s">
        <v>113</v>
      </c>
      <c r="X17" t="s">
        <v>114</v>
      </c>
      <c r="Y17">
        <v>60</v>
      </c>
      <c r="AB17">
        <v>0.74782608695651998</v>
      </c>
      <c r="AC17" t="s">
        <v>85</v>
      </c>
      <c r="AI17">
        <v>2</v>
      </c>
      <c r="AK17">
        <v>0.05</v>
      </c>
      <c r="AL17" t="s">
        <v>82</v>
      </c>
      <c r="AM17">
        <v>0.05</v>
      </c>
      <c r="AN17" t="s">
        <v>82</v>
      </c>
      <c r="AU17">
        <v>0.63291139240506333</v>
      </c>
      <c r="AV17" t="s">
        <v>115</v>
      </c>
    </row>
    <row r="18" spans="1:48" x14ac:dyDescent="0.3">
      <c r="A18" t="s">
        <v>109</v>
      </c>
      <c r="B18" t="s">
        <v>110</v>
      </c>
      <c r="C18" t="s">
        <v>111</v>
      </c>
      <c r="D18" t="s">
        <v>81</v>
      </c>
      <c r="E18">
        <v>4600000</v>
      </c>
      <c r="H18">
        <v>0.79</v>
      </c>
      <c r="I18" t="s">
        <v>56</v>
      </c>
      <c r="J18">
        <v>7.9000000000000009E-5</v>
      </c>
      <c r="K18" t="s">
        <v>57</v>
      </c>
      <c r="L18" t="s">
        <v>112</v>
      </c>
      <c r="O18">
        <v>2</v>
      </c>
      <c r="P18" t="s">
        <v>59</v>
      </c>
      <c r="T18">
        <v>4</v>
      </c>
      <c r="V18">
        <v>50</v>
      </c>
      <c r="W18" t="s">
        <v>113</v>
      </c>
      <c r="X18" t="s">
        <v>114</v>
      </c>
      <c r="Y18">
        <v>120</v>
      </c>
      <c r="AB18">
        <v>0.69565217391304301</v>
      </c>
      <c r="AC18" t="s">
        <v>85</v>
      </c>
      <c r="AI18">
        <v>2</v>
      </c>
      <c r="AK18">
        <v>0.05</v>
      </c>
      <c r="AL18" t="s">
        <v>82</v>
      </c>
      <c r="AM18">
        <v>0.05</v>
      </c>
      <c r="AN18" t="s">
        <v>82</v>
      </c>
      <c r="AU18">
        <v>0.63291139240506333</v>
      </c>
      <c r="AV18" t="s">
        <v>115</v>
      </c>
    </row>
    <row r="19" spans="1:48" x14ac:dyDescent="0.3">
      <c r="A19" t="s">
        <v>109</v>
      </c>
      <c r="B19" t="s">
        <v>110</v>
      </c>
      <c r="C19" t="s">
        <v>111</v>
      </c>
      <c r="D19" t="s">
        <v>81</v>
      </c>
      <c r="E19">
        <v>4600000</v>
      </c>
      <c r="H19">
        <v>0.79</v>
      </c>
      <c r="I19" t="s">
        <v>56</v>
      </c>
      <c r="J19">
        <v>7.9000000000000009E-5</v>
      </c>
      <c r="K19" t="s">
        <v>57</v>
      </c>
      <c r="L19" t="s">
        <v>112</v>
      </c>
      <c r="O19">
        <v>2</v>
      </c>
      <c r="P19" t="s">
        <v>59</v>
      </c>
      <c r="T19">
        <v>4</v>
      </c>
      <c r="V19">
        <v>50</v>
      </c>
      <c r="W19" t="s">
        <v>113</v>
      </c>
      <c r="X19" t="s">
        <v>114</v>
      </c>
      <c r="Y19">
        <v>1440</v>
      </c>
      <c r="AB19">
        <v>3.2521739130434701</v>
      </c>
      <c r="AC19" t="s">
        <v>85</v>
      </c>
      <c r="AI19">
        <v>2</v>
      </c>
      <c r="AK19">
        <v>0.05</v>
      </c>
      <c r="AL19" t="s">
        <v>82</v>
      </c>
      <c r="AM19">
        <v>0.05</v>
      </c>
      <c r="AN19" t="s">
        <v>82</v>
      </c>
      <c r="AU19">
        <v>0.63291139240506333</v>
      </c>
      <c r="AV19" t="s">
        <v>115</v>
      </c>
    </row>
    <row r="20" spans="1:48" x14ac:dyDescent="0.3">
      <c r="A20" t="s">
        <v>109</v>
      </c>
      <c r="B20" t="s">
        <v>116</v>
      </c>
      <c r="C20" t="s">
        <v>111</v>
      </c>
      <c r="D20" t="s">
        <v>81</v>
      </c>
      <c r="E20">
        <v>4600000</v>
      </c>
      <c r="H20">
        <v>0.79</v>
      </c>
      <c r="I20" t="s">
        <v>56</v>
      </c>
      <c r="J20">
        <v>7.9000000000000009E-5</v>
      </c>
      <c r="K20" t="s">
        <v>57</v>
      </c>
      <c r="L20" t="s">
        <v>112</v>
      </c>
      <c r="O20">
        <v>2</v>
      </c>
      <c r="P20" t="s">
        <v>59</v>
      </c>
      <c r="T20">
        <v>23</v>
      </c>
      <c r="V20">
        <v>50</v>
      </c>
      <c r="W20" t="s">
        <v>117</v>
      </c>
      <c r="X20" t="s">
        <v>114</v>
      </c>
      <c r="Y20">
        <v>4.9800000000000004</v>
      </c>
      <c r="AB20">
        <v>1.19200292575886</v>
      </c>
      <c r="AC20" t="s">
        <v>85</v>
      </c>
      <c r="AI20">
        <v>2</v>
      </c>
      <c r="AK20">
        <v>0.05</v>
      </c>
      <c r="AL20" t="s">
        <v>82</v>
      </c>
      <c r="AM20">
        <v>0.05</v>
      </c>
      <c r="AN20" t="s">
        <v>82</v>
      </c>
      <c r="AU20">
        <v>0.63291139240506333</v>
      </c>
      <c r="AV20" t="s">
        <v>115</v>
      </c>
    </row>
    <row r="21" spans="1:48" x14ac:dyDescent="0.3">
      <c r="A21" t="s">
        <v>109</v>
      </c>
      <c r="B21" t="s">
        <v>116</v>
      </c>
      <c r="C21" t="s">
        <v>111</v>
      </c>
      <c r="D21" t="s">
        <v>81</v>
      </c>
      <c r="E21">
        <v>4600000</v>
      </c>
      <c r="H21">
        <v>0.79</v>
      </c>
      <c r="I21" t="s">
        <v>56</v>
      </c>
      <c r="J21">
        <v>7.9000000000000009E-5</v>
      </c>
      <c r="K21" t="s">
        <v>57</v>
      </c>
      <c r="L21" t="s">
        <v>112</v>
      </c>
      <c r="O21">
        <v>2</v>
      </c>
      <c r="P21" t="s">
        <v>59</v>
      </c>
      <c r="T21">
        <v>23</v>
      </c>
      <c r="V21">
        <v>50</v>
      </c>
      <c r="W21" t="s">
        <v>117</v>
      </c>
      <c r="X21" t="s">
        <v>114</v>
      </c>
      <c r="Y21">
        <v>15</v>
      </c>
      <c r="AB21">
        <v>0.788115212837875</v>
      </c>
      <c r="AC21" t="s">
        <v>85</v>
      </c>
      <c r="AI21">
        <v>2</v>
      </c>
      <c r="AK21">
        <v>0.05</v>
      </c>
      <c r="AL21" t="s">
        <v>82</v>
      </c>
      <c r="AM21">
        <v>0.05</v>
      </c>
      <c r="AN21" t="s">
        <v>82</v>
      </c>
      <c r="AU21">
        <v>0.63291139240506333</v>
      </c>
      <c r="AV21" t="s">
        <v>115</v>
      </c>
    </row>
    <row r="22" spans="1:48" x14ac:dyDescent="0.3">
      <c r="A22" t="s">
        <v>109</v>
      </c>
      <c r="B22" t="s">
        <v>116</v>
      </c>
      <c r="C22" t="s">
        <v>111</v>
      </c>
      <c r="D22" t="s">
        <v>81</v>
      </c>
      <c r="E22">
        <v>4600000</v>
      </c>
      <c r="H22">
        <v>0.79</v>
      </c>
      <c r="I22" t="s">
        <v>56</v>
      </c>
      <c r="J22">
        <v>7.9000000000000009E-5</v>
      </c>
      <c r="K22" t="s">
        <v>57</v>
      </c>
      <c r="L22" t="s">
        <v>112</v>
      </c>
      <c r="O22">
        <v>2</v>
      </c>
      <c r="P22" t="s">
        <v>59</v>
      </c>
      <c r="T22">
        <v>23</v>
      </c>
      <c r="V22">
        <v>50</v>
      </c>
      <c r="W22" t="s">
        <v>117</v>
      </c>
      <c r="X22" t="s">
        <v>114</v>
      </c>
      <c r="Y22">
        <v>30</v>
      </c>
      <c r="AB22">
        <v>1.36258353374042</v>
      </c>
      <c r="AC22" t="s">
        <v>85</v>
      </c>
      <c r="AI22">
        <v>2</v>
      </c>
      <c r="AK22">
        <v>0.05</v>
      </c>
      <c r="AL22" t="s">
        <v>82</v>
      </c>
      <c r="AM22">
        <v>0.05</v>
      </c>
      <c r="AN22" t="s">
        <v>82</v>
      </c>
      <c r="AU22">
        <v>0.63291139240506333</v>
      </c>
      <c r="AV22" t="s">
        <v>115</v>
      </c>
    </row>
    <row r="23" spans="1:48" x14ac:dyDescent="0.3">
      <c r="A23" t="s">
        <v>109</v>
      </c>
      <c r="B23" t="s">
        <v>116</v>
      </c>
      <c r="C23" t="s">
        <v>111</v>
      </c>
      <c r="D23" t="s">
        <v>81</v>
      </c>
      <c r="E23">
        <v>4600000</v>
      </c>
      <c r="H23">
        <v>0.79</v>
      </c>
      <c r="I23" t="s">
        <v>56</v>
      </c>
      <c r="J23">
        <v>7.9000000000000009E-5</v>
      </c>
      <c r="K23" t="s">
        <v>57</v>
      </c>
      <c r="L23" t="s">
        <v>112</v>
      </c>
      <c r="O23">
        <v>2</v>
      </c>
      <c r="P23" t="s">
        <v>59</v>
      </c>
      <c r="T23">
        <v>23</v>
      </c>
      <c r="V23">
        <v>50</v>
      </c>
      <c r="W23" t="s">
        <v>117</v>
      </c>
      <c r="X23" t="s">
        <v>114</v>
      </c>
      <c r="Y23">
        <v>60</v>
      </c>
      <c r="AB23">
        <v>2.0908093491294601</v>
      </c>
      <c r="AC23" t="s">
        <v>85</v>
      </c>
      <c r="AI23">
        <v>2</v>
      </c>
      <c r="AK23">
        <v>0.05</v>
      </c>
      <c r="AL23" t="s">
        <v>82</v>
      </c>
      <c r="AM23">
        <v>0.05</v>
      </c>
      <c r="AN23" t="s">
        <v>82</v>
      </c>
      <c r="AU23">
        <v>0.63291139240506333</v>
      </c>
      <c r="AV23" t="s">
        <v>115</v>
      </c>
    </row>
    <row r="24" spans="1:48" x14ac:dyDescent="0.3">
      <c r="A24" t="s">
        <v>109</v>
      </c>
      <c r="B24" t="s">
        <v>116</v>
      </c>
      <c r="C24" t="s">
        <v>111</v>
      </c>
      <c r="D24" t="s">
        <v>81</v>
      </c>
      <c r="E24">
        <v>4600000</v>
      </c>
      <c r="H24">
        <v>0.79</v>
      </c>
      <c r="I24" t="s">
        <v>56</v>
      </c>
      <c r="J24">
        <v>7.9000000000000009E-5</v>
      </c>
      <c r="K24" t="s">
        <v>57</v>
      </c>
      <c r="L24" t="s">
        <v>112</v>
      </c>
      <c r="O24">
        <v>2</v>
      </c>
      <c r="P24" t="s">
        <v>59</v>
      </c>
      <c r="T24">
        <v>23</v>
      </c>
      <c r="V24">
        <v>50</v>
      </c>
      <c r="W24" t="s">
        <v>117</v>
      </c>
      <c r="X24" t="s">
        <v>114</v>
      </c>
      <c r="Y24">
        <v>120</v>
      </c>
      <c r="AB24">
        <v>2.44154577593563</v>
      </c>
      <c r="AC24" t="s">
        <v>85</v>
      </c>
      <c r="AI24">
        <v>2</v>
      </c>
      <c r="AK24">
        <v>0.05</v>
      </c>
      <c r="AL24" t="s">
        <v>82</v>
      </c>
      <c r="AM24">
        <v>0.05</v>
      </c>
      <c r="AN24" t="s">
        <v>82</v>
      </c>
      <c r="AU24">
        <v>0.63291139240506333</v>
      </c>
      <c r="AV24" t="s">
        <v>115</v>
      </c>
    </row>
    <row r="25" spans="1:48" x14ac:dyDescent="0.3">
      <c r="A25" t="s">
        <v>109</v>
      </c>
      <c r="B25" t="s">
        <v>116</v>
      </c>
      <c r="C25" t="s">
        <v>111</v>
      </c>
      <c r="D25" t="s">
        <v>81</v>
      </c>
      <c r="E25">
        <v>4600000</v>
      </c>
      <c r="H25">
        <v>0.79</v>
      </c>
      <c r="I25" t="s">
        <v>56</v>
      </c>
      <c r="J25">
        <v>7.9000000000000009E-5</v>
      </c>
      <c r="K25" t="s">
        <v>57</v>
      </c>
      <c r="L25" t="s">
        <v>112</v>
      </c>
      <c r="O25">
        <v>2</v>
      </c>
      <c r="P25" t="s">
        <v>59</v>
      </c>
      <c r="T25">
        <v>23</v>
      </c>
      <c r="V25">
        <v>50</v>
      </c>
      <c r="W25" t="s">
        <v>117</v>
      </c>
      <c r="X25" t="s">
        <v>114</v>
      </c>
      <c r="Y25">
        <v>1440</v>
      </c>
      <c r="AB25">
        <v>5.84398169184223</v>
      </c>
      <c r="AC25" t="s">
        <v>85</v>
      </c>
      <c r="AI25">
        <v>2</v>
      </c>
      <c r="AK25">
        <v>0.05</v>
      </c>
      <c r="AL25" t="s">
        <v>82</v>
      </c>
      <c r="AM25">
        <v>0.05</v>
      </c>
      <c r="AN25" t="s">
        <v>82</v>
      </c>
      <c r="AU25">
        <v>0.63291139240506333</v>
      </c>
      <c r="AV25" t="s">
        <v>115</v>
      </c>
    </row>
    <row r="26" spans="1:48" x14ac:dyDescent="0.3">
      <c r="A26" t="s">
        <v>109</v>
      </c>
      <c r="B26" t="s">
        <v>116</v>
      </c>
      <c r="C26" t="s">
        <v>111</v>
      </c>
      <c r="D26" t="s">
        <v>81</v>
      </c>
      <c r="E26">
        <v>4600000</v>
      </c>
      <c r="H26">
        <v>0.79</v>
      </c>
      <c r="I26" t="s">
        <v>56</v>
      </c>
      <c r="J26">
        <v>7.9000000000000009E-5</v>
      </c>
      <c r="K26" t="s">
        <v>57</v>
      </c>
      <c r="L26" t="s">
        <v>112</v>
      </c>
      <c r="O26">
        <v>2</v>
      </c>
      <c r="P26" t="s">
        <v>59</v>
      </c>
      <c r="T26">
        <v>-20</v>
      </c>
      <c r="V26">
        <v>50</v>
      </c>
      <c r="W26" t="s">
        <v>117</v>
      </c>
      <c r="X26" t="s">
        <v>114</v>
      </c>
      <c r="Y26">
        <v>4.9800000000000004</v>
      </c>
      <c r="AB26">
        <v>0.52067425443019599</v>
      </c>
      <c r="AC26" t="s">
        <v>85</v>
      </c>
      <c r="AI26">
        <v>2</v>
      </c>
      <c r="AK26">
        <v>0.05</v>
      </c>
      <c r="AL26" t="s">
        <v>82</v>
      </c>
      <c r="AM26">
        <v>0.05</v>
      </c>
      <c r="AN26" t="s">
        <v>82</v>
      </c>
      <c r="AU26">
        <v>0.63291139240506333</v>
      </c>
      <c r="AV26" t="s">
        <v>115</v>
      </c>
    </row>
    <row r="27" spans="1:48" x14ac:dyDescent="0.3">
      <c r="A27" t="s">
        <v>109</v>
      </c>
      <c r="B27" t="s">
        <v>116</v>
      </c>
      <c r="C27" t="s">
        <v>111</v>
      </c>
      <c r="D27" t="s">
        <v>81</v>
      </c>
      <c r="E27">
        <v>4600000</v>
      </c>
      <c r="H27">
        <v>0.79</v>
      </c>
      <c r="I27" t="s">
        <v>56</v>
      </c>
      <c r="J27">
        <v>7.9000000000000009E-5</v>
      </c>
      <c r="K27" t="s">
        <v>57</v>
      </c>
      <c r="L27" t="s">
        <v>112</v>
      </c>
      <c r="O27">
        <v>2</v>
      </c>
      <c r="P27" t="s">
        <v>59</v>
      </c>
      <c r="T27">
        <v>-20</v>
      </c>
      <c r="V27">
        <v>50</v>
      </c>
      <c r="W27" t="s">
        <v>117</v>
      </c>
      <c r="X27" t="s">
        <v>114</v>
      </c>
      <c r="Y27">
        <v>15</v>
      </c>
      <c r="AB27">
        <v>0.25662451652942903</v>
      </c>
      <c r="AC27" t="s">
        <v>85</v>
      </c>
      <c r="AI27">
        <v>2</v>
      </c>
      <c r="AK27">
        <v>0.05</v>
      </c>
      <c r="AL27" t="s">
        <v>82</v>
      </c>
      <c r="AM27">
        <v>0.05</v>
      </c>
      <c r="AN27" t="s">
        <v>82</v>
      </c>
      <c r="AU27">
        <v>0.63291139240506333</v>
      </c>
      <c r="AV27" t="s">
        <v>115</v>
      </c>
    </row>
    <row r="28" spans="1:48" x14ac:dyDescent="0.3">
      <c r="A28" t="s">
        <v>109</v>
      </c>
      <c r="B28" t="s">
        <v>116</v>
      </c>
      <c r="C28" t="s">
        <v>111</v>
      </c>
      <c r="D28" t="s">
        <v>81</v>
      </c>
      <c r="E28">
        <v>4600000</v>
      </c>
      <c r="H28">
        <v>0.79</v>
      </c>
      <c r="I28" t="s">
        <v>56</v>
      </c>
      <c r="J28">
        <v>7.9000000000000009E-5</v>
      </c>
      <c r="K28" t="s">
        <v>57</v>
      </c>
      <c r="L28" t="s">
        <v>112</v>
      </c>
      <c r="O28">
        <v>2</v>
      </c>
      <c r="P28" t="s">
        <v>59</v>
      </c>
      <c r="T28">
        <v>-20</v>
      </c>
      <c r="V28">
        <v>50</v>
      </c>
      <c r="W28" t="s">
        <v>117</v>
      </c>
      <c r="X28" t="s">
        <v>114</v>
      </c>
      <c r="Y28">
        <v>30</v>
      </c>
      <c r="AB28">
        <v>0.24370241485930699</v>
      </c>
      <c r="AC28" t="s">
        <v>85</v>
      </c>
      <c r="AI28">
        <v>2</v>
      </c>
      <c r="AK28">
        <v>0.05</v>
      </c>
      <c r="AL28" t="s">
        <v>82</v>
      </c>
      <c r="AM28">
        <v>0.05</v>
      </c>
      <c r="AN28" t="s">
        <v>82</v>
      </c>
      <c r="AU28">
        <v>0.63291139240506333</v>
      </c>
      <c r="AV28" t="s">
        <v>115</v>
      </c>
    </row>
    <row r="29" spans="1:48" x14ac:dyDescent="0.3">
      <c r="A29" t="s">
        <v>109</v>
      </c>
      <c r="B29" t="s">
        <v>116</v>
      </c>
      <c r="C29" t="s">
        <v>111</v>
      </c>
      <c r="D29" t="s">
        <v>81</v>
      </c>
      <c r="E29">
        <v>4600000</v>
      </c>
      <c r="H29">
        <v>0.79</v>
      </c>
      <c r="I29" t="s">
        <v>56</v>
      </c>
      <c r="J29">
        <v>7.9000000000000009E-5</v>
      </c>
      <c r="K29" t="s">
        <v>57</v>
      </c>
      <c r="L29" t="s">
        <v>112</v>
      </c>
      <c r="O29">
        <v>2</v>
      </c>
      <c r="P29" t="s">
        <v>59</v>
      </c>
      <c r="T29">
        <v>-20</v>
      </c>
      <c r="V29">
        <v>50</v>
      </c>
      <c r="W29" t="s">
        <v>117</v>
      </c>
      <c r="X29" t="s">
        <v>114</v>
      </c>
      <c r="Y29">
        <v>60</v>
      </c>
      <c r="AB29">
        <v>0.34262409539747102</v>
      </c>
      <c r="AC29" t="s">
        <v>85</v>
      </c>
      <c r="AI29">
        <v>2</v>
      </c>
      <c r="AK29">
        <v>0.05</v>
      </c>
      <c r="AL29" t="s">
        <v>82</v>
      </c>
      <c r="AM29">
        <v>0.05</v>
      </c>
      <c r="AN29" t="s">
        <v>82</v>
      </c>
      <c r="AU29">
        <v>0.63291139240506333</v>
      </c>
      <c r="AV29" t="s">
        <v>115</v>
      </c>
    </row>
    <row r="30" spans="1:48" x14ac:dyDescent="0.3">
      <c r="A30" t="s">
        <v>109</v>
      </c>
      <c r="B30" t="s">
        <v>116</v>
      </c>
      <c r="C30" t="s">
        <v>111</v>
      </c>
      <c r="D30" t="s">
        <v>81</v>
      </c>
      <c r="E30">
        <v>4600000</v>
      </c>
      <c r="H30">
        <v>0.79</v>
      </c>
      <c r="I30" t="s">
        <v>56</v>
      </c>
      <c r="J30">
        <v>7.9000000000000009E-5</v>
      </c>
      <c r="K30" t="s">
        <v>57</v>
      </c>
      <c r="L30" t="s">
        <v>112</v>
      </c>
      <c r="O30">
        <v>2</v>
      </c>
      <c r="P30" t="s">
        <v>59</v>
      </c>
      <c r="T30">
        <v>-20</v>
      </c>
      <c r="V30">
        <v>50</v>
      </c>
      <c r="W30" t="s">
        <v>117</v>
      </c>
      <c r="X30" t="s">
        <v>114</v>
      </c>
      <c r="Y30">
        <v>120</v>
      </c>
      <c r="AB30">
        <v>0.31576030942116601</v>
      </c>
      <c r="AC30" t="s">
        <v>85</v>
      </c>
      <c r="AI30">
        <v>2</v>
      </c>
      <c r="AK30">
        <v>0.05</v>
      </c>
      <c r="AL30" t="s">
        <v>82</v>
      </c>
      <c r="AM30">
        <v>0.05</v>
      </c>
      <c r="AN30" t="s">
        <v>82</v>
      </c>
      <c r="AU30">
        <v>0.63291139240506333</v>
      </c>
      <c r="AV30" t="s">
        <v>115</v>
      </c>
    </row>
    <row r="31" spans="1:48" x14ac:dyDescent="0.3">
      <c r="A31" t="s">
        <v>109</v>
      </c>
      <c r="B31" t="s">
        <v>116</v>
      </c>
      <c r="C31" t="s">
        <v>111</v>
      </c>
      <c r="D31" t="s">
        <v>81</v>
      </c>
      <c r="E31">
        <v>4600000</v>
      </c>
      <c r="H31">
        <v>0.79</v>
      </c>
      <c r="I31" t="s">
        <v>56</v>
      </c>
      <c r="J31">
        <v>7.9000000000000009E-5</v>
      </c>
      <c r="K31" t="s">
        <v>57</v>
      </c>
      <c r="L31" t="s">
        <v>112</v>
      </c>
      <c r="O31">
        <v>2</v>
      </c>
      <c r="P31" t="s">
        <v>59</v>
      </c>
      <c r="T31">
        <v>-20</v>
      </c>
      <c r="V31">
        <v>50</v>
      </c>
      <c r="W31" t="s">
        <v>117</v>
      </c>
      <c r="X31" t="s">
        <v>114</v>
      </c>
      <c r="Y31">
        <v>1440</v>
      </c>
      <c r="AB31">
        <v>0.47333015637294501</v>
      </c>
      <c r="AC31" t="s">
        <v>85</v>
      </c>
      <c r="AI31">
        <v>2</v>
      </c>
      <c r="AK31">
        <v>0.05</v>
      </c>
      <c r="AL31" t="s">
        <v>82</v>
      </c>
      <c r="AM31">
        <v>0.05</v>
      </c>
      <c r="AN31" t="s">
        <v>82</v>
      </c>
      <c r="AU31">
        <v>0.63291139240506333</v>
      </c>
      <c r="AV31" t="s">
        <v>115</v>
      </c>
    </row>
    <row r="32" spans="1:48" x14ac:dyDescent="0.3">
      <c r="A32" t="s">
        <v>109</v>
      </c>
      <c r="B32" t="s">
        <v>116</v>
      </c>
      <c r="C32" t="s">
        <v>111</v>
      </c>
      <c r="D32" t="s">
        <v>81</v>
      </c>
      <c r="E32">
        <v>4600000</v>
      </c>
      <c r="H32">
        <v>0.79</v>
      </c>
      <c r="I32" t="s">
        <v>56</v>
      </c>
      <c r="J32">
        <v>7.9000000000000009E-5</v>
      </c>
      <c r="K32" t="s">
        <v>57</v>
      </c>
      <c r="L32" t="s">
        <v>112</v>
      </c>
      <c r="O32">
        <v>2</v>
      </c>
      <c r="P32" t="s">
        <v>59</v>
      </c>
      <c r="T32">
        <v>4</v>
      </c>
      <c r="V32">
        <v>50</v>
      </c>
      <c r="W32" t="s">
        <v>117</v>
      </c>
      <c r="X32" t="s">
        <v>114</v>
      </c>
      <c r="Y32">
        <v>4.9800000000000004</v>
      </c>
      <c r="AB32">
        <v>0.29689803065397402</v>
      </c>
      <c r="AC32" t="s">
        <v>85</v>
      </c>
      <c r="AI32">
        <v>2</v>
      </c>
      <c r="AK32">
        <v>0.05</v>
      </c>
      <c r="AL32" t="s">
        <v>82</v>
      </c>
      <c r="AM32">
        <v>0.05</v>
      </c>
      <c r="AN32" t="s">
        <v>82</v>
      </c>
      <c r="AU32">
        <v>0.63291139240506333</v>
      </c>
      <c r="AV32" t="s">
        <v>115</v>
      </c>
    </row>
    <row r="33" spans="1:48" x14ac:dyDescent="0.3">
      <c r="A33" t="s">
        <v>109</v>
      </c>
      <c r="B33" t="s">
        <v>116</v>
      </c>
      <c r="C33" t="s">
        <v>111</v>
      </c>
      <c r="D33" t="s">
        <v>81</v>
      </c>
      <c r="E33">
        <v>4600000</v>
      </c>
      <c r="H33">
        <v>0.79</v>
      </c>
      <c r="I33" t="s">
        <v>56</v>
      </c>
      <c r="J33">
        <v>7.9000000000000009E-5</v>
      </c>
      <c r="K33" t="s">
        <v>57</v>
      </c>
      <c r="L33" t="s">
        <v>112</v>
      </c>
      <c r="O33">
        <v>2</v>
      </c>
      <c r="P33" t="s">
        <v>59</v>
      </c>
      <c r="T33">
        <v>4</v>
      </c>
      <c r="V33">
        <v>50</v>
      </c>
      <c r="W33" t="s">
        <v>117</v>
      </c>
      <c r="X33" t="s">
        <v>114</v>
      </c>
      <c r="Y33">
        <v>15</v>
      </c>
      <c r="AB33">
        <v>4.68564715791338E-2</v>
      </c>
      <c r="AC33" t="s">
        <v>85</v>
      </c>
      <c r="AI33">
        <v>2</v>
      </c>
      <c r="AK33">
        <v>0.05</v>
      </c>
      <c r="AL33" t="s">
        <v>82</v>
      </c>
      <c r="AM33">
        <v>0.05</v>
      </c>
      <c r="AN33" t="s">
        <v>82</v>
      </c>
      <c r="AU33">
        <v>0.63291139240506333</v>
      </c>
      <c r="AV33" t="s">
        <v>115</v>
      </c>
    </row>
    <row r="34" spans="1:48" x14ac:dyDescent="0.3">
      <c r="A34" t="s">
        <v>109</v>
      </c>
      <c r="B34" t="s">
        <v>116</v>
      </c>
      <c r="C34" t="s">
        <v>111</v>
      </c>
      <c r="D34" t="s">
        <v>81</v>
      </c>
      <c r="E34">
        <v>4600000</v>
      </c>
      <c r="H34">
        <v>0.79</v>
      </c>
      <c r="I34" t="s">
        <v>56</v>
      </c>
      <c r="J34">
        <v>7.9000000000000009E-5</v>
      </c>
      <c r="K34" t="s">
        <v>57</v>
      </c>
      <c r="L34" t="s">
        <v>112</v>
      </c>
      <c r="O34">
        <v>2</v>
      </c>
      <c r="P34" t="s">
        <v>59</v>
      </c>
      <c r="T34">
        <v>4</v>
      </c>
      <c r="V34">
        <v>50</v>
      </c>
      <c r="W34" t="s">
        <v>117</v>
      </c>
      <c r="X34" t="s">
        <v>114</v>
      </c>
      <c r="Y34">
        <v>30</v>
      </c>
      <c r="AB34">
        <v>1.08286325402013</v>
      </c>
      <c r="AC34" t="s">
        <v>85</v>
      </c>
      <c r="AI34">
        <v>2</v>
      </c>
      <c r="AK34">
        <v>0.05</v>
      </c>
      <c r="AL34" t="s">
        <v>82</v>
      </c>
      <c r="AM34">
        <v>0.05</v>
      </c>
      <c r="AN34" t="s">
        <v>82</v>
      </c>
      <c r="AU34">
        <v>0.63291139240506333</v>
      </c>
      <c r="AV34" t="s">
        <v>115</v>
      </c>
    </row>
    <row r="35" spans="1:48" x14ac:dyDescent="0.3">
      <c r="A35" t="s">
        <v>109</v>
      </c>
      <c r="B35" t="s">
        <v>116</v>
      </c>
      <c r="C35" t="s">
        <v>111</v>
      </c>
      <c r="D35" t="s">
        <v>81</v>
      </c>
      <c r="E35">
        <v>4600000</v>
      </c>
      <c r="H35">
        <v>0.79</v>
      </c>
      <c r="I35" t="s">
        <v>56</v>
      </c>
      <c r="J35">
        <v>7.9000000000000009E-5</v>
      </c>
      <c r="K35" t="s">
        <v>57</v>
      </c>
      <c r="L35" t="s">
        <v>112</v>
      </c>
      <c r="O35">
        <v>2</v>
      </c>
      <c r="P35" t="s">
        <v>59</v>
      </c>
      <c r="T35">
        <v>4</v>
      </c>
      <c r="V35">
        <v>50</v>
      </c>
      <c r="W35" t="s">
        <v>117</v>
      </c>
      <c r="X35" t="s">
        <v>114</v>
      </c>
      <c r="Y35">
        <v>60</v>
      </c>
      <c r="AB35">
        <v>1.11192135914798</v>
      </c>
      <c r="AC35" t="s">
        <v>85</v>
      </c>
      <c r="AI35">
        <v>2</v>
      </c>
      <c r="AK35">
        <v>0.05</v>
      </c>
      <c r="AL35" t="s">
        <v>82</v>
      </c>
      <c r="AM35">
        <v>0.05</v>
      </c>
      <c r="AN35" t="s">
        <v>82</v>
      </c>
      <c r="AU35">
        <v>0.63291139240506333</v>
      </c>
      <c r="AV35" t="s">
        <v>115</v>
      </c>
    </row>
    <row r="36" spans="1:48" x14ac:dyDescent="0.3">
      <c r="A36" t="s">
        <v>109</v>
      </c>
      <c r="B36" t="s">
        <v>116</v>
      </c>
      <c r="C36" t="s">
        <v>111</v>
      </c>
      <c r="D36" t="s">
        <v>81</v>
      </c>
      <c r="E36">
        <v>4600000</v>
      </c>
      <c r="H36">
        <v>0.79</v>
      </c>
      <c r="I36" t="s">
        <v>56</v>
      </c>
      <c r="J36">
        <v>7.9000000000000009E-5</v>
      </c>
      <c r="K36" t="s">
        <v>57</v>
      </c>
      <c r="L36" t="s">
        <v>112</v>
      </c>
      <c r="O36">
        <v>2</v>
      </c>
      <c r="P36" t="s">
        <v>59</v>
      </c>
      <c r="T36">
        <v>4</v>
      </c>
      <c r="V36">
        <v>50</v>
      </c>
      <c r="W36" t="s">
        <v>117</v>
      </c>
      <c r="X36" t="s">
        <v>114</v>
      </c>
      <c r="Y36">
        <v>120</v>
      </c>
      <c r="AB36">
        <v>0.81925681291766805</v>
      </c>
      <c r="AC36" t="s">
        <v>85</v>
      </c>
      <c r="AI36">
        <v>2</v>
      </c>
      <c r="AK36">
        <v>0.05</v>
      </c>
      <c r="AL36" t="s">
        <v>82</v>
      </c>
      <c r="AM36">
        <v>0.05</v>
      </c>
      <c r="AN36" t="s">
        <v>82</v>
      </c>
      <c r="AU36">
        <v>0.63291139240506333</v>
      </c>
      <c r="AV36" t="s">
        <v>115</v>
      </c>
    </row>
    <row r="37" spans="1:48" x14ac:dyDescent="0.3">
      <c r="A37" t="s">
        <v>109</v>
      </c>
      <c r="B37" t="s">
        <v>116</v>
      </c>
      <c r="C37" t="s">
        <v>111</v>
      </c>
      <c r="D37" t="s">
        <v>81</v>
      </c>
      <c r="E37">
        <v>4600000</v>
      </c>
      <c r="H37">
        <v>0.79</v>
      </c>
      <c r="I37" t="s">
        <v>56</v>
      </c>
      <c r="J37">
        <v>7.9000000000000009E-5</v>
      </c>
      <c r="K37" t="s">
        <v>57</v>
      </c>
      <c r="L37" t="s">
        <v>112</v>
      </c>
      <c r="O37">
        <v>2</v>
      </c>
      <c r="P37" t="s">
        <v>59</v>
      </c>
      <c r="T37">
        <v>4</v>
      </c>
      <c r="V37">
        <v>50</v>
      </c>
      <c r="W37" t="s">
        <v>117</v>
      </c>
      <c r="X37" t="s">
        <v>114</v>
      </c>
      <c r="Y37">
        <v>1440</v>
      </c>
      <c r="AB37">
        <v>2.2635621114226501</v>
      </c>
      <c r="AC37" t="s">
        <v>85</v>
      </c>
      <c r="AI37">
        <v>2</v>
      </c>
      <c r="AK37">
        <v>0.05</v>
      </c>
      <c r="AL37" t="s">
        <v>82</v>
      </c>
      <c r="AM37">
        <v>0.05</v>
      </c>
      <c r="AN37" t="s">
        <v>82</v>
      </c>
      <c r="AU37">
        <v>0.63291139240506333</v>
      </c>
      <c r="AV37" t="s">
        <v>115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I29" sqref="I29"/>
    </sheetView>
  </sheetViews>
  <sheetFormatPr defaultRowHeight="14.4" x14ac:dyDescent="0.3"/>
  <cols>
    <col min="1" max="1" width="32.109375" bestFit="1" customWidth="1"/>
    <col min="2" max="2" width="7.5546875" bestFit="1" customWidth="1"/>
    <col min="3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COUNTA(FoamAmbiguousMaster[Ref])</f>
        <v>36</v>
      </c>
      <c r="C2" s="3"/>
      <c r="D2" s="3"/>
      <c r="E2" s="3"/>
      <c r="F2" s="3"/>
    </row>
    <row r="3" spans="1:6" x14ac:dyDescent="0.3">
      <c r="A3" s="3" t="s">
        <v>1583</v>
      </c>
      <c r="B3" s="3">
        <f>COUNTA(FoamAmbiguousMaster[GrimeDirt])</f>
        <v>36</v>
      </c>
      <c r="C3" s="3"/>
      <c r="D3" s="3"/>
      <c r="E3" s="3"/>
      <c r="F3" s="3"/>
    </row>
    <row r="4" spans="1:6" x14ac:dyDescent="0.3">
      <c r="A4" s="3" t="s">
        <v>1584</v>
      </c>
      <c r="B4" s="3">
        <f>COUNTA(FoamAmbiguousMaster[Rinsate])</f>
        <v>36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FoamAmbiguousMaster[ConvertedCoupAreaUn]),COUNTIF(FoamAmbiguousMaster[ConvertedCoupAreaUn],INDEX(FoamAmbiguousMaster[ConvertedCoupAreaUn],MATCH(TRUE,FoamAmbiguousMaster[ConvertedCoupAreaUn]&lt;&gt;"",0)))=COUNTIF(FoamAmbiguousMaster[ConvertedCoupAreaUn],"&lt;&gt;"),""),INDEX(FoamAmbiguousMaster[ConvertedCoupAreaUn],MATCH(TRUE,FoamAmbiguousMaster[ConvertedCoupAreaUn]&lt;&gt;"",0)), "multiple units given"),"NA")</f>
        <v>m^2</v>
      </c>
      <c r="C11" s="3">
        <f>IF(AND(ISNUMBER(E11),ISNUMBER(F11)),MIN(FoamAmbiguousMaster[ConvertedCoupArea]),"NA")</f>
        <v>7.9000000000000009E-5</v>
      </c>
      <c r="D11" s="3">
        <f>IF(AND(ISNUMBER(E11),ISNUMBER(F11)),MAX(FoamAmbiguousMaster[ConvertedCoupArea]),"NA")</f>
        <v>7.9000000000000009E-5</v>
      </c>
      <c r="E11" s="3">
        <f>IFERROR(AVERAGE(FoamAmbiguousMaster[ConvertedCoupArea]),"NA")</f>
        <v>7.9000000000000036E-5</v>
      </c>
      <c r="F11" s="3">
        <f>IFERROR(STDEV(FoamAmbiguousMaster[ConvertedCoupArea]),"NA")</f>
        <v>2.7489542371860754E-20</v>
      </c>
    </row>
    <row r="12" spans="1:6" x14ac:dyDescent="0.3">
      <c r="A12" s="3" t="s">
        <v>1591</v>
      </c>
      <c r="B12" s="3" t="str" cm="1">
        <f t="array" ref="B12">IFERROR(IF(IF(COUNTA(FoamAmbiguousMaster[LoadingUn]),COUNTIF(FoamAmbiguousMaster[LoadingUn],INDEX(FoamAmbiguousMaster[LoadingUn],MATCH(TRUE,FoamAmbiguousMaster[LoadingUn]&lt;&gt;"",0)))=COUNTIF(FoamAmbiguousMaster[LoadingUn],"&lt;&gt;"),""),INDEX(FoamAmbiguousMaster[LoadingUn],MATCH(TRUE,FoamAmbiguousMaster[LoadingUn]&lt;&gt;"",0)), "multiple units given"),"NA")</f>
        <v>CFU</v>
      </c>
      <c r="C12" s="3">
        <f>IF(AND(ISNUMBER(E12),ISNUMBER(F12)),MIN(FoamAmbiguousMaster[LoadingNum]),"NA")</f>
        <v>4600000</v>
      </c>
      <c r="D12" s="3">
        <f>IF(AND(ISNUMBER(E12),ISNUMBER(F12)),MAX(FoamAmbiguousMaster[LoadingNum]),"NA")</f>
        <v>4600000</v>
      </c>
      <c r="E12" s="3">
        <f>IFERROR(AVERAGE(FoamAmbiguousMaster[LoadingNum]),"NA")</f>
        <v>4600000</v>
      </c>
      <c r="F12" s="3">
        <f>IFERROR(STDEV(FoamAmbiguousMaster[LoadingNum]),"NA")</f>
        <v>0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IF(AND(ISNUMBER(E13),ISNUMBER(F13)),MIN(FoamAmbiguousMaster[TotalApp]),"NA")</f>
        <v>NA</v>
      </c>
      <c r="D13" s="3" t="str">
        <f>IF(AND(ISNUMBER(E13),ISNUMBER(F13)),MAX(FoamAmbiguousMaster[TotalApp]),"NA")</f>
        <v>NA</v>
      </c>
      <c r="E13" s="3" t="str">
        <f>IFERROR(AVERAGE(FoamAmbiguousMaster[TotalApp]),"NA")</f>
        <v>NA</v>
      </c>
      <c r="F13" s="3" t="str">
        <f>IFERROR(STDEV(FoamAmbiguousMaster[TotalApp]),"NA")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IF(AND(ISNUMBER(E14),ISNUMBER(F14)),MIN(FoamAmbiguousMaster[TempNum]),"NA")</f>
        <v>-20</v>
      </c>
      <c r="D14" s="3">
        <f>IF(AND(ISNUMBER(E14),ISNUMBER(F14)),MAX(FoamAmbiguousMaster[TempNum]),"NA")</f>
        <v>23</v>
      </c>
      <c r="E14" s="3">
        <f>IFERROR(AVERAGE(FoamAmbiguousMaster[TempNum]),"NA")</f>
        <v>2.3333333333333335</v>
      </c>
      <c r="F14" s="3">
        <f>IFERROR(STDEV(FoamAmbiguousMaster[TempNum]),"NA")</f>
        <v>17.84376641855637</v>
      </c>
    </row>
    <row r="15" spans="1:6" x14ac:dyDescent="0.3">
      <c r="A15" s="3" t="s">
        <v>1595</v>
      </c>
      <c r="B15" s="3" t="s">
        <v>1527</v>
      </c>
      <c r="C15" s="3">
        <f>IF(AND(ISNUMBER(E15),ISNUMBER(F15)),MIN(FoamAmbiguousMaster[RHNum]),"NA")</f>
        <v>50</v>
      </c>
      <c r="D15" s="3">
        <f>IF(AND(ISNUMBER(E15),ISNUMBER(F15)),MAX(FoamAmbiguousMaster[RHNum]),"NA")</f>
        <v>50</v>
      </c>
      <c r="E15" s="3">
        <f>IFERROR(AVERAGE(FoamAmbiguousMaster[RHNum]),"NA")</f>
        <v>50</v>
      </c>
      <c r="F15" s="3">
        <f>IFERROR(STDEV(FoamAmbiguousMaster[RHNum]),"NA")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IF(AND(ISNUMBER(E16),ISNUMBER(F16)),MIN(FoamAmbiguousMaster[ContTimeNumMin]),"NA")</f>
        <v>4.9800000000000004</v>
      </c>
      <c r="D16" s="3">
        <f>IF(AND(ISNUMBER(E16),ISNUMBER(F16)),MAX(FoamAmbiguousMaster[ContTimeNumMin]),"NA")</f>
        <v>1440</v>
      </c>
      <c r="E16" s="3">
        <f>IFERROR(AVERAGE(FoamAmbiguousMaster[ContTimeNumMin]),"NA")</f>
        <v>278.33</v>
      </c>
      <c r="F16" s="3">
        <f>IFERROR(STDEV(FoamAmbiguousMaster[ContTimeNumMin]),"NA")</f>
        <v>528.27659427343826</v>
      </c>
    </row>
    <row r="17" spans="1:6" x14ac:dyDescent="0.3">
      <c r="A17" s="3" t="s">
        <v>1598</v>
      </c>
      <c r="B17" s="3" t="str" cm="1">
        <f t="array" ref="B17">IFERROR(IF(IF(COUNTA(FoamAmbiguousMaster[ConcDoseUn]),COUNTIF(FoamAmbiguousMaster[ConcDoseUn],INDEX(FoamAmbiguousMaster[ConcDoseUn],MATCH(TRUE,FoamAmbiguousMaster[ConcDoseUn]&lt;&gt;"",0)))=COUNTIF(FoamAmbiguousMaster[ConcDoseUn],"&lt;&gt;"),""),INDEX(FoamAmbiguousMaster[ConcDoseUn],MATCH(TRUE,FoamAmbiguousMaster[ConcDoseUn]&lt;&gt;"",0)), "multiple units given"),"NA")</f>
        <v>wt%</v>
      </c>
      <c r="C17" s="3">
        <f>IF(AND(ISNUMBER(E17),ISNUMBER(F17)),MIN(FoamAmbiguousMaster[ConcDoseNum]),"NA")</f>
        <v>2</v>
      </c>
      <c r="D17" s="3">
        <f>IF(AND(ISNUMBER(E17),ISNUMBER(F17)),MAX(FoamAmbiguousMaster[ConcDoseNum]),"NA")</f>
        <v>2</v>
      </c>
      <c r="E17" s="3">
        <f>IFERROR(AVERAGE(FoamAmbiguousMaster[ConcDoseNum]),"NA")</f>
        <v>2</v>
      </c>
      <c r="F17" s="3">
        <f>IFERROR(STDEV(FoamAmbiguousMaster[ConcDoseNum]),"NA")</f>
        <v>0</v>
      </c>
    </row>
    <row r="18" spans="1:6" x14ac:dyDescent="0.3">
      <c r="A18" s="3" t="s">
        <v>1599</v>
      </c>
      <c r="B18" s="3" t="str" cm="1">
        <f t="array" ref="B18">IFERROR(IF(IF(COUNTA(FoamAmbiguousMaster[EffMeas]),COUNTIF(FoamAmbiguousMaster[EffMeas],INDEX(FoamAmbiguousMaster[EffMeas],MATCH(TRUE,FoamAmbiguousMaster[EffMeas]&lt;&gt;"",0)))=COUNTIF(FoamAmbiguousMaster[EffMeas],"&lt;&gt;"),""),INDEX(FoamAmbiguousMaster[EffMeas],MATCH(TRUE,FoamAmbiguousMaster[EffMeas]&lt;&gt;"",0)), "multiple units given"),"NA")</f>
        <v>LR</v>
      </c>
      <c r="C18" s="3">
        <f>IF(AND(ISNUMBER(E18),ISNUMBER(F18)),MIN(FoamAmbiguousMaster[Eff]),"NA")</f>
        <v>4.68564715791338E-2</v>
      </c>
      <c r="D18" s="3">
        <f>IF(AND(ISNUMBER(E18),ISNUMBER(F18)),MAX(FoamAmbiguousMaster[Eff]),"NA")</f>
        <v>5.84398169184223</v>
      </c>
      <c r="E18" s="3">
        <f>IFERROR(AVERAGE(FoamAmbiguousMaster[Eff]),"NA")</f>
        <v>1.2385767902752645</v>
      </c>
      <c r="F18" s="3">
        <f>IFERROR(STDEV(FoamAmbiguousMaster[Eff]),"NA")</f>
        <v>1.3483436288236506</v>
      </c>
    </row>
    <row r="19" spans="1:6" x14ac:dyDescent="0.3">
      <c r="A19" s="3" t="s">
        <v>1600</v>
      </c>
      <c r="B19" s="3" t="str" cm="1">
        <f t="array" ref="B19">IFERROR(IF(IF(COUNTA(FoamAmbiguousMaster[ConvertedVolAppUn]),COUNTIF(FoamAmbiguousMaster[ConvertedVolAppUn],INDEX(FoamAmbiguousMaster[ConvertedVolAppUn],MATCH(TRUE,FoamAmbiguousMaster[ConvertedVolAppUn]&lt;&gt;"",0)))=COUNTIF(FoamAmbiguousMaster[ConvertedVolAppUn],"&lt;&gt;"),""),INDEX(FoamAmbiguousMaster[ConvertedVolAppUn],MATCH(TRUE,FoamAmbiguousMaster[ConvertedVolAppUn]&lt;&gt;"",0)), "multiple units given"),"NA")</f>
        <v>mL</v>
      </c>
      <c r="C19" s="3">
        <f>IF(AND(ISNUMBER(E19),ISNUMBER(F19)),MIN(FoamAmbiguousMaster[ConvertedVolApp]),"NA")</f>
        <v>0.05</v>
      </c>
      <c r="D19" s="3">
        <f>IF(AND(ISNUMBER(E19),ISNUMBER(F19)),MAX(FoamAmbiguousMaster[ConvertedVolApp]),"NA")</f>
        <v>0.05</v>
      </c>
      <c r="E19" s="3">
        <f>IFERROR(AVERAGE(FoamAmbiguousMaster[ConvertedVolApp]),"NA")</f>
        <v>5.0000000000000024E-2</v>
      </c>
      <c r="F19" s="3">
        <f>IFERROR(STDEV(FoamAmbiguousMaster[ConvertedVolApp]),"NA")</f>
        <v>2.1111968541589059E-17</v>
      </c>
    </row>
  </sheetData>
  <conditionalFormatting sqref="B11:B19">
    <cfRule type="cellIs" dxfId="72" priority="1" operator="equal">
      <formula>"multiple units given"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A91"/>
  <sheetViews>
    <sheetView topLeftCell="K1" workbookViewId="0">
      <selection activeCell="P1" sqref="P1:AK1048576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1" max="21" width="8.886718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8" max="28" width="8.88671875" customWidth="1"/>
    <col min="29" max="29" width="9.77734375" customWidth="1"/>
    <col min="30" max="30" width="8.886718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5" max="35" width="8.886718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1230</v>
      </c>
      <c r="C2" t="s">
        <v>1231</v>
      </c>
      <c r="D2" t="s">
        <v>81</v>
      </c>
      <c r="E2">
        <v>2100000000</v>
      </c>
      <c r="H2">
        <v>1.44</v>
      </c>
      <c r="I2" t="s">
        <v>57</v>
      </c>
      <c r="J2">
        <v>1.44</v>
      </c>
      <c r="K2" t="s">
        <v>57</v>
      </c>
      <c r="L2" t="s">
        <v>112</v>
      </c>
      <c r="O2">
        <v>0</v>
      </c>
      <c r="T2">
        <v>27</v>
      </c>
      <c r="V2">
        <v>80</v>
      </c>
      <c r="W2" t="s">
        <v>1232</v>
      </c>
      <c r="X2" t="s">
        <v>1233</v>
      </c>
      <c r="Y2">
        <v>30</v>
      </c>
      <c r="AB2">
        <v>9.1</v>
      </c>
      <c r="AC2" t="s">
        <v>85</v>
      </c>
      <c r="AD2" t="s">
        <v>327</v>
      </c>
      <c r="AE2" t="s">
        <v>63</v>
      </c>
      <c r="AI2">
        <v>9</v>
      </c>
      <c r="AK2">
        <v>5.7</v>
      </c>
      <c r="AL2" t="s">
        <v>1167</v>
      </c>
      <c r="AM2">
        <v>5700</v>
      </c>
      <c r="AN2" t="s">
        <v>82</v>
      </c>
      <c r="AT2" t="s">
        <v>65</v>
      </c>
      <c r="AU2">
        <v>3.958333333333333</v>
      </c>
      <c r="AV2" t="s">
        <v>1234</v>
      </c>
    </row>
    <row r="3" spans="1:53" x14ac:dyDescent="0.3">
      <c r="A3" t="s">
        <v>1230</v>
      </c>
      <c r="C3" t="s">
        <v>1231</v>
      </c>
      <c r="D3" t="s">
        <v>81</v>
      </c>
      <c r="E3">
        <v>2100000000</v>
      </c>
      <c r="H3">
        <v>1.44</v>
      </c>
      <c r="I3" t="s">
        <v>57</v>
      </c>
      <c r="J3">
        <v>1.44</v>
      </c>
      <c r="K3" t="s">
        <v>57</v>
      </c>
      <c r="L3" t="s">
        <v>112</v>
      </c>
      <c r="O3">
        <v>0</v>
      </c>
      <c r="T3">
        <v>27</v>
      </c>
      <c r="V3">
        <v>80</v>
      </c>
      <c r="W3" t="s">
        <v>1235</v>
      </c>
      <c r="X3" t="s">
        <v>1233</v>
      </c>
      <c r="Y3">
        <v>30</v>
      </c>
      <c r="AB3">
        <v>9.1999999999999904</v>
      </c>
      <c r="AC3" t="s">
        <v>85</v>
      </c>
      <c r="AD3" t="s">
        <v>335</v>
      </c>
      <c r="AE3" t="s">
        <v>63</v>
      </c>
      <c r="AI3">
        <v>9</v>
      </c>
      <c r="AK3">
        <v>5.7</v>
      </c>
      <c r="AL3" t="s">
        <v>1167</v>
      </c>
      <c r="AM3">
        <v>5700</v>
      </c>
      <c r="AN3" t="s">
        <v>82</v>
      </c>
      <c r="AT3" t="s">
        <v>1236</v>
      </c>
      <c r="AU3">
        <v>3.958333333333333</v>
      </c>
      <c r="AV3" t="s">
        <v>1234</v>
      </c>
    </row>
    <row r="4" spans="1:53" x14ac:dyDescent="0.3">
      <c r="A4" t="s">
        <v>1230</v>
      </c>
      <c r="C4" t="s">
        <v>1231</v>
      </c>
      <c r="D4" t="s">
        <v>81</v>
      </c>
      <c r="E4">
        <v>2100000000</v>
      </c>
      <c r="H4">
        <v>1.44</v>
      </c>
      <c r="I4" t="s">
        <v>57</v>
      </c>
      <c r="J4">
        <v>1.44</v>
      </c>
      <c r="K4" t="s">
        <v>57</v>
      </c>
      <c r="L4" t="s">
        <v>112</v>
      </c>
      <c r="O4">
        <v>0</v>
      </c>
      <c r="T4">
        <v>27</v>
      </c>
      <c r="V4">
        <v>80</v>
      </c>
      <c r="W4" t="s">
        <v>1237</v>
      </c>
      <c r="X4" t="s">
        <v>1233</v>
      </c>
      <c r="Y4">
        <v>30</v>
      </c>
      <c r="AB4">
        <v>9</v>
      </c>
      <c r="AC4" t="s">
        <v>85</v>
      </c>
      <c r="AD4" t="s">
        <v>130</v>
      </c>
      <c r="AE4" t="s">
        <v>63</v>
      </c>
      <c r="AI4">
        <v>9</v>
      </c>
      <c r="AK4">
        <v>5.7</v>
      </c>
      <c r="AL4" t="s">
        <v>1167</v>
      </c>
      <c r="AM4">
        <v>5700</v>
      </c>
      <c r="AN4" t="s">
        <v>82</v>
      </c>
      <c r="AT4" t="s">
        <v>458</v>
      </c>
      <c r="AU4">
        <v>3.958333333333333</v>
      </c>
      <c r="AV4" t="s">
        <v>1234</v>
      </c>
    </row>
    <row r="5" spans="1:53" x14ac:dyDescent="0.3">
      <c r="A5" t="s">
        <v>1230</v>
      </c>
      <c r="C5" t="s">
        <v>1231</v>
      </c>
      <c r="D5" t="s">
        <v>81</v>
      </c>
      <c r="E5">
        <v>2100000000</v>
      </c>
      <c r="H5">
        <v>1.44</v>
      </c>
      <c r="I5" t="s">
        <v>57</v>
      </c>
      <c r="J5">
        <v>1.44</v>
      </c>
      <c r="K5" t="s">
        <v>57</v>
      </c>
      <c r="L5" t="s">
        <v>112</v>
      </c>
      <c r="O5">
        <v>0</v>
      </c>
      <c r="T5">
        <v>27</v>
      </c>
      <c r="V5">
        <v>80</v>
      </c>
      <c r="W5" t="s">
        <v>1232</v>
      </c>
      <c r="X5" t="s">
        <v>1233</v>
      </c>
      <c r="Y5">
        <v>30</v>
      </c>
      <c r="AB5">
        <v>8.9</v>
      </c>
      <c r="AC5" t="s">
        <v>85</v>
      </c>
      <c r="AD5" t="s">
        <v>336</v>
      </c>
      <c r="AE5" t="s">
        <v>63</v>
      </c>
      <c r="AI5">
        <v>9</v>
      </c>
      <c r="AK5">
        <v>5.7</v>
      </c>
      <c r="AL5" t="s">
        <v>1167</v>
      </c>
      <c r="AM5">
        <v>5700</v>
      </c>
      <c r="AN5" t="s">
        <v>82</v>
      </c>
      <c r="AT5" t="s">
        <v>65</v>
      </c>
      <c r="AU5">
        <v>3.958333333333333</v>
      </c>
      <c r="AV5" t="s">
        <v>1234</v>
      </c>
    </row>
    <row r="6" spans="1:53" x14ac:dyDescent="0.3">
      <c r="A6" t="s">
        <v>1230</v>
      </c>
      <c r="C6" t="s">
        <v>1231</v>
      </c>
      <c r="D6" t="s">
        <v>81</v>
      </c>
      <c r="E6">
        <v>2100000000</v>
      </c>
      <c r="H6">
        <v>1.44</v>
      </c>
      <c r="I6" t="s">
        <v>57</v>
      </c>
      <c r="J6">
        <v>1.44</v>
      </c>
      <c r="K6" t="s">
        <v>57</v>
      </c>
      <c r="L6" t="s">
        <v>112</v>
      </c>
      <c r="O6">
        <v>0</v>
      </c>
      <c r="T6">
        <v>27</v>
      </c>
      <c r="V6">
        <v>80</v>
      </c>
      <c r="W6" t="s">
        <v>1235</v>
      </c>
      <c r="X6" t="s">
        <v>1233</v>
      </c>
      <c r="Y6">
        <v>30</v>
      </c>
      <c r="AB6">
        <v>9.1999999999999904</v>
      </c>
      <c r="AC6" t="s">
        <v>85</v>
      </c>
      <c r="AD6" t="s">
        <v>327</v>
      </c>
      <c r="AE6" t="s">
        <v>63</v>
      </c>
      <c r="AI6">
        <v>9</v>
      </c>
      <c r="AK6">
        <v>5.7</v>
      </c>
      <c r="AL6" t="s">
        <v>1167</v>
      </c>
      <c r="AM6">
        <v>5700</v>
      </c>
      <c r="AN6" t="s">
        <v>82</v>
      </c>
      <c r="AT6" t="s">
        <v>1236</v>
      </c>
      <c r="AU6">
        <v>3.958333333333333</v>
      </c>
      <c r="AV6" t="s">
        <v>1234</v>
      </c>
    </row>
    <row r="7" spans="1:53" x14ac:dyDescent="0.3">
      <c r="A7" t="s">
        <v>1230</v>
      </c>
      <c r="C7" t="s">
        <v>1231</v>
      </c>
      <c r="D7" t="s">
        <v>81</v>
      </c>
      <c r="E7">
        <v>2100000000</v>
      </c>
      <c r="H7">
        <v>1.44</v>
      </c>
      <c r="I7" t="s">
        <v>57</v>
      </c>
      <c r="J7">
        <v>1.44</v>
      </c>
      <c r="K7" t="s">
        <v>57</v>
      </c>
      <c r="L7" t="s">
        <v>112</v>
      </c>
      <c r="O7">
        <v>0</v>
      </c>
      <c r="T7">
        <v>27</v>
      </c>
      <c r="V7">
        <v>80</v>
      </c>
      <c r="W7" t="s">
        <v>1237</v>
      </c>
      <c r="X7" t="s">
        <v>1233</v>
      </c>
      <c r="Y7">
        <v>30</v>
      </c>
      <c r="AB7">
        <v>9.1999999999999904</v>
      </c>
      <c r="AC7" t="s">
        <v>85</v>
      </c>
      <c r="AD7" t="s">
        <v>334</v>
      </c>
      <c r="AE7" t="s">
        <v>63</v>
      </c>
      <c r="AI7">
        <v>9</v>
      </c>
      <c r="AK7">
        <v>5.7</v>
      </c>
      <c r="AL7" t="s">
        <v>1167</v>
      </c>
      <c r="AM7">
        <v>5700</v>
      </c>
      <c r="AN7" t="s">
        <v>82</v>
      </c>
      <c r="AT7" t="s">
        <v>458</v>
      </c>
      <c r="AU7">
        <v>3.958333333333333</v>
      </c>
      <c r="AV7" t="s">
        <v>1234</v>
      </c>
    </row>
    <row r="8" spans="1:53" x14ac:dyDescent="0.3">
      <c r="A8" t="s">
        <v>1238</v>
      </c>
      <c r="C8" t="s">
        <v>1231</v>
      </c>
      <c r="D8" t="s">
        <v>1239</v>
      </c>
      <c r="E8">
        <v>100000</v>
      </c>
      <c r="H8">
        <v>400</v>
      </c>
      <c r="I8" t="s">
        <v>56</v>
      </c>
      <c r="J8">
        <v>0.04</v>
      </c>
      <c r="K8" t="s">
        <v>57</v>
      </c>
      <c r="L8" t="s">
        <v>1021</v>
      </c>
      <c r="O8">
        <v>0</v>
      </c>
      <c r="P8" t="s">
        <v>1240</v>
      </c>
      <c r="T8">
        <v>25</v>
      </c>
      <c r="V8">
        <v>50</v>
      </c>
      <c r="W8" t="s">
        <v>1241</v>
      </c>
      <c r="X8" t="s">
        <v>1242</v>
      </c>
      <c r="Y8">
        <v>30</v>
      </c>
      <c r="AB8">
        <v>6.1</v>
      </c>
      <c r="AC8" t="s">
        <v>210</v>
      </c>
      <c r="AH8">
        <v>6.1</v>
      </c>
      <c r="AI8">
        <v>2</v>
      </c>
      <c r="AO8">
        <v>0</v>
      </c>
      <c r="AT8" t="s">
        <v>65</v>
      </c>
      <c r="AV8" t="s">
        <v>88</v>
      </c>
      <c r="BA8">
        <v>6.1</v>
      </c>
    </row>
    <row r="9" spans="1:53" x14ac:dyDescent="0.3">
      <c r="A9" t="s">
        <v>1238</v>
      </c>
      <c r="C9" t="s">
        <v>1231</v>
      </c>
      <c r="D9" t="s">
        <v>1239</v>
      </c>
      <c r="E9">
        <v>100000</v>
      </c>
      <c r="H9">
        <v>400</v>
      </c>
      <c r="I9" t="s">
        <v>56</v>
      </c>
      <c r="J9">
        <v>0.04</v>
      </c>
      <c r="K9" t="s">
        <v>57</v>
      </c>
      <c r="L9" t="s">
        <v>1021</v>
      </c>
      <c r="O9">
        <v>3</v>
      </c>
      <c r="P9" t="s">
        <v>1240</v>
      </c>
      <c r="T9">
        <v>25</v>
      </c>
      <c r="V9">
        <v>50</v>
      </c>
      <c r="W9" t="s">
        <v>1241</v>
      </c>
      <c r="X9" t="s">
        <v>1242</v>
      </c>
      <c r="Y9">
        <v>30</v>
      </c>
      <c r="AB9">
        <v>2.1</v>
      </c>
      <c r="AC9" t="s">
        <v>210</v>
      </c>
      <c r="AH9">
        <v>6.1</v>
      </c>
      <c r="AI9">
        <v>2</v>
      </c>
      <c r="AO9">
        <v>0</v>
      </c>
      <c r="AT9" t="s">
        <v>65</v>
      </c>
      <c r="AV9" t="s">
        <v>88</v>
      </c>
      <c r="BA9">
        <v>6.1</v>
      </c>
    </row>
    <row r="10" spans="1:53" x14ac:dyDescent="0.3">
      <c r="A10" t="s">
        <v>1238</v>
      </c>
      <c r="C10" t="s">
        <v>1231</v>
      </c>
      <c r="D10" t="s">
        <v>1239</v>
      </c>
      <c r="E10">
        <v>100000</v>
      </c>
      <c r="H10">
        <v>400</v>
      </c>
      <c r="I10" t="s">
        <v>56</v>
      </c>
      <c r="J10">
        <v>0.04</v>
      </c>
      <c r="K10" t="s">
        <v>57</v>
      </c>
      <c r="L10" t="s">
        <v>1021</v>
      </c>
      <c r="O10">
        <v>3</v>
      </c>
      <c r="P10" t="s">
        <v>1240</v>
      </c>
      <c r="T10">
        <v>25</v>
      </c>
      <c r="V10">
        <v>50</v>
      </c>
      <c r="W10" t="s">
        <v>1241</v>
      </c>
      <c r="X10" t="s">
        <v>1242</v>
      </c>
      <c r="Y10">
        <v>30</v>
      </c>
      <c r="AB10">
        <v>3.3</v>
      </c>
      <c r="AC10" t="s">
        <v>210</v>
      </c>
      <c r="AH10">
        <v>6.1</v>
      </c>
      <c r="AI10">
        <v>2</v>
      </c>
      <c r="AO10">
        <v>0</v>
      </c>
      <c r="AT10" t="s">
        <v>65</v>
      </c>
      <c r="AV10" t="s">
        <v>88</v>
      </c>
      <c r="BA10">
        <v>6.1</v>
      </c>
    </row>
    <row r="11" spans="1:53" x14ac:dyDescent="0.3">
      <c r="A11" t="s">
        <v>1238</v>
      </c>
      <c r="C11" t="s">
        <v>1231</v>
      </c>
      <c r="D11" t="s">
        <v>1239</v>
      </c>
      <c r="E11">
        <v>100001</v>
      </c>
      <c r="H11">
        <v>400</v>
      </c>
      <c r="I11" t="s">
        <v>56</v>
      </c>
      <c r="J11">
        <v>0.04</v>
      </c>
      <c r="K11" t="s">
        <v>57</v>
      </c>
      <c r="L11" t="s">
        <v>1021</v>
      </c>
      <c r="O11">
        <v>0</v>
      </c>
      <c r="P11" t="s">
        <v>1240</v>
      </c>
      <c r="T11">
        <v>25</v>
      </c>
      <c r="V11">
        <v>50</v>
      </c>
      <c r="W11" t="s">
        <v>1243</v>
      </c>
      <c r="X11" t="s">
        <v>1242</v>
      </c>
      <c r="Y11">
        <v>30</v>
      </c>
      <c r="AB11">
        <v>6.1</v>
      </c>
      <c r="AC11" t="s">
        <v>210</v>
      </c>
      <c r="AH11">
        <v>6.1</v>
      </c>
      <c r="AI11">
        <v>2</v>
      </c>
      <c r="AO11">
        <v>0</v>
      </c>
      <c r="AT11" t="s">
        <v>65</v>
      </c>
      <c r="AV11" t="s">
        <v>88</v>
      </c>
      <c r="BA11">
        <v>6.1</v>
      </c>
    </row>
    <row r="12" spans="1:53" x14ac:dyDescent="0.3">
      <c r="A12" t="s">
        <v>1238</v>
      </c>
      <c r="C12" t="s">
        <v>1231</v>
      </c>
      <c r="D12" t="s">
        <v>1239</v>
      </c>
      <c r="E12">
        <v>100001</v>
      </c>
      <c r="H12">
        <v>400</v>
      </c>
      <c r="I12" t="s">
        <v>56</v>
      </c>
      <c r="J12">
        <v>0.04</v>
      </c>
      <c r="K12" t="s">
        <v>57</v>
      </c>
      <c r="L12" t="s">
        <v>1021</v>
      </c>
      <c r="O12">
        <v>3</v>
      </c>
      <c r="P12" t="s">
        <v>1240</v>
      </c>
      <c r="T12">
        <v>25</v>
      </c>
      <c r="V12">
        <v>50</v>
      </c>
      <c r="W12" t="s">
        <v>1243</v>
      </c>
      <c r="X12" t="s">
        <v>1242</v>
      </c>
      <c r="Y12">
        <v>30</v>
      </c>
      <c r="AB12">
        <v>5.7</v>
      </c>
      <c r="AC12" t="s">
        <v>210</v>
      </c>
      <c r="AH12">
        <v>6.1</v>
      </c>
      <c r="AI12">
        <v>2</v>
      </c>
      <c r="AO12">
        <v>0</v>
      </c>
      <c r="AT12" t="s">
        <v>65</v>
      </c>
      <c r="AV12" t="s">
        <v>88</v>
      </c>
      <c r="BA12">
        <v>6.1</v>
      </c>
    </row>
    <row r="13" spans="1:53" x14ac:dyDescent="0.3">
      <c r="A13" t="s">
        <v>1238</v>
      </c>
      <c r="C13" t="s">
        <v>1231</v>
      </c>
      <c r="D13" t="s">
        <v>1239</v>
      </c>
      <c r="E13">
        <v>100001</v>
      </c>
      <c r="H13">
        <v>400</v>
      </c>
      <c r="I13" t="s">
        <v>56</v>
      </c>
      <c r="J13">
        <v>0.04</v>
      </c>
      <c r="K13" t="s">
        <v>57</v>
      </c>
      <c r="L13" t="s">
        <v>1021</v>
      </c>
      <c r="O13">
        <v>3</v>
      </c>
      <c r="P13" t="s">
        <v>1240</v>
      </c>
      <c r="T13">
        <v>25</v>
      </c>
      <c r="V13">
        <v>50</v>
      </c>
      <c r="W13" t="s">
        <v>1243</v>
      </c>
      <c r="X13" t="s">
        <v>1242</v>
      </c>
      <c r="Y13">
        <v>30</v>
      </c>
      <c r="AB13">
        <v>5.2</v>
      </c>
      <c r="AC13" t="s">
        <v>210</v>
      </c>
      <c r="AH13">
        <v>6.1</v>
      </c>
      <c r="AI13">
        <v>2</v>
      </c>
      <c r="AO13">
        <v>0</v>
      </c>
      <c r="AT13" t="s">
        <v>65</v>
      </c>
      <c r="AV13" t="s">
        <v>88</v>
      </c>
      <c r="BA13">
        <v>6.1</v>
      </c>
    </row>
    <row r="14" spans="1:53" x14ac:dyDescent="0.3">
      <c r="A14" t="s">
        <v>1244</v>
      </c>
      <c r="C14" t="s">
        <v>1231</v>
      </c>
      <c r="D14" t="s">
        <v>81</v>
      </c>
      <c r="E14">
        <v>100000000</v>
      </c>
      <c r="H14">
        <v>14.25</v>
      </c>
      <c r="I14" t="s">
        <v>56</v>
      </c>
      <c r="J14">
        <v>1.4250000000000001E-3</v>
      </c>
      <c r="K14" t="s">
        <v>57</v>
      </c>
      <c r="L14" t="s">
        <v>112</v>
      </c>
      <c r="O14">
        <v>0</v>
      </c>
      <c r="S14" t="s">
        <v>1245</v>
      </c>
      <c r="T14">
        <v>22.5</v>
      </c>
      <c r="V14">
        <v>50</v>
      </c>
      <c r="W14" t="s">
        <v>1246</v>
      </c>
      <c r="X14" t="s">
        <v>957</v>
      </c>
      <c r="Y14">
        <v>30</v>
      </c>
      <c r="AB14">
        <v>7.4</v>
      </c>
      <c r="AC14" t="s">
        <v>85</v>
      </c>
      <c r="AD14" t="s">
        <v>556</v>
      </c>
      <c r="AE14" t="s">
        <v>138</v>
      </c>
      <c r="AI14">
        <v>5</v>
      </c>
      <c r="AK14">
        <v>3.3</v>
      </c>
      <c r="AL14" t="s">
        <v>82</v>
      </c>
      <c r="AM14">
        <v>3.3</v>
      </c>
      <c r="AN14" t="s">
        <v>82</v>
      </c>
      <c r="AO14">
        <v>0</v>
      </c>
      <c r="AT14" t="s">
        <v>73</v>
      </c>
      <c r="AU14">
        <v>2.3157894736842111</v>
      </c>
      <c r="AV14" t="s">
        <v>115</v>
      </c>
    </row>
    <row r="15" spans="1:53" x14ac:dyDescent="0.3">
      <c r="A15" t="s">
        <v>1244</v>
      </c>
      <c r="C15" t="s">
        <v>1231</v>
      </c>
      <c r="D15" t="s">
        <v>81</v>
      </c>
      <c r="E15">
        <v>100000000</v>
      </c>
      <c r="H15">
        <v>14.25</v>
      </c>
      <c r="I15" t="s">
        <v>56</v>
      </c>
      <c r="J15">
        <v>1.4250000000000001E-3</v>
      </c>
      <c r="K15" t="s">
        <v>57</v>
      </c>
      <c r="L15" t="s">
        <v>112</v>
      </c>
      <c r="O15">
        <v>0</v>
      </c>
      <c r="S15" t="s">
        <v>1245</v>
      </c>
      <c r="T15">
        <v>22.5</v>
      </c>
      <c r="V15">
        <v>50</v>
      </c>
      <c r="W15" t="s">
        <v>359</v>
      </c>
      <c r="X15" t="s">
        <v>957</v>
      </c>
      <c r="Y15">
        <v>30</v>
      </c>
      <c r="AB15">
        <v>7.4</v>
      </c>
      <c r="AC15" t="s">
        <v>85</v>
      </c>
      <c r="AD15" t="s">
        <v>654</v>
      </c>
      <c r="AE15" t="s">
        <v>138</v>
      </c>
      <c r="AI15">
        <v>5</v>
      </c>
      <c r="AK15">
        <v>1.01</v>
      </c>
      <c r="AL15" t="s">
        <v>82</v>
      </c>
      <c r="AM15">
        <v>1.01</v>
      </c>
      <c r="AN15" t="s">
        <v>82</v>
      </c>
      <c r="AT15" t="s">
        <v>360</v>
      </c>
      <c r="AU15">
        <v>0.70877192982456139</v>
      </c>
      <c r="AV15" t="s">
        <v>115</v>
      </c>
    </row>
    <row r="16" spans="1:53" x14ac:dyDescent="0.3">
      <c r="A16" t="s">
        <v>1244</v>
      </c>
      <c r="C16" t="s">
        <v>1231</v>
      </c>
      <c r="D16" t="s">
        <v>81</v>
      </c>
      <c r="E16">
        <v>100000000</v>
      </c>
      <c r="H16">
        <v>14.25</v>
      </c>
      <c r="I16" t="s">
        <v>56</v>
      </c>
      <c r="J16">
        <v>1.4250000000000001E-3</v>
      </c>
      <c r="K16" t="s">
        <v>57</v>
      </c>
      <c r="L16" t="s">
        <v>112</v>
      </c>
      <c r="O16">
        <v>0</v>
      </c>
      <c r="S16" t="s">
        <v>1245</v>
      </c>
      <c r="T16">
        <v>22.5</v>
      </c>
      <c r="V16">
        <v>50</v>
      </c>
      <c r="W16" t="s">
        <v>361</v>
      </c>
      <c r="X16" t="s">
        <v>957</v>
      </c>
      <c r="Y16">
        <v>30</v>
      </c>
      <c r="AA16" t="s">
        <v>94</v>
      </c>
      <c r="AB16">
        <v>7.59</v>
      </c>
      <c r="AC16" t="s">
        <v>85</v>
      </c>
      <c r="AD16" t="s">
        <v>232</v>
      </c>
      <c r="AI16">
        <v>5</v>
      </c>
      <c r="AK16">
        <v>1.01</v>
      </c>
      <c r="AL16" t="s">
        <v>82</v>
      </c>
      <c r="AM16">
        <v>1.01</v>
      </c>
      <c r="AN16" t="s">
        <v>82</v>
      </c>
      <c r="AT16" t="s">
        <v>65</v>
      </c>
      <c r="AU16">
        <v>0.70877192982456139</v>
      </c>
      <c r="AV16" t="s">
        <v>115</v>
      </c>
      <c r="AZ16">
        <v>0</v>
      </c>
      <c r="BA16">
        <v>7.59</v>
      </c>
    </row>
    <row r="17" spans="1:53" x14ac:dyDescent="0.3">
      <c r="A17" t="s">
        <v>1244</v>
      </c>
      <c r="C17" t="s">
        <v>1231</v>
      </c>
      <c r="D17" t="s">
        <v>81</v>
      </c>
      <c r="E17">
        <v>100000000</v>
      </c>
      <c r="H17">
        <v>14.25</v>
      </c>
      <c r="I17" t="s">
        <v>56</v>
      </c>
      <c r="J17">
        <v>1.4250000000000001E-3</v>
      </c>
      <c r="K17" t="s">
        <v>57</v>
      </c>
      <c r="L17" t="s">
        <v>112</v>
      </c>
      <c r="O17">
        <v>0</v>
      </c>
      <c r="S17" t="s">
        <v>1245</v>
      </c>
      <c r="T17">
        <v>22.5</v>
      </c>
      <c r="V17">
        <v>50</v>
      </c>
      <c r="W17" t="s">
        <v>362</v>
      </c>
      <c r="X17" t="s">
        <v>957</v>
      </c>
      <c r="Y17">
        <v>30</v>
      </c>
      <c r="AB17">
        <v>4.82</v>
      </c>
      <c r="AC17" t="s">
        <v>85</v>
      </c>
      <c r="AD17" t="s">
        <v>489</v>
      </c>
      <c r="AE17" t="s">
        <v>138</v>
      </c>
      <c r="AI17">
        <v>5</v>
      </c>
      <c r="AK17">
        <v>1.01</v>
      </c>
      <c r="AL17" t="s">
        <v>82</v>
      </c>
      <c r="AM17">
        <v>1.01</v>
      </c>
      <c r="AN17" t="s">
        <v>82</v>
      </c>
      <c r="AT17" t="s">
        <v>79</v>
      </c>
      <c r="AU17">
        <v>0.70877192982456139</v>
      </c>
      <c r="AV17" t="s">
        <v>115</v>
      </c>
    </row>
    <row r="18" spans="1:53" x14ac:dyDescent="0.3">
      <c r="A18" t="s">
        <v>1244</v>
      </c>
      <c r="C18" t="s">
        <v>1231</v>
      </c>
      <c r="D18" t="s">
        <v>81</v>
      </c>
      <c r="E18">
        <v>100000000</v>
      </c>
      <c r="H18">
        <v>14.25</v>
      </c>
      <c r="I18" t="s">
        <v>56</v>
      </c>
      <c r="J18">
        <v>1.4250000000000001E-3</v>
      </c>
      <c r="K18" t="s">
        <v>57</v>
      </c>
      <c r="L18" t="s">
        <v>112</v>
      </c>
      <c r="O18">
        <v>0</v>
      </c>
      <c r="S18" t="s">
        <v>1245</v>
      </c>
      <c r="T18">
        <v>22.5</v>
      </c>
      <c r="V18">
        <v>50</v>
      </c>
      <c r="W18" t="s">
        <v>147</v>
      </c>
      <c r="X18" t="s">
        <v>957</v>
      </c>
      <c r="Y18">
        <v>30</v>
      </c>
      <c r="AA18" t="s">
        <v>94</v>
      </c>
      <c r="AB18">
        <v>7.85</v>
      </c>
      <c r="AC18" t="s">
        <v>85</v>
      </c>
      <c r="AD18" t="s">
        <v>248</v>
      </c>
      <c r="AI18">
        <v>5</v>
      </c>
      <c r="AK18">
        <v>1.01</v>
      </c>
      <c r="AL18" t="s">
        <v>82</v>
      </c>
      <c r="AM18">
        <v>1.01</v>
      </c>
      <c r="AN18" t="s">
        <v>82</v>
      </c>
      <c r="AT18" t="s">
        <v>150</v>
      </c>
      <c r="AU18">
        <v>0.70877192982456139</v>
      </c>
      <c r="AV18" t="s">
        <v>115</v>
      </c>
      <c r="AZ18">
        <v>0</v>
      </c>
      <c r="BA18">
        <v>7.85</v>
      </c>
    </row>
    <row r="19" spans="1:53" x14ac:dyDescent="0.3">
      <c r="A19" t="s">
        <v>1244</v>
      </c>
      <c r="C19" t="s">
        <v>1231</v>
      </c>
      <c r="D19" t="s">
        <v>81</v>
      </c>
      <c r="E19">
        <v>100000000</v>
      </c>
      <c r="H19">
        <v>14.25</v>
      </c>
      <c r="I19" t="s">
        <v>56</v>
      </c>
      <c r="J19">
        <v>1.4250000000000001E-3</v>
      </c>
      <c r="K19" t="s">
        <v>57</v>
      </c>
      <c r="L19" t="s">
        <v>112</v>
      </c>
      <c r="O19">
        <v>0</v>
      </c>
      <c r="S19" t="s">
        <v>1245</v>
      </c>
      <c r="T19">
        <v>22.5</v>
      </c>
      <c r="V19">
        <v>50</v>
      </c>
      <c r="W19" t="s">
        <v>1247</v>
      </c>
      <c r="X19" t="s">
        <v>957</v>
      </c>
      <c r="Y19">
        <v>30</v>
      </c>
      <c r="AA19" t="s">
        <v>94</v>
      </c>
      <c r="AB19">
        <v>7.84</v>
      </c>
      <c r="AC19" t="s">
        <v>85</v>
      </c>
      <c r="AD19" t="s">
        <v>227</v>
      </c>
      <c r="AI19">
        <v>5</v>
      </c>
      <c r="AK19">
        <v>1.01</v>
      </c>
      <c r="AL19" t="s">
        <v>82</v>
      </c>
      <c r="AM19">
        <v>1.01</v>
      </c>
      <c r="AN19" t="s">
        <v>82</v>
      </c>
      <c r="AT19" t="s">
        <v>358</v>
      </c>
      <c r="AU19">
        <v>0.70877192982456139</v>
      </c>
      <c r="AV19" t="s">
        <v>115</v>
      </c>
      <c r="AZ19">
        <v>0</v>
      </c>
      <c r="BA19">
        <v>7.84</v>
      </c>
    </row>
    <row r="20" spans="1:53" x14ac:dyDescent="0.3">
      <c r="A20" t="s">
        <v>1244</v>
      </c>
      <c r="C20" t="s">
        <v>1231</v>
      </c>
      <c r="D20" t="s">
        <v>81</v>
      </c>
      <c r="E20">
        <v>100000000</v>
      </c>
      <c r="H20">
        <v>14.25</v>
      </c>
      <c r="I20" t="s">
        <v>56</v>
      </c>
      <c r="J20">
        <v>1.4250000000000001E-3</v>
      </c>
      <c r="K20" t="s">
        <v>57</v>
      </c>
      <c r="L20" t="s">
        <v>112</v>
      </c>
      <c r="O20">
        <v>0</v>
      </c>
      <c r="S20" t="s">
        <v>1245</v>
      </c>
      <c r="T20">
        <v>22.5</v>
      </c>
      <c r="V20">
        <v>50</v>
      </c>
      <c r="W20" t="s">
        <v>355</v>
      </c>
      <c r="X20" t="s">
        <v>957</v>
      </c>
      <c r="Y20">
        <v>30</v>
      </c>
      <c r="AB20">
        <v>2.77</v>
      </c>
      <c r="AC20" t="s">
        <v>85</v>
      </c>
      <c r="AD20" t="s">
        <v>501</v>
      </c>
      <c r="AE20" t="s">
        <v>138</v>
      </c>
      <c r="AI20">
        <v>5</v>
      </c>
      <c r="AK20">
        <v>1.01</v>
      </c>
      <c r="AL20" t="s">
        <v>82</v>
      </c>
      <c r="AM20">
        <v>1.01</v>
      </c>
      <c r="AN20" t="s">
        <v>82</v>
      </c>
      <c r="AT20" t="s">
        <v>212</v>
      </c>
      <c r="AU20">
        <v>0.70877192982456139</v>
      </c>
      <c r="AV20" t="s">
        <v>115</v>
      </c>
    </row>
    <row r="21" spans="1:53" x14ac:dyDescent="0.3">
      <c r="A21" t="s">
        <v>1244</v>
      </c>
      <c r="C21" t="s">
        <v>1231</v>
      </c>
      <c r="D21" t="s">
        <v>81</v>
      </c>
      <c r="E21">
        <v>100000000</v>
      </c>
      <c r="H21">
        <v>14.25</v>
      </c>
      <c r="I21" t="s">
        <v>56</v>
      </c>
      <c r="J21">
        <v>1.4250000000000001E-3</v>
      </c>
      <c r="K21" t="s">
        <v>57</v>
      </c>
      <c r="L21" t="s">
        <v>112</v>
      </c>
      <c r="O21">
        <v>0</v>
      </c>
      <c r="S21" t="s">
        <v>1245</v>
      </c>
      <c r="T21">
        <v>22.5</v>
      </c>
      <c r="V21">
        <v>50</v>
      </c>
      <c r="W21" t="s">
        <v>1246</v>
      </c>
      <c r="X21" t="s">
        <v>957</v>
      </c>
      <c r="Y21">
        <v>30</v>
      </c>
      <c r="AA21" t="s">
        <v>94</v>
      </c>
      <c r="AB21">
        <v>7.62</v>
      </c>
      <c r="AC21" t="s">
        <v>85</v>
      </c>
      <c r="AD21" t="s">
        <v>239</v>
      </c>
      <c r="AI21">
        <v>5</v>
      </c>
      <c r="AK21">
        <v>3.3</v>
      </c>
      <c r="AL21" t="s">
        <v>82</v>
      </c>
      <c r="AM21">
        <v>3.3</v>
      </c>
      <c r="AN21" t="s">
        <v>82</v>
      </c>
      <c r="AO21">
        <v>0</v>
      </c>
      <c r="AT21" t="s">
        <v>73</v>
      </c>
      <c r="AU21">
        <v>2.3157894736842111</v>
      </c>
      <c r="AV21" t="s">
        <v>115</v>
      </c>
      <c r="AZ21">
        <v>0</v>
      </c>
      <c r="BA21">
        <v>7.62</v>
      </c>
    </row>
    <row r="22" spans="1:53" x14ac:dyDescent="0.3">
      <c r="A22" t="s">
        <v>1244</v>
      </c>
      <c r="C22" t="s">
        <v>1231</v>
      </c>
      <c r="D22" t="s">
        <v>81</v>
      </c>
      <c r="E22">
        <v>100000000</v>
      </c>
      <c r="H22">
        <v>14.25</v>
      </c>
      <c r="I22" t="s">
        <v>56</v>
      </c>
      <c r="J22">
        <v>1.4250000000000001E-3</v>
      </c>
      <c r="K22" t="s">
        <v>57</v>
      </c>
      <c r="L22" t="s">
        <v>112</v>
      </c>
      <c r="O22">
        <v>0</v>
      </c>
      <c r="S22" t="s">
        <v>1245</v>
      </c>
      <c r="T22">
        <v>22.5</v>
      </c>
      <c r="V22">
        <v>50</v>
      </c>
      <c r="W22" t="s">
        <v>359</v>
      </c>
      <c r="X22" t="s">
        <v>957</v>
      </c>
      <c r="Y22">
        <v>30</v>
      </c>
      <c r="AA22" t="s">
        <v>94</v>
      </c>
      <c r="AB22">
        <v>7.3</v>
      </c>
      <c r="AC22" t="s">
        <v>85</v>
      </c>
      <c r="AD22" t="s">
        <v>228</v>
      </c>
      <c r="AI22">
        <v>5</v>
      </c>
      <c r="AK22">
        <v>1.01</v>
      </c>
      <c r="AL22" t="s">
        <v>82</v>
      </c>
      <c r="AM22">
        <v>1.01</v>
      </c>
      <c r="AN22" t="s">
        <v>82</v>
      </c>
      <c r="AT22" t="s">
        <v>360</v>
      </c>
      <c r="AU22">
        <v>0.70877192982456139</v>
      </c>
      <c r="AV22" t="s">
        <v>115</v>
      </c>
      <c r="AZ22">
        <v>0</v>
      </c>
      <c r="BA22">
        <v>7.3</v>
      </c>
    </row>
    <row r="23" spans="1:53" x14ac:dyDescent="0.3">
      <c r="A23" t="s">
        <v>1244</v>
      </c>
      <c r="C23" t="s">
        <v>1231</v>
      </c>
      <c r="D23" t="s">
        <v>81</v>
      </c>
      <c r="E23">
        <v>100000000</v>
      </c>
      <c r="H23">
        <v>14.25</v>
      </c>
      <c r="I23" t="s">
        <v>56</v>
      </c>
      <c r="J23">
        <v>1.4250000000000001E-3</v>
      </c>
      <c r="K23" t="s">
        <v>57</v>
      </c>
      <c r="L23" t="s">
        <v>112</v>
      </c>
      <c r="O23">
        <v>0</v>
      </c>
      <c r="S23" t="s">
        <v>1245</v>
      </c>
      <c r="T23">
        <v>22.5</v>
      </c>
      <c r="V23">
        <v>50</v>
      </c>
      <c r="W23" t="s">
        <v>361</v>
      </c>
      <c r="X23" t="s">
        <v>957</v>
      </c>
      <c r="Y23">
        <v>30</v>
      </c>
      <c r="AA23" t="s">
        <v>94</v>
      </c>
      <c r="AB23">
        <v>7.6</v>
      </c>
      <c r="AC23" t="s">
        <v>85</v>
      </c>
      <c r="AD23" t="s">
        <v>365</v>
      </c>
      <c r="AI23">
        <v>5</v>
      </c>
      <c r="AK23">
        <v>1.01</v>
      </c>
      <c r="AL23" t="s">
        <v>82</v>
      </c>
      <c r="AM23">
        <v>1.01</v>
      </c>
      <c r="AN23" t="s">
        <v>82</v>
      </c>
      <c r="AT23" t="s">
        <v>65</v>
      </c>
      <c r="AU23">
        <v>0.70877192982456139</v>
      </c>
      <c r="AV23" t="s">
        <v>115</v>
      </c>
      <c r="AZ23">
        <v>0</v>
      </c>
      <c r="BA23">
        <v>7.6</v>
      </c>
    </row>
    <row r="24" spans="1:53" x14ac:dyDescent="0.3">
      <c r="A24" t="s">
        <v>1244</v>
      </c>
      <c r="C24" t="s">
        <v>1231</v>
      </c>
      <c r="D24" t="s">
        <v>81</v>
      </c>
      <c r="E24">
        <v>100000000</v>
      </c>
      <c r="H24">
        <v>14.25</v>
      </c>
      <c r="I24" t="s">
        <v>56</v>
      </c>
      <c r="J24">
        <v>1.4250000000000001E-3</v>
      </c>
      <c r="K24" t="s">
        <v>57</v>
      </c>
      <c r="L24" t="s">
        <v>112</v>
      </c>
      <c r="O24">
        <v>0</v>
      </c>
      <c r="S24" t="s">
        <v>1245</v>
      </c>
      <c r="T24">
        <v>22.5</v>
      </c>
      <c r="V24">
        <v>50</v>
      </c>
      <c r="W24" t="s">
        <v>362</v>
      </c>
      <c r="X24" t="s">
        <v>957</v>
      </c>
      <c r="Y24">
        <v>30</v>
      </c>
      <c r="AA24" t="s">
        <v>94</v>
      </c>
      <c r="AB24">
        <v>6.14</v>
      </c>
      <c r="AC24" t="s">
        <v>85</v>
      </c>
      <c r="AD24" t="s">
        <v>242</v>
      </c>
      <c r="AI24">
        <v>5</v>
      </c>
      <c r="AK24">
        <v>1.01</v>
      </c>
      <c r="AL24" t="s">
        <v>82</v>
      </c>
      <c r="AM24">
        <v>1.01</v>
      </c>
      <c r="AN24" t="s">
        <v>82</v>
      </c>
      <c r="AT24" t="s">
        <v>79</v>
      </c>
      <c r="AU24">
        <v>0.70877192982456139</v>
      </c>
      <c r="AV24" t="s">
        <v>115</v>
      </c>
      <c r="AZ24">
        <v>0</v>
      </c>
      <c r="BA24">
        <v>6.14</v>
      </c>
    </row>
    <row r="25" spans="1:53" x14ac:dyDescent="0.3">
      <c r="A25" t="s">
        <v>1244</v>
      </c>
      <c r="C25" t="s">
        <v>1231</v>
      </c>
      <c r="D25" t="s">
        <v>81</v>
      </c>
      <c r="E25">
        <v>100000000</v>
      </c>
      <c r="H25">
        <v>14.25</v>
      </c>
      <c r="I25" t="s">
        <v>56</v>
      </c>
      <c r="J25">
        <v>1.4250000000000001E-3</v>
      </c>
      <c r="K25" t="s">
        <v>57</v>
      </c>
      <c r="L25" t="s">
        <v>112</v>
      </c>
      <c r="O25">
        <v>0</v>
      </c>
      <c r="S25" t="s">
        <v>1245</v>
      </c>
      <c r="T25">
        <v>22.5</v>
      </c>
      <c r="V25">
        <v>50</v>
      </c>
      <c r="W25" t="s">
        <v>147</v>
      </c>
      <c r="X25" t="s">
        <v>957</v>
      </c>
      <c r="Y25">
        <v>30</v>
      </c>
      <c r="AA25" t="s">
        <v>94</v>
      </c>
      <c r="AB25">
        <v>7.51</v>
      </c>
      <c r="AC25" t="s">
        <v>85</v>
      </c>
      <c r="AD25" t="s">
        <v>553</v>
      </c>
      <c r="AI25">
        <v>5</v>
      </c>
      <c r="AK25">
        <v>1.01</v>
      </c>
      <c r="AL25" t="s">
        <v>82</v>
      </c>
      <c r="AM25">
        <v>1.01</v>
      </c>
      <c r="AN25" t="s">
        <v>82</v>
      </c>
      <c r="AT25" t="s">
        <v>150</v>
      </c>
      <c r="AU25">
        <v>0.70877192982456139</v>
      </c>
      <c r="AV25" t="s">
        <v>115</v>
      </c>
      <c r="AZ25">
        <v>0</v>
      </c>
      <c r="BA25">
        <v>7.51</v>
      </c>
    </row>
    <row r="26" spans="1:53" x14ac:dyDescent="0.3">
      <c r="A26" t="s">
        <v>1244</v>
      </c>
      <c r="C26" t="s">
        <v>1231</v>
      </c>
      <c r="D26" t="s">
        <v>81</v>
      </c>
      <c r="E26">
        <v>100000000</v>
      </c>
      <c r="H26">
        <v>14.25</v>
      </c>
      <c r="I26" t="s">
        <v>56</v>
      </c>
      <c r="J26">
        <v>1.4250000000000001E-3</v>
      </c>
      <c r="K26" t="s">
        <v>57</v>
      </c>
      <c r="L26" t="s">
        <v>112</v>
      </c>
      <c r="O26">
        <v>0</v>
      </c>
      <c r="S26" t="s">
        <v>1245</v>
      </c>
      <c r="T26">
        <v>22.5</v>
      </c>
      <c r="V26">
        <v>50</v>
      </c>
      <c r="W26" t="s">
        <v>1247</v>
      </c>
      <c r="X26" t="s">
        <v>957</v>
      </c>
      <c r="Y26">
        <v>30</v>
      </c>
      <c r="AA26" t="s">
        <v>94</v>
      </c>
      <c r="AB26">
        <v>7.05</v>
      </c>
      <c r="AC26" t="s">
        <v>85</v>
      </c>
      <c r="AD26" t="s">
        <v>494</v>
      </c>
      <c r="AI26">
        <v>5</v>
      </c>
      <c r="AK26">
        <v>1.01</v>
      </c>
      <c r="AL26" t="s">
        <v>82</v>
      </c>
      <c r="AM26">
        <v>1.01</v>
      </c>
      <c r="AN26" t="s">
        <v>82</v>
      </c>
      <c r="AT26" t="s">
        <v>358</v>
      </c>
      <c r="AU26">
        <v>0.70877192982456139</v>
      </c>
      <c r="AV26" t="s">
        <v>115</v>
      </c>
      <c r="AZ26">
        <v>0</v>
      </c>
      <c r="BA26">
        <v>7.05</v>
      </c>
    </row>
    <row r="27" spans="1:53" x14ac:dyDescent="0.3">
      <c r="A27" t="s">
        <v>1244</v>
      </c>
      <c r="C27" t="s">
        <v>1231</v>
      </c>
      <c r="D27" t="s">
        <v>81</v>
      </c>
      <c r="E27">
        <v>100000000</v>
      </c>
      <c r="H27">
        <v>14.25</v>
      </c>
      <c r="I27" t="s">
        <v>56</v>
      </c>
      <c r="J27">
        <v>1.4250000000000001E-3</v>
      </c>
      <c r="K27" t="s">
        <v>57</v>
      </c>
      <c r="L27" t="s">
        <v>112</v>
      </c>
      <c r="O27">
        <v>0</v>
      </c>
      <c r="S27" t="s">
        <v>1245</v>
      </c>
      <c r="T27">
        <v>22.5</v>
      </c>
      <c r="V27">
        <v>50</v>
      </c>
      <c r="W27" t="s">
        <v>355</v>
      </c>
      <c r="X27" t="s">
        <v>957</v>
      </c>
      <c r="Y27">
        <v>30</v>
      </c>
      <c r="AB27">
        <v>1.28</v>
      </c>
      <c r="AC27" t="s">
        <v>85</v>
      </c>
      <c r="AD27" t="s">
        <v>508</v>
      </c>
      <c r="AE27" t="s">
        <v>138</v>
      </c>
      <c r="AI27">
        <v>5</v>
      </c>
      <c r="AK27">
        <v>1.01</v>
      </c>
      <c r="AL27" t="s">
        <v>82</v>
      </c>
      <c r="AM27">
        <v>1.01</v>
      </c>
      <c r="AN27" t="s">
        <v>82</v>
      </c>
      <c r="AT27" t="s">
        <v>212</v>
      </c>
      <c r="AU27">
        <v>0.70877192982456139</v>
      </c>
      <c r="AV27" t="s">
        <v>115</v>
      </c>
    </row>
    <row r="28" spans="1:53" x14ac:dyDescent="0.3">
      <c r="A28" t="s">
        <v>368</v>
      </c>
      <c r="C28" t="s">
        <v>1231</v>
      </c>
      <c r="E28">
        <v>100000000</v>
      </c>
      <c r="H28">
        <v>1</v>
      </c>
      <c r="I28" t="s">
        <v>369</v>
      </c>
      <c r="J28">
        <v>9.2902999999999999E-2</v>
      </c>
      <c r="K28" t="s">
        <v>57</v>
      </c>
      <c r="L28" t="s">
        <v>58</v>
      </c>
      <c r="O28">
        <v>0</v>
      </c>
      <c r="T28">
        <v>25</v>
      </c>
      <c r="V28">
        <v>50</v>
      </c>
      <c r="W28" t="s">
        <v>370</v>
      </c>
      <c r="X28" t="s">
        <v>280</v>
      </c>
      <c r="AB28">
        <v>1</v>
      </c>
      <c r="AC28" t="s">
        <v>210</v>
      </c>
      <c r="AD28">
        <v>0</v>
      </c>
      <c r="AE28" t="s">
        <v>371</v>
      </c>
      <c r="AH28">
        <v>6.14</v>
      </c>
      <c r="AI28">
        <v>3</v>
      </c>
      <c r="AT28" t="s">
        <v>203</v>
      </c>
      <c r="AV28" t="s">
        <v>372</v>
      </c>
      <c r="BA28">
        <v>6.14</v>
      </c>
    </row>
    <row r="29" spans="1:53" x14ac:dyDescent="0.3">
      <c r="A29" t="s">
        <v>368</v>
      </c>
      <c r="C29" t="s">
        <v>1231</v>
      </c>
      <c r="E29">
        <v>100000000</v>
      </c>
      <c r="H29">
        <v>1</v>
      </c>
      <c r="I29" t="s">
        <v>369</v>
      </c>
      <c r="J29">
        <v>9.2902999999999999E-2</v>
      </c>
      <c r="K29" t="s">
        <v>57</v>
      </c>
      <c r="L29" t="s">
        <v>58</v>
      </c>
      <c r="O29">
        <v>0</v>
      </c>
      <c r="T29">
        <v>25</v>
      </c>
      <c r="V29">
        <v>50</v>
      </c>
      <c r="W29" t="s">
        <v>370</v>
      </c>
      <c r="X29" t="s">
        <v>280</v>
      </c>
      <c r="AB29">
        <v>1</v>
      </c>
      <c r="AC29" t="s">
        <v>210</v>
      </c>
      <c r="AD29">
        <v>0</v>
      </c>
      <c r="AE29" t="s">
        <v>371</v>
      </c>
      <c r="AH29">
        <v>6.16</v>
      </c>
      <c r="AI29">
        <v>3</v>
      </c>
      <c r="AT29" t="s">
        <v>203</v>
      </c>
      <c r="AV29" t="s">
        <v>372</v>
      </c>
      <c r="BA29">
        <v>6.16</v>
      </c>
    </row>
    <row r="30" spans="1:53" x14ac:dyDescent="0.3">
      <c r="A30" t="s">
        <v>368</v>
      </c>
      <c r="C30" t="s">
        <v>1231</v>
      </c>
      <c r="E30">
        <v>100000000</v>
      </c>
      <c r="H30">
        <v>1</v>
      </c>
      <c r="I30" t="s">
        <v>369</v>
      </c>
      <c r="J30">
        <v>9.2902999999999999E-2</v>
      </c>
      <c r="K30" t="s">
        <v>57</v>
      </c>
      <c r="L30" t="s">
        <v>58</v>
      </c>
      <c r="O30">
        <v>0</v>
      </c>
      <c r="T30">
        <v>25</v>
      </c>
      <c r="V30">
        <v>50</v>
      </c>
      <c r="W30" t="s">
        <v>370</v>
      </c>
      <c r="X30" t="s">
        <v>280</v>
      </c>
      <c r="AB30">
        <v>1</v>
      </c>
      <c r="AC30" t="s">
        <v>210</v>
      </c>
      <c r="AD30">
        <v>0</v>
      </c>
      <c r="AE30" t="s">
        <v>371</v>
      </c>
      <c r="AH30">
        <v>5.65</v>
      </c>
      <c r="AI30">
        <v>3</v>
      </c>
      <c r="AT30" t="s">
        <v>203</v>
      </c>
      <c r="AV30" t="s">
        <v>372</v>
      </c>
      <c r="BA30">
        <v>5.65</v>
      </c>
    </row>
    <row r="31" spans="1:53" x14ac:dyDescent="0.3">
      <c r="A31" t="s">
        <v>368</v>
      </c>
      <c r="C31" t="s">
        <v>1231</v>
      </c>
      <c r="E31">
        <v>100000000</v>
      </c>
      <c r="H31">
        <v>1</v>
      </c>
      <c r="I31" t="s">
        <v>369</v>
      </c>
      <c r="J31">
        <v>9.2902999999999999E-2</v>
      </c>
      <c r="K31" t="s">
        <v>57</v>
      </c>
      <c r="L31" t="s">
        <v>58</v>
      </c>
      <c r="O31">
        <v>0</v>
      </c>
      <c r="T31">
        <v>25</v>
      </c>
      <c r="V31">
        <v>50</v>
      </c>
      <c r="W31" t="s">
        <v>373</v>
      </c>
      <c r="X31" t="s">
        <v>280</v>
      </c>
      <c r="AB31">
        <v>1</v>
      </c>
      <c r="AC31" t="s">
        <v>210</v>
      </c>
      <c r="AD31">
        <v>0</v>
      </c>
      <c r="AE31" t="s">
        <v>371</v>
      </c>
      <c r="AH31">
        <v>6.07</v>
      </c>
      <c r="AI31">
        <v>3</v>
      </c>
      <c r="AT31" t="s">
        <v>360</v>
      </c>
      <c r="AV31" t="s">
        <v>372</v>
      </c>
      <c r="BA31">
        <v>6.07</v>
      </c>
    </row>
    <row r="32" spans="1:53" x14ac:dyDescent="0.3">
      <c r="A32" t="s">
        <v>368</v>
      </c>
      <c r="C32" t="s">
        <v>1231</v>
      </c>
      <c r="E32">
        <v>100000000</v>
      </c>
      <c r="H32">
        <v>1</v>
      </c>
      <c r="I32" t="s">
        <v>369</v>
      </c>
      <c r="J32">
        <v>9.2902999999999999E-2</v>
      </c>
      <c r="K32" t="s">
        <v>57</v>
      </c>
      <c r="L32" t="s">
        <v>58</v>
      </c>
      <c r="O32">
        <v>0</v>
      </c>
      <c r="T32">
        <v>25</v>
      </c>
      <c r="V32">
        <v>50</v>
      </c>
      <c r="W32" t="s">
        <v>373</v>
      </c>
      <c r="X32" t="s">
        <v>280</v>
      </c>
      <c r="AB32">
        <v>1</v>
      </c>
      <c r="AC32" t="s">
        <v>210</v>
      </c>
      <c r="AD32">
        <v>0</v>
      </c>
      <c r="AE32" t="s">
        <v>371</v>
      </c>
      <c r="AH32">
        <v>5.97</v>
      </c>
      <c r="AI32">
        <v>3</v>
      </c>
      <c r="AT32" t="s">
        <v>360</v>
      </c>
      <c r="AV32" t="s">
        <v>372</v>
      </c>
      <c r="BA32">
        <v>5.97</v>
      </c>
    </row>
    <row r="33" spans="1:53" x14ac:dyDescent="0.3">
      <c r="A33" t="s">
        <v>368</v>
      </c>
      <c r="C33" t="s">
        <v>1231</v>
      </c>
      <c r="E33">
        <v>100000000</v>
      </c>
      <c r="H33">
        <v>1</v>
      </c>
      <c r="I33" t="s">
        <v>369</v>
      </c>
      <c r="J33">
        <v>9.2902999999999999E-2</v>
      </c>
      <c r="K33" t="s">
        <v>57</v>
      </c>
      <c r="L33" t="s">
        <v>58</v>
      </c>
      <c r="O33">
        <v>0</v>
      </c>
      <c r="T33">
        <v>25</v>
      </c>
      <c r="V33">
        <v>50</v>
      </c>
      <c r="W33" t="s">
        <v>373</v>
      </c>
      <c r="X33" t="s">
        <v>280</v>
      </c>
      <c r="AB33">
        <v>1</v>
      </c>
      <c r="AC33" t="s">
        <v>210</v>
      </c>
      <c r="AD33">
        <v>0</v>
      </c>
      <c r="AE33" t="s">
        <v>371</v>
      </c>
      <c r="AH33">
        <v>5.42</v>
      </c>
      <c r="AI33">
        <v>3</v>
      </c>
      <c r="AT33" t="s">
        <v>360</v>
      </c>
      <c r="AV33" t="s">
        <v>372</v>
      </c>
      <c r="BA33">
        <v>5.42</v>
      </c>
    </row>
    <row r="34" spans="1:53" x14ac:dyDescent="0.3">
      <c r="A34" t="s">
        <v>368</v>
      </c>
      <c r="C34" t="s">
        <v>1231</v>
      </c>
      <c r="E34">
        <v>100000000</v>
      </c>
      <c r="H34">
        <v>1</v>
      </c>
      <c r="I34" t="s">
        <v>369</v>
      </c>
      <c r="J34">
        <v>9.2902999999999999E-2</v>
      </c>
      <c r="K34" t="s">
        <v>57</v>
      </c>
      <c r="L34" t="s">
        <v>58</v>
      </c>
      <c r="O34">
        <v>0</v>
      </c>
      <c r="T34">
        <v>25</v>
      </c>
      <c r="V34">
        <v>50</v>
      </c>
      <c r="W34" t="s">
        <v>374</v>
      </c>
      <c r="X34" t="s">
        <v>280</v>
      </c>
      <c r="AB34">
        <v>1</v>
      </c>
      <c r="AC34" t="s">
        <v>210</v>
      </c>
      <c r="AD34">
        <v>0</v>
      </c>
      <c r="AE34" t="s">
        <v>371</v>
      </c>
      <c r="AH34">
        <v>6.14</v>
      </c>
      <c r="AI34">
        <v>3</v>
      </c>
      <c r="AV34" t="s">
        <v>372</v>
      </c>
      <c r="BA34">
        <v>6.14</v>
      </c>
    </row>
    <row r="35" spans="1:53" x14ac:dyDescent="0.3">
      <c r="A35" t="s">
        <v>368</v>
      </c>
      <c r="C35" t="s">
        <v>1231</v>
      </c>
      <c r="E35">
        <v>100000000</v>
      </c>
      <c r="H35">
        <v>1</v>
      </c>
      <c r="I35" t="s">
        <v>369</v>
      </c>
      <c r="J35">
        <v>9.2902999999999999E-2</v>
      </c>
      <c r="K35" t="s">
        <v>57</v>
      </c>
      <c r="L35" t="s">
        <v>58</v>
      </c>
      <c r="O35">
        <v>0</v>
      </c>
      <c r="T35">
        <v>25</v>
      </c>
      <c r="V35">
        <v>50</v>
      </c>
      <c r="W35" t="s">
        <v>374</v>
      </c>
      <c r="X35" t="s">
        <v>280</v>
      </c>
      <c r="AB35">
        <v>1</v>
      </c>
      <c r="AC35" t="s">
        <v>210</v>
      </c>
      <c r="AD35">
        <v>0</v>
      </c>
      <c r="AE35" t="s">
        <v>371</v>
      </c>
      <c r="AH35">
        <v>6.09</v>
      </c>
      <c r="AI35">
        <v>3</v>
      </c>
      <c r="AV35" t="s">
        <v>372</v>
      </c>
      <c r="BA35">
        <v>6.09</v>
      </c>
    </row>
    <row r="36" spans="1:53" x14ac:dyDescent="0.3">
      <c r="A36" t="s">
        <v>368</v>
      </c>
      <c r="C36" t="s">
        <v>1231</v>
      </c>
      <c r="E36">
        <v>100000000</v>
      </c>
      <c r="H36">
        <v>1</v>
      </c>
      <c r="I36" t="s">
        <v>369</v>
      </c>
      <c r="J36">
        <v>9.2902999999999999E-2</v>
      </c>
      <c r="K36" t="s">
        <v>57</v>
      </c>
      <c r="L36" t="s">
        <v>58</v>
      </c>
      <c r="O36">
        <v>0</v>
      </c>
      <c r="T36">
        <v>25</v>
      </c>
      <c r="V36">
        <v>50</v>
      </c>
      <c r="W36" t="s">
        <v>374</v>
      </c>
      <c r="X36" t="s">
        <v>280</v>
      </c>
      <c r="AB36">
        <v>1</v>
      </c>
      <c r="AC36" t="s">
        <v>210</v>
      </c>
      <c r="AD36">
        <v>0</v>
      </c>
      <c r="AE36" t="s">
        <v>371</v>
      </c>
      <c r="AH36">
        <v>5.65</v>
      </c>
      <c r="AI36">
        <v>3</v>
      </c>
      <c r="AV36" t="s">
        <v>372</v>
      </c>
      <c r="BA36">
        <v>5.65</v>
      </c>
    </row>
    <row r="37" spans="1:53" x14ac:dyDescent="0.3">
      <c r="A37" t="s">
        <v>368</v>
      </c>
      <c r="C37" t="s">
        <v>1231</v>
      </c>
      <c r="E37">
        <v>100000000</v>
      </c>
      <c r="H37">
        <v>1</v>
      </c>
      <c r="I37" t="s">
        <v>369</v>
      </c>
      <c r="J37">
        <v>9.2902999999999999E-2</v>
      </c>
      <c r="K37" t="s">
        <v>57</v>
      </c>
      <c r="L37" t="s">
        <v>58</v>
      </c>
      <c r="O37">
        <v>0</v>
      </c>
      <c r="T37">
        <v>25</v>
      </c>
      <c r="V37">
        <v>50</v>
      </c>
      <c r="W37" t="s">
        <v>370</v>
      </c>
      <c r="X37" t="s">
        <v>280</v>
      </c>
      <c r="AB37">
        <v>4.84</v>
      </c>
      <c r="AC37" t="s">
        <v>210</v>
      </c>
      <c r="AD37">
        <v>7.0000000000000007E-2</v>
      </c>
      <c r="AE37" t="s">
        <v>371</v>
      </c>
      <c r="AH37">
        <v>5.97</v>
      </c>
      <c r="AI37">
        <v>3</v>
      </c>
      <c r="AT37" t="s">
        <v>203</v>
      </c>
      <c r="AV37" t="s">
        <v>372</v>
      </c>
      <c r="BA37">
        <v>5.97</v>
      </c>
    </row>
    <row r="38" spans="1:53" x14ac:dyDescent="0.3">
      <c r="A38" t="s">
        <v>368</v>
      </c>
      <c r="C38" t="s">
        <v>1231</v>
      </c>
      <c r="E38">
        <v>100000000</v>
      </c>
      <c r="H38">
        <v>1</v>
      </c>
      <c r="I38" t="s">
        <v>369</v>
      </c>
      <c r="J38">
        <v>9.2902999999999999E-2</v>
      </c>
      <c r="K38" t="s">
        <v>57</v>
      </c>
      <c r="L38" t="s">
        <v>58</v>
      </c>
      <c r="O38">
        <v>0</v>
      </c>
      <c r="T38">
        <v>25</v>
      </c>
      <c r="V38">
        <v>50</v>
      </c>
      <c r="W38" t="s">
        <v>370</v>
      </c>
      <c r="X38" t="s">
        <v>280</v>
      </c>
      <c r="AB38">
        <v>4.71</v>
      </c>
      <c r="AC38" t="s">
        <v>210</v>
      </c>
      <c r="AD38">
        <v>0.11</v>
      </c>
      <c r="AE38" t="s">
        <v>371</v>
      </c>
      <c r="AH38">
        <v>5.44</v>
      </c>
      <c r="AI38">
        <v>3</v>
      </c>
      <c r="AT38" t="s">
        <v>203</v>
      </c>
      <c r="AV38" t="s">
        <v>372</v>
      </c>
      <c r="BA38">
        <v>5.44</v>
      </c>
    </row>
    <row r="39" spans="1:53" x14ac:dyDescent="0.3">
      <c r="A39" t="s">
        <v>368</v>
      </c>
      <c r="C39" t="s">
        <v>1231</v>
      </c>
      <c r="E39">
        <v>100000000</v>
      </c>
      <c r="H39">
        <v>1</v>
      </c>
      <c r="I39" t="s">
        <v>369</v>
      </c>
      <c r="J39">
        <v>9.2902999999999999E-2</v>
      </c>
      <c r="K39" t="s">
        <v>57</v>
      </c>
      <c r="L39" t="s">
        <v>58</v>
      </c>
      <c r="O39">
        <v>0</v>
      </c>
      <c r="T39">
        <v>25</v>
      </c>
      <c r="V39">
        <v>50</v>
      </c>
      <c r="W39" t="s">
        <v>370</v>
      </c>
      <c r="X39" t="s">
        <v>280</v>
      </c>
      <c r="AB39">
        <v>3.81</v>
      </c>
      <c r="AC39" t="s">
        <v>210</v>
      </c>
      <c r="AD39">
        <v>0.83</v>
      </c>
      <c r="AE39" t="s">
        <v>371</v>
      </c>
      <c r="AH39">
        <v>5.99</v>
      </c>
      <c r="AI39">
        <v>3</v>
      </c>
      <c r="AT39" t="s">
        <v>203</v>
      </c>
      <c r="AV39" t="s">
        <v>372</v>
      </c>
      <c r="BA39">
        <v>5.99</v>
      </c>
    </row>
    <row r="40" spans="1:53" x14ac:dyDescent="0.3">
      <c r="A40" t="s">
        <v>368</v>
      </c>
      <c r="C40" t="s">
        <v>1231</v>
      </c>
      <c r="E40">
        <v>100000000</v>
      </c>
      <c r="H40">
        <v>1</v>
      </c>
      <c r="I40" t="s">
        <v>369</v>
      </c>
      <c r="J40">
        <v>9.2902999999999999E-2</v>
      </c>
      <c r="K40" t="s">
        <v>57</v>
      </c>
      <c r="L40" t="s">
        <v>58</v>
      </c>
      <c r="O40">
        <v>0</v>
      </c>
      <c r="T40">
        <v>25</v>
      </c>
      <c r="V40">
        <v>50</v>
      </c>
      <c r="W40" t="s">
        <v>373</v>
      </c>
      <c r="X40" t="s">
        <v>280</v>
      </c>
      <c r="AB40">
        <v>5.61</v>
      </c>
      <c r="AC40" t="s">
        <v>210</v>
      </c>
      <c r="AD40">
        <v>0.06</v>
      </c>
      <c r="AE40" t="s">
        <v>371</v>
      </c>
      <c r="AH40">
        <v>6.1</v>
      </c>
      <c r="AI40">
        <v>3</v>
      </c>
      <c r="AT40" t="s">
        <v>360</v>
      </c>
      <c r="AV40" t="s">
        <v>372</v>
      </c>
      <c r="BA40">
        <v>6.1</v>
      </c>
    </row>
    <row r="41" spans="1:53" x14ac:dyDescent="0.3">
      <c r="A41" t="s">
        <v>368</v>
      </c>
      <c r="C41" t="s">
        <v>1231</v>
      </c>
      <c r="E41">
        <v>100000000</v>
      </c>
      <c r="H41">
        <v>1</v>
      </c>
      <c r="I41" t="s">
        <v>369</v>
      </c>
      <c r="J41">
        <v>9.2902999999999999E-2</v>
      </c>
      <c r="K41" t="s">
        <v>57</v>
      </c>
      <c r="L41" t="s">
        <v>58</v>
      </c>
      <c r="O41">
        <v>0</v>
      </c>
      <c r="T41">
        <v>25</v>
      </c>
      <c r="V41">
        <v>50</v>
      </c>
      <c r="W41" t="s">
        <v>373</v>
      </c>
      <c r="X41" t="s">
        <v>280</v>
      </c>
      <c r="AB41">
        <v>5.04</v>
      </c>
      <c r="AC41" t="s">
        <v>210</v>
      </c>
      <c r="AD41">
        <v>7.0000000000000007E-2</v>
      </c>
      <c r="AE41" t="s">
        <v>371</v>
      </c>
      <c r="AH41">
        <v>6.05</v>
      </c>
      <c r="AI41">
        <v>3</v>
      </c>
      <c r="AT41" t="s">
        <v>360</v>
      </c>
      <c r="AV41" t="s">
        <v>372</v>
      </c>
      <c r="BA41">
        <v>6.05</v>
      </c>
    </row>
    <row r="42" spans="1:53" x14ac:dyDescent="0.3">
      <c r="A42" t="s">
        <v>368</v>
      </c>
      <c r="C42" t="s">
        <v>1231</v>
      </c>
      <c r="E42">
        <v>100000000</v>
      </c>
      <c r="H42">
        <v>1</v>
      </c>
      <c r="I42" t="s">
        <v>369</v>
      </c>
      <c r="J42">
        <v>9.2902999999999999E-2</v>
      </c>
      <c r="K42" t="s">
        <v>57</v>
      </c>
      <c r="L42" t="s">
        <v>58</v>
      </c>
      <c r="O42">
        <v>0</v>
      </c>
      <c r="T42">
        <v>25</v>
      </c>
      <c r="V42">
        <v>50</v>
      </c>
      <c r="W42" t="s">
        <v>373</v>
      </c>
      <c r="X42" t="s">
        <v>280</v>
      </c>
      <c r="AB42">
        <v>5.04</v>
      </c>
      <c r="AC42" t="s">
        <v>210</v>
      </c>
      <c r="AD42">
        <v>0.2</v>
      </c>
      <c r="AE42" t="s">
        <v>371</v>
      </c>
      <c r="AH42">
        <v>5.66</v>
      </c>
      <c r="AI42">
        <v>3</v>
      </c>
      <c r="AT42" t="s">
        <v>360</v>
      </c>
      <c r="AV42" t="s">
        <v>372</v>
      </c>
      <c r="BA42">
        <v>5.66</v>
      </c>
    </row>
    <row r="43" spans="1:53" x14ac:dyDescent="0.3">
      <c r="A43" t="s">
        <v>368</v>
      </c>
      <c r="C43" t="s">
        <v>1231</v>
      </c>
      <c r="E43">
        <v>100000000</v>
      </c>
      <c r="H43">
        <v>1</v>
      </c>
      <c r="I43" t="s">
        <v>369</v>
      </c>
      <c r="J43">
        <v>9.2902999999999999E-2</v>
      </c>
      <c r="K43" t="s">
        <v>57</v>
      </c>
      <c r="L43" t="s">
        <v>58</v>
      </c>
      <c r="O43">
        <v>0</v>
      </c>
      <c r="T43">
        <v>25</v>
      </c>
      <c r="V43">
        <v>50</v>
      </c>
      <c r="W43" t="s">
        <v>374</v>
      </c>
      <c r="X43" t="s">
        <v>280</v>
      </c>
      <c r="AB43">
        <v>5.31</v>
      </c>
      <c r="AC43" t="s">
        <v>210</v>
      </c>
      <c r="AD43">
        <v>5.53</v>
      </c>
      <c r="AE43" t="s">
        <v>371</v>
      </c>
      <c r="AH43">
        <v>6.12</v>
      </c>
      <c r="AI43">
        <v>3</v>
      </c>
      <c r="AV43" t="s">
        <v>372</v>
      </c>
      <c r="BA43">
        <v>6.12</v>
      </c>
    </row>
    <row r="44" spans="1:53" x14ac:dyDescent="0.3">
      <c r="A44" t="s">
        <v>368</v>
      </c>
      <c r="C44" t="s">
        <v>1231</v>
      </c>
      <c r="E44">
        <v>100000000</v>
      </c>
      <c r="H44">
        <v>1</v>
      </c>
      <c r="I44" t="s">
        <v>369</v>
      </c>
      <c r="J44">
        <v>9.2902999999999999E-2</v>
      </c>
      <c r="K44" t="s">
        <v>57</v>
      </c>
      <c r="L44" t="s">
        <v>58</v>
      </c>
      <c r="O44">
        <v>0</v>
      </c>
      <c r="T44">
        <v>25</v>
      </c>
      <c r="V44">
        <v>50</v>
      </c>
      <c r="W44" t="s">
        <v>374</v>
      </c>
      <c r="X44" t="s">
        <v>280</v>
      </c>
      <c r="AB44">
        <v>5.19</v>
      </c>
      <c r="AC44" t="s">
        <v>210</v>
      </c>
      <c r="AD44">
        <v>5.44</v>
      </c>
      <c r="AE44" t="s">
        <v>371</v>
      </c>
      <c r="AH44">
        <v>5.99</v>
      </c>
      <c r="AI44">
        <v>3</v>
      </c>
      <c r="AV44" t="s">
        <v>372</v>
      </c>
      <c r="BA44">
        <v>5.99</v>
      </c>
    </row>
    <row r="45" spans="1:53" x14ac:dyDescent="0.3">
      <c r="A45" t="s">
        <v>368</v>
      </c>
      <c r="C45" t="s">
        <v>1231</v>
      </c>
      <c r="E45">
        <v>100000000</v>
      </c>
      <c r="H45">
        <v>1</v>
      </c>
      <c r="I45" t="s">
        <v>369</v>
      </c>
      <c r="J45">
        <v>9.2902999999999999E-2</v>
      </c>
      <c r="K45" t="s">
        <v>57</v>
      </c>
      <c r="L45" t="s">
        <v>58</v>
      </c>
      <c r="O45">
        <v>0</v>
      </c>
      <c r="T45">
        <v>25</v>
      </c>
      <c r="V45">
        <v>50</v>
      </c>
      <c r="W45" t="s">
        <v>374</v>
      </c>
      <c r="X45" t="s">
        <v>280</v>
      </c>
      <c r="AB45">
        <v>5.54</v>
      </c>
      <c r="AC45" t="s">
        <v>210</v>
      </c>
      <c r="AD45">
        <v>5.66</v>
      </c>
      <c r="AE45" t="s">
        <v>371</v>
      </c>
      <c r="AH45">
        <v>6.12</v>
      </c>
      <c r="AI45">
        <v>3</v>
      </c>
      <c r="AV45" t="s">
        <v>372</v>
      </c>
      <c r="BA45">
        <v>6.12</v>
      </c>
    </row>
    <row r="46" spans="1:53" x14ac:dyDescent="0.3">
      <c r="A46" t="s">
        <v>1248</v>
      </c>
      <c r="C46" t="s">
        <v>1231</v>
      </c>
      <c r="D46" t="s">
        <v>81</v>
      </c>
      <c r="E46">
        <v>100000000</v>
      </c>
      <c r="H46">
        <v>9.6199999999999992</v>
      </c>
      <c r="I46" t="s">
        <v>56</v>
      </c>
      <c r="J46">
        <v>9.6199999999999996E-4</v>
      </c>
      <c r="K46" t="s">
        <v>57</v>
      </c>
      <c r="L46" t="s">
        <v>112</v>
      </c>
      <c r="O46">
        <v>66.5</v>
      </c>
      <c r="P46" t="s">
        <v>59</v>
      </c>
      <c r="T46">
        <v>22.5</v>
      </c>
      <c r="V46">
        <v>50</v>
      </c>
      <c r="W46" t="s">
        <v>217</v>
      </c>
      <c r="X46" t="s">
        <v>114</v>
      </c>
      <c r="Y46">
        <v>60</v>
      </c>
      <c r="AB46">
        <v>0.59</v>
      </c>
      <c r="AC46" t="s">
        <v>85</v>
      </c>
      <c r="AD46" t="s">
        <v>227</v>
      </c>
      <c r="AE46" t="s">
        <v>138</v>
      </c>
      <c r="AI46">
        <v>5</v>
      </c>
      <c r="AK46">
        <v>2.93</v>
      </c>
      <c r="AL46" t="s">
        <v>82</v>
      </c>
      <c r="AM46">
        <v>2.93</v>
      </c>
      <c r="AN46" t="s">
        <v>82</v>
      </c>
      <c r="AT46" t="s">
        <v>221</v>
      </c>
      <c r="AU46">
        <v>3.0457380457380459</v>
      </c>
      <c r="AV46" t="s">
        <v>115</v>
      </c>
    </row>
    <row r="47" spans="1:53" x14ac:dyDescent="0.3">
      <c r="A47" t="s">
        <v>1248</v>
      </c>
      <c r="C47" t="s">
        <v>1231</v>
      </c>
      <c r="D47" t="s">
        <v>81</v>
      </c>
      <c r="E47">
        <v>100000000</v>
      </c>
      <c r="H47">
        <v>9.6199999999999992</v>
      </c>
      <c r="I47" t="s">
        <v>56</v>
      </c>
      <c r="J47">
        <v>9.6199999999999996E-4</v>
      </c>
      <c r="K47" t="s">
        <v>57</v>
      </c>
      <c r="L47" t="s">
        <v>112</v>
      </c>
      <c r="O47">
        <v>66.5</v>
      </c>
      <c r="P47" t="s">
        <v>59</v>
      </c>
      <c r="T47">
        <v>22.5</v>
      </c>
      <c r="V47">
        <v>50</v>
      </c>
      <c r="W47" t="s">
        <v>217</v>
      </c>
      <c r="X47" t="s">
        <v>114</v>
      </c>
      <c r="Y47">
        <v>120</v>
      </c>
      <c r="AB47">
        <v>1.1299999999999899</v>
      </c>
      <c r="AC47" t="s">
        <v>85</v>
      </c>
      <c r="AD47" t="s">
        <v>248</v>
      </c>
      <c r="AE47" t="s">
        <v>138</v>
      </c>
      <c r="AI47">
        <v>5</v>
      </c>
      <c r="AK47">
        <v>6.46</v>
      </c>
      <c r="AL47" t="s">
        <v>82</v>
      </c>
      <c r="AM47">
        <v>6.46</v>
      </c>
      <c r="AN47" t="s">
        <v>82</v>
      </c>
      <c r="AT47" t="s">
        <v>221</v>
      </c>
      <c r="AU47">
        <v>6.7151767151767157</v>
      </c>
      <c r="AV47" t="s">
        <v>115</v>
      </c>
    </row>
    <row r="48" spans="1:53" x14ac:dyDescent="0.3">
      <c r="A48" t="s">
        <v>1249</v>
      </c>
      <c r="C48" t="s">
        <v>1231</v>
      </c>
      <c r="D48" t="s">
        <v>81</v>
      </c>
      <c r="E48">
        <v>100000000</v>
      </c>
      <c r="H48">
        <v>14.25</v>
      </c>
      <c r="I48" t="s">
        <v>56</v>
      </c>
      <c r="J48">
        <v>1.4250000000000001E-3</v>
      </c>
      <c r="K48" t="s">
        <v>57</v>
      </c>
      <c r="L48" t="s">
        <v>112</v>
      </c>
      <c r="O48">
        <v>66.5</v>
      </c>
      <c r="P48" t="s">
        <v>59</v>
      </c>
      <c r="T48">
        <v>22.5</v>
      </c>
      <c r="V48">
        <v>40</v>
      </c>
      <c r="W48" t="s">
        <v>460</v>
      </c>
      <c r="X48" t="s">
        <v>114</v>
      </c>
      <c r="Y48">
        <v>30</v>
      </c>
      <c r="AB48">
        <v>7.4</v>
      </c>
      <c r="AC48" t="s">
        <v>85</v>
      </c>
      <c r="AD48" t="s">
        <v>556</v>
      </c>
      <c r="AE48" t="s">
        <v>138</v>
      </c>
      <c r="AI48">
        <v>5</v>
      </c>
      <c r="AJ48" t="s">
        <v>201</v>
      </c>
      <c r="AK48">
        <v>3.35</v>
      </c>
      <c r="AL48" t="s">
        <v>409</v>
      </c>
      <c r="AO48">
        <v>0</v>
      </c>
      <c r="AT48" t="s">
        <v>73</v>
      </c>
      <c r="AU48">
        <v>2.3508771929824559</v>
      </c>
      <c r="AV48" t="s">
        <v>1250</v>
      </c>
    </row>
    <row r="49" spans="1:53" x14ac:dyDescent="0.3">
      <c r="A49" t="s">
        <v>1249</v>
      </c>
      <c r="C49" t="s">
        <v>1231</v>
      </c>
      <c r="D49" t="s">
        <v>81</v>
      </c>
      <c r="E49">
        <v>100000000</v>
      </c>
      <c r="H49">
        <v>14.25</v>
      </c>
      <c r="I49" t="s">
        <v>56</v>
      </c>
      <c r="J49">
        <v>1.4250000000000001E-3</v>
      </c>
      <c r="K49" t="s">
        <v>57</v>
      </c>
      <c r="L49" t="s">
        <v>112</v>
      </c>
      <c r="O49">
        <v>66.5</v>
      </c>
      <c r="P49" t="s">
        <v>59</v>
      </c>
      <c r="T49">
        <v>22.5</v>
      </c>
      <c r="V49">
        <v>40</v>
      </c>
      <c r="W49" t="s">
        <v>463</v>
      </c>
      <c r="X49" t="s">
        <v>114</v>
      </c>
      <c r="Y49">
        <v>30</v>
      </c>
      <c r="AB49">
        <v>7.4</v>
      </c>
      <c r="AC49" t="s">
        <v>85</v>
      </c>
      <c r="AD49" t="s">
        <v>654</v>
      </c>
      <c r="AE49" t="s">
        <v>138</v>
      </c>
      <c r="AI49">
        <v>5</v>
      </c>
      <c r="AJ49" t="s">
        <v>201</v>
      </c>
      <c r="AK49">
        <v>0.69</v>
      </c>
      <c r="AL49" t="s">
        <v>409</v>
      </c>
      <c r="AO49">
        <v>0</v>
      </c>
      <c r="AT49" t="s">
        <v>360</v>
      </c>
      <c r="AU49">
        <v>0.48421052631578942</v>
      </c>
      <c r="AV49" t="s">
        <v>1250</v>
      </c>
    </row>
    <row r="50" spans="1:53" x14ac:dyDescent="0.3">
      <c r="A50" t="s">
        <v>1249</v>
      </c>
      <c r="C50" t="s">
        <v>1231</v>
      </c>
      <c r="D50" t="s">
        <v>81</v>
      </c>
      <c r="E50">
        <v>100000000</v>
      </c>
      <c r="H50">
        <v>14.25</v>
      </c>
      <c r="I50" t="s">
        <v>56</v>
      </c>
      <c r="J50">
        <v>1.4250000000000001E-3</v>
      </c>
      <c r="K50" t="s">
        <v>57</v>
      </c>
      <c r="L50" t="s">
        <v>112</v>
      </c>
      <c r="O50">
        <v>66.5</v>
      </c>
      <c r="P50" t="s">
        <v>59</v>
      </c>
      <c r="T50">
        <v>22.5</v>
      </c>
      <c r="V50">
        <v>40</v>
      </c>
      <c r="W50" t="s">
        <v>464</v>
      </c>
      <c r="X50" t="s">
        <v>114</v>
      </c>
      <c r="Y50">
        <v>30</v>
      </c>
      <c r="AA50" t="s">
        <v>94</v>
      </c>
      <c r="AB50">
        <v>7.59</v>
      </c>
      <c r="AC50" t="s">
        <v>85</v>
      </c>
      <c r="AD50" t="s">
        <v>232</v>
      </c>
      <c r="AE50" t="s">
        <v>138</v>
      </c>
      <c r="AI50">
        <v>5</v>
      </c>
      <c r="AJ50" t="s">
        <v>201</v>
      </c>
      <c r="AK50">
        <v>1.18</v>
      </c>
      <c r="AL50" t="s">
        <v>409</v>
      </c>
      <c r="AO50">
        <v>0</v>
      </c>
      <c r="AT50" t="s">
        <v>65</v>
      </c>
      <c r="AU50">
        <v>0.82807017543859651</v>
      </c>
      <c r="AV50" t="s">
        <v>1250</v>
      </c>
      <c r="AZ50">
        <v>0</v>
      </c>
      <c r="BA50">
        <v>7.59</v>
      </c>
    </row>
    <row r="51" spans="1:53" x14ac:dyDescent="0.3">
      <c r="A51" t="s">
        <v>1249</v>
      </c>
      <c r="C51" t="s">
        <v>1231</v>
      </c>
      <c r="D51" t="s">
        <v>81</v>
      </c>
      <c r="E51">
        <v>100000000</v>
      </c>
      <c r="H51">
        <v>14.25</v>
      </c>
      <c r="I51" t="s">
        <v>56</v>
      </c>
      <c r="J51">
        <v>1.4250000000000001E-3</v>
      </c>
      <c r="K51" t="s">
        <v>57</v>
      </c>
      <c r="L51" t="s">
        <v>112</v>
      </c>
      <c r="O51">
        <v>66.5</v>
      </c>
      <c r="P51" t="s">
        <v>59</v>
      </c>
      <c r="T51">
        <v>22.5</v>
      </c>
      <c r="V51">
        <v>40</v>
      </c>
      <c r="W51" t="s">
        <v>465</v>
      </c>
      <c r="X51" t="s">
        <v>114</v>
      </c>
      <c r="Y51">
        <v>30</v>
      </c>
      <c r="AB51">
        <v>4.82</v>
      </c>
      <c r="AC51" t="s">
        <v>85</v>
      </c>
      <c r="AD51" t="s">
        <v>489</v>
      </c>
      <c r="AE51" t="s">
        <v>138</v>
      </c>
      <c r="AI51">
        <v>5</v>
      </c>
      <c r="AJ51" t="s">
        <v>201</v>
      </c>
      <c r="AK51">
        <v>0.82</v>
      </c>
      <c r="AL51" t="s">
        <v>409</v>
      </c>
      <c r="AO51">
        <v>0</v>
      </c>
      <c r="AT51" t="s">
        <v>79</v>
      </c>
      <c r="AU51">
        <v>0.57543859649122808</v>
      </c>
      <c r="AV51" t="s">
        <v>1250</v>
      </c>
    </row>
    <row r="52" spans="1:53" x14ac:dyDescent="0.3">
      <c r="A52" t="s">
        <v>1249</v>
      </c>
      <c r="C52" t="s">
        <v>1231</v>
      </c>
      <c r="D52" t="s">
        <v>81</v>
      </c>
      <c r="E52">
        <v>100000000</v>
      </c>
      <c r="H52">
        <v>14.25</v>
      </c>
      <c r="I52" t="s">
        <v>56</v>
      </c>
      <c r="J52">
        <v>1.4250000000000001E-3</v>
      </c>
      <c r="K52" t="s">
        <v>57</v>
      </c>
      <c r="L52" t="s">
        <v>112</v>
      </c>
      <c r="O52">
        <v>66.5</v>
      </c>
      <c r="P52" t="s">
        <v>59</v>
      </c>
      <c r="T52">
        <v>22.5</v>
      </c>
      <c r="V52">
        <v>40</v>
      </c>
      <c r="W52" t="s">
        <v>1251</v>
      </c>
      <c r="X52" t="s">
        <v>114</v>
      </c>
      <c r="Y52">
        <v>30</v>
      </c>
      <c r="AA52" t="s">
        <v>94</v>
      </c>
      <c r="AB52">
        <v>7.84</v>
      </c>
      <c r="AC52" t="s">
        <v>85</v>
      </c>
      <c r="AD52" t="s">
        <v>227</v>
      </c>
      <c r="AE52" t="s">
        <v>138</v>
      </c>
      <c r="AI52">
        <v>5</v>
      </c>
      <c r="AJ52" t="s">
        <v>1252</v>
      </c>
      <c r="AK52">
        <v>1</v>
      </c>
      <c r="AL52" t="s">
        <v>409</v>
      </c>
      <c r="AO52">
        <v>0</v>
      </c>
      <c r="AT52" t="s">
        <v>358</v>
      </c>
      <c r="AU52">
        <v>0.70175438596491224</v>
      </c>
      <c r="AV52" t="s">
        <v>1250</v>
      </c>
      <c r="AZ52">
        <v>0</v>
      </c>
      <c r="BA52">
        <v>7.84</v>
      </c>
    </row>
    <row r="53" spans="1:53" x14ac:dyDescent="0.3">
      <c r="A53" t="s">
        <v>1249</v>
      </c>
      <c r="C53" t="s">
        <v>1231</v>
      </c>
      <c r="D53" t="s">
        <v>81</v>
      </c>
      <c r="E53">
        <v>100000000</v>
      </c>
      <c r="H53">
        <v>14.25</v>
      </c>
      <c r="I53" t="s">
        <v>56</v>
      </c>
      <c r="J53">
        <v>1.4250000000000001E-3</v>
      </c>
      <c r="K53" t="s">
        <v>57</v>
      </c>
      <c r="L53" t="s">
        <v>112</v>
      </c>
      <c r="O53">
        <v>66.5</v>
      </c>
      <c r="P53" t="s">
        <v>59</v>
      </c>
      <c r="T53">
        <v>22.5</v>
      </c>
      <c r="V53">
        <v>40</v>
      </c>
      <c r="W53" t="s">
        <v>540</v>
      </c>
      <c r="X53" t="s">
        <v>114</v>
      </c>
      <c r="Y53">
        <v>30</v>
      </c>
      <c r="AB53">
        <v>2.77</v>
      </c>
      <c r="AC53" t="s">
        <v>85</v>
      </c>
      <c r="AD53" t="s">
        <v>501</v>
      </c>
      <c r="AE53" t="s">
        <v>138</v>
      </c>
      <c r="AI53">
        <v>5</v>
      </c>
      <c r="AJ53" t="s">
        <v>201</v>
      </c>
      <c r="AK53">
        <v>1.1499999999999899</v>
      </c>
      <c r="AL53" t="s">
        <v>409</v>
      </c>
      <c r="AO53">
        <v>0</v>
      </c>
      <c r="AT53" t="s">
        <v>212</v>
      </c>
      <c r="AU53">
        <v>0.80701754385964208</v>
      </c>
      <c r="AV53" t="s">
        <v>1250</v>
      </c>
    </row>
    <row r="54" spans="1:53" x14ac:dyDescent="0.3">
      <c r="A54" t="s">
        <v>1249</v>
      </c>
      <c r="C54" t="s">
        <v>1231</v>
      </c>
      <c r="D54" t="s">
        <v>81</v>
      </c>
      <c r="E54">
        <v>100000000</v>
      </c>
      <c r="H54">
        <v>14.25</v>
      </c>
      <c r="I54" t="s">
        <v>56</v>
      </c>
      <c r="J54">
        <v>1.4250000000000001E-3</v>
      </c>
      <c r="K54" t="s">
        <v>57</v>
      </c>
      <c r="L54" t="s">
        <v>112</v>
      </c>
      <c r="O54">
        <v>66.5</v>
      </c>
      <c r="P54" t="s">
        <v>59</v>
      </c>
      <c r="T54">
        <v>22.5</v>
      </c>
      <c r="V54">
        <v>40</v>
      </c>
      <c r="W54" t="s">
        <v>147</v>
      </c>
      <c r="X54" t="s">
        <v>114</v>
      </c>
      <c r="Y54">
        <v>30</v>
      </c>
      <c r="AA54" t="s">
        <v>94</v>
      </c>
      <c r="AB54">
        <v>7.85</v>
      </c>
      <c r="AC54" t="s">
        <v>85</v>
      </c>
      <c r="AD54" t="s">
        <v>248</v>
      </c>
      <c r="AE54" t="s">
        <v>138</v>
      </c>
      <c r="AI54">
        <v>5</v>
      </c>
      <c r="AJ54" t="s">
        <v>201</v>
      </c>
      <c r="AK54">
        <v>1.3</v>
      </c>
      <c r="AL54" t="s">
        <v>409</v>
      </c>
      <c r="AO54">
        <v>0</v>
      </c>
      <c r="AT54" t="s">
        <v>150</v>
      </c>
      <c r="AU54">
        <v>0.91228070175438603</v>
      </c>
      <c r="AV54" t="s">
        <v>1250</v>
      </c>
      <c r="AZ54">
        <v>0</v>
      </c>
      <c r="BA54">
        <v>7.85</v>
      </c>
    </row>
    <row r="55" spans="1:53" x14ac:dyDescent="0.3">
      <c r="A55" t="s">
        <v>1249</v>
      </c>
      <c r="C55" t="s">
        <v>1231</v>
      </c>
      <c r="D55" t="s">
        <v>81</v>
      </c>
      <c r="E55">
        <v>100000000</v>
      </c>
      <c r="H55">
        <v>14.25</v>
      </c>
      <c r="I55" t="s">
        <v>56</v>
      </c>
      <c r="J55">
        <v>1.4250000000000001E-3</v>
      </c>
      <c r="K55" t="s">
        <v>57</v>
      </c>
      <c r="L55" t="s">
        <v>112</v>
      </c>
      <c r="O55">
        <v>66.5</v>
      </c>
      <c r="P55" t="s">
        <v>59</v>
      </c>
      <c r="T55">
        <v>22.5</v>
      </c>
      <c r="V55">
        <v>40</v>
      </c>
      <c r="W55" t="s">
        <v>460</v>
      </c>
      <c r="X55" t="s">
        <v>114</v>
      </c>
      <c r="Y55">
        <v>30</v>
      </c>
      <c r="AA55" t="s">
        <v>94</v>
      </c>
      <c r="AB55">
        <v>7.62</v>
      </c>
      <c r="AC55" t="s">
        <v>85</v>
      </c>
      <c r="AD55" t="s">
        <v>239</v>
      </c>
      <c r="AE55" t="s">
        <v>138</v>
      </c>
      <c r="AI55">
        <v>5</v>
      </c>
      <c r="AJ55" t="s">
        <v>201</v>
      </c>
      <c r="AK55">
        <v>3.35</v>
      </c>
      <c r="AL55" t="s">
        <v>409</v>
      </c>
      <c r="AO55">
        <v>0</v>
      </c>
      <c r="AT55" t="s">
        <v>73</v>
      </c>
      <c r="AU55">
        <v>2.3508771929824559</v>
      </c>
      <c r="AV55" t="s">
        <v>1250</v>
      </c>
      <c r="AZ55">
        <v>0</v>
      </c>
      <c r="BA55">
        <v>7.62</v>
      </c>
    </row>
    <row r="56" spans="1:53" x14ac:dyDescent="0.3">
      <c r="A56" t="s">
        <v>1249</v>
      </c>
      <c r="C56" t="s">
        <v>1231</v>
      </c>
      <c r="D56" t="s">
        <v>81</v>
      </c>
      <c r="E56">
        <v>100000000</v>
      </c>
      <c r="H56">
        <v>14.25</v>
      </c>
      <c r="I56" t="s">
        <v>56</v>
      </c>
      <c r="J56">
        <v>1.4250000000000001E-3</v>
      </c>
      <c r="K56" t="s">
        <v>57</v>
      </c>
      <c r="L56" t="s">
        <v>112</v>
      </c>
      <c r="O56">
        <v>66.5</v>
      </c>
      <c r="P56" t="s">
        <v>59</v>
      </c>
      <c r="T56">
        <v>22.5</v>
      </c>
      <c r="V56">
        <v>40</v>
      </c>
      <c r="W56" t="s">
        <v>463</v>
      </c>
      <c r="X56" t="s">
        <v>114</v>
      </c>
      <c r="Y56">
        <v>30</v>
      </c>
      <c r="AA56" t="s">
        <v>94</v>
      </c>
      <c r="AB56">
        <v>7.3</v>
      </c>
      <c r="AC56" t="s">
        <v>85</v>
      </c>
      <c r="AD56" t="s">
        <v>228</v>
      </c>
      <c r="AE56" t="s">
        <v>138</v>
      </c>
      <c r="AI56">
        <v>5</v>
      </c>
      <c r="AJ56" t="s">
        <v>201</v>
      </c>
      <c r="AK56">
        <v>0.69</v>
      </c>
      <c r="AL56" t="s">
        <v>409</v>
      </c>
      <c r="AO56">
        <v>0</v>
      </c>
      <c r="AT56" t="s">
        <v>360</v>
      </c>
      <c r="AU56">
        <v>0.48421052631578942</v>
      </c>
      <c r="AV56" t="s">
        <v>1250</v>
      </c>
      <c r="AZ56">
        <v>0</v>
      </c>
      <c r="BA56">
        <v>7.3</v>
      </c>
    </row>
    <row r="57" spans="1:53" x14ac:dyDescent="0.3">
      <c r="A57" t="s">
        <v>1249</v>
      </c>
      <c r="C57" t="s">
        <v>1231</v>
      </c>
      <c r="D57" t="s">
        <v>81</v>
      </c>
      <c r="E57">
        <v>100000000</v>
      </c>
      <c r="H57">
        <v>14.25</v>
      </c>
      <c r="I57" t="s">
        <v>56</v>
      </c>
      <c r="J57">
        <v>1.4250000000000001E-3</v>
      </c>
      <c r="K57" t="s">
        <v>57</v>
      </c>
      <c r="L57" t="s">
        <v>112</v>
      </c>
      <c r="O57">
        <v>66.5</v>
      </c>
      <c r="P57" t="s">
        <v>59</v>
      </c>
      <c r="T57">
        <v>22.5</v>
      </c>
      <c r="V57">
        <v>40</v>
      </c>
      <c r="W57" t="s">
        <v>464</v>
      </c>
      <c r="X57" t="s">
        <v>114</v>
      </c>
      <c r="Y57">
        <v>30</v>
      </c>
      <c r="AA57" t="s">
        <v>94</v>
      </c>
      <c r="AB57">
        <v>7.6</v>
      </c>
      <c r="AC57" t="s">
        <v>85</v>
      </c>
      <c r="AD57" t="s">
        <v>365</v>
      </c>
      <c r="AE57" t="s">
        <v>138</v>
      </c>
      <c r="AI57">
        <v>5</v>
      </c>
      <c r="AJ57" t="s">
        <v>201</v>
      </c>
      <c r="AK57">
        <v>1.18</v>
      </c>
      <c r="AL57" t="s">
        <v>409</v>
      </c>
      <c r="AO57">
        <v>0</v>
      </c>
      <c r="AT57" t="s">
        <v>65</v>
      </c>
      <c r="AU57">
        <v>0.82807017543859651</v>
      </c>
      <c r="AV57" t="s">
        <v>1250</v>
      </c>
      <c r="AZ57">
        <v>0</v>
      </c>
      <c r="BA57">
        <v>7.6</v>
      </c>
    </row>
    <row r="58" spans="1:53" x14ac:dyDescent="0.3">
      <c r="A58" t="s">
        <v>1249</v>
      </c>
      <c r="C58" t="s">
        <v>1231</v>
      </c>
      <c r="D58" t="s">
        <v>81</v>
      </c>
      <c r="E58">
        <v>100000000</v>
      </c>
      <c r="H58">
        <v>14.25</v>
      </c>
      <c r="I58" t="s">
        <v>56</v>
      </c>
      <c r="J58">
        <v>1.4250000000000001E-3</v>
      </c>
      <c r="K58" t="s">
        <v>57</v>
      </c>
      <c r="L58" t="s">
        <v>112</v>
      </c>
      <c r="O58">
        <v>66.5</v>
      </c>
      <c r="P58" t="s">
        <v>59</v>
      </c>
      <c r="T58">
        <v>22.5</v>
      </c>
      <c r="V58">
        <v>40</v>
      </c>
      <c r="W58" t="s">
        <v>465</v>
      </c>
      <c r="X58" t="s">
        <v>114</v>
      </c>
      <c r="Y58">
        <v>30</v>
      </c>
      <c r="AA58" t="s">
        <v>94</v>
      </c>
      <c r="AB58">
        <v>6.14</v>
      </c>
      <c r="AC58" t="s">
        <v>85</v>
      </c>
      <c r="AD58" t="s">
        <v>242</v>
      </c>
      <c r="AE58" t="s">
        <v>138</v>
      </c>
      <c r="AI58">
        <v>5</v>
      </c>
      <c r="AJ58" t="s">
        <v>201</v>
      </c>
      <c r="AK58">
        <v>0.82</v>
      </c>
      <c r="AL58" t="s">
        <v>409</v>
      </c>
      <c r="AO58">
        <v>0</v>
      </c>
      <c r="AT58" t="s">
        <v>79</v>
      </c>
      <c r="AU58">
        <v>0.57543859649122808</v>
      </c>
      <c r="AV58" t="s">
        <v>1250</v>
      </c>
      <c r="AZ58">
        <v>0</v>
      </c>
      <c r="BA58">
        <v>6.14</v>
      </c>
    </row>
    <row r="59" spans="1:53" x14ac:dyDescent="0.3">
      <c r="A59" t="s">
        <v>1249</v>
      </c>
      <c r="C59" t="s">
        <v>1231</v>
      </c>
      <c r="D59" t="s">
        <v>81</v>
      </c>
      <c r="E59">
        <v>100000000</v>
      </c>
      <c r="H59">
        <v>14.25</v>
      </c>
      <c r="I59" t="s">
        <v>56</v>
      </c>
      <c r="J59">
        <v>1.4250000000000001E-3</v>
      </c>
      <c r="K59" t="s">
        <v>57</v>
      </c>
      <c r="L59" t="s">
        <v>112</v>
      </c>
      <c r="O59">
        <v>66.5</v>
      </c>
      <c r="P59" t="s">
        <v>59</v>
      </c>
      <c r="T59">
        <v>22.5</v>
      </c>
      <c r="V59">
        <v>40</v>
      </c>
      <c r="W59" t="s">
        <v>1251</v>
      </c>
      <c r="X59" t="s">
        <v>114</v>
      </c>
      <c r="Y59">
        <v>30</v>
      </c>
      <c r="AA59" t="s">
        <v>94</v>
      </c>
      <c r="AB59">
        <v>7.05</v>
      </c>
      <c r="AC59" t="s">
        <v>85</v>
      </c>
      <c r="AD59" t="s">
        <v>494</v>
      </c>
      <c r="AE59" t="s">
        <v>138</v>
      </c>
      <c r="AI59">
        <v>5</v>
      </c>
      <c r="AJ59" t="s">
        <v>1252</v>
      </c>
      <c r="AK59">
        <v>1</v>
      </c>
      <c r="AL59" t="s">
        <v>409</v>
      </c>
      <c r="AO59">
        <v>0</v>
      </c>
      <c r="AT59" t="s">
        <v>358</v>
      </c>
      <c r="AU59">
        <v>0.70175438596491224</v>
      </c>
      <c r="AV59" t="s">
        <v>1250</v>
      </c>
      <c r="AZ59">
        <v>0</v>
      </c>
      <c r="BA59">
        <v>7.05</v>
      </c>
    </row>
    <row r="60" spans="1:53" x14ac:dyDescent="0.3">
      <c r="A60" t="s">
        <v>1249</v>
      </c>
      <c r="C60" t="s">
        <v>1231</v>
      </c>
      <c r="D60" t="s">
        <v>81</v>
      </c>
      <c r="E60">
        <v>100000000</v>
      </c>
      <c r="H60">
        <v>14.25</v>
      </c>
      <c r="I60" t="s">
        <v>56</v>
      </c>
      <c r="J60">
        <v>1.4250000000000001E-3</v>
      </c>
      <c r="K60" t="s">
        <v>57</v>
      </c>
      <c r="L60" t="s">
        <v>112</v>
      </c>
      <c r="O60">
        <v>66.5</v>
      </c>
      <c r="P60" t="s">
        <v>59</v>
      </c>
      <c r="T60">
        <v>22.5</v>
      </c>
      <c r="V60">
        <v>40</v>
      </c>
      <c r="W60" t="s">
        <v>540</v>
      </c>
      <c r="X60" t="s">
        <v>114</v>
      </c>
      <c r="Y60">
        <v>30</v>
      </c>
      <c r="AB60">
        <v>1.28</v>
      </c>
      <c r="AC60" t="s">
        <v>85</v>
      </c>
      <c r="AD60" t="s">
        <v>508</v>
      </c>
      <c r="AE60" t="s">
        <v>138</v>
      </c>
      <c r="AI60">
        <v>5</v>
      </c>
      <c r="AJ60" t="s">
        <v>201</v>
      </c>
      <c r="AK60">
        <v>1.1499999999999899</v>
      </c>
      <c r="AL60" t="s">
        <v>409</v>
      </c>
      <c r="AO60">
        <v>0</v>
      </c>
      <c r="AT60" t="s">
        <v>212</v>
      </c>
      <c r="AU60">
        <v>0.80701754385964208</v>
      </c>
      <c r="AV60" t="s">
        <v>1250</v>
      </c>
    </row>
    <row r="61" spans="1:53" x14ac:dyDescent="0.3">
      <c r="A61" t="s">
        <v>1249</v>
      </c>
      <c r="C61" t="s">
        <v>1231</v>
      </c>
      <c r="D61" t="s">
        <v>81</v>
      </c>
      <c r="E61">
        <v>100000000</v>
      </c>
      <c r="H61">
        <v>14.25</v>
      </c>
      <c r="I61" t="s">
        <v>56</v>
      </c>
      <c r="J61">
        <v>1.4250000000000001E-3</v>
      </c>
      <c r="K61" t="s">
        <v>57</v>
      </c>
      <c r="L61" t="s">
        <v>112</v>
      </c>
      <c r="O61">
        <v>66.5</v>
      </c>
      <c r="P61" t="s">
        <v>59</v>
      </c>
      <c r="T61">
        <v>22.5</v>
      </c>
      <c r="V61">
        <v>40</v>
      </c>
      <c r="W61" t="s">
        <v>147</v>
      </c>
      <c r="X61" t="s">
        <v>114</v>
      </c>
      <c r="Y61">
        <v>30</v>
      </c>
      <c r="AA61" t="s">
        <v>94</v>
      </c>
      <c r="AB61">
        <v>7.51</v>
      </c>
      <c r="AC61" t="s">
        <v>85</v>
      </c>
      <c r="AD61" t="s">
        <v>553</v>
      </c>
      <c r="AE61" t="s">
        <v>138</v>
      </c>
      <c r="AI61">
        <v>5</v>
      </c>
      <c r="AJ61" t="s">
        <v>201</v>
      </c>
      <c r="AK61">
        <v>1.3</v>
      </c>
      <c r="AL61" t="s">
        <v>409</v>
      </c>
      <c r="AO61">
        <v>0</v>
      </c>
      <c r="AT61" t="s">
        <v>150</v>
      </c>
      <c r="AU61">
        <v>0.91228070175438603</v>
      </c>
      <c r="AV61" t="s">
        <v>1250</v>
      </c>
      <c r="AZ61">
        <v>0</v>
      </c>
      <c r="BA61">
        <v>7.51</v>
      </c>
    </row>
    <row r="62" spans="1:53" x14ac:dyDescent="0.3">
      <c r="A62" t="s">
        <v>1253</v>
      </c>
      <c r="C62" t="s">
        <v>1231</v>
      </c>
      <c r="D62" t="s">
        <v>81</v>
      </c>
      <c r="E62">
        <v>100000000</v>
      </c>
      <c r="H62">
        <v>14.25</v>
      </c>
      <c r="I62" t="s">
        <v>56</v>
      </c>
      <c r="J62">
        <v>1.4250000000000001E-3</v>
      </c>
      <c r="K62" t="s">
        <v>57</v>
      </c>
      <c r="L62" t="s">
        <v>112</v>
      </c>
      <c r="O62">
        <v>66.5</v>
      </c>
      <c r="P62" t="s">
        <v>59</v>
      </c>
      <c r="S62">
        <v>1</v>
      </c>
      <c r="T62">
        <v>22</v>
      </c>
      <c r="V62">
        <v>50</v>
      </c>
      <c r="W62" t="s">
        <v>443</v>
      </c>
      <c r="X62" t="s">
        <v>114</v>
      </c>
      <c r="Y62">
        <v>30</v>
      </c>
      <c r="AA62" t="s">
        <v>94</v>
      </c>
      <c r="AB62">
        <v>7.67</v>
      </c>
      <c r="AC62" t="s">
        <v>85</v>
      </c>
      <c r="AD62" t="s">
        <v>236</v>
      </c>
      <c r="AE62" t="s">
        <v>138</v>
      </c>
      <c r="AI62">
        <v>5</v>
      </c>
      <c r="AJ62" t="s">
        <v>201</v>
      </c>
      <c r="AK62">
        <v>0.11</v>
      </c>
      <c r="AL62" t="s">
        <v>409</v>
      </c>
      <c r="AO62">
        <v>0</v>
      </c>
      <c r="AT62" t="s">
        <v>65</v>
      </c>
      <c r="AU62">
        <v>7.7192982456140355E-2</v>
      </c>
      <c r="AV62" t="s">
        <v>1250</v>
      </c>
      <c r="AZ62">
        <v>0</v>
      </c>
      <c r="BA62">
        <v>7.67</v>
      </c>
    </row>
    <row r="63" spans="1:53" x14ac:dyDescent="0.3">
      <c r="A63" t="s">
        <v>1253</v>
      </c>
      <c r="C63" t="s">
        <v>1231</v>
      </c>
      <c r="D63" t="s">
        <v>81</v>
      </c>
      <c r="E63">
        <v>100000000</v>
      </c>
      <c r="H63">
        <v>14.25</v>
      </c>
      <c r="I63" t="s">
        <v>56</v>
      </c>
      <c r="J63">
        <v>1.4250000000000001E-3</v>
      </c>
      <c r="K63" t="s">
        <v>57</v>
      </c>
      <c r="L63" t="s">
        <v>112</v>
      </c>
      <c r="O63">
        <v>66.5</v>
      </c>
      <c r="P63" t="s">
        <v>59</v>
      </c>
      <c r="S63">
        <v>1</v>
      </c>
      <c r="T63">
        <v>22</v>
      </c>
      <c r="V63">
        <v>50</v>
      </c>
      <c r="W63" t="s">
        <v>147</v>
      </c>
      <c r="X63" t="s">
        <v>114</v>
      </c>
      <c r="Y63">
        <v>30</v>
      </c>
      <c r="AA63" t="s">
        <v>94</v>
      </c>
      <c r="AB63">
        <v>7.74</v>
      </c>
      <c r="AC63" t="s">
        <v>85</v>
      </c>
      <c r="AD63" t="s">
        <v>231</v>
      </c>
      <c r="AE63" t="s">
        <v>138</v>
      </c>
      <c r="AI63">
        <v>5</v>
      </c>
      <c r="AJ63" t="s">
        <v>201</v>
      </c>
      <c r="AK63">
        <v>0.23</v>
      </c>
      <c r="AL63" t="s">
        <v>409</v>
      </c>
      <c r="AO63">
        <v>0</v>
      </c>
      <c r="AT63" t="s">
        <v>150</v>
      </c>
      <c r="AU63">
        <v>0.1614035087719298</v>
      </c>
      <c r="AV63" t="s">
        <v>1250</v>
      </c>
      <c r="AZ63">
        <v>0</v>
      </c>
      <c r="BA63">
        <v>7.74</v>
      </c>
    </row>
    <row r="64" spans="1:53" x14ac:dyDescent="0.3">
      <c r="A64" t="s">
        <v>1253</v>
      </c>
      <c r="C64" t="s">
        <v>1231</v>
      </c>
      <c r="D64" t="s">
        <v>81</v>
      </c>
      <c r="E64">
        <v>100000000</v>
      </c>
      <c r="H64">
        <v>14.25</v>
      </c>
      <c r="I64" t="s">
        <v>56</v>
      </c>
      <c r="J64">
        <v>1.4250000000000001E-3</v>
      </c>
      <c r="K64" t="s">
        <v>57</v>
      </c>
      <c r="L64" t="s">
        <v>112</v>
      </c>
      <c r="O64">
        <v>66.5</v>
      </c>
      <c r="P64" t="s">
        <v>59</v>
      </c>
      <c r="S64">
        <v>1</v>
      </c>
      <c r="T64">
        <v>22</v>
      </c>
      <c r="V64">
        <v>50</v>
      </c>
      <c r="W64" t="s">
        <v>719</v>
      </c>
      <c r="X64" t="s">
        <v>114</v>
      </c>
      <c r="Y64">
        <v>30</v>
      </c>
      <c r="AA64" t="s">
        <v>94</v>
      </c>
      <c r="AB64">
        <v>7.8</v>
      </c>
      <c r="AC64" t="s">
        <v>85</v>
      </c>
      <c r="AD64" t="s">
        <v>236</v>
      </c>
      <c r="AE64" t="s">
        <v>138</v>
      </c>
      <c r="AI64">
        <v>5</v>
      </c>
      <c r="AJ64" t="s">
        <v>201</v>
      </c>
      <c r="AK64">
        <v>0.23</v>
      </c>
      <c r="AL64" t="s">
        <v>409</v>
      </c>
      <c r="AO64">
        <v>0</v>
      </c>
      <c r="AU64">
        <v>0.1614035087719298</v>
      </c>
      <c r="AV64" t="s">
        <v>1250</v>
      </c>
      <c r="AZ64">
        <v>0</v>
      </c>
      <c r="BA64">
        <v>7.8</v>
      </c>
    </row>
    <row r="65" spans="1:53" x14ac:dyDescent="0.3">
      <c r="A65" t="s">
        <v>1253</v>
      </c>
      <c r="C65" t="s">
        <v>1231</v>
      </c>
      <c r="D65" t="s">
        <v>81</v>
      </c>
      <c r="E65">
        <v>100000000</v>
      </c>
      <c r="H65">
        <v>14.25</v>
      </c>
      <c r="I65" t="s">
        <v>56</v>
      </c>
      <c r="J65">
        <v>1.4250000000000001E-3</v>
      </c>
      <c r="K65" t="s">
        <v>57</v>
      </c>
      <c r="L65" t="s">
        <v>112</v>
      </c>
      <c r="O65">
        <v>66.5</v>
      </c>
      <c r="P65" t="s">
        <v>59</v>
      </c>
      <c r="S65">
        <v>1</v>
      </c>
      <c r="T65">
        <v>22</v>
      </c>
      <c r="V65">
        <v>50</v>
      </c>
      <c r="W65" t="s">
        <v>1254</v>
      </c>
      <c r="X65" t="s">
        <v>114</v>
      </c>
      <c r="Y65">
        <v>30</v>
      </c>
      <c r="AA65" t="s">
        <v>94</v>
      </c>
      <c r="AB65">
        <v>7.68</v>
      </c>
      <c r="AC65" t="s">
        <v>85</v>
      </c>
      <c r="AD65" t="s">
        <v>365</v>
      </c>
      <c r="AE65" t="s">
        <v>138</v>
      </c>
      <c r="AI65">
        <v>5</v>
      </c>
      <c r="AJ65" t="s">
        <v>201</v>
      </c>
      <c r="AK65">
        <v>0.56000000000000005</v>
      </c>
      <c r="AL65" t="s">
        <v>409</v>
      </c>
      <c r="AO65">
        <v>0</v>
      </c>
      <c r="AT65" t="s">
        <v>203</v>
      </c>
      <c r="AU65">
        <v>0.39298245614035088</v>
      </c>
      <c r="AV65" t="s">
        <v>1250</v>
      </c>
      <c r="AZ65">
        <v>0</v>
      </c>
      <c r="BA65">
        <v>7.68</v>
      </c>
    </row>
    <row r="66" spans="1:53" x14ac:dyDescent="0.3">
      <c r="A66" t="s">
        <v>1253</v>
      </c>
      <c r="C66" t="s">
        <v>1231</v>
      </c>
      <c r="D66" t="s">
        <v>81</v>
      </c>
      <c r="E66">
        <v>100000000</v>
      </c>
      <c r="H66">
        <v>14.25</v>
      </c>
      <c r="I66" t="s">
        <v>56</v>
      </c>
      <c r="J66">
        <v>1.4250000000000001E-3</v>
      </c>
      <c r="K66" t="s">
        <v>57</v>
      </c>
      <c r="L66" t="s">
        <v>112</v>
      </c>
      <c r="O66">
        <v>66.5</v>
      </c>
      <c r="P66" t="s">
        <v>59</v>
      </c>
      <c r="S66">
        <v>1</v>
      </c>
      <c r="T66">
        <v>22</v>
      </c>
      <c r="V66">
        <v>50</v>
      </c>
      <c r="W66" t="s">
        <v>1255</v>
      </c>
      <c r="X66" t="s">
        <v>114</v>
      </c>
      <c r="Y66">
        <v>30</v>
      </c>
      <c r="AA66" t="s">
        <v>94</v>
      </c>
      <c r="AB66">
        <v>7.59</v>
      </c>
      <c r="AC66" t="s">
        <v>85</v>
      </c>
      <c r="AD66" t="s">
        <v>237</v>
      </c>
      <c r="AE66" t="s">
        <v>138</v>
      </c>
      <c r="AI66">
        <v>5</v>
      </c>
      <c r="AJ66" t="s">
        <v>201</v>
      </c>
      <c r="AK66">
        <v>0.28000000000000003</v>
      </c>
      <c r="AL66" t="s">
        <v>409</v>
      </c>
      <c r="AO66">
        <v>0</v>
      </c>
      <c r="AT66" t="s">
        <v>203</v>
      </c>
      <c r="AU66">
        <v>0.19649122807017541</v>
      </c>
      <c r="AV66" t="s">
        <v>1250</v>
      </c>
      <c r="AZ66">
        <v>0</v>
      </c>
      <c r="BA66">
        <v>7.59</v>
      </c>
    </row>
    <row r="67" spans="1:53" x14ac:dyDescent="0.3">
      <c r="A67" t="s">
        <v>1253</v>
      </c>
      <c r="C67" t="s">
        <v>1231</v>
      </c>
      <c r="D67" t="s">
        <v>81</v>
      </c>
      <c r="E67">
        <v>100000000</v>
      </c>
      <c r="H67">
        <v>14.25</v>
      </c>
      <c r="I67" t="s">
        <v>56</v>
      </c>
      <c r="J67">
        <v>1.4250000000000001E-3</v>
      </c>
      <c r="K67" t="s">
        <v>57</v>
      </c>
      <c r="L67" t="s">
        <v>112</v>
      </c>
      <c r="O67">
        <v>66.5</v>
      </c>
      <c r="P67" t="s">
        <v>59</v>
      </c>
      <c r="S67">
        <v>1</v>
      </c>
      <c r="T67">
        <v>22</v>
      </c>
      <c r="V67">
        <v>50</v>
      </c>
      <c r="W67" t="s">
        <v>76</v>
      </c>
      <c r="X67" t="s">
        <v>114</v>
      </c>
      <c r="Y67">
        <v>60</v>
      </c>
      <c r="AB67">
        <v>6.93</v>
      </c>
      <c r="AC67" t="s">
        <v>85</v>
      </c>
      <c r="AD67" t="s">
        <v>487</v>
      </c>
      <c r="AE67" t="s">
        <v>138</v>
      </c>
      <c r="AI67">
        <v>5</v>
      </c>
      <c r="AJ67" t="s">
        <v>201</v>
      </c>
      <c r="AK67">
        <v>0.75</v>
      </c>
      <c r="AL67" t="s">
        <v>409</v>
      </c>
      <c r="AO67">
        <v>0</v>
      </c>
      <c r="AT67" t="s">
        <v>77</v>
      </c>
      <c r="AU67">
        <v>0.52631578947368418</v>
      </c>
      <c r="AV67" t="s">
        <v>1250</v>
      </c>
    </row>
    <row r="68" spans="1:53" x14ac:dyDescent="0.3">
      <c r="A68" t="s">
        <v>1253</v>
      </c>
      <c r="C68" t="s">
        <v>1231</v>
      </c>
      <c r="D68" t="s">
        <v>81</v>
      </c>
      <c r="E68">
        <v>100000000</v>
      </c>
      <c r="H68">
        <v>14.25</v>
      </c>
      <c r="I68" t="s">
        <v>56</v>
      </c>
      <c r="J68">
        <v>1.4250000000000001E-3</v>
      </c>
      <c r="K68" t="s">
        <v>57</v>
      </c>
      <c r="L68" t="s">
        <v>112</v>
      </c>
      <c r="O68">
        <v>66.5</v>
      </c>
      <c r="P68" t="s">
        <v>59</v>
      </c>
      <c r="S68">
        <v>1</v>
      </c>
      <c r="T68">
        <v>22</v>
      </c>
      <c r="V68">
        <v>50</v>
      </c>
      <c r="W68" t="s">
        <v>1235</v>
      </c>
      <c r="X68" t="s">
        <v>114</v>
      </c>
      <c r="Y68">
        <v>60</v>
      </c>
      <c r="AA68" t="s">
        <v>94</v>
      </c>
      <c r="AB68">
        <v>7.4</v>
      </c>
      <c r="AC68" t="s">
        <v>85</v>
      </c>
      <c r="AD68" t="s">
        <v>103</v>
      </c>
      <c r="AE68" t="s">
        <v>138</v>
      </c>
      <c r="AI68">
        <v>5</v>
      </c>
      <c r="AJ68" t="s">
        <v>201</v>
      </c>
      <c r="AK68">
        <v>1.4</v>
      </c>
      <c r="AL68" t="s">
        <v>409</v>
      </c>
      <c r="AO68">
        <v>0</v>
      </c>
      <c r="AT68" t="s">
        <v>1236</v>
      </c>
      <c r="AU68">
        <v>0.98245614035087714</v>
      </c>
      <c r="AV68" t="s">
        <v>1250</v>
      </c>
      <c r="AZ68">
        <v>0</v>
      </c>
      <c r="BA68">
        <v>7.4</v>
      </c>
    </row>
    <row r="69" spans="1:53" x14ac:dyDescent="0.3">
      <c r="A69" t="s">
        <v>1253</v>
      </c>
      <c r="C69" t="s">
        <v>1231</v>
      </c>
      <c r="D69" t="s">
        <v>81</v>
      </c>
      <c r="E69">
        <v>100000000</v>
      </c>
      <c r="H69">
        <v>14.25</v>
      </c>
      <c r="I69" t="s">
        <v>56</v>
      </c>
      <c r="J69">
        <v>1.4250000000000001E-3</v>
      </c>
      <c r="K69" t="s">
        <v>57</v>
      </c>
      <c r="L69" t="s">
        <v>112</v>
      </c>
      <c r="O69">
        <v>66.5</v>
      </c>
      <c r="P69" t="s">
        <v>59</v>
      </c>
      <c r="S69">
        <v>1</v>
      </c>
      <c r="T69">
        <v>22</v>
      </c>
      <c r="V69">
        <v>50</v>
      </c>
      <c r="W69" t="s">
        <v>1256</v>
      </c>
      <c r="X69" t="s">
        <v>114</v>
      </c>
      <c r="Y69">
        <v>60</v>
      </c>
      <c r="AA69" t="s">
        <v>94</v>
      </c>
      <c r="AB69">
        <v>7.58</v>
      </c>
      <c r="AC69" t="s">
        <v>85</v>
      </c>
      <c r="AD69" t="s">
        <v>236</v>
      </c>
      <c r="AE69" t="s">
        <v>138</v>
      </c>
      <c r="AI69">
        <v>5</v>
      </c>
      <c r="AJ69" t="s">
        <v>201</v>
      </c>
      <c r="AK69">
        <v>0.6</v>
      </c>
      <c r="AL69" t="s">
        <v>409</v>
      </c>
      <c r="AO69">
        <v>0</v>
      </c>
      <c r="AT69" t="s">
        <v>1257</v>
      </c>
      <c r="AU69">
        <v>0.42105263157894729</v>
      </c>
      <c r="AV69" t="s">
        <v>1250</v>
      </c>
      <c r="AZ69">
        <v>0</v>
      </c>
      <c r="BA69">
        <v>7.58</v>
      </c>
    </row>
    <row r="70" spans="1:53" x14ac:dyDescent="0.3">
      <c r="A70" t="s">
        <v>1253</v>
      </c>
      <c r="C70" t="s">
        <v>1231</v>
      </c>
      <c r="D70" t="s">
        <v>81</v>
      </c>
      <c r="E70">
        <v>100000000</v>
      </c>
      <c r="H70">
        <v>14.25</v>
      </c>
      <c r="I70" t="s">
        <v>56</v>
      </c>
      <c r="J70">
        <v>1.4250000000000001E-3</v>
      </c>
      <c r="K70" t="s">
        <v>57</v>
      </c>
      <c r="L70" t="s">
        <v>112</v>
      </c>
      <c r="O70">
        <v>66.5</v>
      </c>
      <c r="P70" t="s">
        <v>59</v>
      </c>
      <c r="S70">
        <v>1</v>
      </c>
      <c r="T70">
        <v>22</v>
      </c>
      <c r="V70">
        <v>50</v>
      </c>
      <c r="W70" t="s">
        <v>1258</v>
      </c>
      <c r="X70" t="s">
        <v>114</v>
      </c>
      <c r="Y70">
        <v>60</v>
      </c>
      <c r="AA70" t="s">
        <v>94</v>
      </c>
      <c r="AB70">
        <v>6.97</v>
      </c>
      <c r="AC70" t="s">
        <v>85</v>
      </c>
      <c r="AD70" t="s">
        <v>511</v>
      </c>
      <c r="AE70" t="s">
        <v>138</v>
      </c>
      <c r="AI70">
        <v>5</v>
      </c>
      <c r="AJ70" t="s">
        <v>201</v>
      </c>
      <c r="AK70">
        <v>1.59</v>
      </c>
      <c r="AL70" t="s">
        <v>409</v>
      </c>
      <c r="AO70">
        <v>0</v>
      </c>
      <c r="AT70" t="s">
        <v>75</v>
      </c>
      <c r="AU70">
        <v>1.11578947368421</v>
      </c>
      <c r="AV70" t="s">
        <v>1250</v>
      </c>
      <c r="AZ70">
        <v>0</v>
      </c>
      <c r="BA70">
        <v>6.97</v>
      </c>
    </row>
    <row r="71" spans="1:53" x14ac:dyDescent="0.3">
      <c r="A71" t="s">
        <v>1253</v>
      </c>
      <c r="C71" t="s">
        <v>1231</v>
      </c>
      <c r="D71" t="s">
        <v>81</v>
      </c>
      <c r="E71">
        <v>100000000</v>
      </c>
      <c r="H71">
        <v>14.25</v>
      </c>
      <c r="I71" t="s">
        <v>56</v>
      </c>
      <c r="J71">
        <v>1.4250000000000001E-3</v>
      </c>
      <c r="K71" t="s">
        <v>57</v>
      </c>
      <c r="L71" t="s">
        <v>112</v>
      </c>
      <c r="O71">
        <v>66.5</v>
      </c>
      <c r="P71" t="s">
        <v>59</v>
      </c>
      <c r="S71">
        <v>1</v>
      </c>
      <c r="T71">
        <v>22</v>
      </c>
      <c r="V71">
        <v>50</v>
      </c>
      <c r="W71" t="s">
        <v>1259</v>
      </c>
      <c r="X71" t="s">
        <v>114</v>
      </c>
      <c r="Y71">
        <v>60</v>
      </c>
      <c r="AA71" t="s">
        <v>94</v>
      </c>
      <c r="AB71">
        <v>6.8</v>
      </c>
      <c r="AC71" t="s">
        <v>85</v>
      </c>
      <c r="AD71" t="s">
        <v>239</v>
      </c>
      <c r="AE71" t="s">
        <v>138</v>
      </c>
      <c r="AI71">
        <v>5</v>
      </c>
      <c r="AJ71" t="s">
        <v>201</v>
      </c>
      <c r="AK71">
        <v>0.46</v>
      </c>
      <c r="AL71" t="s">
        <v>409</v>
      </c>
      <c r="AO71">
        <v>0</v>
      </c>
      <c r="AU71">
        <v>0.32280701754385971</v>
      </c>
      <c r="AV71" t="s">
        <v>1250</v>
      </c>
      <c r="AZ71">
        <v>0</v>
      </c>
      <c r="BA71">
        <v>6.8</v>
      </c>
    </row>
    <row r="72" spans="1:53" x14ac:dyDescent="0.3">
      <c r="A72" t="s">
        <v>1253</v>
      </c>
      <c r="C72" t="s">
        <v>1231</v>
      </c>
      <c r="D72" t="s">
        <v>81</v>
      </c>
      <c r="E72">
        <v>100000000</v>
      </c>
      <c r="H72">
        <v>14.25</v>
      </c>
      <c r="I72" t="s">
        <v>56</v>
      </c>
      <c r="J72">
        <v>1.4250000000000001E-3</v>
      </c>
      <c r="K72" t="s">
        <v>57</v>
      </c>
      <c r="L72" t="s">
        <v>112</v>
      </c>
      <c r="O72">
        <v>35</v>
      </c>
      <c r="P72" t="s">
        <v>59</v>
      </c>
      <c r="S72">
        <v>1</v>
      </c>
      <c r="T72">
        <v>22</v>
      </c>
      <c r="V72">
        <v>50</v>
      </c>
      <c r="W72" t="s">
        <v>443</v>
      </c>
      <c r="X72" t="s">
        <v>114</v>
      </c>
      <c r="Y72">
        <v>60</v>
      </c>
      <c r="AA72" t="s">
        <v>94</v>
      </c>
      <c r="AB72">
        <v>7.64</v>
      </c>
      <c r="AC72" t="s">
        <v>85</v>
      </c>
      <c r="AD72" t="s">
        <v>232</v>
      </c>
      <c r="AE72" t="s">
        <v>138</v>
      </c>
      <c r="AI72">
        <v>5</v>
      </c>
      <c r="AJ72" t="s">
        <v>201</v>
      </c>
      <c r="AK72">
        <v>0.52</v>
      </c>
      <c r="AL72" t="s">
        <v>409</v>
      </c>
      <c r="AO72">
        <v>0</v>
      </c>
      <c r="AT72" t="s">
        <v>65</v>
      </c>
      <c r="AU72">
        <v>0.36491228070175441</v>
      </c>
      <c r="AV72" t="s">
        <v>1250</v>
      </c>
      <c r="AZ72">
        <v>0</v>
      </c>
      <c r="BA72">
        <v>7.64</v>
      </c>
    </row>
    <row r="73" spans="1:53" x14ac:dyDescent="0.3">
      <c r="A73" t="s">
        <v>1253</v>
      </c>
      <c r="C73" t="s">
        <v>1231</v>
      </c>
      <c r="D73" t="s">
        <v>81</v>
      </c>
      <c r="E73">
        <v>100000000</v>
      </c>
      <c r="H73">
        <v>14.25</v>
      </c>
      <c r="I73" t="s">
        <v>56</v>
      </c>
      <c r="J73">
        <v>1.4250000000000001E-3</v>
      </c>
      <c r="K73" t="s">
        <v>57</v>
      </c>
      <c r="L73" t="s">
        <v>112</v>
      </c>
      <c r="O73">
        <v>35</v>
      </c>
      <c r="P73" t="s">
        <v>59</v>
      </c>
      <c r="S73">
        <v>1</v>
      </c>
      <c r="T73">
        <v>22</v>
      </c>
      <c r="V73">
        <v>50</v>
      </c>
      <c r="W73" t="s">
        <v>147</v>
      </c>
      <c r="X73" t="s">
        <v>114</v>
      </c>
      <c r="Y73">
        <v>60</v>
      </c>
      <c r="AA73" t="s">
        <v>94</v>
      </c>
      <c r="AB73">
        <v>7.78</v>
      </c>
      <c r="AC73" t="s">
        <v>85</v>
      </c>
      <c r="AD73" t="s">
        <v>232</v>
      </c>
      <c r="AE73" t="s">
        <v>138</v>
      </c>
      <c r="AI73">
        <v>5</v>
      </c>
      <c r="AJ73" t="s">
        <v>201</v>
      </c>
      <c r="AK73">
        <v>0.81</v>
      </c>
      <c r="AL73" t="s">
        <v>409</v>
      </c>
      <c r="AO73">
        <v>0</v>
      </c>
      <c r="AT73" t="s">
        <v>150</v>
      </c>
      <c r="AU73">
        <v>0.56842105263157894</v>
      </c>
      <c r="AV73" t="s">
        <v>1250</v>
      </c>
      <c r="AZ73">
        <v>0</v>
      </c>
      <c r="BA73">
        <v>7.78</v>
      </c>
    </row>
    <row r="74" spans="1:53" x14ac:dyDescent="0.3">
      <c r="A74" t="s">
        <v>1253</v>
      </c>
      <c r="C74" t="s">
        <v>1231</v>
      </c>
      <c r="D74" t="s">
        <v>81</v>
      </c>
      <c r="E74">
        <v>10000000</v>
      </c>
      <c r="H74">
        <v>14.25</v>
      </c>
      <c r="I74" t="s">
        <v>56</v>
      </c>
      <c r="J74">
        <v>1.4250000000000001E-3</v>
      </c>
      <c r="K74" t="s">
        <v>57</v>
      </c>
      <c r="L74" t="s">
        <v>112</v>
      </c>
      <c r="O74">
        <v>35</v>
      </c>
      <c r="P74" t="s">
        <v>59</v>
      </c>
      <c r="S74">
        <v>1</v>
      </c>
      <c r="T74">
        <v>22</v>
      </c>
      <c r="V74">
        <v>50</v>
      </c>
      <c r="W74" t="s">
        <v>719</v>
      </c>
      <c r="X74" t="s">
        <v>114</v>
      </c>
      <c r="Y74">
        <v>60</v>
      </c>
      <c r="AA74" t="s">
        <v>94</v>
      </c>
      <c r="AB74">
        <v>7.8</v>
      </c>
      <c r="AC74" t="s">
        <v>85</v>
      </c>
      <c r="AD74" t="s">
        <v>418</v>
      </c>
      <c r="AE74" t="s">
        <v>138</v>
      </c>
      <c r="AI74">
        <v>5</v>
      </c>
      <c r="AJ74" t="s">
        <v>201</v>
      </c>
      <c r="AK74">
        <v>0.62</v>
      </c>
      <c r="AL74" t="s">
        <v>409</v>
      </c>
      <c r="AO74">
        <v>0</v>
      </c>
      <c r="AU74">
        <v>0.43508771929824558</v>
      </c>
      <c r="AV74" t="s">
        <v>1250</v>
      </c>
      <c r="AZ74">
        <v>0</v>
      </c>
      <c r="BA74">
        <v>7.8</v>
      </c>
    </row>
    <row r="75" spans="1:53" x14ac:dyDescent="0.3">
      <c r="A75" t="s">
        <v>1253</v>
      </c>
      <c r="C75" t="s">
        <v>1231</v>
      </c>
      <c r="D75" t="s">
        <v>81</v>
      </c>
      <c r="E75">
        <v>10000000</v>
      </c>
      <c r="H75">
        <v>14.25</v>
      </c>
      <c r="I75" t="s">
        <v>56</v>
      </c>
      <c r="J75">
        <v>1.4250000000000001E-3</v>
      </c>
      <c r="K75" t="s">
        <v>57</v>
      </c>
      <c r="L75" t="s">
        <v>112</v>
      </c>
      <c r="O75">
        <v>35</v>
      </c>
      <c r="P75" t="s">
        <v>59</v>
      </c>
      <c r="S75">
        <v>1</v>
      </c>
      <c r="T75">
        <v>22</v>
      </c>
      <c r="V75">
        <v>50</v>
      </c>
      <c r="W75" t="s">
        <v>1254</v>
      </c>
      <c r="X75" t="s">
        <v>114</v>
      </c>
      <c r="Y75">
        <v>60</v>
      </c>
      <c r="AA75" t="s">
        <v>94</v>
      </c>
      <c r="AB75">
        <v>7.67</v>
      </c>
      <c r="AC75" t="s">
        <v>85</v>
      </c>
      <c r="AD75" t="s">
        <v>237</v>
      </c>
      <c r="AE75" t="s">
        <v>138</v>
      </c>
      <c r="AI75">
        <v>5</v>
      </c>
      <c r="AJ75" t="s">
        <v>201</v>
      </c>
      <c r="AK75">
        <v>0.92</v>
      </c>
      <c r="AL75" t="s">
        <v>409</v>
      </c>
      <c r="AO75">
        <v>0</v>
      </c>
      <c r="AT75" t="s">
        <v>203</v>
      </c>
      <c r="AU75">
        <v>0.64561403508771931</v>
      </c>
      <c r="AV75" t="s">
        <v>1250</v>
      </c>
      <c r="AZ75">
        <v>0</v>
      </c>
      <c r="BA75">
        <v>7.67</v>
      </c>
    </row>
    <row r="76" spans="1:53" x14ac:dyDescent="0.3">
      <c r="A76" t="s">
        <v>1253</v>
      </c>
      <c r="C76" t="s">
        <v>1231</v>
      </c>
      <c r="D76" t="s">
        <v>81</v>
      </c>
      <c r="E76">
        <v>10000000</v>
      </c>
      <c r="H76">
        <v>14.25</v>
      </c>
      <c r="I76" t="s">
        <v>56</v>
      </c>
      <c r="J76">
        <v>1.4250000000000001E-3</v>
      </c>
      <c r="K76" t="s">
        <v>57</v>
      </c>
      <c r="L76" t="s">
        <v>112</v>
      </c>
      <c r="O76">
        <v>35</v>
      </c>
      <c r="P76" t="s">
        <v>59</v>
      </c>
      <c r="S76">
        <v>1</v>
      </c>
      <c r="T76">
        <v>22</v>
      </c>
      <c r="V76">
        <v>50</v>
      </c>
      <c r="W76" t="s">
        <v>1255</v>
      </c>
      <c r="X76" t="s">
        <v>114</v>
      </c>
      <c r="Y76">
        <v>60</v>
      </c>
      <c r="AA76" t="s">
        <v>94</v>
      </c>
      <c r="AB76">
        <v>7.32</v>
      </c>
      <c r="AC76" t="s">
        <v>85</v>
      </c>
      <c r="AD76" t="s">
        <v>238</v>
      </c>
      <c r="AE76" t="s">
        <v>138</v>
      </c>
      <c r="AI76">
        <v>5</v>
      </c>
      <c r="AJ76" t="s">
        <v>201</v>
      </c>
      <c r="AK76">
        <v>0.37</v>
      </c>
      <c r="AL76" t="s">
        <v>409</v>
      </c>
      <c r="AO76">
        <v>0</v>
      </c>
      <c r="AT76" t="s">
        <v>203</v>
      </c>
      <c r="AU76">
        <v>0.25964912280701752</v>
      </c>
      <c r="AV76" t="s">
        <v>1250</v>
      </c>
      <c r="AZ76">
        <v>0</v>
      </c>
      <c r="BA76">
        <v>7.32</v>
      </c>
    </row>
    <row r="77" spans="1:53" x14ac:dyDescent="0.3">
      <c r="A77" t="s">
        <v>1253</v>
      </c>
      <c r="C77" t="s">
        <v>1231</v>
      </c>
      <c r="D77" t="s">
        <v>81</v>
      </c>
      <c r="E77">
        <v>10000000</v>
      </c>
      <c r="H77">
        <v>14.25</v>
      </c>
      <c r="I77" t="s">
        <v>56</v>
      </c>
      <c r="J77">
        <v>1.4250000000000001E-3</v>
      </c>
      <c r="K77" t="s">
        <v>57</v>
      </c>
      <c r="L77" t="s">
        <v>112</v>
      </c>
      <c r="O77">
        <v>35</v>
      </c>
      <c r="P77" t="s">
        <v>59</v>
      </c>
      <c r="S77">
        <v>1</v>
      </c>
      <c r="T77">
        <v>22</v>
      </c>
      <c r="V77">
        <v>50</v>
      </c>
      <c r="W77" t="s">
        <v>76</v>
      </c>
      <c r="X77" t="s">
        <v>114</v>
      </c>
      <c r="Y77">
        <v>60</v>
      </c>
      <c r="AB77">
        <v>4</v>
      </c>
      <c r="AC77" t="s">
        <v>85</v>
      </c>
      <c r="AD77" t="s">
        <v>1260</v>
      </c>
      <c r="AE77" t="s">
        <v>138</v>
      </c>
      <c r="AI77">
        <v>5</v>
      </c>
      <c r="AJ77" t="s">
        <v>201</v>
      </c>
      <c r="AK77">
        <v>0.39</v>
      </c>
      <c r="AL77" t="s">
        <v>409</v>
      </c>
      <c r="AO77">
        <v>0</v>
      </c>
      <c r="AT77" t="s">
        <v>77</v>
      </c>
      <c r="AU77">
        <v>0.27368421052631581</v>
      </c>
      <c r="AV77" t="s">
        <v>1250</v>
      </c>
    </row>
    <row r="78" spans="1:53" x14ac:dyDescent="0.3">
      <c r="A78" t="s">
        <v>1253</v>
      </c>
      <c r="C78" t="s">
        <v>1231</v>
      </c>
      <c r="D78" t="s">
        <v>81</v>
      </c>
      <c r="E78">
        <v>10000000</v>
      </c>
      <c r="H78">
        <v>14.25</v>
      </c>
      <c r="I78" t="s">
        <v>56</v>
      </c>
      <c r="J78">
        <v>1.4250000000000001E-3</v>
      </c>
      <c r="K78" t="s">
        <v>57</v>
      </c>
      <c r="L78" t="s">
        <v>112</v>
      </c>
      <c r="O78">
        <v>35</v>
      </c>
      <c r="P78" t="s">
        <v>59</v>
      </c>
      <c r="S78">
        <v>1</v>
      </c>
      <c r="T78">
        <v>22</v>
      </c>
      <c r="V78">
        <v>50</v>
      </c>
      <c r="W78" t="s">
        <v>1235</v>
      </c>
      <c r="X78" t="s">
        <v>114</v>
      </c>
      <c r="Y78">
        <v>60</v>
      </c>
      <c r="AA78" t="s">
        <v>94</v>
      </c>
      <c r="AB78">
        <v>7.25</v>
      </c>
      <c r="AC78" t="s">
        <v>85</v>
      </c>
      <c r="AD78" t="s">
        <v>232</v>
      </c>
      <c r="AE78" t="s">
        <v>138</v>
      </c>
      <c r="AI78">
        <v>5</v>
      </c>
      <c r="AJ78" t="s">
        <v>201</v>
      </c>
      <c r="AK78">
        <v>0.79</v>
      </c>
      <c r="AL78" t="s">
        <v>409</v>
      </c>
      <c r="AO78">
        <v>0</v>
      </c>
      <c r="AT78" t="s">
        <v>1236</v>
      </c>
      <c r="AU78">
        <v>0.55438596491228076</v>
      </c>
      <c r="AV78" t="s">
        <v>1250</v>
      </c>
      <c r="AZ78">
        <v>0</v>
      </c>
      <c r="BA78">
        <v>7.25</v>
      </c>
    </row>
    <row r="79" spans="1:53" x14ac:dyDescent="0.3">
      <c r="A79" t="s">
        <v>1253</v>
      </c>
      <c r="C79" t="s">
        <v>1231</v>
      </c>
      <c r="D79" t="s">
        <v>81</v>
      </c>
      <c r="E79">
        <v>10000000</v>
      </c>
      <c r="H79">
        <v>14.25</v>
      </c>
      <c r="I79" t="s">
        <v>56</v>
      </c>
      <c r="J79">
        <v>1.4250000000000001E-3</v>
      </c>
      <c r="K79" t="s">
        <v>57</v>
      </c>
      <c r="L79" t="s">
        <v>112</v>
      </c>
      <c r="O79">
        <v>35</v>
      </c>
      <c r="P79" t="s">
        <v>59</v>
      </c>
      <c r="S79">
        <v>1</v>
      </c>
      <c r="T79">
        <v>22</v>
      </c>
      <c r="V79">
        <v>50</v>
      </c>
      <c r="W79" t="s">
        <v>1256</v>
      </c>
      <c r="X79" t="s">
        <v>114</v>
      </c>
      <c r="Y79">
        <v>60</v>
      </c>
      <c r="AB79">
        <v>2.97</v>
      </c>
      <c r="AC79" t="s">
        <v>85</v>
      </c>
      <c r="AD79" t="s">
        <v>219</v>
      </c>
      <c r="AE79" t="s">
        <v>138</v>
      </c>
      <c r="AI79">
        <v>5</v>
      </c>
      <c r="AJ79" t="s">
        <v>201</v>
      </c>
      <c r="AK79">
        <v>0.51</v>
      </c>
      <c r="AL79" t="s">
        <v>409</v>
      </c>
      <c r="AO79">
        <v>0</v>
      </c>
      <c r="AT79" t="s">
        <v>1257</v>
      </c>
      <c r="AU79">
        <v>0.35789473684210532</v>
      </c>
      <c r="AV79" t="s">
        <v>1250</v>
      </c>
    </row>
    <row r="80" spans="1:53" x14ac:dyDescent="0.3">
      <c r="A80" t="s">
        <v>1253</v>
      </c>
      <c r="C80" t="s">
        <v>1231</v>
      </c>
      <c r="D80" t="s">
        <v>81</v>
      </c>
      <c r="E80">
        <v>10000000</v>
      </c>
      <c r="H80">
        <v>14.25</v>
      </c>
      <c r="I80" t="s">
        <v>56</v>
      </c>
      <c r="J80">
        <v>1.4250000000000001E-3</v>
      </c>
      <c r="K80" t="s">
        <v>57</v>
      </c>
      <c r="L80" t="s">
        <v>112</v>
      </c>
      <c r="O80">
        <v>35</v>
      </c>
      <c r="P80" t="s">
        <v>59</v>
      </c>
      <c r="S80">
        <v>1</v>
      </c>
      <c r="T80">
        <v>22</v>
      </c>
      <c r="V80">
        <v>50</v>
      </c>
      <c r="W80" t="s">
        <v>1258</v>
      </c>
      <c r="X80" t="s">
        <v>114</v>
      </c>
      <c r="Y80">
        <v>60</v>
      </c>
      <c r="AB80">
        <v>1.91</v>
      </c>
      <c r="AC80" t="s">
        <v>85</v>
      </c>
      <c r="AD80" t="s">
        <v>336</v>
      </c>
      <c r="AE80" t="s">
        <v>138</v>
      </c>
      <c r="AI80">
        <v>5</v>
      </c>
      <c r="AJ80" t="s">
        <v>201</v>
      </c>
      <c r="AK80">
        <v>1.05</v>
      </c>
      <c r="AL80" t="s">
        <v>409</v>
      </c>
      <c r="AO80">
        <v>0</v>
      </c>
      <c r="AT80" t="s">
        <v>75</v>
      </c>
      <c r="AU80">
        <v>0.73684210526315796</v>
      </c>
      <c r="AV80" t="s">
        <v>1250</v>
      </c>
    </row>
    <row r="81" spans="1:53" x14ac:dyDescent="0.3">
      <c r="A81" t="s">
        <v>1253</v>
      </c>
      <c r="C81" t="s">
        <v>1231</v>
      </c>
      <c r="D81" t="s">
        <v>81</v>
      </c>
      <c r="E81">
        <v>10000000</v>
      </c>
      <c r="H81">
        <v>14.25</v>
      </c>
      <c r="I81" t="s">
        <v>56</v>
      </c>
      <c r="J81">
        <v>1.4250000000000001E-3</v>
      </c>
      <c r="K81" t="s">
        <v>57</v>
      </c>
      <c r="L81" t="s">
        <v>112</v>
      </c>
      <c r="O81">
        <v>35</v>
      </c>
      <c r="P81" t="s">
        <v>59</v>
      </c>
      <c r="S81">
        <v>1</v>
      </c>
      <c r="T81">
        <v>22</v>
      </c>
      <c r="V81">
        <v>50</v>
      </c>
      <c r="W81" t="s">
        <v>1259</v>
      </c>
      <c r="X81" t="s">
        <v>114</v>
      </c>
      <c r="Y81">
        <v>60</v>
      </c>
      <c r="AA81" t="s">
        <v>94</v>
      </c>
      <c r="AB81">
        <v>6.94</v>
      </c>
      <c r="AC81" t="s">
        <v>85</v>
      </c>
      <c r="AD81" t="s">
        <v>227</v>
      </c>
      <c r="AE81" t="s">
        <v>138</v>
      </c>
      <c r="AI81">
        <v>5</v>
      </c>
      <c r="AJ81" t="s">
        <v>201</v>
      </c>
      <c r="AK81">
        <v>1.03</v>
      </c>
      <c r="AL81" t="s">
        <v>409</v>
      </c>
      <c r="AO81">
        <v>0</v>
      </c>
      <c r="AU81">
        <v>0.72280701754385968</v>
      </c>
      <c r="AV81" t="s">
        <v>1250</v>
      </c>
      <c r="AZ81">
        <v>0</v>
      </c>
      <c r="BA81">
        <v>6.94</v>
      </c>
    </row>
    <row r="82" spans="1:53" x14ac:dyDescent="0.3">
      <c r="A82" t="s">
        <v>1253</v>
      </c>
      <c r="C82" t="s">
        <v>1231</v>
      </c>
      <c r="D82" t="s">
        <v>81</v>
      </c>
      <c r="E82">
        <v>10000000</v>
      </c>
      <c r="H82">
        <v>14.25</v>
      </c>
      <c r="I82" t="s">
        <v>56</v>
      </c>
      <c r="J82">
        <v>1.4250000000000001E-3</v>
      </c>
      <c r="K82" t="s">
        <v>57</v>
      </c>
      <c r="L82" t="s">
        <v>112</v>
      </c>
      <c r="O82">
        <v>4</v>
      </c>
      <c r="P82" t="s">
        <v>59</v>
      </c>
      <c r="S82">
        <v>1</v>
      </c>
      <c r="T82">
        <v>22</v>
      </c>
      <c r="V82">
        <v>50</v>
      </c>
      <c r="W82" t="s">
        <v>443</v>
      </c>
      <c r="X82" t="s">
        <v>114</v>
      </c>
      <c r="Y82">
        <v>30</v>
      </c>
      <c r="AA82" t="s">
        <v>94</v>
      </c>
      <c r="AB82">
        <v>7.61</v>
      </c>
      <c r="AC82" t="s">
        <v>85</v>
      </c>
      <c r="AD82" t="s">
        <v>232</v>
      </c>
      <c r="AE82" t="s">
        <v>138</v>
      </c>
      <c r="AI82">
        <v>5</v>
      </c>
      <c r="AJ82" t="s">
        <v>201</v>
      </c>
      <c r="AK82">
        <v>0.27</v>
      </c>
      <c r="AL82" t="s">
        <v>409</v>
      </c>
      <c r="AO82">
        <v>0</v>
      </c>
      <c r="AT82" t="s">
        <v>65</v>
      </c>
      <c r="AU82">
        <v>0.18947368421052629</v>
      </c>
      <c r="AV82" t="s">
        <v>1250</v>
      </c>
      <c r="AZ82">
        <v>0</v>
      </c>
      <c r="BA82">
        <v>7.61</v>
      </c>
    </row>
    <row r="83" spans="1:53" x14ac:dyDescent="0.3">
      <c r="A83" t="s">
        <v>1253</v>
      </c>
      <c r="C83" t="s">
        <v>1231</v>
      </c>
      <c r="D83" t="s">
        <v>81</v>
      </c>
      <c r="E83">
        <v>10000000</v>
      </c>
      <c r="H83">
        <v>14.25</v>
      </c>
      <c r="I83" t="s">
        <v>56</v>
      </c>
      <c r="J83">
        <v>1.4250000000000001E-3</v>
      </c>
      <c r="K83" t="s">
        <v>57</v>
      </c>
      <c r="L83" t="s">
        <v>112</v>
      </c>
      <c r="O83">
        <v>4</v>
      </c>
      <c r="P83" t="s">
        <v>59</v>
      </c>
      <c r="S83">
        <v>1</v>
      </c>
      <c r="T83">
        <v>22</v>
      </c>
      <c r="V83">
        <v>50</v>
      </c>
      <c r="W83" t="s">
        <v>147</v>
      </c>
      <c r="X83" t="s">
        <v>114</v>
      </c>
      <c r="Y83">
        <v>30</v>
      </c>
      <c r="AA83" t="s">
        <v>94</v>
      </c>
      <c r="AB83">
        <v>7.79</v>
      </c>
      <c r="AC83" t="s">
        <v>85</v>
      </c>
      <c r="AD83" t="s">
        <v>227</v>
      </c>
      <c r="AE83" t="s">
        <v>138</v>
      </c>
      <c r="AI83">
        <v>5</v>
      </c>
      <c r="AJ83" t="s">
        <v>201</v>
      </c>
      <c r="AK83">
        <v>0.08</v>
      </c>
      <c r="AL83" t="s">
        <v>409</v>
      </c>
      <c r="AO83">
        <v>0</v>
      </c>
      <c r="AT83" t="s">
        <v>150</v>
      </c>
      <c r="AU83">
        <v>5.614035087719299E-2</v>
      </c>
      <c r="AV83" t="s">
        <v>1250</v>
      </c>
      <c r="AZ83">
        <v>0</v>
      </c>
      <c r="BA83">
        <v>7.79</v>
      </c>
    </row>
    <row r="84" spans="1:53" x14ac:dyDescent="0.3">
      <c r="A84" t="s">
        <v>1253</v>
      </c>
      <c r="C84" t="s">
        <v>1231</v>
      </c>
      <c r="D84" t="s">
        <v>81</v>
      </c>
      <c r="E84">
        <v>10000000</v>
      </c>
      <c r="H84">
        <v>14.25</v>
      </c>
      <c r="I84" t="s">
        <v>56</v>
      </c>
      <c r="J84">
        <v>1.4250000000000001E-3</v>
      </c>
      <c r="K84" t="s">
        <v>57</v>
      </c>
      <c r="L84" t="s">
        <v>112</v>
      </c>
      <c r="O84">
        <v>4</v>
      </c>
      <c r="P84" t="s">
        <v>59</v>
      </c>
      <c r="S84">
        <v>1</v>
      </c>
      <c r="T84">
        <v>22</v>
      </c>
      <c r="V84">
        <v>50</v>
      </c>
      <c r="W84" t="s">
        <v>719</v>
      </c>
      <c r="X84" t="s">
        <v>114</v>
      </c>
      <c r="Y84">
        <v>30</v>
      </c>
      <c r="AA84" t="s">
        <v>94</v>
      </c>
      <c r="AB84">
        <v>7.75</v>
      </c>
      <c r="AC84" t="s">
        <v>85</v>
      </c>
      <c r="AD84" t="s">
        <v>418</v>
      </c>
      <c r="AE84" t="s">
        <v>138</v>
      </c>
      <c r="AI84">
        <v>5</v>
      </c>
      <c r="AJ84" t="s">
        <v>201</v>
      </c>
      <c r="AK84">
        <v>0.14000000000000001</v>
      </c>
      <c r="AL84" t="s">
        <v>409</v>
      </c>
      <c r="AO84">
        <v>0</v>
      </c>
      <c r="AU84">
        <v>9.8245614035087706E-2</v>
      </c>
      <c r="AV84" t="s">
        <v>1250</v>
      </c>
      <c r="AZ84">
        <v>0</v>
      </c>
      <c r="BA84">
        <v>7.75</v>
      </c>
    </row>
    <row r="85" spans="1:53" x14ac:dyDescent="0.3">
      <c r="A85" t="s">
        <v>1253</v>
      </c>
      <c r="C85" t="s">
        <v>1231</v>
      </c>
      <c r="D85" t="s">
        <v>81</v>
      </c>
      <c r="E85">
        <v>10000000</v>
      </c>
      <c r="H85">
        <v>14.25</v>
      </c>
      <c r="I85" t="s">
        <v>56</v>
      </c>
      <c r="J85">
        <v>1.4250000000000001E-3</v>
      </c>
      <c r="K85" t="s">
        <v>57</v>
      </c>
      <c r="L85" t="s">
        <v>112</v>
      </c>
      <c r="O85">
        <v>4</v>
      </c>
      <c r="P85" t="s">
        <v>59</v>
      </c>
      <c r="S85">
        <v>1</v>
      </c>
      <c r="T85">
        <v>22</v>
      </c>
      <c r="V85">
        <v>50</v>
      </c>
      <c r="W85" t="s">
        <v>1254</v>
      </c>
      <c r="X85" t="s">
        <v>114</v>
      </c>
      <c r="Y85">
        <v>30</v>
      </c>
      <c r="AA85" t="s">
        <v>94</v>
      </c>
      <c r="AB85">
        <v>7.78</v>
      </c>
      <c r="AC85" t="s">
        <v>85</v>
      </c>
      <c r="AD85" t="s">
        <v>939</v>
      </c>
      <c r="AE85" t="s">
        <v>138</v>
      </c>
      <c r="AI85">
        <v>5</v>
      </c>
      <c r="AJ85" t="s">
        <v>201</v>
      </c>
      <c r="AK85">
        <v>0.13</v>
      </c>
      <c r="AL85" t="s">
        <v>409</v>
      </c>
      <c r="AO85">
        <v>0</v>
      </c>
      <c r="AT85" t="s">
        <v>203</v>
      </c>
      <c r="AU85">
        <v>9.1228070175438603E-2</v>
      </c>
      <c r="AV85" t="s">
        <v>1250</v>
      </c>
      <c r="AZ85">
        <v>0</v>
      </c>
      <c r="BA85">
        <v>7.78</v>
      </c>
    </row>
    <row r="86" spans="1:53" x14ac:dyDescent="0.3">
      <c r="A86" t="s">
        <v>1253</v>
      </c>
      <c r="C86" t="s">
        <v>1231</v>
      </c>
      <c r="D86" t="s">
        <v>81</v>
      </c>
      <c r="E86">
        <v>10000000</v>
      </c>
      <c r="H86">
        <v>14.25</v>
      </c>
      <c r="I86" t="s">
        <v>56</v>
      </c>
      <c r="J86">
        <v>1.4250000000000001E-3</v>
      </c>
      <c r="K86" t="s">
        <v>57</v>
      </c>
      <c r="L86" t="s">
        <v>112</v>
      </c>
      <c r="O86">
        <v>4</v>
      </c>
      <c r="P86" t="s">
        <v>59</v>
      </c>
      <c r="S86">
        <v>1</v>
      </c>
      <c r="T86">
        <v>22</v>
      </c>
      <c r="V86">
        <v>50</v>
      </c>
      <c r="W86" t="s">
        <v>1255</v>
      </c>
      <c r="X86" t="s">
        <v>114</v>
      </c>
      <c r="Y86">
        <v>30</v>
      </c>
      <c r="AA86" t="s">
        <v>94</v>
      </c>
      <c r="AB86">
        <v>7.51</v>
      </c>
      <c r="AC86" t="s">
        <v>85</v>
      </c>
      <c r="AD86" t="s">
        <v>236</v>
      </c>
      <c r="AE86" t="s">
        <v>138</v>
      </c>
      <c r="AI86">
        <v>5</v>
      </c>
      <c r="AJ86" t="s">
        <v>201</v>
      </c>
      <c r="AK86">
        <v>0.36</v>
      </c>
      <c r="AL86" t="s">
        <v>409</v>
      </c>
      <c r="AO86">
        <v>0</v>
      </c>
      <c r="AT86" t="s">
        <v>203</v>
      </c>
      <c r="AU86">
        <v>0.25263157894736837</v>
      </c>
      <c r="AV86" t="s">
        <v>1250</v>
      </c>
      <c r="AZ86">
        <v>0</v>
      </c>
      <c r="BA86">
        <v>7.51</v>
      </c>
    </row>
    <row r="87" spans="1:53" x14ac:dyDescent="0.3">
      <c r="A87" t="s">
        <v>1253</v>
      </c>
      <c r="C87" t="s">
        <v>1231</v>
      </c>
      <c r="D87" t="s">
        <v>81</v>
      </c>
      <c r="E87">
        <v>10000000</v>
      </c>
      <c r="H87">
        <v>14.25</v>
      </c>
      <c r="I87" t="s">
        <v>56</v>
      </c>
      <c r="J87">
        <v>1.4250000000000001E-3</v>
      </c>
      <c r="K87" t="s">
        <v>57</v>
      </c>
      <c r="L87" t="s">
        <v>112</v>
      </c>
      <c r="O87">
        <v>4</v>
      </c>
      <c r="P87" t="s">
        <v>59</v>
      </c>
      <c r="S87">
        <v>1</v>
      </c>
      <c r="T87">
        <v>22</v>
      </c>
      <c r="V87">
        <v>50</v>
      </c>
      <c r="W87" t="s">
        <v>76</v>
      </c>
      <c r="X87" t="s">
        <v>114</v>
      </c>
      <c r="Y87">
        <v>60</v>
      </c>
      <c r="AA87" t="s">
        <v>94</v>
      </c>
      <c r="AB87">
        <v>7.14</v>
      </c>
      <c r="AC87" t="s">
        <v>85</v>
      </c>
      <c r="AD87" t="s">
        <v>232</v>
      </c>
      <c r="AE87" t="s">
        <v>138</v>
      </c>
      <c r="AI87">
        <v>5</v>
      </c>
      <c r="AJ87" t="s">
        <v>201</v>
      </c>
      <c r="AK87">
        <v>0.8</v>
      </c>
      <c r="AL87" t="s">
        <v>409</v>
      </c>
      <c r="AO87">
        <v>0</v>
      </c>
      <c r="AT87" t="s">
        <v>77</v>
      </c>
      <c r="AU87">
        <v>0.56140350877192979</v>
      </c>
      <c r="AV87" t="s">
        <v>1250</v>
      </c>
      <c r="AZ87">
        <v>0</v>
      </c>
      <c r="BA87">
        <v>7.14</v>
      </c>
    </row>
    <row r="88" spans="1:53" x14ac:dyDescent="0.3">
      <c r="A88" t="s">
        <v>1253</v>
      </c>
      <c r="C88" t="s">
        <v>1231</v>
      </c>
      <c r="D88" t="s">
        <v>81</v>
      </c>
      <c r="E88">
        <v>1000000</v>
      </c>
      <c r="H88">
        <v>14.25</v>
      </c>
      <c r="I88" t="s">
        <v>56</v>
      </c>
      <c r="J88">
        <v>1.4250000000000001E-3</v>
      </c>
      <c r="K88" t="s">
        <v>57</v>
      </c>
      <c r="L88" t="s">
        <v>112</v>
      </c>
      <c r="O88">
        <v>4</v>
      </c>
      <c r="P88" t="s">
        <v>59</v>
      </c>
      <c r="S88">
        <v>1</v>
      </c>
      <c r="T88">
        <v>22</v>
      </c>
      <c r="V88">
        <v>50</v>
      </c>
      <c r="W88" t="s">
        <v>1235</v>
      </c>
      <c r="X88" t="s">
        <v>114</v>
      </c>
      <c r="Y88">
        <v>60</v>
      </c>
      <c r="AA88" t="s">
        <v>94</v>
      </c>
      <c r="AB88">
        <v>7.28</v>
      </c>
      <c r="AC88" t="s">
        <v>85</v>
      </c>
      <c r="AD88" t="s">
        <v>321</v>
      </c>
      <c r="AE88" t="s">
        <v>138</v>
      </c>
      <c r="AI88">
        <v>5</v>
      </c>
      <c r="AJ88" t="s">
        <v>201</v>
      </c>
      <c r="AK88">
        <v>0.87</v>
      </c>
      <c r="AL88" t="s">
        <v>409</v>
      </c>
      <c r="AO88">
        <v>0</v>
      </c>
      <c r="AT88" t="s">
        <v>1236</v>
      </c>
      <c r="AU88">
        <v>0.61052631578947369</v>
      </c>
      <c r="AV88" t="s">
        <v>1250</v>
      </c>
      <c r="AZ88">
        <v>0</v>
      </c>
      <c r="BA88">
        <v>7.28</v>
      </c>
    </row>
    <row r="89" spans="1:53" x14ac:dyDescent="0.3">
      <c r="A89" t="s">
        <v>1253</v>
      </c>
      <c r="C89" t="s">
        <v>1231</v>
      </c>
      <c r="D89" t="s">
        <v>81</v>
      </c>
      <c r="E89">
        <v>1000000</v>
      </c>
      <c r="H89">
        <v>14.25</v>
      </c>
      <c r="I89" t="s">
        <v>56</v>
      </c>
      <c r="J89">
        <v>1.4250000000000001E-3</v>
      </c>
      <c r="K89" t="s">
        <v>57</v>
      </c>
      <c r="L89" t="s">
        <v>112</v>
      </c>
      <c r="O89">
        <v>4</v>
      </c>
      <c r="P89" t="s">
        <v>59</v>
      </c>
      <c r="S89">
        <v>1</v>
      </c>
      <c r="T89">
        <v>22</v>
      </c>
      <c r="V89">
        <v>50</v>
      </c>
      <c r="W89" t="s">
        <v>1256</v>
      </c>
      <c r="X89" t="s">
        <v>114</v>
      </c>
      <c r="Y89">
        <v>60</v>
      </c>
      <c r="AB89">
        <v>1.63</v>
      </c>
      <c r="AC89" t="s">
        <v>85</v>
      </c>
      <c r="AD89" t="s">
        <v>490</v>
      </c>
      <c r="AE89" t="s">
        <v>138</v>
      </c>
      <c r="AI89">
        <v>5</v>
      </c>
      <c r="AJ89" t="s">
        <v>201</v>
      </c>
      <c r="AK89">
        <v>0.99</v>
      </c>
      <c r="AL89" t="s">
        <v>409</v>
      </c>
      <c r="AO89">
        <v>0</v>
      </c>
      <c r="AT89" t="s">
        <v>1257</v>
      </c>
      <c r="AU89">
        <v>0.6947368421052631</v>
      </c>
      <c r="AV89" t="s">
        <v>1250</v>
      </c>
    </row>
    <row r="90" spans="1:53" x14ac:dyDescent="0.3">
      <c r="A90" t="s">
        <v>1253</v>
      </c>
      <c r="C90" t="s">
        <v>1231</v>
      </c>
      <c r="D90" t="s">
        <v>81</v>
      </c>
      <c r="E90">
        <v>1000000</v>
      </c>
      <c r="H90">
        <v>14.25</v>
      </c>
      <c r="I90" t="s">
        <v>56</v>
      </c>
      <c r="J90">
        <v>1.4250000000000001E-3</v>
      </c>
      <c r="K90" t="s">
        <v>57</v>
      </c>
      <c r="L90" t="s">
        <v>112</v>
      </c>
      <c r="O90">
        <v>4</v>
      </c>
      <c r="P90" t="s">
        <v>59</v>
      </c>
      <c r="S90">
        <v>1</v>
      </c>
      <c r="T90">
        <v>22</v>
      </c>
      <c r="V90">
        <v>50</v>
      </c>
      <c r="W90" t="s">
        <v>1258</v>
      </c>
      <c r="X90" t="s">
        <v>114</v>
      </c>
      <c r="Y90">
        <v>60</v>
      </c>
      <c r="AB90">
        <v>0.82</v>
      </c>
      <c r="AC90" t="s">
        <v>85</v>
      </c>
      <c r="AD90" t="s">
        <v>92</v>
      </c>
      <c r="AE90" t="s">
        <v>138</v>
      </c>
      <c r="AI90">
        <v>5</v>
      </c>
      <c r="AJ90" t="s">
        <v>201</v>
      </c>
      <c r="AK90">
        <v>1.27</v>
      </c>
      <c r="AL90" t="s">
        <v>409</v>
      </c>
      <c r="AO90">
        <v>0</v>
      </c>
      <c r="AT90" t="s">
        <v>75</v>
      </c>
      <c r="AU90">
        <v>0.8912280701754387</v>
      </c>
      <c r="AV90" t="s">
        <v>1250</v>
      </c>
    </row>
    <row r="91" spans="1:53" x14ac:dyDescent="0.3">
      <c r="A91" t="s">
        <v>1253</v>
      </c>
      <c r="C91" t="s">
        <v>1231</v>
      </c>
      <c r="D91" t="s">
        <v>81</v>
      </c>
      <c r="E91">
        <v>1000000</v>
      </c>
      <c r="H91">
        <v>14.25</v>
      </c>
      <c r="I91" t="s">
        <v>56</v>
      </c>
      <c r="J91">
        <v>1.4250000000000001E-3</v>
      </c>
      <c r="K91" t="s">
        <v>57</v>
      </c>
      <c r="L91" t="s">
        <v>112</v>
      </c>
      <c r="O91">
        <v>4</v>
      </c>
      <c r="P91" t="s">
        <v>59</v>
      </c>
      <c r="S91">
        <v>1</v>
      </c>
      <c r="T91">
        <v>22</v>
      </c>
      <c r="V91">
        <v>50</v>
      </c>
      <c r="W91" t="s">
        <v>1259</v>
      </c>
      <c r="X91" t="s">
        <v>114</v>
      </c>
      <c r="Y91">
        <v>60</v>
      </c>
      <c r="AA91" t="s">
        <v>94</v>
      </c>
      <c r="AB91">
        <v>6.99</v>
      </c>
      <c r="AC91" t="s">
        <v>85</v>
      </c>
      <c r="AD91" t="s">
        <v>314</v>
      </c>
      <c r="AE91" t="s">
        <v>138</v>
      </c>
      <c r="AI91">
        <v>5</v>
      </c>
      <c r="AJ91" t="s">
        <v>201</v>
      </c>
      <c r="AK91">
        <v>0.8</v>
      </c>
      <c r="AL91" t="s">
        <v>409</v>
      </c>
      <c r="AO91">
        <v>0</v>
      </c>
      <c r="AU91">
        <v>0.56140350877192979</v>
      </c>
      <c r="AV91" t="s">
        <v>1250</v>
      </c>
      <c r="AZ91">
        <v>0</v>
      </c>
      <c r="BA91">
        <v>6.99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9"/>
  <sheetViews>
    <sheetView workbookViewId="0">
      <selection activeCell="C19" sqref="C19:F19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9" bestFit="1" customWidth="1"/>
    <col min="4" max="4" width="9.109375" bestFit="1" customWidth="1"/>
    <col min="5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COUNTA(FoamSprayMaster[Ref])</f>
        <v>90</v>
      </c>
      <c r="C2" s="3"/>
      <c r="D2" s="3"/>
      <c r="E2" s="3"/>
      <c r="F2" s="3"/>
    </row>
    <row r="3" spans="1:6" x14ac:dyDescent="0.3">
      <c r="A3" s="3" t="s">
        <v>1583</v>
      </c>
      <c r="B3" s="3">
        <f>COUNTA(FoamSprayMaster[GrimeDirt])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COUNTA(FoamSprayMaster[Rinsate])</f>
        <v>90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FoamSprayMaster[ConvertedCoupAreaUn]),COUNTIF(FoamSprayMaster[ConvertedCoupAreaUn],INDEX(FoamSprayMaster[ConvertedCoupAreaUn],MATCH(TRUE,FoamSprayMaster[ConvertedCoupAreaUn]&lt;&gt;"",0)))=COUNTIF(FoamSprayMaster[ConvertedCoupAreaUn],"&lt;&gt;"),""),INDEX(FoamSprayMaster[ConvertedCoupAreaUn],MATCH(TRUE,FoamSprayMaster[ConvertedCoupAreaUn]&lt;&gt;"",0)), "multiple units given"),"NA")</f>
        <v>m^2</v>
      </c>
      <c r="C11" s="3">
        <f>IF(AND(ISNUMBER(E11),ISNUMBER(F11)),MIN(FoamSprayMaster[ConvertedCoupArea]),"NA")</f>
        <v>9.6199999999999996E-4</v>
      </c>
      <c r="D11" s="3">
        <f>IF(AND(ISNUMBER(E11),ISNUMBER(F11)),MAX(FoamSprayMaster[ConvertedCoupArea]),"NA")</f>
        <v>1.44</v>
      </c>
      <c r="E11" s="3">
        <f>IFERROR(AVERAGE(FoamSprayMaster[ConvertedCoupArea]),"NA")</f>
        <v>0.11818697777777722</v>
      </c>
      <c r="F11" s="3">
        <f>IFERROR(STDEV(FoamSprayMaster[ConvertedCoupArea]),"NA")</f>
        <v>0.35710355540280625</v>
      </c>
    </row>
    <row r="12" spans="1:6" x14ac:dyDescent="0.3">
      <c r="A12" s="3" t="s">
        <v>1591</v>
      </c>
      <c r="B12" s="3" t="str" cm="1">
        <f t="array" ref="B12">IFERROR(IF(IF(COUNTA(FoamSprayMaster[LoadingUn]),COUNTIF(FoamSprayMaster[LoadingUn],INDEX(FoamSprayMaster[LoadingUn],MATCH(TRUE,FoamSprayMaster[LoadingUn]&lt;&gt;"",0)))=COUNTIF(FoamSprayMaster[LoadingUn],"&lt;&gt;"),""),INDEX(FoamSprayMaster[LoadingUn],MATCH(TRUE,FoamSprayMaster[LoadingUn]&lt;&gt;"",0)), "multiple units given"),"NA")</f>
        <v>multiple units given</v>
      </c>
      <c r="C12" s="3">
        <f>IF(AND(ISNUMBER(E12),ISNUMBER(F12)),MIN(FoamSprayMaster[LoadingNum]),"NA")</f>
        <v>100000</v>
      </c>
      <c r="D12" s="3">
        <f>IF(AND(ISNUMBER(E12),ISNUMBER(F12)),MAX(FoamSprayMaster[LoadingNum]),"NA")</f>
        <v>2100000000</v>
      </c>
      <c r="E12" s="3">
        <f>IFERROR(AVERAGE(FoamSprayMaster[LoadingNum]),"NA")</f>
        <v>208273333.36666667</v>
      </c>
      <c r="F12" s="3">
        <f>IFERROR(STDEV(FoamSprayMaster[LoadingNum]),"NA")</f>
        <v>510093665.49828023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IF(AND(ISNUMBER(E13),ISNUMBER(F13)),MIN(FoamSprayMaster[TotalApp]),"NA")</f>
        <v>NA</v>
      </c>
      <c r="D13" s="3" t="str">
        <f>IF(AND(ISNUMBER(E13),ISNUMBER(F13)),MAX(FoamSprayMaster[TotalApp]),"NA")</f>
        <v>NA</v>
      </c>
      <c r="E13" s="3" t="str">
        <f>IFERROR(AVERAGE(FoamSprayMaster[TotalApp]),"NA")</f>
        <v>NA</v>
      </c>
      <c r="F13" s="3" t="str">
        <f>IFERROR(STDEV(FoamSprayMaster[TotalApp]),"NA")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IF(AND(ISNUMBER(E14),ISNUMBER(F14)),MIN(FoamSprayMaster[TempNum]),"NA")</f>
        <v>22</v>
      </c>
      <c r="D14" s="3">
        <f>IF(AND(ISNUMBER(E14),ISNUMBER(F14)),MAX(FoamSprayMaster[TempNum]),"NA")</f>
        <v>27</v>
      </c>
      <c r="E14" s="3">
        <f>IFERROR(AVERAGE(FoamSprayMaster[TempNum]),"NA")</f>
        <v>23.3</v>
      </c>
      <c r="F14" s="3">
        <f>IFERROR(STDEV(FoamSprayMaster[TempNum]),"NA")</f>
        <v>1.5772255543955032</v>
      </c>
    </row>
    <row r="15" spans="1:6" x14ac:dyDescent="0.3">
      <c r="A15" s="3" t="s">
        <v>1595</v>
      </c>
      <c r="B15" s="3" t="s">
        <v>1527</v>
      </c>
      <c r="C15" s="3">
        <f>IF(AND(ISNUMBER(E15),ISNUMBER(F15)),MIN(FoamSprayMaster[RHNum]),"NA")</f>
        <v>40</v>
      </c>
      <c r="D15" s="3">
        <f>IF(AND(ISNUMBER(E15),ISNUMBER(F15)),MAX(FoamSprayMaster[RHNum]),"NA")</f>
        <v>80</v>
      </c>
      <c r="E15" s="3">
        <f>IFERROR(AVERAGE(FoamSprayMaster[RHNum]),"NA")</f>
        <v>50.444444444444443</v>
      </c>
      <c r="F15" s="3">
        <f>IFERROR(STDEV(FoamSprayMaster[RHNum]),"NA")</f>
        <v>8.7295328666494285</v>
      </c>
    </row>
    <row r="16" spans="1:6" x14ac:dyDescent="0.3">
      <c r="A16" s="3" t="s">
        <v>1596</v>
      </c>
      <c r="B16" s="3" t="s">
        <v>1597</v>
      </c>
      <c r="C16" s="3">
        <f>IF(AND(ISNUMBER(E16),ISNUMBER(F16)),MIN(FoamSprayMaster[ContTimeNumMin]),"NA")</f>
        <v>30</v>
      </c>
      <c r="D16" s="3">
        <f>IF(AND(ISNUMBER(E16),ISNUMBER(F16)),MAX(FoamSprayMaster[ContTimeNumMin]),"NA")</f>
        <v>120</v>
      </c>
      <c r="E16" s="3">
        <f>IFERROR(AVERAGE(FoamSprayMaster[ContTimeNumMin]),"NA")</f>
        <v>40</v>
      </c>
      <c r="F16" s="3">
        <f>IFERROR(STDEV(FoamSprayMaster[ContTimeNumMin]),"NA")</f>
        <v>16.699498179185497</v>
      </c>
    </row>
    <row r="17" spans="1:6" x14ac:dyDescent="0.3">
      <c r="A17" s="3" t="s">
        <v>1598</v>
      </c>
      <c r="B17" s="3" t="str" cm="1">
        <f t="array" ref="B17">IFERROR(IF(IF(COUNTA(FoamSprayMaster[ConcDoseUn]),COUNTIF(FoamSprayMaster[ConcDoseUn],INDEX(FoamSprayMaster[ConcDoseUn],MATCH(TRUE,FoamSprayMaster[ConcDoseUn]&lt;&gt;"",0)))=COUNTIF(FoamSprayMaster[ConcDoseUn],"&lt;&gt;"),""),INDEX(FoamSprayMaster[ConcDoseUn],MATCH(TRUE,FoamSprayMaster[ConcDoseUn]&lt;&gt;"",0)), "multiple units given"),"NA")</f>
        <v>multiple units given</v>
      </c>
      <c r="C17" s="3">
        <f>IF(AND(ISNUMBER(E17),ISNUMBER(F17)),MIN(FoamSprayMaster[ConcDoseNum]),"NA")</f>
        <v>0</v>
      </c>
      <c r="D17" s="3">
        <f>IF(AND(ISNUMBER(E17),ISNUMBER(F17)),MAX(FoamSprayMaster[ConcDoseNum]),"NA")</f>
        <v>66.5</v>
      </c>
      <c r="E17" s="3">
        <f>IFERROR(AVERAGE(FoamSprayMaster[ConcDoseNum]),"NA")</f>
        <v>23.677777777777777</v>
      </c>
      <c r="F17" s="3">
        <f>IFERROR(STDEV(FoamSprayMaster[ConcDoseNum]),"NA")</f>
        <v>29.407473550514666</v>
      </c>
    </row>
    <row r="18" spans="1:6" x14ac:dyDescent="0.3">
      <c r="A18" s="3" t="s">
        <v>1599</v>
      </c>
      <c r="B18" s="3" t="str" cm="1">
        <f t="array" ref="B18">IFERROR(IF(IF(COUNTA(FoamSprayMaster[EffMeas]),COUNTIF(FoamSprayMaster[EffMeas],INDEX(FoamSprayMaster[EffMeas],MATCH(TRUE,FoamSprayMaster[EffMeas]&lt;&gt;"",0)))=COUNTIF(FoamSprayMaster[EffMeas],"&lt;&gt;"),""),INDEX(FoamSprayMaster[EffMeas],MATCH(TRUE,FoamSprayMaster[EffMeas]&lt;&gt;"",0)), "multiple units given"),"NA")</f>
        <v>multiple units given</v>
      </c>
      <c r="C18" s="3">
        <f>IF(AND(ISNUMBER(E18),ISNUMBER(F18)),MIN(FoamSprayMaster[Eff]),"NA")</f>
        <v>0.59</v>
      </c>
      <c r="D18" s="3">
        <f>IF(AND(ISNUMBER(E18),ISNUMBER(F18)),MAX(FoamSprayMaster[Eff]),"NA")</f>
        <v>9.1999999999999904</v>
      </c>
      <c r="E18" s="3">
        <f>IFERROR(AVERAGE(FoamSprayMaster[Eff]),"NA")</f>
        <v>5.7443333333333335</v>
      </c>
      <c r="F18" s="3">
        <f>IFERROR(STDEV(FoamSprayMaster[Eff]),"NA")</f>
        <v>2.6200570583031246</v>
      </c>
    </row>
    <row r="19" spans="1:6" x14ac:dyDescent="0.3">
      <c r="A19" s="3" t="s">
        <v>1600</v>
      </c>
      <c r="B19" s="3" t="str" cm="1">
        <f t="array" ref="B19">IFERROR(IF(IF(COUNTA(FoamSprayMaster[ConvertedVolAppUn]),COUNTIF(FoamSprayMaster[ConvertedVolAppUn],INDEX(FoamSprayMaster[ConvertedVolAppUn],MATCH(TRUE,FoamSprayMaster[ConvertedVolAppUn]&lt;&gt;"",0)))=COUNTIF(FoamSprayMaster[ConvertedVolAppUn],"&lt;&gt;"),""),INDEX(FoamSprayMaster[ConvertedVolAppUn],MATCH(TRUE,FoamSprayMaster[ConvertedVolAppUn]&lt;&gt;"",0)), "multiple units given"),"NA")</f>
        <v>mL</v>
      </c>
      <c r="C19" s="3">
        <f>IF(AND(ISNUMBER(E19),ISNUMBER(F19)),MIN(FoamSprayMaster[ConvertedVolApp]),"NA")</f>
        <v>1.01</v>
      </c>
      <c r="D19" s="3">
        <f>IF(AND(ISNUMBER(E19),ISNUMBER(F19)),MAX(FoamSprayMaster[ConvertedVolApp]),"NA")</f>
        <v>5700</v>
      </c>
      <c r="E19" s="3">
        <f>IFERROR(AVERAGE(FoamSprayMaster[ConvertedVolApp]),"NA")</f>
        <v>1555.8231818181832</v>
      </c>
      <c r="F19" s="3">
        <f>IFERROR(STDEV(FoamSprayMaster[ConvertedVolApp]),"NA")</f>
        <v>2597.500605709422</v>
      </c>
    </row>
  </sheetData>
  <conditionalFormatting sqref="B11:B19">
    <cfRule type="cellIs" dxfId="68" priority="1" operator="equal">
      <formula>"multiple units given"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9"/>
  <sheetViews>
    <sheetView topLeftCell="I1" workbookViewId="0">
      <selection activeCell="E6" sqref="E6"/>
    </sheetView>
  </sheetViews>
  <sheetFormatPr defaultRowHeight="14.4" x14ac:dyDescent="0.3"/>
  <cols>
    <col min="2" max="3" width="10.88671875" customWidth="1"/>
    <col min="4" max="4" width="14.5546875" bestFit="1" customWidth="1"/>
    <col min="5" max="5" width="16.21875" bestFit="1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53</v>
      </c>
      <c r="C2" t="s">
        <v>54</v>
      </c>
      <c r="D2" t="s">
        <v>55</v>
      </c>
      <c r="E2">
        <v>1000000</v>
      </c>
      <c r="H2">
        <v>929</v>
      </c>
      <c r="I2" t="s">
        <v>56</v>
      </c>
      <c r="J2">
        <v>9.290000000000001E-2</v>
      </c>
      <c r="K2" t="s">
        <v>57</v>
      </c>
      <c r="L2" t="s">
        <v>58</v>
      </c>
      <c r="O2">
        <v>4.5</v>
      </c>
      <c r="P2" t="s">
        <v>59</v>
      </c>
      <c r="T2">
        <v>22</v>
      </c>
      <c r="V2">
        <v>50</v>
      </c>
      <c r="W2" t="s">
        <v>60</v>
      </c>
      <c r="X2" t="s">
        <v>61</v>
      </c>
      <c r="Y2">
        <v>132</v>
      </c>
      <c r="AB2">
        <v>0.82</v>
      </c>
      <c r="AC2" t="s">
        <v>62</v>
      </c>
      <c r="AD2">
        <v>0.32</v>
      </c>
      <c r="AE2" t="s">
        <v>63</v>
      </c>
      <c r="AH2">
        <v>4.5</v>
      </c>
      <c r="AK2">
        <v>1.25</v>
      </c>
      <c r="AL2" t="s">
        <v>64</v>
      </c>
      <c r="AT2" t="s">
        <v>65</v>
      </c>
      <c r="AU2">
        <v>0</v>
      </c>
      <c r="AV2" t="s">
        <v>66</v>
      </c>
      <c r="BA2">
        <v>4.5</v>
      </c>
    </row>
    <row r="3" spans="1:53" x14ac:dyDescent="0.3">
      <c r="A3" t="s">
        <v>53</v>
      </c>
      <c r="C3" t="s">
        <v>54</v>
      </c>
      <c r="D3" t="s">
        <v>55</v>
      </c>
      <c r="E3">
        <v>1000000</v>
      </c>
      <c r="H3">
        <v>929</v>
      </c>
      <c r="I3" t="s">
        <v>56</v>
      </c>
      <c r="J3">
        <v>9.290000000000001E-2</v>
      </c>
      <c r="K3" t="s">
        <v>57</v>
      </c>
      <c r="L3" t="s">
        <v>58</v>
      </c>
      <c r="O3">
        <v>4.5</v>
      </c>
      <c r="P3" t="s">
        <v>59</v>
      </c>
      <c r="T3">
        <v>22</v>
      </c>
      <c r="V3">
        <v>50</v>
      </c>
      <c r="W3" t="s">
        <v>67</v>
      </c>
      <c r="X3" t="s">
        <v>61</v>
      </c>
      <c r="Y3">
        <v>132</v>
      </c>
      <c r="AB3">
        <v>0.89</v>
      </c>
      <c r="AC3" t="s">
        <v>62</v>
      </c>
      <c r="AD3">
        <v>1.07</v>
      </c>
      <c r="AE3" t="s">
        <v>63</v>
      </c>
      <c r="AH3">
        <v>4.5</v>
      </c>
      <c r="AK3">
        <v>1.25</v>
      </c>
      <c r="AL3" t="s">
        <v>64</v>
      </c>
      <c r="AT3" t="s">
        <v>65</v>
      </c>
      <c r="AU3">
        <v>0</v>
      </c>
      <c r="AV3" t="s">
        <v>66</v>
      </c>
      <c r="BA3">
        <v>4.5</v>
      </c>
    </row>
    <row r="4" spans="1:53" x14ac:dyDescent="0.3">
      <c r="A4" t="s">
        <v>53</v>
      </c>
      <c r="C4" t="s">
        <v>54</v>
      </c>
      <c r="D4" t="s">
        <v>55</v>
      </c>
      <c r="E4">
        <v>1000000</v>
      </c>
      <c r="H4">
        <v>929</v>
      </c>
      <c r="I4" t="s">
        <v>56</v>
      </c>
      <c r="J4">
        <v>9.290000000000001E-2</v>
      </c>
      <c r="K4" t="s">
        <v>57</v>
      </c>
      <c r="L4" t="s">
        <v>58</v>
      </c>
      <c r="O4">
        <v>4.5</v>
      </c>
      <c r="P4" t="s">
        <v>59</v>
      </c>
      <c r="T4">
        <v>22</v>
      </c>
      <c r="V4">
        <v>50</v>
      </c>
      <c r="W4" t="s">
        <v>68</v>
      </c>
      <c r="X4" t="s">
        <v>61</v>
      </c>
      <c r="Y4">
        <v>132</v>
      </c>
      <c r="AB4">
        <v>1.21</v>
      </c>
      <c r="AC4" t="s">
        <v>62</v>
      </c>
      <c r="AD4">
        <v>0.86</v>
      </c>
      <c r="AE4" t="s">
        <v>63</v>
      </c>
      <c r="AH4">
        <v>5.5</v>
      </c>
      <c r="AK4">
        <v>1.25</v>
      </c>
      <c r="AL4" t="s">
        <v>64</v>
      </c>
      <c r="AT4" t="s">
        <v>65</v>
      </c>
      <c r="AU4">
        <v>0</v>
      </c>
      <c r="AV4" t="s">
        <v>66</v>
      </c>
      <c r="BA4">
        <v>5.5</v>
      </c>
    </row>
    <row r="5" spans="1:53" x14ac:dyDescent="0.3">
      <c r="A5" t="s">
        <v>53</v>
      </c>
      <c r="C5" t="s">
        <v>54</v>
      </c>
      <c r="D5" t="s">
        <v>55</v>
      </c>
      <c r="E5">
        <v>1000000</v>
      </c>
      <c r="H5">
        <v>929</v>
      </c>
      <c r="I5" t="s">
        <v>56</v>
      </c>
      <c r="J5">
        <v>9.290000000000001E-2</v>
      </c>
      <c r="K5" t="s">
        <v>57</v>
      </c>
      <c r="L5" t="s">
        <v>58</v>
      </c>
      <c r="O5">
        <v>4.5</v>
      </c>
      <c r="P5" t="s">
        <v>59</v>
      </c>
      <c r="T5">
        <v>22</v>
      </c>
      <c r="V5">
        <v>50</v>
      </c>
      <c r="W5" t="s">
        <v>69</v>
      </c>
      <c r="X5" t="s">
        <v>61</v>
      </c>
      <c r="Y5">
        <v>132</v>
      </c>
      <c r="AB5">
        <v>1.34</v>
      </c>
      <c r="AC5" t="s">
        <v>62</v>
      </c>
      <c r="AD5">
        <v>0.77</v>
      </c>
      <c r="AE5" t="s">
        <v>63</v>
      </c>
      <c r="AH5">
        <v>5.5</v>
      </c>
      <c r="AK5">
        <v>1.25</v>
      </c>
      <c r="AL5" t="s">
        <v>64</v>
      </c>
      <c r="AT5" t="s">
        <v>65</v>
      </c>
      <c r="AU5">
        <v>0</v>
      </c>
      <c r="AV5" t="s">
        <v>66</v>
      </c>
      <c r="BA5">
        <v>5.5</v>
      </c>
    </row>
    <row r="6" spans="1:53" x14ac:dyDescent="0.3">
      <c r="A6" t="s">
        <v>53</v>
      </c>
      <c r="C6" t="s">
        <v>54</v>
      </c>
      <c r="D6" t="s">
        <v>55</v>
      </c>
      <c r="E6">
        <v>1000000</v>
      </c>
      <c r="H6">
        <v>929</v>
      </c>
      <c r="I6" t="s">
        <v>56</v>
      </c>
      <c r="J6">
        <v>9.290000000000001E-2</v>
      </c>
      <c r="K6" t="s">
        <v>57</v>
      </c>
      <c r="L6" t="s">
        <v>58</v>
      </c>
      <c r="O6">
        <v>4.5</v>
      </c>
      <c r="P6" t="s">
        <v>59</v>
      </c>
      <c r="T6">
        <v>22</v>
      </c>
      <c r="V6">
        <v>50</v>
      </c>
      <c r="W6" t="s">
        <v>70</v>
      </c>
      <c r="X6" t="s">
        <v>61</v>
      </c>
      <c r="Y6">
        <v>132</v>
      </c>
      <c r="AB6">
        <v>0.61</v>
      </c>
      <c r="AC6" t="s">
        <v>62</v>
      </c>
      <c r="AD6">
        <v>0.45</v>
      </c>
      <c r="AE6" t="s">
        <v>63</v>
      </c>
      <c r="AH6">
        <v>4.5</v>
      </c>
      <c r="AK6">
        <v>1.25</v>
      </c>
      <c r="AL6" t="s">
        <v>64</v>
      </c>
      <c r="AT6" t="s">
        <v>65</v>
      </c>
      <c r="AU6">
        <v>0</v>
      </c>
      <c r="AV6" t="s">
        <v>66</v>
      </c>
      <c r="BA6">
        <v>4.5</v>
      </c>
    </row>
    <row r="7" spans="1:53" x14ac:dyDescent="0.3">
      <c r="A7" t="s">
        <v>53</v>
      </c>
      <c r="C7" t="s">
        <v>54</v>
      </c>
      <c r="D7" t="s">
        <v>55</v>
      </c>
      <c r="E7">
        <v>1000000</v>
      </c>
      <c r="H7">
        <v>929</v>
      </c>
      <c r="I7" t="s">
        <v>56</v>
      </c>
      <c r="J7">
        <v>9.290000000000001E-2</v>
      </c>
      <c r="K7" t="s">
        <v>57</v>
      </c>
      <c r="L7" t="s">
        <v>58</v>
      </c>
      <c r="O7">
        <v>4.5</v>
      </c>
      <c r="P7" t="s">
        <v>59</v>
      </c>
      <c r="T7">
        <v>22</v>
      </c>
      <c r="V7">
        <v>50</v>
      </c>
      <c r="W7" t="s">
        <v>71</v>
      </c>
      <c r="X7" t="s">
        <v>61</v>
      </c>
      <c r="Y7">
        <v>132</v>
      </c>
      <c r="AB7">
        <v>0.2</v>
      </c>
      <c r="AC7" t="s">
        <v>62</v>
      </c>
      <c r="AD7">
        <v>0.18</v>
      </c>
      <c r="AE7" t="s">
        <v>63</v>
      </c>
      <c r="AH7">
        <v>4.5</v>
      </c>
      <c r="AK7">
        <v>1.25</v>
      </c>
      <c r="AL7" t="s">
        <v>64</v>
      </c>
      <c r="AT7" t="s">
        <v>65</v>
      </c>
      <c r="AU7">
        <v>0</v>
      </c>
      <c r="AV7" t="s">
        <v>66</v>
      </c>
      <c r="BA7">
        <v>4.5</v>
      </c>
    </row>
    <row r="8" spans="1:53" x14ac:dyDescent="0.3">
      <c r="A8" t="s">
        <v>53</v>
      </c>
      <c r="C8" t="s">
        <v>54</v>
      </c>
      <c r="D8" t="s">
        <v>55</v>
      </c>
      <c r="E8">
        <v>1000000</v>
      </c>
      <c r="H8">
        <v>929</v>
      </c>
      <c r="I8" t="s">
        <v>56</v>
      </c>
      <c r="J8">
        <v>9.290000000000001E-2</v>
      </c>
      <c r="K8" t="s">
        <v>57</v>
      </c>
      <c r="L8" t="s">
        <v>58</v>
      </c>
      <c r="O8">
        <v>4.5</v>
      </c>
      <c r="P8" t="s">
        <v>59</v>
      </c>
      <c r="T8">
        <v>22</v>
      </c>
      <c r="V8">
        <v>50</v>
      </c>
      <c r="W8" t="s">
        <v>60</v>
      </c>
      <c r="X8" t="s">
        <v>61</v>
      </c>
      <c r="Y8">
        <v>960</v>
      </c>
      <c r="AB8">
        <v>1.72</v>
      </c>
      <c r="AC8" t="s">
        <v>62</v>
      </c>
      <c r="AD8">
        <v>0.31</v>
      </c>
      <c r="AE8" t="s">
        <v>63</v>
      </c>
      <c r="AH8">
        <v>4.5</v>
      </c>
      <c r="AK8">
        <v>1.25</v>
      </c>
      <c r="AL8" t="s">
        <v>64</v>
      </c>
      <c r="AT8" t="s">
        <v>65</v>
      </c>
      <c r="AU8">
        <v>0</v>
      </c>
      <c r="AV8" t="s">
        <v>66</v>
      </c>
      <c r="BA8">
        <v>4.5</v>
      </c>
    </row>
    <row r="9" spans="1:53" x14ac:dyDescent="0.3">
      <c r="A9" t="s">
        <v>53</v>
      </c>
      <c r="C9" t="s">
        <v>54</v>
      </c>
      <c r="D9" t="s">
        <v>55</v>
      </c>
      <c r="E9">
        <v>1000000</v>
      </c>
      <c r="H9">
        <v>929</v>
      </c>
      <c r="I9" t="s">
        <v>56</v>
      </c>
      <c r="J9">
        <v>9.290000000000001E-2</v>
      </c>
      <c r="K9" t="s">
        <v>57</v>
      </c>
      <c r="L9" t="s">
        <v>58</v>
      </c>
      <c r="O9">
        <v>4.5</v>
      </c>
      <c r="P9" t="s">
        <v>59</v>
      </c>
      <c r="T9">
        <v>22</v>
      </c>
      <c r="V9">
        <v>50</v>
      </c>
      <c r="W9" t="s">
        <v>67</v>
      </c>
      <c r="X9" t="s">
        <v>61</v>
      </c>
      <c r="Y9">
        <v>960</v>
      </c>
      <c r="AB9">
        <v>1.21</v>
      </c>
      <c r="AC9" t="s">
        <v>62</v>
      </c>
      <c r="AD9">
        <v>0.4</v>
      </c>
      <c r="AE9" t="s">
        <v>63</v>
      </c>
      <c r="AH9">
        <v>4.5</v>
      </c>
      <c r="AK9">
        <v>1.25</v>
      </c>
      <c r="AL9" t="s">
        <v>64</v>
      </c>
      <c r="AT9" t="s">
        <v>65</v>
      </c>
      <c r="AU9">
        <v>0</v>
      </c>
      <c r="AV9" t="s">
        <v>66</v>
      </c>
      <c r="BA9">
        <v>4.5</v>
      </c>
    </row>
    <row r="10" spans="1:53" x14ac:dyDescent="0.3">
      <c r="A10" t="s">
        <v>53</v>
      </c>
      <c r="C10" t="s">
        <v>54</v>
      </c>
      <c r="D10" t="s">
        <v>55</v>
      </c>
      <c r="E10">
        <v>1000000</v>
      </c>
      <c r="H10">
        <v>929</v>
      </c>
      <c r="I10" t="s">
        <v>56</v>
      </c>
      <c r="J10">
        <v>9.290000000000001E-2</v>
      </c>
      <c r="K10" t="s">
        <v>57</v>
      </c>
      <c r="L10" t="s">
        <v>58</v>
      </c>
      <c r="O10">
        <v>4.5</v>
      </c>
      <c r="P10" t="s">
        <v>59</v>
      </c>
      <c r="T10">
        <v>22</v>
      </c>
      <c r="V10">
        <v>50</v>
      </c>
      <c r="W10" t="s">
        <v>68</v>
      </c>
      <c r="X10" t="s">
        <v>61</v>
      </c>
      <c r="Y10">
        <v>960</v>
      </c>
      <c r="AB10">
        <v>1.04</v>
      </c>
      <c r="AC10" t="s">
        <v>62</v>
      </c>
      <c r="AD10">
        <v>1.1499999999999999</v>
      </c>
      <c r="AE10" t="s">
        <v>63</v>
      </c>
      <c r="AH10">
        <v>5.5</v>
      </c>
      <c r="AK10">
        <v>1.25</v>
      </c>
      <c r="AL10" t="s">
        <v>64</v>
      </c>
      <c r="AT10" t="s">
        <v>65</v>
      </c>
      <c r="AU10">
        <v>0</v>
      </c>
      <c r="AV10" t="s">
        <v>66</v>
      </c>
      <c r="BA10">
        <v>5.5</v>
      </c>
    </row>
    <row r="11" spans="1:53" x14ac:dyDescent="0.3">
      <c r="A11" t="s">
        <v>53</v>
      </c>
      <c r="C11" t="s">
        <v>54</v>
      </c>
      <c r="D11" t="s">
        <v>55</v>
      </c>
      <c r="E11">
        <v>1000000</v>
      </c>
      <c r="H11">
        <v>929</v>
      </c>
      <c r="I11" t="s">
        <v>56</v>
      </c>
      <c r="J11">
        <v>9.290000000000001E-2</v>
      </c>
      <c r="K11" t="s">
        <v>57</v>
      </c>
      <c r="L11" t="s">
        <v>58</v>
      </c>
      <c r="O11">
        <v>4.5</v>
      </c>
      <c r="P11" t="s">
        <v>59</v>
      </c>
      <c r="T11">
        <v>22</v>
      </c>
      <c r="V11">
        <v>50</v>
      </c>
      <c r="W11" t="s">
        <v>69</v>
      </c>
      <c r="X11" t="s">
        <v>61</v>
      </c>
      <c r="Y11">
        <v>960</v>
      </c>
      <c r="AB11">
        <v>2.2599999999999998</v>
      </c>
      <c r="AC11" t="s">
        <v>62</v>
      </c>
      <c r="AD11">
        <v>0.54</v>
      </c>
      <c r="AE11" t="s">
        <v>63</v>
      </c>
      <c r="AH11">
        <v>5.5</v>
      </c>
      <c r="AK11">
        <v>1.25</v>
      </c>
      <c r="AL11" t="s">
        <v>64</v>
      </c>
      <c r="AT11" t="s">
        <v>65</v>
      </c>
      <c r="AU11">
        <v>0</v>
      </c>
      <c r="AV11" t="s">
        <v>66</v>
      </c>
      <c r="BA11">
        <v>5.5</v>
      </c>
    </row>
    <row r="12" spans="1:53" x14ac:dyDescent="0.3">
      <c r="A12" t="s">
        <v>53</v>
      </c>
      <c r="C12" t="s">
        <v>54</v>
      </c>
      <c r="D12" t="s">
        <v>55</v>
      </c>
      <c r="E12">
        <v>10000000</v>
      </c>
      <c r="H12">
        <v>929</v>
      </c>
      <c r="I12" t="s">
        <v>56</v>
      </c>
      <c r="J12">
        <v>9.290000000000001E-2</v>
      </c>
      <c r="K12" t="s">
        <v>57</v>
      </c>
      <c r="L12" t="s">
        <v>58</v>
      </c>
      <c r="O12">
        <v>4.5</v>
      </c>
      <c r="P12" t="s">
        <v>59</v>
      </c>
      <c r="T12">
        <v>22</v>
      </c>
      <c r="V12">
        <v>50</v>
      </c>
      <c r="W12" t="s">
        <v>70</v>
      </c>
      <c r="X12" t="s">
        <v>61</v>
      </c>
      <c r="Y12">
        <v>960</v>
      </c>
      <c r="AB12">
        <v>1.65</v>
      </c>
      <c r="AC12" t="s">
        <v>62</v>
      </c>
      <c r="AD12">
        <v>0.12</v>
      </c>
      <c r="AE12" t="s">
        <v>63</v>
      </c>
      <c r="AH12">
        <v>4.5</v>
      </c>
      <c r="AK12">
        <v>1.25</v>
      </c>
      <c r="AL12" t="s">
        <v>64</v>
      </c>
      <c r="AT12" t="s">
        <v>65</v>
      </c>
      <c r="AU12">
        <v>0</v>
      </c>
      <c r="AV12" t="s">
        <v>66</v>
      </c>
      <c r="BA12">
        <v>4.5</v>
      </c>
    </row>
    <row r="13" spans="1:53" x14ac:dyDescent="0.3">
      <c r="A13" t="s">
        <v>53</v>
      </c>
      <c r="C13" t="s">
        <v>54</v>
      </c>
      <c r="D13" t="s">
        <v>55</v>
      </c>
      <c r="E13">
        <v>10000000</v>
      </c>
      <c r="H13">
        <v>929</v>
      </c>
      <c r="I13" t="s">
        <v>56</v>
      </c>
      <c r="J13">
        <v>9.290000000000001E-2</v>
      </c>
      <c r="K13" t="s">
        <v>57</v>
      </c>
      <c r="L13" t="s">
        <v>58</v>
      </c>
      <c r="O13">
        <v>4.5</v>
      </c>
      <c r="P13" t="s">
        <v>59</v>
      </c>
      <c r="T13">
        <v>22</v>
      </c>
      <c r="V13">
        <v>50</v>
      </c>
      <c r="W13" t="s">
        <v>71</v>
      </c>
      <c r="X13" t="s">
        <v>61</v>
      </c>
      <c r="Y13">
        <v>960</v>
      </c>
      <c r="AB13">
        <v>0.42</v>
      </c>
      <c r="AC13" t="s">
        <v>62</v>
      </c>
      <c r="AD13">
        <v>0.39</v>
      </c>
      <c r="AE13" t="s">
        <v>63</v>
      </c>
      <c r="AH13">
        <v>4.5</v>
      </c>
      <c r="AK13">
        <v>1.25</v>
      </c>
      <c r="AL13" t="s">
        <v>64</v>
      </c>
      <c r="AT13" t="s">
        <v>65</v>
      </c>
      <c r="AU13">
        <v>0</v>
      </c>
      <c r="AV13" t="s">
        <v>66</v>
      </c>
      <c r="BA13">
        <v>4.5</v>
      </c>
    </row>
    <row r="14" spans="1:53" x14ac:dyDescent="0.3">
      <c r="A14" t="s">
        <v>53</v>
      </c>
      <c r="C14" t="s">
        <v>54</v>
      </c>
      <c r="D14" t="s">
        <v>55</v>
      </c>
      <c r="E14">
        <v>10000000</v>
      </c>
      <c r="H14">
        <v>929</v>
      </c>
      <c r="I14" t="s">
        <v>56</v>
      </c>
      <c r="J14">
        <v>9.290000000000001E-2</v>
      </c>
      <c r="K14" t="s">
        <v>57</v>
      </c>
      <c r="L14" t="s">
        <v>58</v>
      </c>
      <c r="O14">
        <v>4.5</v>
      </c>
      <c r="P14" t="s">
        <v>59</v>
      </c>
      <c r="T14">
        <v>22</v>
      </c>
      <c r="V14">
        <v>50</v>
      </c>
      <c r="W14" t="s">
        <v>60</v>
      </c>
      <c r="X14" t="s">
        <v>61</v>
      </c>
      <c r="Y14">
        <v>900</v>
      </c>
      <c r="AB14">
        <v>1.22</v>
      </c>
      <c r="AC14" t="s">
        <v>62</v>
      </c>
      <c r="AD14">
        <v>0.69</v>
      </c>
      <c r="AE14" t="s">
        <v>63</v>
      </c>
      <c r="AH14">
        <v>4.5</v>
      </c>
      <c r="AK14">
        <v>2.5</v>
      </c>
      <c r="AL14" t="s">
        <v>64</v>
      </c>
      <c r="AT14" t="s">
        <v>65</v>
      </c>
      <c r="AU14">
        <v>0</v>
      </c>
      <c r="AV14" t="s">
        <v>66</v>
      </c>
      <c r="BA14">
        <v>4.5</v>
      </c>
    </row>
    <row r="15" spans="1:53" x14ac:dyDescent="0.3">
      <c r="A15" t="s">
        <v>53</v>
      </c>
      <c r="C15" t="s">
        <v>54</v>
      </c>
      <c r="D15" t="s">
        <v>55</v>
      </c>
      <c r="E15">
        <v>10000000</v>
      </c>
      <c r="H15">
        <v>929</v>
      </c>
      <c r="I15" t="s">
        <v>56</v>
      </c>
      <c r="J15">
        <v>9.290000000000001E-2</v>
      </c>
      <c r="K15" t="s">
        <v>57</v>
      </c>
      <c r="L15" t="s">
        <v>58</v>
      </c>
      <c r="O15">
        <v>4.5</v>
      </c>
      <c r="P15" t="s">
        <v>59</v>
      </c>
      <c r="T15">
        <v>22</v>
      </c>
      <c r="V15">
        <v>50</v>
      </c>
      <c r="W15" t="s">
        <v>67</v>
      </c>
      <c r="X15" t="s">
        <v>61</v>
      </c>
      <c r="Y15">
        <v>900</v>
      </c>
      <c r="AB15">
        <v>1.42</v>
      </c>
      <c r="AC15" t="s">
        <v>62</v>
      </c>
      <c r="AD15">
        <v>0.43</v>
      </c>
      <c r="AE15" t="s">
        <v>63</v>
      </c>
      <c r="AH15">
        <v>4.5</v>
      </c>
      <c r="AK15">
        <v>2.5</v>
      </c>
      <c r="AL15" t="s">
        <v>64</v>
      </c>
      <c r="AT15" t="s">
        <v>65</v>
      </c>
      <c r="AU15">
        <v>0</v>
      </c>
      <c r="AV15" t="s">
        <v>66</v>
      </c>
      <c r="BA15">
        <v>4.5</v>
      </c>
    </row>
    <row r="16" spans="1:53" x14ac:dyDescent="0.3">
      <c r="A16" t="s">
        <v>53</v>
      </c>
      <c r="C16" t="s">
        <v>54</v>
      </c>
      <c r="D16" t="s">
        <v>55</v>
      </c>
      <c r="E16">
        <v>10000000</v>
      </c>
      <c r="H16">
        <v>929</v>
      </c>
      <c r="I16" t="s">
        <v>56</v>
      </c>
      <c r="J16">
        <v>9.290000000000001E-2</v>
      </c>
      <c r="K16" t="s">
        <v>57</v>
      </c>
      <c r="L16" t="s">
        <v>58</v>
      </c>
      <c r="O16">
        <v>4.5</v>
      </c>
      <c r="P16" t="s">
        <v>59</v>
      </c>
      <c r="T16">
        <v>22</v>
      </c>
      <c r="V16">
        <v>50</v>
      </c>
      <c r="W16" t="s">
        <v>68</v>
      </c>
      <c r="X16" t="s">
        <v>61</v>
      </c>
      <c r="Y16">
        <v>900</v>
      </c>
      <c r="AB16">
        <v>1.91</v>
      </c>
      <c r="AC16" t="s">
        <v>62</v>
      </c>
      <c r="AD16">
        <v>0.22</v>
      </c>
      <c r="AE16" t="s">
        <v>63</v>
      </c>
      <c r="AH16">
        <v>5.5</v>
      </c>
      <c r="AK16">
        <v>2.5</v>
      </c>
      <c r="AL16" t="s">
        <v>64</v>
      </c>
      <c r="AT16" t="s">
        <v>65</v>
      </c>
      <c r="AU16">
        <v>0</v>
      </c>
      <c r="AV16" t="s">
        <v>66</v>
      </c>
      <c r="BA16">
        <v>5.5</v>
      </c>
    </row>
    <row r="17" spans="1:53" x14ac:dyDescent="0.3">
      <c r="A17" t="s">
        <v>53</v>
      </c>
      <c r="C17" t="s">
        <v>54</v>
      </c>
      <c r="D17" t="s">
        <v>55</v>
      </c>
      <c r="E17">
        <v>10000000</v>
      </c>
      <c r="H17">
        <v>929</v>
      </c>
      <c r="I17" t="s">
        <v>56</v>
      </c>
      <c r="J17">
        <v>9.290000000000001E-2</v>
      </c>
      <c r="K17" t="s">
        <v>57</v>
      </c>
      <c r="L17" t="s">
        <v>58</v>
      </c>
      <c r="O17">
        <v>4.5</v>
      </c>
      <c r="P17" t="s">
        <v>59</v>
      </c>
      <c r="T17">
        <v>22</v>
      </c>
      <c r="V17">
        <v>50</v>
      </c>
      <c r="W17" t="s">
        <v>69</v>
      </c>
      <c r="X17" t="s">
        <v>61</v>
      </c>
      <c r="Y17">
        <v>900</v>
      </c>
      <c r="AB17">
        <v>1.58</v>
      </c>
      <c r="AC17" t="s">
        <v>62</v>
      </c>
      <c r="AD17">
        <v>0.24</v>
      </c>
      <c r="AE17" t="s">
        <v>63</v>
      </c>
      <c r="AH17">
        <v>5.5</v>
      </c>
      <c r="AK17">
        <v>2.5</v>
      </c>
      <c r="AL17" t="s">
        <v>64</v>
      </c>
      <c r="AT17" t="s">
        <v>65</v>
      </c>
      <c r="AU17">
        <v>0</v>
      </c>
      <c r="AV17" t="s">
        <v>66</v>
      </c>
      <c r="BA17">
        <v>5.5</v>
      </c>
    </row>
    <row r="18" spans="1:53" x14ac:dyDescent="0.3">
      <c r="A18" t="s">
        <v>53</v>
      </c>
      <c r="C18" t="s">
        <v>54</v>
      </c>
      <c r="D18" t="s">
        <v>55</v>
      </c>
      <c r="E18">
        <v>10000000</v>
      </c>
      <c r="H18">
        <v>929</v>
      </c>
      <c r="I18" t="s">
        <v>56</v>
      </c>
      <c r="J18">
        <v>9.290000000000001E-2</v>
      </c>
      <c r="K18" t="s">
        <v>57</v>
      </c>
      <c r="L18" t="s">
        <v>58</v>
      </c>
      <c r="O18">
        <v>4.5</v>
      </c>
      <c r="P18" t="s">
        <v>59</v>
      </c>
      <c r="T18">
        <v>22</v>
      </c>
      <c r="V18">
        <v>50</v>
      </c>
      <c r="W18" t="s">
        <v>70</v>
      </c>
      <c r="X18" t="s">
        <v>61</v>
      </c>
      <c r="Y18">
        <v>900</v>
      </c>
      <c r="AB18">
        <v>1.66</v>
      </c>
      <c r="AC18" t="s">
        <v>62</v>
      </c>
      <c r="AD18">
        <v>0.2</v>
      </c>
      <c r="AE18" t="s">
        <v>63</v>
      </c>
      <c r="AH18">
        <v>4.5</v>
      </c>
      <c r="AK18">
        <v>2.5</v>
      </c>
      <c r="AL18" t="s">
        <v>64</v>
      </c>
      <c r="AT18" t="s">
        <v>65</v>
      </c>
      <c r="AU18">
        <v>0</v>
      </c>
      <c r="AV18" t="s">
        <v>66</v>
      </c>
      <c r="BA18">
        <v>4.5</v>
      </c>
    </row>
    <row r="19" spans="1:53" x14ac:dyDescent="0.3">
      <c r="A19" t="s">
        <v>53</v>
      </c>
      <c r="C19" t="s">
        <v>54</v>
      </c>
      <c r="D19" t="s">
        <v>55</v>
      </c>
      <c r="E19">
        <v>10000000</v>
      </c>
      <c r="H19">
        <v>929</v>
      </c>
      <c r="I19" t="s">
        <v>56</v>
      </c>
      <c r="J19">
        <v>9.290000000000001E-2</v>
      </c>
      <c r="K19" t="s">
        <v>57</v>
      </c>
      <c r="L19" t="s">
        <v>58</v>
      </c>
      <c r="O19">
        <v>4.5</v>
      </c>
      <c r="P19" t="s">
        <v>59</v>
      </c>
      <c r="T19">
        <v>22</v>
      </c>
      <c r="V19">
        <v>50</v>
      </c>
      <c r="W19" t="s">
        <v>71</v>
      </c>
      <c r="X19" t="s">
        <v>61</v>
      </c>
      <c r="Y19">
        <v>900</v>
      </c>
      <c r="AB19">
        <v>1</v>
      </c>
      <c r="AC19" t="s">
        <v>62</v>
      </c>
      <c r="AD19">
        <v>0.26</v>
      </c>
      <c r="AE19" t="s">
        <v>63</v>
      </c>
      <c r="AH19">
        <v>4.5</v>
      </c>
      <c r="AK19">
        <v>2.5</v>
      </c>
      <c r="AL19" t="s">
        <v>64</v>
      </c>
      <c r="AT19" t="s">
        <v>65</v>
      </c>
      <c r="AU19">
        <v>0</v>
      </c>
      <c r="AV19" t="s">
        <v>66</v>
      </c>
      <c r="BA19">
        <v>4.5</v>
      </c>
    </row>
    <row r="20" spans="1:53" x14ac:dyDescent="0.3">
      <c r="A20" t="s">
        <v>53</v>
      </c>
      <c r="C20" t="s">
        <v>54</v>
      </c>
      <c r="D20" t="s">
        <v>55</v>
      </c>
      <c r="E20">
        <v>10000000</v>
      </c>
      <c r="H20">
        <v>929</v>
      </c>
      <c r="I20" t="s">
        <v>56</v>
      </c>
      <c r="J20">
        <v>9.290000000000001E-2</v>
      </c>
      <c r="K20" t="s">
        <v>57</v>
      </c>
      <c r="L20" t="s">
        <v>58</v>
      </c>
      <c r="O20">
        <v>4.5</v>
      </c>
      <c r="P20" t="s">
        <v>59</v>
      </c>
      <c r="T20">
        <v>22</v>
      </c>
      <c r="V20">
        <v>50</v>
      </c>
      <c r="W20" t="s">
        <v>60</v>
      </c>
      <c r="X20" t="s">
        <v>61</v>
      </c>
      <c r="Y20">
        <v>1020</v>
      </c>
      <c r="AB20">
        <v>0.01</v>
      </c>
      <c r="AC20" t="s">
        <v>62</v>
      </c>
      <c r="AD20">
        <v>0.03</v>
      </c>
      <c r="AE20" t="s">
        <v>63</v>
      </c>
      <c r="AH20">
        <v>3.75</v>
      </c>
      <c r="AK20">
        <v>2.5</v>
      </c>
      <c r="AL20" t="s">
        <v>64</v>
      </c>
      <c r="AT20" t="s">
        <v>65</v>
      </c>
      <c r="AU20">
        <v>0</v>
      </c>
      <c r="AV20" t="s">
        <v>66</v>
      </c>
      <c r="BA20">
        <v>3.75</v>
      </c>
    </row>
    <row r="21" spans="1:53" x14ac:dyDescent="0.3">
      <c r="A21" t="s">
        <v>53</v>
      </c>
      <c r="C21" t="s">
        <v>54</v>
      </c>
      <c r="D21" t="s">
        <v>55</v>
      </c>
      <c r="E21">
        <v>10000000</v>
      </c>
      <c r="H21">
        <v>929</v>
      </c>
      <c r="I21" t="s">
        <v>56</v>
      </c>
      <c r="J21">
        <v>9.290000000000001E-2</v>
      </c>
      <c r="K21" t="s">
        <v>57</v>
      </c>
      <c r="L21" t="s">
        <v>58</v>
      </c>
      <c r="O21">
        <v>4.5</v>
      </c>
      <c r="P21" t="s">
        <v>59</v>
      </c>
      <c r="T21">
        <v>22</v>
      </c>
      <c r="V21">
        <v>50</v>
      </c>
      <c r="W21" t="s">
        <v>67</v>
      </c>
      <c r="X21" t="s">
        <v>61</v>
      </c>
      <c r="Y21">
        <v>1020</v>
      </c>
      <c r="AB21">
        <v>0</v>
      </c>
      <c r="AC21" t="s">
        <v>62</v>
      </c>
      <c r="AD21">
        <v>0</v>
      </c>
      <c r="AE21" t="s">
        <v>63</v>
      </c>
      <c r="AH21">
        <v>3.75</v>
      </c>
      <c r="AK21">
        <v>2.5</v>
      </c>
      <c r="AL21" t="s">
        <v>64</v>
      </c>
      <c r="AT21" t="s">
        <v>65</v>
      </c>
      <c r="AU21">
        <v>0</v>
      </c>
      <c r="AV21" t="s">
        <v>66</v>
      </c>
      <c r="BA21">
        <v>3.75</v>
      </c>
    </row>
    <row r="22" spans="1:53" x14ac:dyDescent="0.3">
      <c r="A22" t="s">
        <v>53</v>
      </c>
      <c r="C22" t="s">
        <v>54</v>
      </c>
      <c r="D22" t="s">
        <v>55</v>
      </c>
      <c r="E22">
        <v>10000000</v>
      </c>
      <c r="H22">
        <v>929</v>
      </c>
      <c r="I22" t="s">
        <v>56</v>
      </c>
      <c r="J22">
        <v>9.290000000000001E-2</v>
      </c>
      <c r="K22" t="s">
        <v>57</v>
      </c>
      <c r="L22" t="s">
        <v>58</v>
      </c>
      <c r="O22">
        <v>4.5</v>
      </c>
      <c r="P22" t="s">
        <v>59</v>
      </c>
      <c r="T22">
        <v>22</v>
      </c>
      <c r="V22">
        <v>50</v>
      </c>
      <c r="W22" t="s">
        <v>68</v>
      </c>
      <c r="X22" t="s">
        <v>61</v>
      </c>
      <c r="Y22">
        <v>1020</v>
      </c>
      <c r="AB22">
        <v>0.53</v>
      </c>
      <c r="AC22" t="s">
        <v>62</v>
      </c>
      <c r="AD22">
        <v>0.54</v>
      </c>
      <c r="AE22" t="s">
        <v>63</v>
      </c>
      <c r="AH22">
        <v>5.25</v>
      </c>
      <c r="AK22">
        <v>2.5</v>
      </c>
      <c r="AL22" t="s">
        <v>64</v>
      </c>
      <c r="AT22" t="s">
        <v>65</v>
      </c>
      <c r="AU22">
        <v>0</v>
      </c>
      <c r="AV22" t="s">
        <v>66</v>
      </c>
      <c r="BA22">
        <v>5.25</v>
      </c>
    </row>
    <row r="23" spans="1:53" x14ac:dyDescent="0.3">
      <c r="A23" t="s">
        <v>53</v>
      </c>
      <c r="C23" t="s">
        <v>54</v>
      </c>
      <c r="D23" t="s">
        <v>55</v>
      </c>
      <c r="E23">
        <v>10000000</v>
      </c>
      <c r="H23">
        <v>929</v>
      </c>
      <c r="I23" t="s">
        <v>56</v>
      </c>
      <c r="J23">
        <v>9.290000000000001E-2</v>
      </c>
      <c r="K23" t="s">
        <v>57</v>
      </c>
      <c r="L23" t="s">
        <v>58</v>
      </c>
      <c r="O23">
        <v>4.5</v>
      </c>
      <c r="P23" t="s">
        <v>59</v>
      </c>
      <c r="T23">
        <v>22</v>
      </c>
      <c r="V23">
        <v>50</v>
      </c>
      <c r="W23" t="s">
        <v>69</v>
      </c>
      <c r="X23" t="s">
        <v>61</v>
      </c>
      <c r="Y23">
        <v>1020</v>
      </c>
      <c r="AB23">
        <v>0.68</v>
      </c>
      <c r="AC23" t="s">
        <v>62</v>
      </c>
      <c r="AD23">
        <v>0.61</v>
      </c>
      <c r="AE23" t="s">
        <v>63</v>
      </c>
      <c r="AH23">
        <v>5.25</v>
      </c>
      <c r="AK23">
        <v>2.5</v>
      </c>
      <c r="AL23" t="s">
        <v>64</v>
      </c>
      <c r="AT23" t="s">
        <v>65</v>
      </c>
      <c r="AU23">
        <v>0</v>
      </c>
      <c r="AV23" t="s">
        <v>66</v>
      </c>
      <c r="BA23">
        <v>5.25</v>
      </c>
    </row>
    <row r="24" spans="1:53" x14ac:dyDescent="0.3">
      <c r="A24" t="s">
        <v>53</v>
      </c>
      <c r="C24" t="s">
        <v>54</v>
      </c>
      <c r="D24" t="s">
        <v>55</v>
      </c>
      <c r="E24">
        <v>10000000</v>
      </c>
      <c r="H24">
        <v>929</v>
      </c>
      <c r="I24" t="s">
        <v>56</v>
      </c>
      <c r="J24">
        <v>9.290000000000001E-2</v>
      </c>
      <c r="K24" t="s">
        <v>57</v>
      </c>
      <c r="L24" t="s">
        <v>58</v>
      </c>
      <c r="O24">
        <v>4.5</v>
      </c>
      <c r="P24" t="s">
        <v>59</v>
      </c>
      <c r="T24">
        <v>22</v>
      </c>
      <c r="V24">
        <v>50</v>
      </c>
      <c r="W24" t="s">
        <v>70</v>
      </c>
      <c r="X24" t="s">
        <v>61</v>
      </c>
      <c r="Y24">
        <v>1020</v>
      </c>
      <c r="AB24">
        <v>0.7</v>
      </c>
      <c r="AC24" t="s">
        <v>62</v>
      </c>
      <c r="AD24">
        <v>0.67</v>
      </c>
      <c r="AE24" t="s">
        <v>63</v>
      </c>
      <c r="AH24">
        <v>3.75</v>
      </c>
      <c r="AK24">
        <v>2.5</v>
      </c>
      <c r="AL24" t="s">
        <v>64</v>
      </c>
      <c r="AT24" t="s">
        <v>65</v>
      </c>
      <c r="AU24">
        <v>0</v>
      </c>
      <c r="AV24" t="s">
        <v>66</v>
      </c>
      <c r="BA24">
        <v>3.75</v>
      </c>
    </row>
    <row r="25" spans="1:53" x14ac:dyDescent="0.3">
      <c r="A25" t="s">
        <v>53</v>
      </c>
      <c r="C25" t="s">
        <v>54</v>
      </c>
      <c r="D25" t="s">
        <v>55</v>
      </c>
      <c r="E25">
        <v>10000000</v>
      </c>
      <c r="H25">
        <v>929</v>
      </c>
      <c r="I25" t="s">
        <v>56</v>
      </c>
      <c r="J25">
        <v>9.290000000000001E-2</v>
      </c>
      <c r="K25" t="s">
        <v>57</v>
      </c>
      <c r="L25" t="s">
        <v>58</v>
      </c>
      <c r="O25">
        <v>4.5</v>
      </c>
      <c r="P25" t="s">
        <v>59</v>
      </c>
      <c r="T25">
        <v>22</v>
      </c>
      <c r="V25">
        <v>50</v>
      </c>
      <c r="W25" t="s">
        <v>71</v>
      </c>
      <c r="X25" t="s">
        <v>61</v>
      </c>
      <c r="Y25">
        <v>1020</v>
      </c>
      <c r="AB25">
        <v>0</v>
      </c>
      <c r="AC25" t="s">
        <v>62</v>
      </c>
      <c r="AD25">
        <v>0</v>
      </c>
      <c r="AE25" t="s">
        <v>63</v>
      </c>
      <c r="AH25">
        <v>3.75</v>
      </c>
      <c r="AK25">
        <v>2.5</v>
      </c>
      <c r="AL25" t="s">
        <v>64</v>
      </c>
      <c r="AT25" t="s">
        <v>65</v>
      </c>
      <c r="AU25">
        <v>0</v>
      </c>
      <c r="AV25" t="s">
        <v>66</v>
      </c>
      <c r="BA25">
        <v>3.75</v>
      </c>
    </row>
    <row r="26" spans="1:53" x14ac:dyDescent="0.3">
      <c r="A26" t="s">
        <v>53</v>
      </c>
      <c r="C26" t="s">
        <v>54</v>
      </c>
      <c r="D26" t="s">
        <v>55</v>
      </c>
      <c r="E26">
        <v>10000000</v>
      </c>
      <c r="H26">
        <v>929</v>
      </c>
      <c r="I26" t="s">
        <v>56</v>
      </c>
      <c r="J26">
        <v>9.290000000000001E-2</v>
      </c>
      <c r="K26" t="s">
        <v>57</v>
      </c>
      <c r="L26" t="s">
        <v>58</v>
      </c>
      <c r="O26">
        <v>4.5</v>
      </c>
      <c r="P26" t="s">
        <v>59</v>
      </c>
      <c r="T26">
        <v>22</v>
      </c>
      <c r="V26">
        <v>50</v>
      </c>
      <c r="W26" t="s">
        <v>60</v>
      </c>
      <c r="X26" t="s">
        <v>61</v>
      </c>
      <c r="Y26">
        <v>120</v>
      </c>
      <c r="AB26">
        <v>0.16</v>
      </c>
      <c r="AC26" t="s">
        <v>62</v>
      </c>
      <c r="AD26">
        <v>0.27</v>
      </c>
      <c r="AE26" t="s">
        <v>63</v>
      </c>
      <c r="AH26">
        <v>3.75</v>
      </c>
      <c r="AK26">
        <v>3.333333333333333</v>
      </c>
      <c r="AL26" t="s">
        <v>64</v>
      </c>
      <c r="AT26" t="s">
        <v>65</v>
      </c>
      <c r="AU26">
        <v>0</v>
      </c>
      <c r="AV26" t="s">
        <v>66</v>
      </c>
      <c r="BA26">
        <v>3.75</v>
      </c>
    </row>
    <row r="27" spans="1:53" x14ac:dyDescent="0.3">
      <c r="A27" t="s">
        <v>53</v>
      </c>
      <c r="C27" t="s">
        <v>54</v>
      </c>
      <c r="D27" t="s">
        <v>55</v>
      </c>
      <c r="E27">
        <v>10000000</v>
      </c>
      <c r="H27">
        <v>929</v>
      </c>
      <c r="I27" t="s">
        <v>56</v>
      </c>
      <c r="J27">
        <v>9.290000000000001E-2</v>
      </c>
      <c r="K27" t="s">
        <v>57</v>
      </c>
      <c r="L27" t="s">
        <v>58</v>
      </c>
      <c r="O27">
        <v>4.5</v>
      </c>
      <c r="P27" t="s">
        <v>59</v>
      </c>
      <c r="T27">
        <v>22</v>
      </c>
      <c r="V27">
        <v>50</v>
      </c>
      <c r="W27" t="s">
        <v>67</v>
      </c>
      <c r="X27" t="s">
        <v>61</v>
      </c>
      <c r="Y27">
        <v>120</v>
      </c>
      <c r="AB27">
        <v>0.67</v>
      </c>
      <c r="AC27" t="s">
        <v>62</v>
      </c>
      <c r="AD27">
        <v>0.34</v>
      </c>
      <c r="AE27" t="s">
        <v>63</v>
      </c>
      <c r="AH27">
        <v>3.75</v>
      </c>
      <c r="AK27">
        <v>3.333333333333333</v>
      </c>
      <c r="AL27" t="s">
        <v>64</v>
      </c>
      <c r="AT27" t="s">
        <v>65</v>
      </c>
      <c r="AU27">
        <v>0</v>
      </c>
      <c r="AV27" t="s">
        <v>66</v>
      </c>
      <c r="BA27">
        <v>3.75</v>
      </c>
    </row>
    <row r="28" spans="1:53" x14ac:dyDescent="0.3">
      <c r="A28" t="s">
        <v>53</v>
      </c>
      <c r="C28" t="s">
        <v>54</v>
      </c>
      <c r="D28" t="s">
        <v>55</v>
      </c>
      <c r="E28">
        <v>1000000</v>
      </c>
      <c r="H28">
        <v>929</v>
      </c>
      <c r="I28" t="s">
        <v>56</v>
      </c>
      <c r="J28">
        <v>9.290000000000001E-2</v>
      </c>
      <c r="K28" t="s">
        <v>57</v>
      </c>
      <c r="L28" t="s">
        <v>58</v>
      </c>
      <c r="O28">
        <v>4.5</v>
      </c>
      <c r="P28" t="s">
        <v>59</v>
      </c>
      <c r="T28">
        <v>22</v>
      </c>
      <c r="V28">
        <v>50</v>
      </c>
      <c r="W28" t="s">
        <v>68</v>
      </c>
      <c r="X28" t="s">
        <v>61</v>
      </c>
      <c r="Y28">
        <v>120</v>
      </c>
      <c r="AB28">
        <v>1.1100000000000001</v>
      </c>
      <c r="AC28" t="s">
        <v>62</v>
      </c>
      <c r="AD28">
        <v>0.27</v>
      </c>
      <c r="AE28" t="s">
        <v>63</v>
      </c>
      <c r="AH28">
        <v>5.25</v>
      </c>
      <c r="AK28">
        <v>3.333333333333333</v>
      </c>
      <c r="AL28" t="s">
        <v>64</v>
      </c>
      <c r="AT28" t="s">
        <v>65</v>
      </c>
      <c r="AU28">
        <v>0</v>
      </c>
      <c r="AV28" t="s">
        <v>66</v>
      </c>
      <c r="BA28">
        <v>5.25</v>
      </c>
    </row>
    <row r="29" spans="1:53" x14ac:dyDescent="0.3">
      <c r="A29" t="s">
        <v>53</v>
      </c>
      <c r="C29" t="s">
        <v>54</v>
      </c>
      <c r="D29" t="s">
        <v>55</v>
      </c>
      <c r="E29">
        <v>1000000</v>
      </c>
      <c r="H29">
        <v>929</v>
      </c>
      <c r="I29" t="s">
        <v>56</v>
      </c>
      <c r="J29">
        <v>9.290000000000001E-2</v>
      </c>
      <c r="K29" t="s">
        <v>57</v>
      </c>
      <c r="L29" t="s">
        <v>58</v>
      </c>
      <c r="O29">
        <v>4.5</v>
      </c>
      <c r="P29" t="s">
        <v>59</v>
      </c>
      <c r="T29">
        <v>22</v>
      </c>
      <c r="V29">
        <v>50</v>
      </c>
      <c r="W29" t="s">
        <v>69</v>
      </c>
      <c r="X29" t="s">
        <v>61</v>
      </c>
      <c r="Y29">
        <v>120</v>
      </c>
      <c r="AE29" t="s">
        <v>63</v>
      </c>
      <c r="AH29">
        <v>5.25</v>
      </c>
      <c r="AK29">
        <v>3.333333333333333</v>
      </c>
      <c r="AL29" t="s">
        <v>64</v>
      </c>
      <c r="AT29" t="s">
        <v>65</v>
      </c>
      <c r="AU29">
        <v>0</v>
      </c>
      <c r="AV29" t="s">
        <v>66</v>
      </c>
      <c r="BA29">
        <v>5.25</v>
      </c>
    </row>
    <row r="30" spans="1:53" x14ac:dyDescent="0.3">
      <c r="A30" t="s">
        <v>53</v>
      </c>
      <c r="C30" t="s">
        <v>54</v>
      </c>
      <c r="D30" t="s">
        <v>55</v>
      </c>
      <c r="E30">
        <v>1000000</v>
      </c>
      <c r="H30">
        <v>929</v>
      </c>
      <c r="I30" t="s">
        <v>56</v>
      </c>
      <c r="J30">
        <v>9.290000000000001E-2</v>
      </c>
      <c r="K30" t="s">
        <v>57</v>
      </c>
      <c r="L30" t="s">
        <v>58</v>
      </c>
      <c r="O30">
        <v>4.5</v>
      </c>
      <c r="P30" t="s">
        <v>59</v>
      </c>
      <c r="T30">
        <v>22</v>
      </c>
      <c r="V30">
        <v>50</v>
      </c>
      <c r="W30" t="s">
        <v>70</v>
      </c>
      <c r="X30" t="s">
        <v>61</v>
      </c>
      <c r="Y30">
        <v>120</v>
      </c>
      <c r="AB30">
        <v>0.08</v>
      </c>
      <c r="AC30" t="s">
        <v>62</v>
      </c>
      <c r="AD30">
        <v>0.16</v>
      </c>
      <c r="AE30" t="s">
        <v>63</v>
      </c>
      <c r="AH30">
        <v>3.75</v>
      </c>
      <c r="AK30">
        <v>3.333333333333333</v>
      </c>
      <c r="AL30" t="s">
        <v>64</v>
      </c>
      <c r="AT30" t="s">
        <v>65</v>
      </c>
      <c r="AU30">
        <v>0</v>
      </c>
      <c r="AV30" t="s">
        <v>66</v>
      </c>
      <c r="BA30">
        <v>3.75</v>
      </c>
    </row>
    <row r="31" spans="1:53" x14ac:dyDescent="0.3">
      <c r="A31" t="s">
        <v>53</v>
      </c>
      <c r="C31" t="s">
        <v>54</v>
      </c>
      <c r="D31" t="s">
        <v>55</v>
      </c>
      <c r="E31">
        <v>1000000</v>
      </c>
      <c r="H31">
        <v>929</v>
      </c>
      <c r="I31" t="s">
        <v>56</v>
      </c>
      <c r="J31">
        <v>9.290000000000001E-2</v>
      </c>
      <c r="K31" t="s">
        <v>57</v>
      </c>
      <c r="L31" t="s">
        <v>58</v>
      </c>
      <c r="O31">
        <v>4.5</v>
      </c>
      <c r="P31" t="s">
        <v>59</v>
      </c>
      <c r="T31">
        <v>22</v>
      </c>
      <c r="V31">
        <v>50</v>
      </c>
      <c r="W31" t="s">
        <v>71</v>
      </c>
      <c r="X31" t="s">
        <v>61</v>
      </c>
      <c r="Y31">
        <v>120</v>
      </c>
      <c r="AB31">
        <v>0.32</v>
      </c>
      <c r="AC31" t="s">
        <v>62</v>
      </c>
      <c r="AD31">
        <v>0.5</v>
      </c>
      <c r="AE31" t="s">
        <v>63</v>
      </c>
      <c r="AH31">
        <v>3.75</v>
      </c>
      <c r="AK31">
        <v>3.333333333333333</v>
      </c>
      <c r="AL31" t="s">
        <v>64</v>
      </c>
      <c r="AT31" t="s">
        <v>65</v>
      </c>
      <c r="AU31">
        <v>0</v>
      </c>
      <c r="AV31" t="s">
        <v>66</v>
      </c>
      <c r="BA31">
        <v>3.75</v>
      </c>
    </row>
    <row r="32" spans="1:53" x14ac:dyDescent="0.3">
      <c r="A32" t="s">
        <v>53</v>
      </c>
      <c r="C32" t="s">
        <v>54</v>
      </c>
      <c r="D32" t="s">
        <v>55</v>
      </c>
      <c r="E32">
        <v>1000000</v>
      </c>
      <c r="H32">
        <v>929</v>
      </c>
      <c r="I32" t="s">
        <v>56</v>
      </c>
      <c r="J32">
        <v>9.290000000000001E-2</v>
      </c>
      <c r="K32" t="s">
        <v>57</v>
      </c>
      <c r="L32" t="s">
        <v>58</v>
      </c>
      <c r="O32">
        <v>4.5</v>
      </c>
      <c r="P32" t="s">
        <v>59</v>
      </c>
      <c r="T32">
        <v>22</v>
      </c>
      <c r="V32">
        <v>50</v>
      </c>
      <c r="W32" t="s">
        <v>60</v>
      </c>
      <c r="X32" t="s">
        <v>61</v>
      </c>
      <c r="Y32">
        <v>900</v>
      </c>
      <c r="AB32">
        <v>0.4</v>
      </c>
      <c r="AC32" t="s">
        <v>62</v>
      </c>
      <c r="AD32">
        <v>0.42</v>
      </c>
      <c r="AE32" t="s">
        <v>63</v>
      </c>
      <c r="AH32">
        <v>3.75</v>
      </c>
      <c r="AK32">
        <v>3.333333333333333</v>
      </c>
      <c r="AL32" t="s">
        <v>64</v>
      </c>
      <c r="AT32" t="s">
        <v>65</v>
      </c>
      <c r="AU32">
        <v>0</v>
      </c>
      <c r="AV32" t="s">
        <v>66</v>
      </c>
      <c r="BA32">
        <v>3.75</v>
      </c>
    </row>
    <row r="33" spans="1:53" x14ac:dyDescent="0.3">
      <c r="A33" t="s">
        <v>53</v>
      </c>
      <c r="C33" t="s">
        <v>54</v>
      </c>
      <c r="D33" t="s">
        <v>55</v>
      </c>
      <c r="E33">
        <v>1000000</v>
      </c>
      <c r="H33">
        <v>929</v>
      </c>
      <c r="I33" t="s">
        <v>56</v>
      </c>
      <c r="J33">
        <v>9.290000000000001E-2</v>
      </c>
      <c r="K33" t="s">
        <v>57</v>
      </c>
      <c r="L33" t="s">
        <v>58</v>
      </c>
      <c r="O33">
        <v>4.5</v>
      </c>
      <c r="P33" t="s">
        <v>59</v>
      </c>
      <c r="T33">
        <v>22</v>
      </c>
      <c r="V33">
        <v>50</v>
      </c>
      <c r="W33" t="s">
        <v>67</v>
      </c>
      <c r="X33" t="s">
        <v>61</v>
      </c>
      <c r="Y33">
        <v>900</v>
      </c>
      <c r="AB33">
        <v>0.53</v>
      </c>
      <c r="AC33" t="s">
        <v>62</v>
      </c>
      <c r="AD33">
        <v>0.48</v>
      </c>
      <c r="AE33" t="s">
        <v>63</v>
      </c>
      <c r="AH33">
        <v>3.75</v>
      </c>
      <c r="AK33">
        <v>3.333333333333333</v>
      </c>
      <c r="AL33" t="s">
        <v>64</v>
      </c>
      <c r="AT33" t="s">
        <v>65</v>
      </c>
      <c r="AU33">
        <v>0</v>
      </c>
      <c r="AV33" t="s">
        <v>66</v>
      </c>
      <c r="BA33">
        <v>3.75</v>
      </c>
    </row>
    <row r="34" spans="1:53" x14ac:dyDescent="0.3">
      <c r="A34" t="s">
        <v>53</v>
      </c>
      <c r="C34" t="s">
        <v>54</v>
      </c>
      <c r="D34" t="s">
        <v>55</v>
      </c>
      <c r="E34">
        <v>1000000</v>
      </c>
      <c r="H34">
        <v>929</v>
      </c>
      <c r="I34" t="s">
        <v>56</v>
      </c>
      <c r="J34">
        <v>9.290000000000001E-2</v>
      </c>
      <c r="K34" t="s">
        <v>57</v>
      </c>
      <c r="L34" t="s">
        <v>58</v>
      </c>
      <c r="O34">
        <v>4.5</v>
      </c>
      <c r="P34" t="s">
        <v>59</v>
      </c>
      <c r="T34">
        <v>22</v>
      </c>
      <c r="V34">
        <v>50</v>
      </c>
      <c r="W34" t="s">
        <v>68</v>
      </c>
      <c r="X34" t="s">
        <v>61</v>
      </c>
      <c r="Y34">
        <v>900</v>
      </c>
      <c r="AB34">
        <v>0.2</v>
      </c>
      <c r="AC34" t="s">
        <v>62</v>
      </c>
      <c r="AD34">
        <v>0.39</v>
      </c>
      <c r="AE34" t="s">
        <v>63</v>
      </c>
      <c r="AH34">
        <v>5.25</v>
      </c>
      <c r="AK34">
        <v>3.333333333333333</v>
      </c>
      <c r="AL34" t="s">
        <v>64</v>
      </c>
      <c r="AT34" t="s">
        <v>65</v>
      </c>
      <c r="AU34">
        <v>0</v>
      </c>
      <c r="AV34" t="s">
        <v>66</v>
      </c>
      <c r="BA34">
        <v>5.25</v>
      </c>
    </row>
    <row r="35" spans="1:53" x14ac:dyDescent="0.3">
      <c r="A35" t="s">
        <v>53</v>
      </c>
      <c r="C35" t="s">
        <v>54</v>
      </c>
      <c r="D35" t="s">
        <v>55</v>
      </c>
      <c r="E35">
        <v>1000000</v>
      </c>
      <c r="H35">
        <v>929</v>
      </c>
      <c r="I35" t="s">
        <v>56</v>
      </c>
      <c r="J35">
        <v>9.290000000000001E-2</v>
      </c>
      <c r="K35" t="s">
        <v>57</v>
      </c>
      <c r="L35" t="s">
        <v>58</v>
      </c>
      <c r="O35">
        <v>4.5</v>
      </c>
      <c r="P35" t="s">
        <v>59</v>
      </c>
      <c r="T35">
        <v>22</v>
      </c>
      <c r="V35">
        <v>50</v>
      </c>
      <c r="W35" t="s">
        <v>69</v>
      </c>
      <c r="X35" t="s">
        <v>61</v>
      </c>
      <c r="Y35">
        <v>900</v>
      </c>
      <c r="AB35">
        <v>1.1200000000000001</v>
      </c>
      <c r="AC35" t="s">
        <v>62</v>
      </c>
      <c r="AD35">
        <v>0.19</v>
      </c>
      <c r="AE35" t="s">
        <v>63</v>
      </c>
      <c r="AH35">
        <v>5.25</v>
      </c>
      <c r="AK35">
        <v>3.333333333333333</v>
      </c>
      <c r="AL35" t="s">
        <v>64</v>
      </c>
      <c r="AT35" t="s">
        <v>65</v>
      </c>
      <c r="AU35">
        <v>0</v>
      </c>
      <c r="AV35" t="s">
        <v>66</v>
      </c>
      <c r="BA35">
        <v>5.25</v>
      </c>
    </row>
    <row r="36" spans="1:53" x14ac:dyDescent="0.3">
      <c r="A36" t="s">
        <v>53</v>
      </c>
      <c r="C36" t="s">
        <v>54</v>
      </c>
      <c r="D36" t="s">
        <v>55</v>
      </c>
      <c r="E36">
        <v>1000000</v>
      </c>
      <c r="H36">
        <v>929</v>
      </c>
      <c r="I36" t="s">
        <v>56</v>
      </c>
      <c r="J36">
        <v>9.290000000000001E-2</v>
      </c>
      <c r="K36" t="s">
        <v>57</v>
      </c>
      <c r="L36" t="s">
        <v>58</v>
      </c>
      <c r="O36">
        <v>4.5</v>
      </c>
      <c r="P36" t="s">
        <v>59</v>
      </c>
      <c r="T36">
        <v>22</v>
      </c>
      <c r="V36">
        <v>50</v>
      </c>
      <c r="W36" t="s">
        <v>70</v>
      </c>
      <c r="X36" t="s">
        <v>61</v>
      </c>
      <c r="Y36">
        <v>900</v>
      </c>
      <c r="AB36">
        <v>0.01</v>
      </c>
      <c r="AC36" t="s">
        <v>62</v>
      </c>
      <c r="AD36">
        <v>0.02</v>
      </c>
      <c r="AE36" t="s">
        <v>63</v>
      </c>
      <c r="AH36">
        <v>3.75</v>
      </c>
      <c r="AK36">
        <v>3.333333333333333</v>
      </c>
      <c r="AL36" t="s">
        <v>64</v>
      </c>
      <c r="AT36" t="s">
        <v>65</v>
      </c>
      <c r="AU36">
        <v>0</v>
      </c>
      <c r="AV36" t="s">
        <v>66</v>
      </c>
      <c r="BA36">
        <v>3.75</v>
      </c>
    </row>
    <row r="37" spans="1:53" x14ac:dyDescent="0.3">
      <c r="A37" t="s">
        <v>53</v>
      </c>
      <c r="C37" t="s">
        <v>54</v>
      </c>
      <c r="D37" t="s">
        <v>55</v>
      </c>
      <c r="E37">
        <v>1000000</v>
      </c>
      <c r="H37">
        <v>929</v>
      </c>
      <c r="I37" t="s">
        <v>56</v>
      </c>
      <c r="J37">
        <v>9.290000000000001E-2</v>
      </c>
      <c r="K37" t="s">
        <v>57</v>
      </c>
      <c r="L37" t="s">
        <v>58</v>
      </c>
      <c r="O37">
        <v>4.5</v>
      </c>
      <c r="P37" t="s">
        <v>59</v>
      </c>
      <c r="T37">
        <v>22</v>
      </c>
      <c r="V37">
        <v>50</v>
      </c>
      <c r="W37" t="s">
        <v>71</v>
      </c>
      <c r="X37" t="s">
        <v>61</v>
      </c>
      <c r="Y37">
        <v>900</v>
      </c>
      <c r="AB37">
        <v>0.33</v>
      </c>
      <c r="AC37" t="s">
        <v>62</v>
      </c>
      <c r="AD37">
        <v>0.46</v>
      </c>
      <c r="AE37" t="s">
        <v>63</v>
      </c>
      <c r="AH37">
        <v>3.75</v>
      </c>
      <c r="AK37">
        <v>3.333333333333333</v>
      </c>
      <c r="AL37" t="s">
        <v>64</v>
      </c>
      <c r="AT37" t="s">
        <v>65</v>
      </c>
      <c r="AU37">
        <v>0</v>
      </c>
      <c r="AV37" t="s">
        <v>66</v>
      </c>
      <c r="BA37">
        <v>3.75</v>
      </c>
    </row>
    <row r="38" spans="1:53" x14ac:dyDescent="0.3">
      <c r="A38" t="s">
        <v>53</v>
      </c>
      <c r="C38" t="s">
        <v>54</v>
      </c>
      <c r="D38" t="s">
        <v>55</v>
      </c>
      <c r="E38">
        <v>1000000</v>
      </c>
      <c r="H38">
        <v>929</v>
      </c>
      <c r="I38" t="s">
        <v>56</v>
      </c>
      <c r="J38">
        <v>9.290000000000001E-2</v>
      </c>
      <c r="K38" t="s">
        <v>57</v>
      </c>
      <c r="L38" t="s">
        <v>58</v>
      </c>
      <c r="O38">
        <v>4.5</v>
      </c>
      <c r="P38" t="s">
        <v>59</v>
      </c>
      <c r="T38">
        <v>22</v>
      </c>
      <c r="V38">
        <v>50</v>
      </c>
      <c r="W38" t="s">
        <v>72</v>
      </c>
      <c r="X38" t="s">
        <v>61</v>
      </c>
      <c r="Y38">
        <v>1140</v>
      </c>
      <c r="AB38">
        <v>1.1499999999999999</v>
      </c>
      <c r="AC38" t="s">
        <v>62</v>
      </c>
      <c r="AD38">
        <v>0.64</v>
      </c>
      <c r="AE38" t="s">
        <v>63</v>
      </c>
      <c r="AH38">
        <v>5.5</v>
      </c>
      <c r="AK38">
        <v>1.25</v>
      </c>
      <c r="AL38" t="s">
        <v>64</v>
      </c>
      <c r="AT38" t="s">
        <v>73</v>
      </c>
      <c r="AU38">
        <v>0</v>
      </c>
      <c r="AV38" t="s">
        <v>66</v>
      </c>
      <c r="BA38">
        <v>5.5</v>
      </c>
    </row>
    <row r="39" spans="1:53" x14ac:dyDescent="0.3">
      <c r="A39" t="s">
        <v>53</v>
      </c>
      <c r="C39" t="s">
        <v>54</v>
      </c>
      <c r="D39" t="s">
        <v>55</v>
      </c>
      <c r="E39">
        <v>1000000</v>
      </c>
      <c r="H39">
        <v>929</v>
      </c>
      <c r="I39" t="s">
        <v>56</v>
      </c>
      <c r="J39">
        <v>9.290000000000001E-2</v>
      </c>
      <c r="K39" t="s">
        <v>57</v>
      </c>
      <c r="L39" t="s">
        <v>58</v>
      </c>
      <c r="O39">
        <v>4.5</v>
      </c>
      <c r="P39" t="s">
        <v>59</v>
      </c>
      <c r="T39">
        <v>22</v>
      </c>
      <c r="V39">
        <v>50</v>
      </c>
      <c r="W39" t="s">
        <v>74</v>
      </c>
      <c r="X39" t="s">
        <v>61</v>
      </c>
      <c r="Y39">
        <v>1140</v>
      </c>
      <c r="AB39">
        <v>1.28</v>
      </c>
      <c r="AC39" t="s">
        <v>62</v>
      </c>
      <c r="AD39">
        <v>0.33</v>
      </c>
      <c r="AE39" t="s">
        <v>63</v>
      </c>
      <c r="AH39">
        <v>5.25</v>
      </c>
      <c r="AK39">
        <v>1.25</v>
      </c>
      <c r="AL39" t="s">
        <v>64</v>
      </c>
      <c r="AT39" t="s">
        <v>75</v>
      </c>
      <c r="AU39">
        <v>0</v>
      </c>
      <c r="AV39" t="s">
        <v>66</v>
      </c>
      <c r="BA39">
        <v>5.25</v>
      </c>
    </row>
    <row r="40" spans="1:53" x14ac:dyDescent="0.3">
      <c r="A40" t="s">
        <v>53</v>
      </c>
      <c r="C40" t="s">
        <v>54</v>
      </c>
      <c r="D40" t="s">
        <v>55</v>
      </c>
      <c r="E40">
        <v>1000000</v>
      </c>
      <c r="H40">
        <v>929</v>
      </c>
      <c r="I40" t="s">
        <v>56</v>
      </c>
      <c r="J40">
        <v>9.290000000000001E-2</v>
      </c>
      <c r="K40" t="s">
        <v>57</v>
      </c>
      <c r="L40" t="s">
        <v>58</v>
      </c>
      <c r="O40">
        <v>4.5</v>
      </c>
      <c r="P40" t="s">
        <v>59</v>
      </c>
      <c r="T40">
        <v>22</v>
      </c>
      <c r="V40">
        <v>50</v>
      </c>
      <c r="W40" t="s">
        <v>76</v>
      </c>
      <c r="X40" t="s">
        <v>61</v>
      </c>
      <c r="Y40">
        <v>1140</v>
      </c>
      <c r="AB40">
        <v>3.85</v>
      </c>
      <c r="AC40" t="s">
        <v>62</v>
      </c>
      <c r="AD40">
        <v>0.14000000000000001</v>
      </c>
      <c r="AE40" t="s">
        <v>63</v>
      </c>
      <c r="AH40">
        <v>4</v>
      </c>
      <c r="AK40">
        <v>1.25</v>
      </c>
      <c r="AL40" t="s">
        <v>64</v>
      </c>
      <c r="AT40" t="s">
        <v>77</v>
      </c>
      <c r="AU40">
        <v>0</v>
      </c>
      <c r="AV40" t="s">
        <v>66</v>
      </c>
      <c r="BA40">
        <v>4</v>
      </c>
    </row>
    <row r="41" spans="1:53" x14ac:dyDescent="0.3">
      <c r="A41" t="s">
        <v>53</v>
      </c>
      <c r="C41" t="s">
        <v>54</v>
      </c>
      <c r="D41" t="s">
        <v>55</v>
      </c>
      <c r="E41">
        <v>1000000</v>
      </c>
      <c r="H41">
        <v>929</v>
      </c>
      <c r="I41" t="s">
        <v>56</v>
      </c>
      <c r="J41">
        <v>9.290000000000001E-2</v>
      </c>
      <c r="K41" t="s">
        <v>57</v>
      </c>
      <c r="L41" t="s">
        <v>58</v>
      </c>
      <c r="O41">
        <v>4.5</v>
      </c>
      <c r="P41" t="s">
        <v>59</v>
      </c>
      <c r="T41">
        <v>22</v>
      </c>
      <c r="V41">
        <v>50</v>
      </c>
      <c r="W41" t="s">
        <v>78</v>
      </c>
      <c r="X41" t="s">
        <v>61</v>
      </c>
      <c r="Y41">
        <v>1140</v>
      </c>
      <c r="AB41">
        <v>0.6</v>
      </c>
      <c r="AC41" t="s">
        <v>62</v>
      </c>
      <c r="AD41">
        <v>0.86</v>
      </c>
      <c r="AE41" t="s">
        <v>63</v>
      </c>
      <c r="AH41">
        <v>4.25</v>
      </c>
      <c r="AK41">
        <v>1.25</v>
      </c>
      <c r="AL41" t="s">
        <v>64</v>
      </c>
      <c r="AT41" t="s">
        <v>79</v>
      </c>
      <c r="AU41">
        <v>0</v>
      </c>
      <c r="AV41" t="s">
        <v>66</v>
      </c>
      <c r="BA41">
        <v>4.25</v>
      </c>
    </row>
    <row r="42" spans="1:53" x14ac:dyDescent="0.3">
      <c r="A42" t="s">
        <v>53</v>
      </c>
      <c r="C42" t="s">
        <v>54</v>
      </c>
      <c r="D42" t="s">
        <v>55</v>
      </c>
      <c r="E42">
        <v>1000000</v>
      </c>
      <c r="H42">
        <v>929</v>
      </c>
      <c r="I42" t="s">
        <v>56</v>
      </c>
      <c r="J42">
        <v>9.290000000000001E-2</v>
      </c>
      <c r="K42" t="s">
        <v>57</v>
      </c>
      <c r="L42" t="s">
        <v>58</v>
      </c>
      <c r="O42">
        <v>4.5</v>
      </c>
      <c r="P42" t="s">
        <v>59</v>
      </c>
      <c r="T42">
        <v>22</v>
      </c>
      <c r="V42">
        <v>50</v>
      </c>
      <c r="W42" t="s">
        <v>72</v>
      </c>
      <c r="X42" t="s">
        <v>61</v>
      </c>
      <c r="Y42">
        <v>1020</v>
      </c>
      <c r="AB42">
        <v>1.62</v>
      </c>
      <c r="AC42" t="s">
        <v>62</v>
      </c>
      <c r="AD42">
        <v>0.67</v>
      </c>
      <c r="AE42" t="s">
        <v>63</v>
      </c>
      <c r="AH42">
        <v>5.5</v>
      </c>
      <c r="AK42">
        <v>2.5</v>
      </c>
      <c r="AL42" t="s">
        <v>64</v>
      </c>
      <c r="AT42" t="s">
        <v>73</v>
      </c>
      <c r="AU42">
        <v>0</v>
      </c>
      <c r="AV42" t="s">
        <v>66</v>
      </c>
      <c r="BA42">
        <v>5.5</v>
      </c>
    </row>
    <row r="43" spans="1:53" x14ac:dyDescent="0.3">
      <c r="A43" t="s">
        <v>53</v>
      </c>
      <c r="C43" t="s">
        <v>54</v>
      </c>
      <c r="D43" t="s">
        <v>55</v>
      </c>
      <c r="E43">
        <v>1000000</v>
      </c>
      <c r="H43">
        <v>929</v>
      </c>
      <c r="I43" t="s">
        <v>56</v>
      </c>
      <c r="J43">
        <v>9.290000000000001E-2</v>
      </c>
      <c r="K43" t="s">
        <v>57</v>
      </c>
      <c r="L43" t="s">
        <v>58</v>
      </c>
      <c r="O43">
        <v>4.5</v>
      </c>
      <c r="P43" t="s">
        <v>59</v>
      </c>
      <c r="T43">
        <v>22</v>
      </c>
      <c r="V43">
        <v>50</v>
      </c>
      <c r="W43" t="s">
        <v>74</v>
      </c>
      <c r="X43" t="s">
        <v>61</v>
      </c>
      <c r="Y43">
        <v>1020</v>
      </c>
      <c r="AB43">
        <v>1.36</v>
      </c>
      <c r="AC43" t="s">
        <v>62</v>
      </c>
      <c r="AD43">
        <v>0.89</v>
      </c>
      <c r="AE43" t="s">
        <v>63</v>
      </c>
      <c r="AH43">
        <v>5.25</v>
      </c>
      <c r="AK43">
        <v>2.5</v>
      </c>
      <c r="AL43" t="s">
        <v>64</v>
      </c>
      <c r="AT43" t="s">
        <v>75</v>
      </c>
      <c r="AU43">
        <v>0</v>
      </c>
      <c r="AV43" t="s">
        <v>66</v>
      </c>
      <c r="BA43">
        <v>5.25</v>
      </c>
    </row>
    <row r="44" spans="1:53" x14ac:dyDescent="0.3">
      <c r="A44" t="s">
        <v>53</v>
      </c>
      <c r="C44" t="s">
        <v>54</v>
      </c>
      <c r="D44" t="s">
        <v>55</v>
      </c>
      <c r="E44">
        <v>3000000</v>
      </c>
      <c r="H44">
        <v>929</v>
      </c>
      <c r="I44" t="s">
        <v>56</v>
      </c>
      <c r="J44">
        <v>9.290000000000001E-2</v>
      </c>
      <c r="K44" t="s">
        <v>57</v>
      </c>
      <c r="L44" t="s">
        <v>58</v>
      </c>
      <c r="O44">
        <v>4.5</v>
      </c>
      <c r="P44" t="s">
        <v>59</v>
      </c>
      <c r="T44">
        <v>22</v>
      </c>
      <c r="V44">
        <v>50</v>
      </c>
      <c r="W44" t="s">
        <v>76</v>
      </c>
      <c r="X44" t="s">
        <v>61</v>
      </c>
      <c r="Y44">
        <v>1020</v>
      </c>
      <c r="AB44">
        <v>3.78</v>
      </c>
      <c r="AC44" t="s">
        <v>62</v>
      </c>
      <c r="AD44">
        <v>0.18</v>
      </c>
      <c r="AE44" t="s">
        <v>63</v>
      </c>
      <c r="AH44">
        <v>4</v>
      </c>
      <c r="AK44">
        <v>2.5</v>
      </c>
      <c r="AL44" t="s">
        <v>64</v>
      </c>
      <c r="AT44" t="s">
        <v>77</v>
      </c>
      <c r="AU44">
        <v>0</v>
      </c>
      <c r="AV44" t="s">
        <v>66</v>
      </c>
      <c r="BA44">
        <v>4</v>
      </c>
    </row>
    <row r="45" spans="1:53" x14ac:dyDescent="0.3">
      <c r="A45" t="s">
        <v>53</v>
      </c>
      <c r="C45" t="s">
        <v>54</v>
      </c>
      <c r="D45" t="s">
        <v>55</v>
      </c>
      <c r="E45">
        <v>3000000</v>
      </c>
      <c r="H45">
        <v>929</v>
      </c>
      <c r="I45" t="s">
        <v>56</v>
      </c>
      <c r="J45">
        <v>9.290000000000001E-2</v>
      </c>
      <c r="K45" t="s">
        <v>57</v>
      </c>
      <c r="L45" t="s">
        <v>58</v>
      </c>
      <c r="O45">
        <v>4.5</v>
      </c>
      <c r="P45" t="s">
        <v>59</v>
      </c>
      <c r="T45">
        <v>22</v>
      </c>
      <c r="V45">
        <v>50</v>
      </c>
      <c r="W45" t="s">
        <v>78</v>
      </c>
      <c r="X45" t="s">
        <v>61</v>
      </c>
      <c r="Y45">
        <v>1020</v>
      </c>
      <c r="AB45">
        <v>1.49</v>
      </c>
      <c r="AC45" t="s">
        <v>62</v>
      </c>
      <c r="AD45">
        <v>0.34</v>
      </c>
      <c r="AE45" t="s">
        <v>63</v>
      </c>
      <c r="AH45">
        <v>4.25</v>
      </c>
      <c r="AK45">
        <v>2.5</v>
      </c>
      <c r="AL45" t="s">
        <v>64</v>
      </c>
      <c r="AT45" t="s">
        <v>79</v>
      </c>
      <c r="AU45">
        <v>0</v>
      </c>
      <c r="AV45" t="s">
        <v>66</v>
      </c>
      <c r="BA45">
        <v>4.25</v>
      </c>
    </row>
    <row r="46" spans="1:53" x14ac:dyDescent="0.3">
      <c r="A46" t="s">
        <v>53</v>
      </c>
      <c r="C46" t="s">
        <v>54</v>
      </c>
      <c r="D46" t="s">
        <v>55</v>
      </c>
      <c r="E46">
        <v>3000000</v>
      </c>
      <c r="H46">
        <v>929</v>
      </c>
      <c r="I46" t="s">
        <v>56</v>
      </c>
      <c r="J46">
        <v>9.290000000000001E-2</v>
      </c>
      <c r="K46" t="s">
        <v>57</v>
      </c>
      <c r="L46" t="s">
        <v>58</v>
      </c>
      <c r="O46">
        <v>4.5</v>
      </c>
      <c r="P46" t="s">
        <v>59</v>
      </c>
      <c r="T46">
        <v>22</v>
      </c>
      <c r="V46">
        <v>50</v>
      </c>
      <c r="W46" t="s">
        <v>72</v>
      </c>
      <c r="X46" t="s">
        <v>61</v>
      </c>
      <c r="Y46">
        <v>960</v>
      </c>
      <c r="AB46">
        <v>1.17</v>
      </c>
      <c r="AC46" t="s">
        <v>62</v>
      </c>
      <c r="AD46">
        <v>0.81</v>
      </c>
      <c r="AE46" t="s">
        <v>63</v>
      </c>
      <c r="AH46">
        <v>5.5</v>
      </c>
      <c r="AK46">
        <v>3.333333333333333</v>
      </c>
      <c r="AL46" t="s">
        <v>64</v>
      </c>
      <c r="AT46" t="s">
        <v>73</v>
      </c>
      <c r="AU46">
        <v>0</v>
      </c>
      <c r="AV46" t="s">
        <v>66</v>
      </c>
      <c r="BA46">
        <v>5.5</v>
      </c>
    </row>
    <row r="47" spans="1:53" x14ac:dyDescent="0.3">
      <c r="A47" t="s">
        <v>53</v>
      </c>
      <c r="C47" t="s">
        <v>54</v>
      </c>
      <c r="D47" t="s">
        <v>55</v>
      </c>
      <c r="E47">
        <v>3000000</v>
      </c>
      <c r="H47">
        <v>929</v>
      </c>
      <c r="I47" t="s">
        <v>56</v>
      </c>
      <c r="J47">
        <v>9.290000000000001E-2</v>
      </c>
      <c r="K47" t="s">
        <v>57</v>
      </c>
      <c r="L47" t="s">
        <v>58</v>
      </c>
      <c r="O47">
        <v>4.5</v>
      </c>
      <c r="P47" t="s">
        <v>59</v>
      </c>
      <c r="T47">
        <v>22</v>
      </c>
      <c r="V47">
        <v>50</v>
      </c>
      <c r="W47" t="s">
        <v>74</v>
      </c>
      <c r="X47" t="s">
        <v>61</v>
      </c>
      <c r="Y47">
        <v>960</v>
      </c>
      <c r="AB47">
        <v>0.47</v>
      </c>
      <c r="AC47" t="s">
        <v>62</v>
      </c>
      <c r="AD47">
        <v>0.31</v>
      </c>
      <c r="AE47" t="s">
        <v>63</v>
      </c>
      <c r="AH47">
        <v>5.25</v>
      </c>
      <c r="AK47">
        <v>3.333333333333333</v>
      </c>
      <c r="AL47" t="s">
        <v>64</v>
      </c>
      <c r="AT47" t="s">
        <v>75</v>
      </c>
      <c r="AU47">
        <v>0</v>
      </c>
      <c r="AV47" t="s">
        <v>66</v>
      </c>
      <c r="BA47">
        <v>5.25</v>
      </c>
    </row>
    <row r="48" spans="1:53" x14ac:dyDescent="0.3">
      <c r="A48" t="s">
        <v>53</v>
      </c>
      <c r="C48" t="s">
        <v>54</v>
      </c>
      <c r="D48" t="s">
        <v>55</v>
      </c>
      <c r="E48">
        <v>3000000</v>
      </c>
      <c r="H48">
        <v>929</v>
      </c>
      <c r="I48" t="s">
        <v>56</v>
      </c>
      <c r="J48">
        <v>9.290000000000001E-2</v>
      </c>
      <c r="K48" t="s">
        <v>57</v>
      </c>
      <c r="L48" t="s">
        <v>58</v>
      </c>
      <c r="O48">
        <v>4.5</v>
      </c>
      <c r="P48" t="s">
        <v>59</v>
      </c>
      <c r="T48">
        <v>22</v>
      </c>
      <c r="V48">
        <v>50</v>
      </c>
      <c r="W48" t="s">
        <v>76</v>
      </c>
      <c r="X48" t="s">
        <v>61</v>
      </c>
      <c r="Y48">
        <v>960</v>
      </c>
      <c r="AB48">
        <v>3.66</v>
      </c>
      <c r="AC48" t="s">
        <v>62</v>
      </c>
      <c r="AD48">
        <v>0.43</v>
      </c>
      <c r="AE48" t="s">
        <v>63</v>
      </c>
      <c r="AH48">
        <v>4</v>
      </c>
      <c r="AK48">
        <v>3.333333333333333</v>
      </c>
      <c r="AL48" t="s">
        <v>64</v>
      </c>
      <c r="AT48" t="s">
        <v>77</v>
      </c>
      <c r="AU48">
        <v>0</v>
      </c>
      <c r="AV48" t="s">
        <v>66</v>
      </c>
      <c r="BA48">
        <v>4</v>
      </c>
    </row>
    <row r="49" spans="1:53" x14ac:dyDescent="0.3">
      <c r="A49" t="s">
        <v>53</v>
      </c>
      <c r="C49" t="s">
        <v>54</v>
      </c>
      <c r="D49" t="s">
        <v>55</v>
      </c>
      <c r="E49">
        <v>3000000</v>
      </c>
      <c r="H49">
        <v>929</v>
      </c>
      <c r="I49" t="s">
        <v>56</v>
      </c>
      <c r="J49">
        <v>9.290000000000001E-2</v>
      </c>
      <c r="K49" t="s">
        <v>57</v>
      </c>
      <c r="L49" t="s">
        <v>58</v>
      </c>
      <c r="O49">
        <v>4.5</v>
      </c>
      <c r="P49" t="s">
        <v>59</v>
      </c>
      <c r="T49">
        <v>22</v>
      </c>
      <c r="V49">
        <v>50</v>
      </c>
      <c r="W49" t="s">
        <v>78</v>
      </c>
      <c r="X49" t="s">
        <v>61</v>
      </c>
      <c r="Y49">
        <v>960</v>
      </c>
      <c r="AB49">
        <v>0.81</v>
      </c>
      <c r="AC49" t="s">
        <v>62</v>
      </c>
      <c r="AD49">
        <v>0.75</v>
      </c>
      <c r="AE49" t="s">
        <v>63</v>
      </c>
      <c r="AH49">
        <v>4.25</v>
      </c>
      <c r="AK49">
        <v>3.333333333333333</v>
      </c>
      <c r="AL49" t="s">
        <v>64</v>
      </c>
      <c r="AT49" t="s">
        <v>79</v>
      </c>
      <c r="AU49">
        <v>0</v>
      </c>
      <c r="AV49" t="s">
        <v>66</v>
      </c>
      <c r="BA49">
        <v>4.25</v>
      </c>
    </row>
    <row r="50" spans="1:53" x14ac:dyDescent="0.3">
      <c r="A50" t="s">
        <v>53</v>
      </c>
      <c r="C50" t="s">
        <v>54</v>
      </c>
      <c r="D50" t="s">
        <v>55</v>
      </c>
      <c r="E50">
        <v>3000000</v>
      </c>
      <c r="H50">
        <v>929</v>
      </c>
      <c r="I50" t="s">
        <v>56</v>
      </c>
      <c r="J50">
        <v>9.290000000000001E-2</v>
      </c>
      <c r="K50" t="s">
        <v>57</v>
      </c>
      <c r="L50" t="s">
        <v>58</v>
      </c>
      <c r="O50">
        <v>4.5</v>
      </c>
      <c r="P50" t="s">
        <v>59</v>
      </c>
      <c r="T50">
        <v>22</v>
      </c>
      <c r="V50">
        <v>50</v>
      </c>
      <c r="W50" t="s">
        <v>72</v>
      </c>
      <c r="X50" t="s">
        <v>61</v>
      </c>
      <c r="Y50">
        <v>1140</v>
      </c>
      <c r="AB50">
        <v>0.84</v>
      </c>
      <c r="AC50" t="s">
        <v>62</v>
      </c>
      <c r="AD50">
        <v>0.22</v>
      </c>
      <c r="AE50" t="s">
        <v>63</v>
      </c>
      <c r="AH50">
        <v>5.5</v>
      </c>
      <c r="AK50">
        <v>4.166666666666667</v>
      </c>
      <c r="AL50" t="s">
        <v>64</v>
      </c>
      <c r="AT50" t="s">
        <v>73</v>
      </c>
      <c r="AU50">
        <v>0</v>
      </c>
      <c r="AV50" t="s">
        <v>66</v>
      </c>
      <c r="BA50">
        <v>5.5</v>
      </c>
    </row>
    <row r="51" spans="1:53" x14ac:dyDescent="0.3">
      <c r="A51" t="s">
        <v>53</v>
      </c>
      <c r="C51" t="s">
        <v>54</v>
      </c>
      <c r="D51" t="s">
        <v>55</v>
      </c>
      <c r="E51">
        <v>3000000</v>
      </c>
      <c r="H51">
        <v>929</v>
      </c>
      <c r="I51" t="s">
        <v>56</v>
      </c>
      <c r="J51">
        <v>9.290000000000001E-2</v>
      </c>
      <c r="K51" t="s">
        <v>57</v>
      </c>
      <c r="L51" t="s">
        <v>58</v>
      </c>
      <c r="O51">
        <v>4.5</v>
      </c>
      <c r="P51" t="s">
        <v>59</v>
      </c>
      <c r="T51">
        <v>22</v>
      </c>
      <c r="V51">
        <v>50</v>
      </c>
      <c r="W51" t="s">
        <v>74</v>
      </c>
      <c r="X51" t="s">
        <v>61</v>
      </c>
      <c r="Y51">
        <v>1140</v>
      </c>
      <c r="AB51">
        <v>0.54</v>
      </c>
      <c r="AC51" t="s">
        <v>62</v>
      </c>
      <c r="AD51">
        <v>0.5</v>
      </c>
      <c r="AE51" t="s">
        <v>63</v>
      </c>
      <c r="AH51">
        <v>5.25</v>
      </c>
      <c r="AK51">
        <v>4.166666666666667</v>
      </c>
      <c r="AL51" t="s">
        <v>64</v>
      </c>
      <c r="AT51" t="s">
        <v>75</v>
      </c>
      <c r="AU51">
        <v>0</v>
      </c>
      <c r="AV51" t="s">
        <v>66</v>
      </c>
      <c r="BA51">
        <v>5.25</v>
      </c>
    </row>
    <row r="52" spans="1:53" x14ac:dyDescent="0.3">
      <c r="A52" t="s">
        <v>53</v>
      </c>
      <c r="C52" t="s">
        <v>54</v>
      </c>
      <c r="D52" t="s">
        <v>55</v>
      </c>
      <c r="E52">
        <v>3000000</v>
      </c>
      <c r="H52">
        <v>929</v>
      </c>
      <c r="I52" t="s">
        <v>56</v>
      </c>
      <c r="J52">
        <v>9.290000000000001E-2</v>
      </c>
      <c r="K52" t="s">
        <v>57</v>
      </c>
      <c r="L52" t="s">
        <v>58</v>
      </c>
      <c r="O52">
        <v>4.5</v>
      </c>
      <c r="P52" t="s">
        <v>59</v>
      </c>
      <c r="T52">
        <v>22</v>
      </c>
      <c r="V52">
        <v>50</v>
      </c>
      <c r="W52" t="s">
        <v>76</v>
      </c>
      <c r="X52" t="s">
        <v>61</v>
      </c>
      <c r="Y52">
        <v>1140</v>
      </c>
      <c r="AB52">
        <v>3.91</v>
      </c>
      <c r="AC52" t="s">
        <v>62</v>
      </c>
      <c r="AD52">
        <v>0.14000000000000001</v>
      </c>
      <c r="AE52" t="s">
        <v>63</v>
      </c>
      <c r="AH52">
        <v>4</v>
      </c>
      <c r="AK52">
        <v>4.166666666666667</v>
      </c>
      <c r="AL52" t="s">
        <v>64</v>
      </c>
      <c r="AT52" t="s">
        <v>77</v>
      </c>
      <c r="AU52">
        <v>0</v>
      </c>
      <c r="AV52" t="s">
        <v>66</v>
      </c>
      <c r="BA52">
        <v>4</v>
      </c>
    </row>
    <row r="53" spans="1:53" x14ac:dyDescent="0.3">
      <c r="A53" t="s">
        <v>53</v>
      </c>
      <c r="C53" t="s">
        <v>54</v>
      </c>
      <c r="D53" t="s">
        <v>55</v>
      </c>
      <c r="E53">
        <v>3000000</v>
      </c>
      <c r="H53">
        <v>929</v>
      </c>
      <c r="I53" t="s">
        <v>56</v>
      </c>
      <c r="J53">
        <v>9.290000000000001E-2</v>
      </c>
      <c r="K53" t="s">
        <v>57</v>
      </c>
      <c r="L53" t="s">
        <v>58</v>
      </c>
      <c r="O53">
        <v>4.5</v>
      </c>
      <c r="P53" t="s">
        <v>59</v>
      </c>
      <c r="T53">
        <v>22</v>
      </c>
      <c r="V53">
        <v>50</v>
      </c>
      <c r="W53" t="s">
        <v>78</v>
      </c>
      <c r="X53" t="s">
        <v>61</v>
      </c>
      <c r="Y53">
        <v>1140</v>
      </c>
      <c r="AB53">
        <v>0</v>
      </c>
      <c r="AC53" t="s">
        <v>62</v>
      </c>
      <c r="AD53">
        <v>0</v>
      </c>
      <c r="AE53" t="s">
        <v>63</v>
      </c>
      <c r="AH53">
        <v>4.25</v>
      </c>
      <c r="AK53">
        <v>4.166666666666667</v>
      </c>
      <c r="AL53" t="s">
        <v>64</v>
      </c>
      <c r="AT53" t="s">
        <v>79</v>
      </c>
      <c r="AU53">
        <v>0</v>
      </c>
      <c r="AV53" t="s">
        <v>66</v>
      </c>
      <c r="BA53">
        <v>4.25</v>
      </c>
    </row>
    <row r="54" spans="1:53" x14ac:dyDescent="0.3">
      <c r="A54" t="s">
        <v>80</v>
      </c>
      <c r="C54" t="s">
        <v>54</v>
      </c>
      <c r="D54" t="s">
        <v>81</v>
      </c>
      <c r="E54">
        <v>3000000</v>
      </c>
      <c r="H54">
        <v>2.625</v>
      </c>
      <c r="I54" t="s">
        <v>56</v>
      </c>
      <c r="J54">
        <v>2.6249999999999998E-4</v>
      </c>
      <c r="K54" t="s">
        <v>57</v>
      </c>
      <c r="O54">
        <v>158</v>
      </c>
      <c r="P54" t="s">
        <v>82</v>
      </c>
      <c r="T54">
        <v>17</v>
      </c>
      <c r="V54">
        <v>50</v>
      </c>
      <c r="W54" t="s">
        <v>83</v>
      </c>
      <c r="X54" t="s">
        <v>84</v>
      </c>
      <c r="Y54">
        <v>1380</v>
      </c>
      <c r="AB54">
        <v>7.16</v>
      </c>
      <c r="AC54" t="s">
        <v>85</v>
      </c>
      <c r="AD54" t="s">
        <v>86</v>
      </c>
      <c r="AE54" t="s">
        <v>63</v>
      </c>
      <c r="AI54">
        <v>4</v>
      </c>
      <c r="AJ54" t="s">
        <v>87</v>
      </c>
      <c r="AT54" t="s">
        <v>65</v>
      </c>
      <c r="AV54" t="s">
        <v>88</v>
      </c>
    </row>
    <row r="55" spans="1:53" x14ac:dyDescent="0.3">
      <c r="A55" t="s">
        <v>80</v>
      </c>
      <c r="C55" t="s">
        <v>54</v>
      </c>
      <c r="D55" t="s">
        <v>81</v>
      </c>
      <c r="E55">
        <v>3000000</v>
      </c>
      <c r="H55">
        <v>2.6259999999999999</v>
      </c>
      <c r="I55" t="s">
        <v>56</v>
      </c>
      <c r="J55">
        <v>2.6259999999999999E-4</v>
      </c>
      <c r="K55" t="s">
        <v>57</v>
      </c>
      <c r="O55">
        <v>158</v>
      </c>
      <c r="P55" t="s">
        <v>82</v>
      </c>
      <c r="T55">
        <v>17</v>
      </c>
      <c r="V55">
        <v>50</v>
      </c>
      <c r="W55" t="s">
        <v>89</v>
      </c>
      <c r="X55" t="s">
        <v>84</v>
      </c>
      <c r="Y55">
        <v>1380</v>
      </c>
      <c r="AB55">
        <v>6.83</v>
      </c>
      <c r="AC55" t="s">
        <v>85</v>
      </c>
      <c r="AD55" t="s">
        <v>90</v>
      </c>
      <c r="AE55" t="s">
        <v>63</v>
      </c>
      <c r="AI55">
        <v>4</v>
      </c>
      <c r="AJ55" t="s">
        <v>87</v>
      </c>
      <c r="AT55" t="s">
        <v>65</v>
      </c>
      <c r="AV55" t="s">
        <v>88</v>
      </c>
    </row>
    <row r="56" spans="1:53" x14ac:dyDescent="0.3">
      <c r="A56" t="s">
        <v>80</v>
      </c>
      <c r="C56" t="s">
        <v>54</v>
      </c>
      <c r="D56" t="s">
        <v>81</v>
      </c>
      <c r="E56">
        <v>3000000</v>
      </c>
      <c r="H56">
        <v>2.6269999999999998</v>
      </c>
      <c r="I56" t="s">
        <v>56</v>
      </c>
      <c r="J56">
        <v>2.6269999999999999E-4</v>
      </c>
      <c r="K56" t="s">
        <v>57</v>
      </c>
      <c r="O56">
        <v>158</v>
      </c>
      <c r="P56" t="s">
        <v>82</v>
      </c>
      <c r="T56">
        <v>17</v>
      </c>
      <c r="V56">
        <v>50</v>
      </c>
      <c r="W56" t="s">
        <v>91</v>
      </c>
      <c r="X56" t="s">
        <v>84</v>
      </c>
      <c r="Y56">
        <v>1380</v>
      </c>
      <c r="AB56">
        <v>5.95</v>
      </c>
      <c r="AC56" t="s">
        <v>85</v>
      </c>
      <c r="AD56" t="s">
        <v>92</v>
      </c>
      <c r="AE56" t="s">
        <v>63</v>
      </c>
      <c r="AI56">
        <v>4</v>
      </c>
      <c r="AJ56" t="s">
        <v>87</v>
      </c>
      <c r="AT56" t="s">
        <v>65</v>
      </c>
      <c r="AV56" t="s">
        <v>88</v>
      </c>
    </row>
    <row r="57" spans="1:53" x14ac:dyDescent="0.3">
      <c r="A57" t="s">
        <v>80</v>
      </c>
      <c r="C57" t="s">
        <v>54</v>
      </c>
      <c r="D57" t="s">
        <v>81</v>
      </c>
      <c r="E57">
        <v>1000000</v>
      </c>
      <c r="H57">
        <v>2.6280000000000001</v>
      </c>
      <c r="I57" t="s">
        <v>56</v>
      </c>
      <c r="J57">
        <v>2.6279999999999999E-4</v>
      </c>
      <c r="K57" t="s">
        <v>57</v>
      </c>
      <c r="O57">
        <v>158</v>
      </c>
      <c r="P57" t="s">
        <v>82</v>
      </c>
      <c r="T57">
        <v>17</v>
      </c>
      <c r="V57">
        <v>50</v>
      </c>
      <c r="W57" t="s">
        <v>93</v>
      </c>
      <c r="X57" t="s">
        <v>84</v>
      </c>
      <c r="Y57">
        <v>1380</v>
      </c>
      <c r="AA57" t="s">
        <v>94</v>
      </c>
      <c r="AB57">
        <v>7.4</v>
      </c>
      <c r="AC57" t="s">
        <v>85</v>
      </c>
      <c r="AI57">
        <v>4</v>
      </c>
      <c r="AJ57" t="s">
        <v>87</v>
      </c>
      <c r="AT57" t="s">
        <v>65</v>
      </c>
      <c r="AV57" t="s">
        <v>88</v>
      </c>
      <c r="AZ57">
        <v>0</v>
      </c>
      <c r="BA57">
        <v>7.4</v>
      </c>
    </row>
    <row r="58" spans="1:53" x14ac:dyDescent="0.3">
      <c r="A58" t="s">
        <v>80</v>
      </c>
      <c r="C58" t="s">
        <v>54</v>
      </c>
      <c r="D58" t="s">
        <v>81</v>
      </c>
      <c r="E58">
        <v>1000000</v>
      </c>
      <c r="H58">
        <v>2.629</v>
      </c>
      <c r="I58" t="s">
        <v>56</v>
      </c>
      <c r="J58">
        <v>2.6289999999999999E-4</v>
      </c>
      <c r="K58" t="s">
        <v>57</v>
      </c>
      <c r="O58">
        <v>158</v>
      </c>
      <c r="P58" t="s">
        <v>82</v>
      </c>
      <c r="T58">
        <v>17</v>
      </c>
      <c r="V58">
        <v>50</v>
      </c>
      <c r="W58" t="s">
        <v>95</v>
      </c>
      <c r="X58" t="s">
        <v>84</v>
      </c>
      <c r="Y58">
        <v>1380</v>
      </c>
      <c r="AB58">
        <v>6.21</v>
      </c>
      <c r="AC58" t="s">
        <v>85</v>
      </c>
      <c r="AD58" t="s">
        <v>96</v>
      </c>
      <c r="AE58" t="s">
        <v>63</v>
      </c>
      <c r="AI58">
        <v>4</v>
      </c>
      <c r="AJ58" t="s">
        <v>87</v>
      </c>
      <c r="AT58" t="s">
        <v>65</v>
      </c>
      <c r="AV58" t="s">
        <v>88</v>
      </c>
    </row>
    <row r="59" spans="1:53" x14ac:dyDescent="0.3">
      <c r="A59" t="s">
        <v>80</v>
      </c>
      <c r="C59" t="s">
        <v>54</v>
      </c>
      <c r="D59" t="s">
        <v>81</v>
      </c>
      <c r="E59">
        <v>1000000</v>
      </c>
      <c r="H59">
        <v>2.63</v>
      </c>
      <c r="I59" t="s">
        <v>56</v>
      </c>
      <c r="J59">
        <v>2.63E-4</v>
      </c>
      <c r="K59" t="s">
        <v>57</v>
      </c>
      <c r="O59">
        <v>158</v>
      </c>
      <c r="P59" t="s">
        <v>82</v>
      </c>
      <c r="T59">
        <v>17</v>
      </c>
      <c r="V59">
        <v>50</v>
      </c>
      <c r="W59" t="s">
        <v>97</v>
      </c>
      <c r="X59" t="s">
        <v>84</v>
      </c>
      <c r="Y59">
        <v>1380</v>
      </c>
      <c r="AB59">
        <v>6.84</v>
      </c>
      <c r="AC59" t="s">
        <v>85</v>
      </c>
      <c r="AD59" t="s">
        <v>98</v>
      </c>
      <c r="AE59" t="s">
        <v>63</v>
      </c>
      <c r="AI59">
        <v>4</v>
      </c>
      <c r="AJ59" t="s">
        <v>87</v>
      </c>
      <c r="AT59" t="s">
        <v>65</v>
      </c>
      <c r="AV59" t="s">
        <v>88</v>
      </c>
    </row>
    <row r="60" spans="1:53" x14ac:dyDescent="0.3">
      <c r="A60" t="s">
        <v>80</v>
      </c>
      <c r="C60" t="s">
        <v>54</v>
      </c>
      <c r="D60" t="s">
        <v>81</v>
      </c>
      <c r="E60">
        <v>1000000</v>
      </c>
      <c r="H60">
        <v>2.6309999999999998</v>
      </c>
      <c r="I60" t="s">
        <v>56</v>
      </c>
      <c r="J60">
        <v>2.631E-4</v>
      </c>
      <c r="K60" t="s">
        <v>57</v>
      </c>
      <c r="O60">
        <v>158</v>
      </c>
      <c r="P60" t="s">
        <v>82</v>
      </c>
      <c r="T60">
        <v>17</v>
      </c>
      <c r="V60">
        <v>50</v>
      </c>
      <c r="W60" t="s">
        <v>99</v>
      </c>
      <c r="X60" t="s">
        <v>84</v>
      </c>
      <c r="Y60">
        <v>1380</v>
      </c>
      <c r="AB60">
        <v>6.49</v>
      </c>
      <c r="AC60" t="s">
        <v>85</v>
      </c>
      <c r="AD60" t="s">
        <v>100</v>
      </c>
      <c r="AE60" t="s">
        <v>63</v>
      </c>
      <c r="AI60">
        <v>4</v>
      </c>
      <c r="AJ60" t="s">
        <v>87</v>
      </c>
      <c r="AT60" t="s">
        <v>65</v>
      </c>
      <c r="AV60" t="s">
        <v>88</v>
      </c>
    </row>
    <row r="61" spans="1:53" x14ac:dyDescent="0.3">
      <c r="A61" t="s">
        <v>80</v>
      </c>
      <c r="C61" t="s">
        <v>54</v>
      </c>
      <c r="D61" t="s">
        <v>81</v>
      </c>
      <c r="E61">
        <v>1000000</v>
      </c>
      <c r="H61">
        <v>2.6320000000000001</v>
      </c>
      <c r="I61" t="s">
        <v>56</v>
      </c>
      <c r="J61">
        <v>2.632E-4</v>
      </c>
      <c r="K61" t="s">
        <v>57</v>
      </c>
      <c r="O61">
        <v>68</v>
      </c>
      <c r="P61" t="s">
        <v>82</v>
      </c>
      <c r="T61">
        <v>21</v>
      </c>
      <c r="V61">
        <v>50</v>
      </c>
      <c r="W61" t="s">
        <v>101</v>
      </c>
      <c r="X61" t="s">
        <v>84</v>
      </c>
      <c r="Y61">
        <v>1200</v>
      </c>
      <c r="AB61">
        <v>6.57</v>
      </c>
      <c r="AC61" t="s">
        <v>85</v>
      </c>
      <c r="AD61" t="s">
        <v>102</v>
      </c>
      <c r="AE61" t="s">
        <v>63</v>
      </c>
      <c r="AI61">
        <v>4</v>
      </c>
      <c r="AJ61" t="s">
        <v>87</v>
      </c>
      <c r="AT61" t="s">
        <v>65</v>
      </c>
      <c r="AV61" t="s">
        <v>88</v>
      </c>
    </row>
    <row r="62" spans="1:53" x14ac:dyDescent="0.3">
      <c r="A62" t="s">
        <v>80</v>
      </c>
      <c r="C62" t="s">
        <v>54</v>
      </c>
      <c r="D62" t="s">
        <v>81</v>
      </c>
      <c r="E62">
        <v>1000000</v>
      </c>
      <c r="H62">
        <v>2.633</v>
      </c>
      <c r="I62" t="s">
        <v>56</v>
      </c>
      <c r="J62">
        <v>2.633E-4</v>
      </c>
      <c r="K62" t="s">
        <v>57</v>
      </c>
      <c r="O62">
        <v>68</v>
      </c>
      <c r="P62" t="s">
        <v>82</v>
      </c>
      <c r="T62">
        <v>21</v>
      </c>
      <c r="V62">
        <v>50</v>
      </c>
      <c r="W62" t="s">
        <v>83</v>
      </c>
      <c r="X62" t="s">
        <v>84</v>
      </c>
      <c r="Y62">
        <v>1200</v>
      </c>
      <c r="AB62">
        <v>7.18</v>
      </c>
      <c r="AC62" t="s">
        <v>85</v>
      </c>
      <c r="AD62" t="s">
        <v>103</v>
      </c>
      <c r="AE62" t="s">
        <v>63</v>
      </c>
      <c r="AI62">
        <v>4</v>
      </c>
      <c r="AJ62" t="s">
        <v>87</v>
      </c>
      <c r="AT62" t="s">
        <v>65</v>
      </c>
      <c r="AV62" t="s">
        <v>88</v>
      </c>
    </row>
    <row r="63" spans="1:53" x14ac:dyDescent="0.3">
      <c r="A63" t="s">
        <v>80</v>
      </c>
      <c r="C63" t="s">
        <v>54</v>
      </c>
      <c r="D63" t="s">
        <v>81</v>
      </c>
      <c r="E63">
        <v>1000000</v>
      </c>
      <c r="H63">
        <v>2.6339999999999999</v>
      </c>
      <c r="I63" t="s">
        <v>56</v>
      </c>
      <c r="J63">
        <v>2.6340000000000001E-4</v>
      </c>
      <c r="K63" t="s">
        <v>57</v>
      </c>
      <c r="O63">
        <v>68</v>
      </c>
      <c r="P63" t="s">
        <v>82</v>
      </c>
      <c r="T63">
        <v>21</v>
      </c>
      <c r="V63">
        <v>50</v>
      </c>
      <c r="W63" t="s">
        <v>89</v>
      </c>
      <c r="X63" t="s">
        <v>84</v>
      </c>
      <c r="Y63">
        <v>1200</v>
      </c>
      <c r="AB63">
        <v>6.85</v>
      </c>
      <c r="AC63" t="s">
        <v>85</v>
      </c>
      <c r="AD63" t="s">
        <v>104</v>
      </c>
      <c r="AE63" t="s">
        <v>63</v>
      </c>
      <c r="AI63">
        <v>4</v>
      </c>
      <c r="AJ63" t="s">
        <v>87</v>
      </c>
      <c r="AT63" t="s">
        <v>65</v>
      </c>
      <c r="AV63" t="s">
        <v>88</v>
      </c>
    </row>
    <row r="64" spans="1:53" x14ac:dyDescent="0.3">
      <c r="A64" t="s">
        <v>80</v>
      </c>
      <c r="C64" t="s">
        <v>54</v>
      </c>
      <c r="D64" t="s">
        <v>81</v>
      </c>
      <c r="E64">
        <v>1000000</v>
      </c>
      <c r="H64">
        <v>2.6349999999999998</v>
      </c>
      <c r="I64" t="s">
        <v>56</v>
      </c>
      <c r="J64">
        <v>2.6350000000000001E-4</v>
      </c>
      <c r="K64" t="s">
        <v>57</v>
      </c>
      <c r="O64">
        <v>68</v>
      </c>
      <c r="P64" t="s">
        <v>82</v>
      </c>
      <c r="T64">
        <v>21</v>
      </c>
      <c r="V64">
        <v>50</v>
      </c>
      <c r="W64" t="s">
        <v>91</v>
      </c>
      <c r="X64" t="s">
        <v>84</v>
      </c>
      <c r="Y64">
        <v>1200</v>
      </c>
      <c r="AB64">
        <v>5.1100000000000003</v>
      </c>
      <c r="AC64" t="s">
        <v>85</v>
      </c>
      <c r="AD64" t="s">
        <v>105</v>
      </c>
      <c r="AE64" t="s">
        <v>63</v>
      </c>
      <c r="AI64">
        <v>4</v>
      </c>
      <c r="AJ64" t="s">
        <v>87</v>
      </c>
      <c r="AT64" t="s">
        <v>65</v>
      </c>
      <c r="AV64" t="s">
        <v>88</v>
      </c>
    </row>
    <row r="65" spans="1:53" x14ac:dyDescent="0.3">
      <c r="A65" t="s">
        <v>80</v>
      </c>
      <c r="C65" t="s">
        <v>54</v>
      </c>
      <c r="D65" t="s">
        <v>81</v>
      </c>
      <c r="E65">
        <v>1000000</v>
      </c>
      <c r="H65">
        <v>2.6360000000000001</v>
      </c>
      <c r="I65" t="s">
        <v>56</v>
      </c>
      <c r="J65">
        <v>2.6360000000000001E-4</v>
      </c>
      <c r="K65" t="s">
        <v>57</v>
      </c>
      <c r="O65">
        <v>68</v>
      </c>
      <c r="P65" t="s">
        <v>82</v>
      </c>
      <c r="T65">
        <v>21</v>
      </c>
      <c r="V65">
        <v>50</v>
      </c>
      <c r="W65" t="s">
        <v>93</v>
      </c>
      <c r="X65" t="s">
        <v>84</v>
      </c>
      <c r="Y65">
        <v>1200</v>
      </c>
      <c r="AB65">
        <v>7.11</v>
      </c>
      <c r="AC65" t="s">
        <v>85</v>
      </c>
      <c r="AD65" t="s">
        <v>106</v>
      </c>
      <c r="AE65" t="s">
        <v>63</v>
      </c>
      <c r="AI65">
        <v>4</v>
      </c>
      <c r="AJ65" t="s">
        <v>87</v>
      </c>
      <c r="AT65" t="s">
        <v>65</v>
      </c>
      <c r="AV65" t="s">
        <v>88</v>
      </c>
    </row>
    <row r="66" spans="1:53" x14ac:dyDescent="0.3">
      <c r="A66" t="s">
        <v>80</v>
      </c>
      <c r="C66" t="s">
        <v>54</v>
      </c>
      <c r="D66" t="s">
        <v>81</v>
      </c>
      <c r="E66">
        <v>1000000</v>
      </c>
      <c r="H66">
        <v>2.637</v>
      </c>
      <c r="I66" t="s">
        <v>56</v>
      </c>
      <c r="J66">
        <v>2.6370000000000001E-4</v>
      </c>
      <c r="K66" t="s">
        <v>57</v>
      </c>
      <c r="O66">
        <v>68</v>
      </c>
      <c r="P66" t="s">
        <v>82</v>
      </c>
      <c r="T66">
        <v>21</v>
      </c>
      <c r="V66">
        <v>50</v>
      </c>
      <c r="W66" t="s">
        <v>95</v>
      </c>
      <c r="X66" t="s">
        <v>84</v>
      </c>
      <c r="Y66">
        <v>1200</v>
      </c>
      <c r="AB66">
        <v>6.7</v>
      </c>
      <c r="AC66" t="s">
        <v>85</v>
      </c>
      <c r="AD66" t="s">
        <v>107</v>
      </c>
      <c r="AE66" t="s">
        <v>63</v>
      </c>
      <c r="AI66">
        <v>4</v>
      </c>
      <c r="AJ66" t="s">
        <v>87</v>
      </c>
      <c r="AT66" t="s">
        <v>65</v>
      </c>
      <c r="AV66" t="s">
        <v>88</v>
      </c>
    </row>
    <row r="67" spans="1:53" x14ac:dyDescent="0.3">
      <c r="A67" t="s">
        <v>80</v>
      </c>
      <c r="C67" t="s">
        <v>54</v>
      </c>
      <c r="D67" t="s">
        <v>81</v>
      </c>
      <c r="E67">
        <v>1000000</v>
      </c>
      <c r="H67">
        <v>2.6379999999999999</v>
      </c>
      <c r="I67" t="s">
        <v>56</v>
      </c>
      <c r="J67">
        <v>2.6380000000000002E-4</v>
      </c>
      <c r="K67" t="s">
        <v>57</v>
      </c>
      <c r="O67">
        <v>68</v>
      </c>
      <c r="P67" t="s">
        <v>82</v>
      </c>
      <c r="T67">
        <v>21</v>
      </c>
      <c r="V67">
        <v>50</v>
      </c>
      <c r="W67" t="s">
        <v>97</v>
      </c>
      <c r="X67" t="s">
        <v>84</v>
      </c>
      <c r="Y67">
        <v>1200</v>
      </c>
      <c r="AB67">
        <v>6.92</v>
      </c>
      <c r="AC67" t="s">
        <v>85</v>
      </c>
      <c r="AD67" t="s">
        <v>108</v>
      </c>
      <c r="AE67" t="s">
        <v>63</v>
      </c>
      <c r="AI67">
        <v>4</v>
      </c>
      <c r="AJ67" t="s">
        <v>87</v>
      </c>
      <c r="AT67" t="s">
        <v>65</v>
      </c>
      <c r="AV67" t="s">
        <v>88</v>
      </c>
    </row>
    <row r="68" spans="1:53" x14ac:dyDescent="0.3">
      <c r="A68" t="s">
        <v>80</v>
      </c>
      <c r="C68" t="s">
        <v>54</v>
      </c>
      <c r="D68" t="s">
        <v>81</v>
      </c>
      <c r="E68">
        <v>1000000</v>
      </c>
      <c r="H68">
        <v>2.6389999999999998</v>
      </c>
      <c r="I68" t="s">
        <v>56</v>
      </c>
      <c r="J68">
        <v>2.6390000000000002E-4</v>
      </c>
      <c r="K68" t="s">
        <v>57</v>
      </c>
      <c r="O68">
        <v>68</v>
      </c>
      <c r="P68" t="s">
        <v>82</v>
      </c>
      <c r="T68">
        <v>21</v>
      </c>
      <c r="V68">
        <v>50</v>
      </c>
      <c r="W68" t="s">
        <v>99</v>
      </c>
      <c r="X68" t="s">
        <v>84</v>
      </c>
      <c r="Y68">
        <v>1200</v>
      </c>
      <c r="AB68">
        <v>6.58</v>
      </c>
      <c r="AC68" t="s">
        <v>85</v>
      </c>
      <c r="AD68" t="s">
        <v>96</v>
      </c>
      <c r="AE68" t="s">
        <v>63</v>
      </c>
      <c r="AI68">
        <v>4</v>
      </c>
      <c r="AJ68" t="s">
        <v>87</v>
      </c>
      <c r="AT68" t="s">
        <v>65</v>
      </c>
      <c r="AV68" t="s">
        <v>88</v>
      </c>
    </row>
    <row r="69" spans="1:53" x14ac:dyDescent="0.3">
      <c r="A69" t="s">
        <v>80</v>
      </c>
      <c r="C69" t="s">
        <v>54</v>
      </c>
      <c r="D69" t="s">
        <v>81</v>
      </c>
      <c r="E69">
        <v>1000000</v>
      </c>
      <c r="H69">
        <v>2.64</v>
      </c>
      <c r="I69" t="s">
        <v>56</v>
      </c>
      <c r="J69">
        <v>2.6400000000000002E-4</v>
      </c>
      <c r="K69" t="s">
        <v>57</v>
      </c>
      <c r="O69">
        <v>68</v>
      </c>
      <c r="P69" t="s">
        <v>82</v>
      </c>
      <c r="T69">
        <v>21</v>
      </c>
      <c r="V69">
        <v>50</v>
      </c>
      <c r="W69" t="s">
        <v>101</v>
      </c>
      <c r="X69" t="s">
        <v>84</v>
      </c>
      <c r="Y69">
        <v>1200</v>
      </c>
      <c r="AA69" t="s">
        <v>94</v>
      </c>
      <c r="AB69">
        <v>7.28</v>
      </c>
      <c r="AC69" t="s">
        <v>85</v>
      </c>
      <c r="AI69">
        <v>4</v>
      </c>
      <c r="AJ69" t="s">
        <v>87</v>
      </c>
      <c r="AT69" t="s">
        <v>65</v>
      </c>
      <c r="AV69" t="s">
        <v>88</v>
      </c>
      <c r="AZ69">
        <v>0</v>
      </c>
      <c r="BA69">
        <v>7.28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C11" sqref="C11:F11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10" bestFit="1" customWidth="1"/>
    <col min="4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COUNTA(FoggingMaster[Ref])</f>
        <v>68</v>
      </c>
      <c r="C2" s="3"/>
      <c r="D2" s="3"/>
      <c r="E2" s="3"/>
      <c r="F2" s="3"/>
    </row>
    <row r="3" spans="1:6" x14ac:dyDescent="0.3">
      <c r="A3" s="3" t="s">
        <v>1583</v>
      </c>
      <c r="B3" s="3">
        <f>COUNTA(FoggingMaster[GrimeDirt])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COUNTA(FoggingMaster[Rinsate])</f>
        <v>52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FoggingMaster[ConvertedCoupAreaUn]),COUNTIF(FoggingMaster[ConvertedCoupAreaUn],INDEX(FoggingMaster[ConvertedCoupAreaUn],MATCH(TRUE,FoggingMaster[ConvertedCoupAreaUn]&lt;&gt;"",0)))=COUNTIF(FoggingMaster[ConvertedCoupAreaUn],"&lt;&gt;"),""),INDEX(FoggingMaster[ConvertedCoupAreaUn],MATCH(TRUE,FoggingMaster[ConvertedCoupAreaUn]&lt;&gt;"",0)), "multiple units given"),"NA")</f>
        <v>m^2</v>
      </c>
      <c r="C11" s="3">
        <f>IF(AND(ISNUMBER(E11),ISNUMBER(F11)),MIN(FoggingMaster[ConvertedCoupArea]),"NA")</f>
        <v>2.6249999999999998E-4</v>
      </c>
      <c r="D11" s="3">
        <f>IF(AND(ISNUMBER(E11),ISNUMBER(F11)),MAX(FoggingMaster[ConvertedCoupArea]),"NA")</f>
        <v>9.290000000000001E-2</v>
      </c>
      <c r="E11" s="3">
        <f>IFERROR(AVERAGE(FoggingMaster[ConvertedCoupArea]),"NA")</f>
        <v>7.1103117647058914E-2</v>
      </c>
      <c r="F11" s="3">
        <f>IFERROR(STDEV(FoggingMaster[ConvertedCoupArea]),"NA")</f>
        <v>3.9587047812376291E-2</v>
      </c>
    </row>
    <row r="12" spans="1:6" x14ac:dyDescent="0.3">
      <c r="A12" s="3" t="s">
        <v>1591</v>
      </c>
      <c r="B12" s="3" t="str" cm="1">
        <f t="array" ref="B12">IFERROR(IF(IF(COUNTA(FoggingMaster[LoadingUn]),COUNTIF(FoggingMaster[LoadingUn],INDEX(FoggingMaster[LoadingUn],MATCH(TRUE,FoggingMaster[LoadingUn]&lt;&gt;"",0)))=COUNTIF(FoggingMaster[LoadingUn],"&lt;&gt;"),""),INDEX(FoggingMaster[LoadingUn],MATCH(TRUE,FoggingMaster[LoadingUn]&lt;&gt;"",0)), "multiple units given"),"NA")</f>
        <v>multiple units given</v>
      </c>
      <c r="C12" s="3">
        <f>IF(AND(ISNUMBER(E12),ISNUMBER(F12)),MIN(FoggingMaster[LoadingNum]),"NA")</f>
        <v>1000000</v>
      </c>
      <c r="D12" s="3">
        <f>IF(AND(ISNUMBER(E12),ISNUMBER(F12)),MAX(FoggingMaster[LoadingNum]),"NA")</f>
        <v>10000000</v>
      </c>
      <c r="E12" s="3">
        <f>IFERROR(AVERAGE(FoggingMaster[LoadingNum]),"NA")</f>
        <v>3500000</v>
      </c>
      <c r="F12" s="3">
        <f>IFERROR(STDEV(FoggingMaster[LoadingNum]),"NA")</f>
        <v>3711619.51215168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IF(AND(ISNUMBER(E13),ISNUMBER(F13)),MIN(FoggingMaster[TotalApp]),"NA")</f>
        <v>NA</v>
      </c>
      <c r="D13" s="3" t="str">
        <f>IF(AND(ISNUMBER(E13),ISNUMBER(F13)),MAX(FoggingMaster[TotalApp]),"NA")</f>
        <v>NA</v>
      </c>
      <c r="E13" s="3" t="str">
        <f>IFERROR(AVERAGE(FoggingMaster[TotalApp]),"NA")</f>
        <v>NA</v>
      </c>
      <c r="F13" s="3" t="str">
        <f>IFERROR(STDEV(FoggingMaster[TotalApp]),"NA")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IF(AND(ISNUMBER(E14),ISNUMBER(F14)),MIN(FoggingMaster[TempNum]),"NA")</f>
        <v>17</v>
      </c>
      <c r="D14" s="3">
        <f>IF(AND(ISNUMBER(E14),ISNUMBER(F14)),MAX(FoggingMaster[TempNum]),"NA")</f>
        <v>22</v>
      </c>
      <c r="E14" s="3">
        <f>IFERROR(AVERAGE(FoggingMaster[TempNum]),"NA")</f>
        <v>21.352941176470587</v>
      </c>
      <c r="F14" s="3">
        <f>IFERROR(STDEV(FoggingMaster[TempNum]),"NA")</f>
        <v>1.5235926305777512</v>
      </c>
    </row>
    <row r="15" spans="1:6" x14ac:dyDescent="0.3">
      <c r="A15" s="3" t="s">
        <v>1595</v>
      </c>
      <c r="B15" s="3" t="s">
        <v>1527</v>
      </c>
      <c r="C15" s="3">
        <f>IF(AND(ISNUMBER(E15),ISNUMBER(F15)),MIN(FoggingMaster[RHNum]),"NA")</f>
        <v>50</v>
      </c>
      <c r="D15" s="3">
        <f>IF(AND(ISNUMBER(E15),ISNUMBER(F15)),MAX(FoggingMaster[RHNum]),"NA")</f>
        <v>50</v>
      </c>
      <c r="E15" s="3">
        <f>IFERROR(AVERAGE(FoggingMaster[RHNum]),"NA")</f>
        <v>50</v>
      </c>
      <c r="F15" s="3">
        <f>IFERROR(STDEV(FoggingMaster[RHNum]),"NA")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IF(AND(ISNUMBER(E16),ISNUMBER(F16)),MIN(FoggingMaster[ContTimeNumMin]),"NA")</f>
        <v>120</v>
      </c>
      <c r="D16" s="3">
        <f>IF(AND(ISNUMBER(E16),ISNUMBER(F16)),MAX(FoggingMaster[ContTimeNumMin]),"NA")</f>
        <v>1380</v>
      </c>
      <c r="E16" s="3">
        <f>IFERROR(AVERAGE(FoggingMaster[ContTimeNumMin]),"NA")</f>
        <v>907.23529411764707</v>
      </c>
      <c r="F16" s="3">
        <f>IFERROR(STDEV(FoggingMaster[ContTimeNumMin]),"NA")</f>
        <v>391.12131635704469</v>
      </c>
    </row>
    <row r="17" spans="1:6" x14ac:dyDescent="0.3">
      <c r="A17" s="3" t="s">
        <v>1598</v>
      </c>
      <c r="B17" s="3" t="str" cm="1">
        <f t="array" ref="B17">IFERROR(IF(IF(COUNTA(FoggingMaster[ConcDoseUn]),COUNTIF(FoggingMaster[ConcDoseUn],INDEX(FoggingMaster[ConcDoseUn],MATCH(TRUE,FoggingMaster[ConcDoseUn]&lt;&gt;"",0)))=COUNTIF(FoggingMaster[ConcDoseUn],"&lt;&gt;"),""),INDEX(FoggingMaster[ConcDoseUn],MATCH(TRUE,FoggingMaster[ConcDoseUn]&lt;&gt;"",0)), "multiple units given"),"NA")</f>
        <v>multiple units given</v>
      </c>
      <c r="C17" s="3">
        <f>IF(AND(ISNUMBER(E17),ISNUMBER(F17)),MIN(FoggingMaster[ConcDoseNum]),"NA")</f>
        <v>4.5</v>
      </c>
      <c r="D17" s="3">
        <f>IF(AND(ISNUMBER(E17),ISNUMBER(F17)),MAX(FoggingMaster[ConcDoseNum]),"NA")</f>
        <v>158</v>
      </c>
      <c r="E17" s="3">
        <f>IFERROR(AVERAGE(FoggingMaster[ConcDoseNum]),"NA")</f>
        <v>28.705882352941178</v>
      </c>
      <c r="F17" s="3">
        <f>IFERROR(STDEV(FoggingMaster[ConcDoseNum]),"NA")</f>
        <v>49.078541629347185</v>
      </c>
    </row>
    <row r="18" spans="1:6" x14ac:dyDescent="0.3">
      <c r="A18" s="3" t="s">
        <v>1599</v>
      </c>
      <c r="B18" s="3" t="str" cm="1">
        <f t="array" ref="B18">IFERROR(IF(IF(COUNTA(FoggingMaster[EffMeas]),COUNTIF(FoggingMaster[EffMeas],INDEX(FoggingMaster[EffMeas],MATCH(TRUE,FoggingMaster[EffMeas]&lt;&gt;"",0)))=COUNTIF(FoggingMaster[EffMeas],"&lt;&gt;"),""),INDEX(FoggingMaster[EffMeas],MATCH(TRUE,FoggingMaster[EffMeas]&lt;&gt;"",0)), "multiple units given"),"NA")</f>
        <v>multiple units given</v>
      </c>
      <c r="C18" s="3">
        <f>IF(AND(ISNUMBER(E18),ISNUMBER(F18)),MIN(FoggingMaster[Eff]),"NA")</f>
        <v>0</v>
      </c>
      <c r="D18" s="3">
        <f>IF(AND(ISNUMBER(E18),ISNUMBER(F18)),MAX(FoggingMaster[Eff]),"NA")</f>
        <v>7.4</v>
      </c>
      <c r="E18" s="3">
        <f>IFERROR(AVERAGE(FoggingMaster[Eff]),"NA")</f>
        <v>2.4286567164179109</v>
      </c>
      <c r="F18" s="3">
        <f>IFERROR(STDEV(FoggingMaster[Eff]),"NA")</f>
        <v>2.5694256494885499</v>
      </c>
    </row>
    <row r="19" spans="1:6" x14ac:dyDescent="0.3">
      <c r="A19" s="3" t="s">
        <v>1600</v>
      </c>
      <c r="B19" s="3" t="str" cm="1">
        <f t="array" ref="B19">IFERROR(IF(IF(COUNTA(FoggingMaster[ConvertedVolAppUn]),COUNTIF(FoggingMaster[ConvertedVolAppUn],INDEX(FoggingMaster[ConvertedVolAppUn],MATCH(TRUE,FoggingMaster[ConvertedVolAppUn]&lt;&gt;"",0)))=COUNTIF(FoggingMaster[ConvertedVolAppUn],"&lt;&gt;"),""),INDEX(FoggingMaster[ConvertedVolAppUn],MATCH(TRUE,FoggingMaster[ConvertedVolAppUn]&lt;&gt;"",0)), "multiple units given"),"NA")</f>
        <v>NA</v>
      </c>
      <c r="C19" s="3" t="str">
        <f>IF(AND(ISNUMBER(E19),ISNUMBER(F19)),MIN(FoggingMaster[ConvertedVolApp]),"NA")</f>
        <v>NA</v>
      </c>
      <c r="D19" s="3" t="str">
        <f>IF(AND(ISNUMBER(E19),ISNUMBER(F19)),MAX(FoggingMaster[ConvertedVolApp]),"NA")</f>
        <v>NA</v>
      </c>
      <c r="E19" s="3" t="str">
        <f>IFERROR(AVERAGE(FoggingMaster[ConvertedVolApp]),"NA")</f>
        <v>NA</v>
      </c>
      <c r="F19" s="3" t="str">
        <f>IFERROR(STDEV(FoggingMaster[ConvertedVolApp]),"NA")</f>
        <v>NA</v>
      </c>
    </row>
  </sheetData>
  <conditionalFormatting sqref="B11:B19">
    <cfRule type="cellIs" dxfId="64" priority="1" operator="equal">
      <formula>"multiple units given"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3059"/>
  <sheetViews>
    <sheetView topLeftCell="F14" workbookViewId="0">
      <selection activeCell="J2" sqref="J2:J2496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250</v>
      </c>
      <c r="C2" t="s">
        <v>251</v>
      </c>
      <c r="D2" t="s">
        <v>81</v>
      </c>
      <c r="E2">
        <v>1000000</v>
      </c>
      <c r="H2">
        <v>250</v>
      </c>
      <c r="I2" t="s">
        <v>82</v>
      </c>
      <c r="J2">
        <v>2.5000000000000001E-4</v>
      </c>
      <c r="K2" t="s">
        <v>252</v>
      </c>
      <c r="O2">
        <v>7.7</v>
      </c>
      <c r="P2" t="s">
        <v>253</v>
      </c>
      <c r="T2">
        <v>27</v>
      </c>
      <c r="V2">
        <v>50</v>
      </c>
      <c r="W2" t="s">
        <v>254</v>
      </c>
      <c r="X2" t="s">
        <v>255</v>
      </c>
      <c r="Y2">
        <v>0</v>
      </c>
      <c r="AB2">
        <v>7.3108040922750401</v>
      </c>
      <c r="AC2" t="s">
        <v>210</v>
      </c>
      <c r="AI2">
        <v>3</v>
      </c>
      <c r="AT2" t="s">
        <v>150</v>
      </c>
      <c r="AV2" t="s">
        <v>256</v>
      </c>
    </row>
    <row r="3" spans="1:53" x14ac:dyDescent="0.3">
      <c r="A3" t="s">
        <v>250</v>
      </c>
      <c r="C3" t="s">
        <v>251</v>
      </c>
      <c r="D3" t="s">
        <v>81</v>
      </c>
      <c r="E3">
        <v>10000000000</v>
      </c>
      <c r="H3">
        <v>250</v>
      </c>
      <c r="I3" t="s">
        <v>82</v>
      </c>
      <c r="J3">
        <v>2.5000000000000001E-4</v>
      </c>
      <c r="K3" t="s">
        <v>252</v>
      </c>
      <c r="O3">
        <v>7.7</v>
      </c>
      <c r="P3" t="s">
        <v>253</v>
      </c>
      <c r="T3">
        <v>27</v>
      </c>
      <c r="V3">
        <v>50</v>
      </c>
      <c r="W3" t="s">
        <v>254</v>
      </c>
      <c r="X3" t="s">
        <v>255</v>
      </c>
      <c r="Y3">
        <v>4.6604870072476601</v>
      </c>
      <c r="AB3">
        <v>5.1552059395439098</v>
      </c>
      <c r="AC3" t="s">
        <v>210</v>
      </c>
      <c r="AI3">
        <v>3</v>
      </c>
      <c r="AT3" t="s">
        <v>150</v>
      </c>
      <c r="AV3" t="s">
        <v>256</v>
      </c>
    </row>
    <row r="4" spans="1:53" x14ac:dyDescent="0.3">
      <c r="A4" t="s">
        <v>250</v>
      </c>
      <c r="C4" t="s">
        <v>251</v>
      </c>
      <c r="D4" t="s">
        <v>81</v>
      </c>
      <c r="E4">
        <v>10000000000</v>
      </c>
      <c r="H4">
        <v>250</v>
      </c>
      <c r="I4" t="s">
        <v>82</v>
      </c>
      <c r="J4">
        <v>2.5000000000000001E-4</v>
      </c>
      <c r="K4" t="s">
        <v>252</v>
      </c>
      <c r="O4">
        <v>7.7</v>
      </c>
      <c r="P4" t="s">
        <v>253</v>
      </c>
      <c r="T4">
        <v>27</v>
      </c>
      <c r="V4">
        <v>50</v>
      </c>
      <c r="W4" t="s">
        <v>254</v>
      </c>
      <c r="X4" t="s">
        <v>255</v>
      </c>
      <c r="Y4">
        <v>10.0448559307053</v>
      </c>
      <c r="AB4">
        <v>5.2609653968534502</v>
      </c>
      <c r="AC4" t="s">
        <v>210</v>
      </c>
      <c r="AI4">
        <v>3</v>
      </c>
      <c r="AT4" t="s">
        <v>150</v>
      </c>
      <c r="AV4" t="s">
        <v>256</v>
      </c>
    </row>
    <row r="5" spans="1:53" x14ac:dyDescent="0.3">
      <c r="A5" t="s">
        <v>250</v>
      </c>
      <c r="C5" t="s">
        <v>251</v>
      </c>
      <c r="D5" t="s">
        <v>81</v>
      </c>
      <c r="E5">
        <v>10000000000</v>
      </c>
      <c r="H5">
        <v>250</v>
      </c>
      <c r="I5" t="s">
        <v>82</v>
      </c>
      <c r="J5">
        <v>2.5000000000000001E-4</v>
      </c>
      <c r="K5" t="s">
        <v>252</v>
      </c>
      <c r="O5">
        <v>7.7</v>
      </c>
      <c r="P5" t="s">
        <v>253</v>
      </c>
      <c r="T5">
        <v>27</v>
      </c>
      <c r="V5">
        <v>50</v>
      </c>
      <c r="W5" t="s">
        <v>254</v>
      </c>
      <c r="X5" t="s">
        <v>255</v>
      </c>
      <c r="Y5">
        <v>14.8047772671027</v>
      </c>
      <c r="AB5">
        <v>3.94541055329679</v>
      </c>
      <c r="AC5" t="s">
        <v>210</v>
      </c>
      <c r="AI5">
        <v>3</v>
      </c>
      <c r="AT5" t="s">
        <v>150</v>
      </c>
      <c r="AV5" t="s">
        <v>256</v>
      </c>
    </row>
    <row r="6" spans="1:53" x14ac:dyDescent="0.3">
      <c r="A6" t="s">
        <v>250</v>
      </c>
      <c r="C6" t="s">
        <v>251</v>
      </c>
      <c r="D6" t="s">
        <v>81</v>
      </c>
      <c r="E6">
        <v>10000000000</v>
      </c>
      <c r="H6">
        <v>250</v>
      </c>
      <c r="I6" t="s">
        <v>82</v>
      </c>
      <c r="J6">
        <v>2.5000000000000001E-4</v>
      </c>
      <c r="K6" t="s">
        <v>252</v>
      </c>
      <c r="O6">
        <v>7.7</v>
      </c>
      <c r="P6" t="s">
        <v>253</v>
      </c>
      <c r="T6">
        <v>27</v>
      </c>
      <c r="V6">
        <v>50</v>
      </c>
      <c r="W6" t="s">
        <v>254</v>
      </c>
      <c r="X6" t="s">
        <v>255</v>
      </c>
      <c r="Y6">
        <v>29.930727417359002</v>
      </c>
      <c r="AA6" t="s">
        <v>128</v>
      </c>
      <c r="AB6">
        <v>1</v>
      </c>
      <c r="AC6" t="s">
        <v>210</v>
      </c>
      <c r="AI6">
        <v>3</v>
      </c>
      <c r="AT6" t="s">
        <v>150</v>
      </c>
      <c r="AV6" t="s">
        <v>256</v>
      </c>
      <c r="AZ6">
        <v>0</v>
      </c>
    </row>
    <row r="7" spans="1:53" x14ac:dyDescent="0.3">
      <c r="A7" t="s">
        <v>250</v>
      </c>
      <c r="C7" t="s">
        <v>251</v>
      </c>
      <c r="D7" t="s">
        <v>81</v>
      </c>
      <c r="E7">
        <v>10000000000</v>
      </c>
      <c r="H7">
        <v>250</v>
      </c>
      <c r="I7" t="s">
        <v>82</v>
      </c>
      <c r="J7">
        <v>2.5000000000000001E-4</v>
      </c>
      <c r="K7" t="s">
        <v>252</v>
      </c>
      <c r="O7">
        <v>7.7</v>
      </c>
      <c r="P7" t="s">
        <v>253</v>
      </c>
      <c r="T7">
        <v>27</v>
      </c>
      <c r="V7">
        <v>50</v>
      </c>
      <c r="W7" t="s">
        <v>254</v>
      </c>
      <c r="X7" t="s">
        <v>255</v>
      </c>
      <c r="Y7">
        <v>45.011600671734101</v>
      </c>
      <c r="AA7" t="s">
        <v>128</v>
      </c>
      <c r="AB7">
        <v>1</v>
      </c>
      <c r="AC7" t="s">
        <v>210</v>
      </c>
      <c r="AI7">
        <v>3</v>
      </c>
      <c r="AT7" t="s">
        <v>150</v>
      </c>
      <c r="AV7" t="s">
        <v>256</v>
      </c>
      <c r="AZ7">
        <v>0</v>
      </c>
    </row>
    <row r="8" spans="1:53" x14ac:dyDescent="0.3">
      <c r="A8" t="s">
        <v>250</v>
      </c>
      <c r="C8" t="s">
        <v>251</v>
      </c>
      <c r="D8" t="s">
        <v>81</v>
      </c>
      <c r="E8">
        <v>10000000000</v>
      </c>
      <c r="H8">
        <v>250</v>
      </c>
      <c r="I8" t="s">
        <v>82</v>
      </c>
      <c r="J8">
        <v>2.5000000000000001E-4</v>
      </c>
      <c r="K8" t="s">
        <v>252</v>
      </c>
      <c r="O8">
        <v>7.7</v>
      </c>
      <c r="P8" t="s">
        <v>253</v>
      </c>
      <c r="T8">
        <v>27</v>
      </c>
      <c r="V8">
        <v>50</v>
      </c>
      <c r="W8" t="s">
        <v>254</v>
      </c>
      <c r="X8" t="s">
        <v>255</v>
      </c>
      <c r="Y8">
        <v>59.984753402863703</v>
      </c>
      <c r="AA8" t="s">
        <v>128</v>
      </c>
      <c r="AB8">
        <v>1</v>
      </c>
      <c r="AC8" t="s">
        <v>210</v>
      </c>
      <c r="AI8">
        <v>3</v>
      </c>
      <c r="AT8" t="s">
        <v>150</v>
      </c>
      <c r="AV8" t="s">
        <v>256</v>
      </c>
      <c r="AZ8">
        <v>0</v>
      </c>
    </row>
    <row r="9" spans="1:53" x14ac:dyDescent="0.3">
      <c r="A9" t="s">
        <v>250</v>
      </c>
      <c r="C9" t="s">
        <v>251</v>
      </c>
      <c r="D9" t="s">
        <v>81</v>
      </c>
      <c r="E9">
        <v>1000000</v>
      </c>
      <c r="H9">
        <v>250</v>
      </c>
      <c r="I9" t="s">
        <v>82</v>
      </c>
      <c r="J9">
        <v>2.5000000000000001E-4</v>
      </c>
      <c r="K9" t="s">
        <v>252</v>
      </c>
      <c r="O9">
        <v>7.7</v>
      </c>
      <c r="P9" t="s">
        <v>253</v>
      </c>
      <c r="T9">
        <v>27</v>
      </c>
      <c r="V9">
        <v>50</v>
      </c>
      <c r="W9" t="s">
        <v>254</v>
      </c>
      <c r="X9" t="s">
        <v>255</v>
      </c>
      <c r="Y9">
        <v>0</v>
      </c>
      <c r="AB9">
        <v>6.1330472103004201</v>
      </c>
      <c r="AC9" t="s">
        <v>210</v>
      </c>
      <c r="AI9">
        <v>3</v>
      </c>
      <c r="AT9" t="s">
        <v>150</v>
      </c>
      <c r="AV9" t="s">
        <v>256</v>
      </c>
    </row>
    <row r="10" spans="1:53" x14ac:dyDescent="0.3">
      <c r="A10" t="s">
        <v>250</v>
      </c>
      <c r="C10" t="s">
        <v>251</v>
      </c>
      <c r="D10" t="s">
        <v>81</v>
      </c>
      <c r="E10">
        <v>1000000</v>
      </c>
      <c r="H10">
        <v>250</v>
      </c>
      <c r="I10" t="s">
        <v>82</v>
      </c>
      <c r="J10">
        <v>2.5000000000000001E-4</v>
      </c>
      <c r="K10" t="s">
        <v>252</v>
      </c>
      <c r="O10">
        <v>7.7</v>
      </c>
      <c r="P10" t="s">
        <v>253</v>
      </c>
      <c r="T10">
        <v>27</v>
      </c>
      <c r="V10">
        <v>50</v>
      </c>
      <c r="W10" t="s">
        <v>254</v>
      </c>
      <c r="X10" t="s">
        <v>255</v>
      </c>
      <c r="Y10">
        <v>4.9315068493150704</v>
      </c>
      <c r="AB10">
        <v>4.17596566523605</v>
      </c>
      <c r="AC10" t="s">
        <v>210</v>
      </c>
      <c r="AI10">
        <v>3</v>
      </c>
      <c r="AT10" t="s">
        <v>150</v>
      </c>
      <c r="AV10" t="s">
        <v>256</v>
      </c>
    </row>
    <row r="11" spans="1:53" x14ac:dyDescent="0.3">
      <c r="A11" t="s">
        <v>250</v>
      </c>
      <c r="C11" t="s">
        <v>251</v>
      </c>
      <c r="D11" t="s">
        <v>81</v>
      </c>
      <c r="E11">
        <v>1000000</v>
      </c>
      <c r="H11">
        <v>250</v>
      </c>
      <c r="I11" t="s">
        <v>82</v>
      </c>
      <c r="J11">
        <v>2.5000000000000001E-4</v>
      </c>
      <c r="K11" t="s">
        <v>252</v>
      </c>
      <c r="O11">
        <v>7.7</v>
      </c>
      <c r="P11" t="s">
        <v>253</v>
      </c>
      <c r="T11">
        <v>27</v>
      </c>
      <c r="V11">
        <v>50</v>
      </c>
      <c r="W11" t="s">
        <v>254</v>
      </c>
      <c r="X11" t="s">
        <v>255</v>
      </c>
      <c r="Y11">
        <v>9.9657534246575192</v>
      </c>
      <c r="AB11">
        <v>3.7296137339055702</v>
      </c>
      <c r="AC11" t="s">
        <v>210</v>
      </c>
      <c r="AI11">
        <v>3</v>
      </c>
      <c r="AT11" t="s">
        <v>150</v>
      </c>
      <c r="AV11" t="s">
        <v>256</v>
      </c>
    </row>
    <row r="12" spans="1:53" x14ac:dyDescent="0.3">
      <c r="A12" t="s">
        <v>250</v>
      </c>
      <c r="C12" t="s">
        <v>251</v>
      </c>
      <c r="D12" t="s">
        <v>81</v>
      </c>
      <c r="E12">
        <v>1000000</v>
      </c>
      <c r="H12">
        <v>250</v>
      </c>
      <c r="I12" t="s">
        <v>82</v>
      </c>
      <c r="J12">
        <v>2.5000000000000001E-4</v>
      </c>
      <c r="K12" t="s">
        <v>252</v>
      </c>
      <c r="O12">
        <v>7.7</v>
      </c>
      <c r="P12" t="s">
        <v>253</v>
      </c>
      <c r="T12">
        <v>27</v>
      </c>
      <c r="V12">
        <v>50</v>
      </c>
      <c r="W12" t="s">
        <v>254</v>
      </c>
      <c r="X12" t="s">
        <v>255</v>
      </c>
      <c r="Y12">
        <v>15</v>
      </c>
      <c r="AB12">
        <v>2.73390557939913</v>
      </c>
      <c r="AC12" t="s">
        <v>210</v>
      </c>
      <c r="AI12">
        <v>3</v>
      </c>
      <c r="AT12" t="s">
        <v>150</v>
      </c>
      <c r="AV12" t="s">
        <v>256</v>
      </c>
    </row>
    <row r="13" spans="1:53" x14ac:dyDescent="0.3">
      <c r="A13" t="s">
        <v>250</v>
      </c>
      <c r="C13" t="s">
        <v>251</v>
      </c>
      <c r="D13" t="s">
        <v>81</v>
      </c>
      <c r="E13">
        <v>1000000</v>
      </c>
      <c r="H13">
        <v>250</v>
      </c>
      <c r="I13" t="s">
        <v>82</v>
      </c>
      <c r="J13">
        <v>2.5000000000000001E-4</v>
      </c>
      <c r="K13" t="s">
        <v>252</v>
      </c>
      <c r="O13">
        <v>7.7</v>
      </c>
      <c r="P13" t="s">
        <v>253</v>
      </c>
      <c r="T13">
        <v>27</v>
      </c>
      <c r="V13">
        <v>50</v>
      </c>
      <c r="W13" t="s">
        <v>254</v>
      </c>
      <c r="X13" t="s">
        <v>255</v>
      </c>
      <c r="Y13">
        <v>29.897260273972499</v>
      </c>
      <c r="AA13" t="s">
        <v>128</v>
      </c>
      <c r="AB13">
        <v>1</v>
      </c>
      <c r="AC13" t="s">
        <v>210</v>
      </c>
      <c r="AI13">
        <v>3</v>
      </c>
      <c r="AT13" t="s">
        <v>150</v>
      </c>
      <c r="AV13" t="s">
        <v>256</v>
      </c>
      <c r="AZ13">
        <v>0</v>
      </c>
    </row>
    <row r="14" spans="1:53" x14ac:dyDescent="0.3">
      <c r="A14" t="s">
        <v>250</v>
      </c>
      <c r="C14" t="s">
        <v>251</v>
      </c>
      <c r="D14" t="s">
        <v>81</v>
      </c>
      <c r="E14">
        <v>1000000</v>
      </c>
      <c r="H14">
        <v>250</v>
      </c>
      <c r="I14" t="s">
        <v>82</v>
      </c>
      <c r="J14">
        <v>2.5000000000000001E-4</v>
      </c>
      <c r="K14" t="s">
        <v>252</v>
      </c>
      <c r="O14">
        <v>7.7</v>
      </c>
      <c r="P14" t="s">
        <v>253</v>
      </c>
      <c r="T14">
        <v>27</v>
      </c>
      <c r="V14">
        <v>50</v>
      </c>
      <c r="W14" t="s">
        <v>254</v>
      </c>
      <c r="X14" t="s">
        <v>255</v>
      </c>
      <c r="Y14">
        <v>45</v>
      </c>
      <c r="AA14" t="s">
        <v>128</v>
      </c>
      <c r="AB14">
        <v>1</v>
      </c>
      <c r="AC14" t="s">
        <v>210</v>
      </c>
      <c r="AI14">
        <v>3</v>
      </c>
      <c r="AT14" t="s">
        <v>150</v>
      </c>
      <c r="AV14" t="s">
        <v>256</v>
      </c>
      <c r="AZ14">
        <v>0</v>
      </c>
    </row>
    <row r="15" spans="1:53" x14ac:dyDescent="0.3">
      <c r="A15" t="s">
        <v>250</v>
      </c>
      <c r="C15" t="s">
        <v>251</v>
      </c>
      <c r="D15" t="s">
        <v>81</v>
      </c>
      <c r="E15">
        <v>1000000</v>
      </c>
      <c r="H15">
        <v>250</v>
      </c>
      <c r="I15" t="s">
        <v>82</v>
      </c>
      <c r="J15">
        <v>2.5000000000000001E-4</v>
      </c>
      <c r="K15" t="s">
        <v>252</v>
      </c>
      <c r="O15">
        <v>7.7</v>
      </c>
      <c r="P15" t="s">
        <v>253</v>
      </c>
      <c r="T15">
        <v>27</v>
      </c>
      <c r="V15">
        <v>50</v>
      </c>
      <c r="W15" t="s">
        <v>254</v>
      </c>
      <c r="X15" t="s">
        <v>255</v>
      </c>
      <c r="Y15">
        <v>60.102739726027401</v>
      </c>
      <c r="AA15" t="s">
        <v>128</v>
      </c>
      <c r="AB15">
        <v>1</v>
      </c>
      <c r="AC15" t="s">
        <v>210</v>
      </c>
      <c r="AI15">
        <v>3</v>
      </c>
      <c r="AT15" t="s">
        <v>150</v>
      </c>
      <c r="AV15" t="s">
        <v>256</v>
      </c>
      <c r="AZ15">
        <v>0</v>
      </c>
    </row>
    <row r="16" spans="1:53" x14ac:dyDescent="0.3">
      <c r="A16" t="s">
        <v>250</v>
      </c>
      <c r="B16" t="s">
        <v>257</v>
      </c>
      <c r="C16" t="s">
        <v>251</v>
      </c>
      <c r="D16" t="s">
        <v>81</v>
      </c>
      <c r="E16">
        <v>1000000</v>
      </c>
      <c r="H16">
        <v>250</v>
      </c>
      <c r="I16" t="s">
        <v>82</v>
      </c>
      <c r="J16">
        <v>2.5000000000000001E-4</v>
      </c>
      <c r="K16" t="s">
        <v>252</v>
      </c>
      <c r="O16">
        <v>7.7</v>
      </c>
      <c r="P16" t="s">
        <v>253</v>
      </c>
      <c r="T16">
        <v>27</v>
      </c>
      <c r="V16">
        <v>50</v>
      </c>
      <c r="W16" t="s">
        <v>258</v>
      </c>
      <c r="X16" t="s">
        <v>255</v>
      </c>
      <c r="Y16">
        <v>0</v>
      </c>
      <c r="AB16">
        <v>5.9785407725321802</v>
      </c>
      <c r="AC16" t="s">
        <v>210</v>
      </c>
      <c r="AI16">
        <v>3</v>
      </c>
      <c r="AV16" t="s">
        <v>256</v>
      </c>
    </row>
    <row r="17" spans="1:52" x14ac:dyDescent="0.3">
      <c r="A17" t="s">
        <v>250</v>
      </c>
      <c r="B17" t="s">
        <v>257</v>
      </c>
      <c r="C17" t="s">
        <v>251</v>
      </c>
      <c r="D17" t="s">
        <v>81</v>
      </c>
      <c r="E17">
        <v>1000000</v>
      </c>
      <c r="H17">
        <v>250</v>
      </c>
      <c r="I17" t="s">
        <v>82</v>
      </c>
      <c r="J17">
        <v>2.5000000000000001E-4</v>
      </c>
      <c r="K17" t="s">
        <v>252</v>
      </c>
      <c r="O17">
        <v>7.7</v>
      </c>
      <c r="P17" t="s">
        <v>253</v>
      </c>
      <c r="T17">
        <v>27</v>
      </c>
      <c r="V17">
        <v>50</v>
      </c>
      <c r="W17" t="s">
        <v>258</v>
      </c>
      <c r="X17" t="s">
        <v>255</v>
      </c>
      <c r="Y17">
        <v>4.9315068493150704</v>
      </c>
      <c r="AB17">
        <v>4.0729613733905401</v>
      </c>
      <c r="AC17" t="s">
        <v>210</v>
      </c>
      <c r="AI17">
        <v>3</v>
      </c>
      <c r="AV17" t="s">
        <v>256</v>
      </c>
    </row>
    <row r="18" spans="1:52" x14ac:dyDescent="0.3">
      <c r="A18" t="s">
        <v>250</v>
      </c>
      <c r="B18" t="s">
        <v>257</v>
      </c>
      <c r="C18" t="s">
        <v>251</v>
      </c>
      <c r="D18" t="s">
        <v>81</v>
      </c>
      <c r="E18">
        <v>1000000</v>
      </c>
      <c r="H18">
        <v>250</v>
      </c>
      <c r="I18" t="s">
        <v>82</v>
      </c>
      <c r="J18">
        <v>2.5000000000000001E-4</v>
      </c>
      <c r="K18" t="s">
        <v>252</v>
      </c>
      <c r="O18">
        <v>7.7</v>
      </c>
      <c r="P18" t="s">
        <v>253</v>
      </c>
      <c r="T18">
        <v>27</v>
      </c>
      <c r="V18">
        <v>50</v>
      </c>
      <c r="W18" t="s">
        <v>258</v>
      </c>
      <c r="X18" t="s">
        <v>255</v>
      </c>
      <c r="Y18">
        <v>9.9657534246575192</v>
      </c>
      <c r="AB18">
        <v>4.22746781115878</v>
      </c>
      <c r="AC18" t="s">
        <v>210</v>
      </c>
      <c r="AI18">
        <v>3</v>
      </c>
      <c r="AV18" t="s">
        <v>256</v>
      </c>
    </row>
    <row r="19" spans="1:52" x14ac:dyDescent="0.3">
      <c r="A19" t="s">
        <v>250</v>
      </c>
      <c r="B19" t="s">
        <v>257</v>
      </c>
      <c r="C19" t="s">
        <v>251</v>
      </c>
      <c r="D19" t="s">
        <v>81</v>
      </c>
      <c r="E19">
        <v>3100000</v>
      </c>
      <c r="H19">
        <v>250</v>
      </c>
      <c r="I19" t="s">
        <v>82</v>
      </c>
      <c r="J19">
        <v>2.5000000000000001E-4</v>
      </c>
      <c r="K19" t="s">
        <v>252</v>
      </c>
      <c r="O19">
        <v>7.7</v>
      </c>
      <c r="P19" t="s">
        <v>253</v>
      </c>
      <c r="T19">
        <v>27</v>
      </c>
      <c r="V19">
        <v>50</v>
      </c>
      <c r="W19" t="s">
        <v>258</v>
      </c>
      <c r="X19" t="s">
        <v>255</v>
      </c>
      <c r="Y19">
        <v>14.8972602739726</v>
      </c>
      <c r="AB19">
        <v>3.4206008583690801</v>
      </c>
      <c r="AC19" t="s">
        <v>210</v>
      </c>
      <c r="AI19">
        <v>3</v>
      </c>
      <c r="AV19" t="s">
        <v>256</v>
      </c>
    </row>
    <row r="20" spans="1:52" x14ac:dyDescent="0.3">
      <c r="A20" t="s">
        <v>250</v>
      </c>
      <c r="B20" t="s">
        <v>257</v>
      </c>
      <c r="C20" t="s">
        <v>251</v>
      </c>
      <c r="D20" t="s">
        <v>81</v>
      </c>
      <c r="E20">
        <v>3100000</v>
      </c>
      <c r="H20">
        <v>250</v>
      </c>
      <c r="I20" t="s">
        <v>82</v>
      </c>
      <c r="J20">
        <v>2.5000000000000001E-4</v>
      </c>
      <c r="K20" t="s">
        <v>252</v>
      </c>
      <c r="O20">
        <v>7.7</v>
      </c>
      <c r="P20" t="s">
        <v>253</v>
      </c>
      <c r="T20">
        <v>27</v>
      </c>
      <c r="V20">
        <v>50</v>
      </c>
      <c r="W20" t="s">
        <v>258</v>
      </c>
      <c r="X20" t="s">
        <v>255</v>
      </c>
      <c r="Y20">
        <v>30</v>
      </c>
      <c r="AA20" t="s">
        <v>128</v>
      </c>
      <c r="AB20">
        <v>1</v>
      </c>
      <c r="AC20" t="s">
        <v>210</v>
      </c>
      <c r="AI20">
        <v>3</v>
      </c>
      <c r="AV20" t="s">
        <v>256</v>
      </c>
      <c r="AZ20">
        <v>0</v>
      </c>
    </row>
    <row r="21" spans="1:52" x14ac:dyDescent="0.3">
      <c r="A21" t="s">
        <v>250</v>
      </c>
      <c r="B21" t="s">
        <v>257</v>
      </c>
      <c r="C21" t="s">
        <v>251</v>
      </c>
      <c r="D21" t="s">
        <v>81</v>
      </c>
      <c r="E21">
        <v>3100000</v>
      </c>
      <c r="H21">
        <v>250</v>
      </c>
      <c r="I21" t="s">
        <v>82</v>
      </c>
      <c r="J21">
        <v>2.5000000000000001E-4</v>
      </c>
      <c r="K21" t="s">
        <v>252</v>
      </c>
      <c r="O21">
        <v>7.7</v>
      </c>
      <c r="P21" t="s">
        <v>253</v>
      </c>
      <c r="T21">
        <v>27</v>
      </c>
      <c r="V21">
        <v>50</v>
      </c>
      <c r="W21" t="s">
        <v>258</v>
      </c>
      <c r="X21" t="s">
        <v>255</v>
      </c>
      <c r="Y21">
        <v>45</v>
      </c>
      <c r="AA21" t="s">
        <v>128</v>
      </c>
      <c r="AB21">
        <v>1</v>
      </c>
      <c r="AC21" t="s">
        <v>210</v>
      </c>
      <c r="AI21">
        <v>3</v>
      </c>
      <c r="AV21" t="s">
        <v>256</v>
      </c>
      <c r="AZ21">
        <v>0</v>
      </c>
    </row>
    <row r="22" spans="1:52" x14ac:dyDescent="0.3">
      <c r="A22" t="s">
        <v>250</v>
      </c>
      <c r="B22" t="s">
        <v>257</v>
      </c>
      <c r="C22" t="s">
        <v>251</v>
      </c>
      <c r="D22" t="s">
        <v>81</v>
      </c>
      <c r="E22">
        <v>3100000</v>
      </c>
      <c r="H22">
        <v>250</v>
      </c>
      <c r="I22" t="s">
        <v>82</v>
      </c>
      <c r="J22">
        <v>2.5000000000000001E-4</v>
      </c>
      <c r="K22" t="s">
        <v>252</v>
      </c>
      <c r="O22">
        <v>7.7</v>
      </c>
      <c r="P22" t="s">
        <v>253</v>
      </c>
      <c r="T22">
        <v>27</v>
      </c>
      <c r="V22">
        <v>50</v>
      </c>
      <c r="W22" t="s">
        <v>258</v>
      </c>
      <c r="X22" t="s">
        <v>255</v>
      </c>
      <c r="Y22">
        <v>60.102739726027401</v>
      </c>
      <c r="AA22" t="s">
        <v>128</v>
      </c>
      <c r="AB22">
        <v>1</v>
      </c>
      <c r="AC22" t="s">
        <v>210</v>
      </c>
      <c r="AI22">
        <v>3</v>
      </c>
      <c r="AV22" t="s">
        <v>256</v>
      </c>
      <c r="AZ22">
        <v>0</v>
      </c>
    </row>
    <row r="23" spans="1:52" x14ac:dyDescent="0.3">
      <c r="A23" t="s">
        <v>250</v>
      </c>
      <c r="B23" t="s">
        <v>257</v>
      </c>
      <c r="C23" t="s">
        <v>251</v>
      </c>
      <c r="D23" t="s">
        <v>81</v>
      </c>
      <c r="E23">
        <v>3100000</v>
      </c>
      <c r="H23">
        <v>250</v>
      </c>
      <c r="I23" t="s">
        <v>82</v>
      </c>
      <c r="J23">
        <v>2.5000000000000001E-4</v>
      </c>
      <c r="K23" t="s">
        <v>252</v>
      </c>
      <c r="O23">
        <v>7.7</v>
      </c>
      <c r="P23" t="s">
        <v>253</v>
      </c>
      <c r="T23">
        <v>27</v>
      </c>
      <c r="V23">
        <v>50</v>
      </c>
      <c r="W23" t="s">
        <v>258</v>
      </c>
      <c r="X23" t="s">
        <v>255</v>
      </c>
      <c r="Y23">
        <v>0</v>
      </c>
      <c r="AB23">
        <v>6.0987124463519304</v>
      </c>
      <c r="AC23" t="s">
        <v>210</v>
      </c>
      <c r="AI23">
        <v>3</v>
      </c>
      <c r="AV23" t="s">
        <v>256</v>
      </c>
    </row>
    <row r="24" spans="1:52" x14ac:dyDescent="0.3">
      <c r="A24" t="s">
        <v>250</v>
      </c>
      <c r="B24" t="s">
        <v>257</v>
      </c>
      <c r="C24" t="s">
        <v>251</v>
      </c>
      <c r="D24" t="s">
        <v>81</v>
      </c>
      <c r="E24">
        <v>3100000</v>
      </c>
      <c r="H24">
        <v>250</v>
      </c>
      <c r="I24" t="s">
        <v>82</v>
      </c>
      <c r="J24">
        <v>2.5000000000000001E-4</v>
      </c>
      <c r="K24" t="s">
        <v>252</v>
      </c>
      <c r="O24">
        <v>7.7</v>
      </c>
      <c r="P24" t="s">
        <v>253</v>
      </c>
      <c r="T24">
        <v>27</v>
      </c>
      <c r="V24">
        <v>50</v>
      </c>
      <c r="W24" t="s">
        <v>258</v>
      </c>
      <c r="X24" t="s">
        <v>255</v>
      </c>
      <c r="Y24">
        <v>5.13698630136986</v>
      </c>
      <c r="AB24">
        <v>4.1416309012875399</v>
      </c>
      <c r="AC24" t="s">
        <v>210</v>
      </c>
      <c r="AI24">
        <v>3</v>
      </c>
      <c r="AV24" t="s">
        <v>256</v>
      </c>
    </row>
    <row r="25" spans="1:52" x14ac:dyDescent="0.3">
      <c r="A25" t="s">
        <v>250</v>
      </c>
      <c r="B25" t="s">
        <v>257</v>
      </c>
      <c r="C25" t="s">
        <v>251</v>
      </c>
      <c r="D25" t="s">
        <v>81</v>
      </c>
      <c r="E25">
        <v>3100000</v>
      </c>
      <c r="H25">
        <v>250</v>
      </c>
      <c r="I25" t="s">
        <v>82</v>
      </c>
      <c r="J25">
        <v>2.5000000000000001E-4</v>
      </c>
      <c r="K25" t="s">
        <v>252</v>
      </c>
      <c r="O25">
        <v>7.7</v>
      </c>
      <c r="P25" t="s">
        <v>253</v>
      </c>
      <c r="T25">
        <v>27</v>
      </c>
      <c r="V25">
        <v>50</v>
      </c>
      <c r="W25" t="s">
        <v>258</v>
      </c>
      <c r="X25" t="s">
        <v>255</v>
      </c>
      <c r="Y25">
        <v>9.9657534246575192</v>
      </c>
      <c r="AB25">
        <v>3.26609442060085</v>
      </c>
      <c r="AC25" t="s">
        <v>210</v>
      </c>
      <c r="AI25">
        <v>3</v>
      </c>
      <c r="AV25" t="s">
        <v>256</v>
      </c>
    </row>
    <row r="26" spans="1:52" x14ac:dyDescent="0.3">
      <c r="A26" t="s">
        <v>250</v>
      </c>
      <c r="B26" t="s">
        <v>257</v>
      </c>
      <c r="C26" t="s">
        <v>251</v>
      </c>
      <c r="D26" t="s">
        <v>81</v>
      </c>
      <c r="E26">
        <v>10000000</v>
      </c>
      <c r="H26">
        <v>250</v>
      </c>
      <c r="I26" t="s">
        <v>82</v>
      </c>
      <c r="J26">
        <v>2.5000000000000001E-4</v>
      </c>
      <c r="K26" t="s">
        <v>252</v>
      </c>
      <c r="O26">
        <v>7.7</v>
      </c>
      <c r="P26" t="s">
        <v>253</v>
      </c>
      <c r="T26">
        <v>27</v>
      </c>
      <c r="V26">
        <v>50</v>
      </c>
      <c r="W26" t="s">
        <v>258</v>
      </c>
      <c r="X26" t="s">
        <v>255</v>
      </c>
      <c r="Y26">
        <v>15</v>
      </c>
      <c r="AB26">
        <v>3.19742489270386</v>
      </c>
      <c r="AC26" t="s">
        <v>210</v>
      </c>
      <c r="AI26">
        <v>3</v>
      </c>
      <c r="AV26" t="s">
        <v>256</v>
      </c>
    </row>
    <row r="27" spans="1:52" x14ac:dyDescent="0.3">
      <c r="A27" t="s">
        <v>250</v>
      </c>
      <c r="B27" t="s">
        <v>257</v>
      </c>
      <c r="C27" t="s">
        <v>251</v>
      </c>
      <c r="D27" t="s">
        <v>81</v>
      </c>
      <c r="E27">
        <v>10000000</v>
      </c>
      <c r="H27">
        <v>250</v>
      </c>
      <c r="I27" t="s">
        <v>82</v>
      </c>
      <c r="J27">
        <v>2.5000000000000001E-4</v>
      </c>
      <c r="K27" t="s">
        <v>252</v>
      </c>
      <c r="O27">
        <v>7.7</v>
      </c>
      <c r="P27" t="s">
        <v>253</v>
      </c>
      <c r="T27">
        <v>27</v>
      </c>
      <c r="V27">
        <v>50</v>
      </c>
      <c r="W27" t="s">
        <v>258</v>
      </c>
      <c r="X27" t="s">
        <v>255</v>
      </c>
      <c r="Y27">
        <v>29.897260273972499</v>
      </c>
      <c r="AB27">
        <v>3.83261802575106</v>
      </c>
      <c r="AC27" t="s">
        <v>210</v>
      </c>
      <c r="AI27">
        <v>3</v>
      </c>
      <c r="AV27" t="s">
        <v>256</v>
      </c>
    </row>
    <row r="28" spans="1:52" x14ac:dyDescent="0.3">
      <c r="A28" t="s">
        <v>250</v>
      </c>
      <c r="B28" t="s">
        <v>257</v>
      </c>
      <c r="C28" t="s">
        <v>251</v>
      </c>
      <c r="D28" t="s">
        <v>81</v>
      </c>
      <c r="E28">
        <v>10000000</v>
      </c>
      <c r="H28">
        <v>250</v>
      </c>
      <c r="I28" t="s">
        <v>82</v>
      </c>
      <c r="J28">
        <v>2.5000000000000001E-4</v>
      </c>
      <c r="K28" t="s">
        <v>252</v>
      </c>
      <c r="O28">
        <v>7.7</v>
      </c>
      <c r="P28" t="s">
        <v>253</v>
      </c>
      <c r="T28">
        <v>27</v>
      </c>
      <c r="V28">
        <v>50</v>
      </c>
      <c r="W28" t="s">
        <v>258</v>
      </c>
      <c r="X28" t="s">
        <v>255</v>
      </c>
      <c r="Y28">
        <v>45</v>
      </c>
      <c r="AB28">
        <v>2.03004291845492</v>
      </c>
      <c r="AC28" t="s">
        <v>210</v>
      </c>
      <c r="AI28">
        <v>3</v>
      </c>
      <c r="AV28" t="s">
        <v>256</v>
      </c>
    </row>
    <row r="29" spans="1:52" x14ac:dyDescent="0.3">
      <c r="A29" t="s">
        <v>250</v>
      </c>
      <c r="B29" t="s">
        <v>257</v>
      </c>
      <c r="C29" t="s">
        <v>251</v>
      </c>
      <c r="D29" t="s">
        <v>81</v>
      </c>
      <c r="E29">
        <v>10000000</v>
      </c>
      <c r="H29">
        <v>250</v>
      </c>
      <c r="I29" t="s">
        <v>82</v>
      </c>
      <c r="J29">
        <v>2.5000000000000001E-4</v>
      </c>
      <c r="K29" t="s">
        <v>252</v>
      </c>
      <c r="O29">
        <v>7.7</v>
      </c>
      <c r="P29" t="s">
        <v>253</v>
      </c>
      <c r="T29">
        <v>27</v>
      </c>
      <c r="V29">
        <v>50</v>
      </c>
      <c r="W29" t="s">
        <v>258</v>
      </c>
      <c r="X29" t="s">
        <v>255</v>
      </c>
      <c r="Y29">
        <v>60.102739726027401</v>
      </c>
      <c r="AB29">
        <v>2.1502145922746601</v>
      </c>
      <c r="AC29" t="s">
        <v>210</v>
      </c>
      <c r="AI29">
        <v>3</v>
      </c>
      <c r="AV29" t="s">
        <v>256</v>
      </c>
    </row>
    <row r="30" spans="1:52" hidden="1" x14ac:dyDescent="0.3">
      <c r="A30" t="s">
        <v>259</v>
      </c>
      <c r="C30" t="s">
        <v>251</v>
      </c>
      <c r="D30" t="s">
        <v>260</v>
      </c>
      <c r="E30">
        <v>10000000</v>
      </c>
      <c r="H30">
        <v>1</v>
      </c>
      <c r="I30" t="s">
        <v>261</v>
      </c>
      <c r="L30" t="s">
        <v>58</v>
      </c>
      <c r="O30">
        <v>40</v>
      </c>
      <c r="P30" t="s">
        <v>262</v>
      </c>
      <c r="T30">
        <v>25</v>
      </c>
      <c r="V30">
        <v>50</v>
      </c>
      <c r="W30" t="s">
        <v>263</v>
      </c>
      <c r="X30" t="s">
        <v>264</v>
      </c>
      <c r="AB30">
        <v>4.58715596330279E-2</v>
      </c>
      <c r="AC30" t="s">
        <v>85</v>
      </c>
      <c r="AD30" t="s">
        <v>265</v>
      </c>
      <c r="AE30" t="s">
        <v>63</v>
      </c>
      <c r="AI30">
        <v>3</v>
      </c>
      <c r="AV30" t="s">
        <v>266</v>
      </c>
    </row>
    <row r="31" spans="1:52" hidden="1" x14ac:dyDescent="0.3">
      <c r="A31" t="s">
        <v>259</v>
      </c>
      <c r="C31" t="s">
        <v>251</v>
      </c>
      <c r="D31" t="s">
        <v>260</v>
      </c>
      <c r="E31">
        <v>10000000</v>
      </c>
      <c r="H31">
        <v>1</v>
      </c>
      <c r="I31" t="s">
        <v>261</v>
      </c>
      <c r="L31" t="s">
        <v>58</v>
      </c>
      <c r="O31">
        <v>40</v>
      </c>
      <c r="P31" t="s">
        <v>262</v>
      </c>
      <c r="T31">
        <v>25</v>
      </c>
      <c r="V31">
        <v>50</v>
      </c>
      <c r="W31" t="s">
        <v>263</v>
      </c>
      <c r="X31" t="s">
        <v>264</v>
      </c>
      <c r="Y31">
        <v>30.2253032928942</v>
      </c>
      <c r="AB31">
        <v>1.42201834862385</v>
      </c>
      <c r="AC31" t="s">
        <v>85</v>
      </c>
      <c r="AD31" t="s">
        <v>265</v>
      </c>
      <c r="AE31" t="s">
        <v>63</v>
      </c>
      <c r="AI31">
        <v>3</v>
      </c>
      <c r="AV31" t="s">
        <v>266</v>
      </c>
    </row>
    <row r="32" spans="1:52" hidden="1" x14ac:dyDescent="0.3">
      <c r="A32" t="s">
        <v>259</v>
      </c>
      <c r="C32" t="s">
        <v>251</v>
      </c>
      <c r="D32" t="s">
        <v>260</v>
      </c>
      <c r="E32">
        <v>10000000</v>
      </c>
      <c r="H32">
        <v>1</v>
      </c>
      <c r="I32" t="s">
        <v>261</v>
      </c>
      <c r="L32" t="s">
        <v>58</v>
      </c>
      <c r="O32">
        <v>40</v>
      </c>
      <c r="P32" t="s">
        <v>262</v>
      </c>
      <c r="T32">
        <v>25</v>
      </c>
      <c r="V32">
        <v>50</v>
      </c>
      <c r="W32" t="s">
        <v>263</v>
      </c>
      <c r="X32" t="s">
        <v>264</v>
      </c>
      <c r="Y32">
        <v>60.207972270363904</v>
      </c>
      <c r="AB32">
        <v>2.7431192660550399</v>
      </c>
      <c r="AC32" t="s">
        <v>85</v>
      </c>
      <c r="AD32" t="s">
        <v>265</v>
      </c>
      <c r="AE32" t="s">
        <v>63</v>
      </c>
      <c r="AI32">
        <v>3</v>
      </c>
      <c r="AV32" t="s">
        <v>266</v>
      </c>
    </row>
    <row r="33" spans="1:48" hidden="1" x14ac:dyDescent="0.3">
      <c r="A33" t="s">
        <v>259</v>
      </c>
      <c r="C33" t="s">
        <v>251</v>
      </c>
      <c r="D33" t="s">
        <v>260</v>
      </c>
      <c r="E33">
        <v>10000000</v>
      </c>
      <c r="H33">
        <v>1</v>
      </c>
      <c r="I33" t="s">
        <v>261</v>
      </c>
      <c r="L33" t="s">
        <v>58</v>
      </c>
      <c r="O33">
        <v>40</v>
      </c>
      <c r="P33" t="s">
        <v>262</v>
      </c>
      <c r="T33">
        <v>25</v>
      </c>
      <c r="V33">
        <v>50</v>
      </c>
      <c r="W33" t="s">
        <v>263</v>
      </c>
      <c r="X33" t="s">
        <v>264</v>
      </c>
      <c r="Y33">
        <v>90.0173310225303</v>
      </c>
      <c r="AB33">
        <v>3.3669724770642202</v>
      </c>
      <c r="AC33" t="s">
        <v>85</v>
      </c>
      <c r="AD33" t="s">
        <v>265</v>
      </c>
      <c r="AE33" t="s">
        <v>63</v>
      </c>
      <c r="AI33">
        <v>3</v>
      </c>
      <c r="AV33" t="s">
        <v>266</v>
      </c>
    </row>
    <row r="34" spans="1:48" hidden="1" x14ac:dyDescent="0.3">
      <c r="A34" t="s">
        <v>259</v>
      </c>
      <c r="C34" t="s">
        <v>251</v>
      </c>
      <c r="D34" t="s">
        <v>260</v>
      </c>
      <c r="E34">
        <v>10000000</v>
      </c>
      <c r="H34">
        <v>1</v>
      </c>
      <c r="I34" t="s">
        <v>261</v>
      </c>
      <c r="L34" t="s">
        <v>58</v>
      </c>
      <c r="O34">
        <v>40</v>
      </c>
      <c r="P34" t="s">
        <v>262</v>
      </c>
      <c r="T34">
        <v>25</v>
      </c>
      <c r="V34">
        <v>50</v>
      </c>
      <c r="W34" t="s">
        <v>263</v>
      </c>
      <c r="X34" t="s">
        <v>264</v>
      </c>
      <c r="Y34">
        <v>120</v>
      </c>
      <c r="AB34">
        <v>3.6972477064220111</v>
      </c>
      <c r="AC34" t="s">
        <v>85</v>
      </c>
      <c r="AD34" t="s">
        <v>265</v>
      </c>
      <c r="AE34" t="s">
        <v>63</v>
      </c>
      <c r="AI34">
        <v>3</v>
      </c>
      <c r="AV34" t="s">
        <v>266</v>
      </c>
    </row>
    <row r="35" spans="1:48" hidden="1" x14ac:dyDescent="0.3">
      <c r="A35" t="s">
        <v>259</v>
      </c>
      <c r="C35" t="s">
        <v>251</v>
      </c>
      <c r="D35" t="s">
        <v>260</v>
      </c>
      <c r="E35">
        <v>10000000</v>
      </c>
      <c r="H35">
        <v>1</v>
      </c>
      <c r="I35" t="s">
        <v>261</v>
      </c>
      <c r="L35" t="s">
        <v>58</v>
      </c>
      <c r="O35">
        <v>118</v>
      </c>
      <c r="P35" t="s">
        <v>262</v>
      </c>
      <c r="T35">
        <v>25</v>
      </c>
      <c r="V35">
        <v>50</v>
      </c>
      <c r="W35" t="s">
        <v>263</v>
      </c>
      <c r="X35" t="s">
        <v>264</v>
      </c>
      <c r="AB35">
        <v>4.58715596330279E-2</v>
      </c>
      <c r="AC35" t="s">
        <v>85</v>
      </c>
      <c r="AD35" t="s">
        <v>267</v>
      </c>
      <c r="AE35" t="s">
        <v>63</v>
      </c>
      <c r="AI35">
        <v>3</v>
      </c>
      <c r="AV35" t="s">
        <v>266</v>
      </c>
    </row>
    <row r="36" spans="1:48" hidden="1" x14ac:dyDescent="0.3">
      <c r="A36" t="s">
        <v>259</v>
      </c>
      <c r="C36" t="s">
        <v>251</v>
      </c>
      <c r="D36" t="s">
        <v>260</v>
      </c>
      <c r="E36">
        <v>10000000</v>
      </c>
      <c r="H36">
        <v>1</v>
      </c>
      <c r="I36" t="s">
        <v>261</v>
      </c>
      <c r="L36" t="s">
        <v>58</v>
      </c>
      <c r="O36">
        <v>118</v>
      </c>
      <c r="P36" t="s">
        <v>262</v>
      </c>
      <c r="T36">
        <v>25</v>
      </c>
      <c r="V36">
        <v>50</v>
      </c>
      <c r="W36" t="s">
        <v>263</v>
      </c>
      <c r="X36" t="s">
        <v>264</v>
      </c>
      <c r="Y36">
        <v>30.051993067590899</v>
      </c>
      <c r="AB36">
        <v>2.4128440366972401</v>
      </c>
      <c r="AC36" t="s">
        <v>85</v>
      </c>
      <c r="AD36" t="s">
        <v>267</v>
      </c>
      <c r="AE36" t="s">
        <v>63</v>
      </c>
      <c r="AI36">
        <v>3</v>
      </c>
      <c r="AV36" t="s">
        <v>266</v>
      </c>
    </row>
    <row r="37" spans="1:48" hidden="1" x14ac:dyDescent="0.3">
      <c r="A37" t="s">
        <v>259</v>
      </c>
      <c r="C37" t="s">
        <v>251</v>
      </c>
      <c r="D37" t="s">
        <v>260</v>
      </c>
      <c r="E37">
        <v>10000000</v>
      </c>
      <c r="H37">
        <v>1</v>
      </c>
      <c r="I37" t="s">
        <v>261</v>
      </c>
      <c r="L37" t="s">
        <v>58</v>
      </c>
      <c r="O37">
        <v>118</v>
      </c>
      <c r="P37" t="s">
        <v>262</v>
      </c>
      <c r="T37">
        <v>25</v>
      </c>
      <c r="V37">
        <v>50</v>
      </c>
      <c r="W37" t="s">
        <v>263</v>
      </c>
      <c r="X37" t="s">
        <v>264</v>
      </c>
      <c r="Y37">
        <v>60.0346620450606</v>
      </c>
      <c r="AB37">
        <v>3.80733944954128</v>
      </c>
      <c r="AC37" t="s">
        <v>85</v>
      </c>
      <c r="AD37" t="s">
        <v>267</v>
      </c>
      <c r="AE37" t="s">
        <v>63</v>
      </c>
      <c r="AI37">
        <v>3</v>
      </c>
      <c r="AV37" t="s">
        <v>266</v>
      </c>
    </row>
    <row r="38" spans="1:48" hidden="1" x14ac:dyDescent="0.3">
      <c r="A38" t="s">
        <v>259</v>
      </c>
      <c r="C38" t="s">
        <v>251</v>
      </c>
      <c r="D38" t="s">
        <v>260</v>
      </c>
      <c r="E38">
        <v>10000000</v>
      </c>
      <c r="H38">
        <v>1</v>
      </c>
      <c r="I38" t="s">
        <v>261</v>
      </c>
      <c r="L38" t="s">
        <v>58</v>
      </c>
      <c r="O38">
        <v>118</v>
      </c>
      <c r="P38" t="s">
        <v>262</v>
      </c>
      <c r="T38">
        <v>25</v>
      </c>
      <c r="V38">
        <v>50</v>
      </c>
      <c r="W38" t="s">
        <v>263</v>
      </c>
      <c r="X38" t="s">
        <v>264</v>
      </c>
      <c r="Y38">
        <v>90.190641247833597</v>
      </c>
      <c r="AB38">
        <v>5</v>
      </c>
      <c r="AC38" t="s">
        <v>85</v>
      </c>
      <c r="AD38" t="s">
        <v>267</v>
      </c>
      <c r="AE38" t="s">
        <v>63</v>
      </c>
      <c r="AI38">
        <v>3</v>
      </c>
      <c r="AV38" t="s">
        <v>266</v>
      </c>
    </row>
    <row r="39" spans="1:48" hidden="1" x14ac:dyDescent="0.3">
      <c r="A39" t="s">
        <v>259</v>
      </c>
      <c r="C39" t="s">
        <v>251</v>
      </c>
      <c r="D39" t="s">
        <v>260</v>
      </c>
      <c r="E39">
        <v>10000000</v>
      </c>
      <c r="H39">
        <v>1</v>
      </c>
      <c r="I39" t="s">
        <v>261</v>
      </c>
      <c r="L39" t="s">
        <v>58</v>
      </c>
      <c r="O39">
        <v>118</v>
      </c>
      <c r="P39" t="s">
        <v>262</v>
      </c>
      <c r="T39">
        <v>25</v>
      </c>
      <c r="V39">
        <v>50</v>
      </c>
      <c r="W39" t="s">
        <v>263</v>
      </c>
      <c r="X39" t="s">
        <v>264</v>
      </c>
      <c r="Y39">
        <v>120.693240901213</v>
      </c>
      <c r="AB39">
        <v>5</v>
      </c>
      <c r="AC39" t="s">
        <v>85</v>
      </c>
      <c r="AD39" t="s">
        <v>267</v>
      </c>
      <c r="AE39" t="s">
        <v>63</v>
      </c>
      <c r="AI39">
        <v>3</v>
      </c>
      <c r="AV39" t="s">
        <v>266</v>
      </c>
    </row>
    <row r="40" spans="1:48" hidden="1" x14ac:dyDescent="0.3">
      <c r="A40" t="s">
        <v>259</v>
      </c>
      <c r="C40" t="s">
        <v>251</v>
      </c>
      <c r="D40" t="s">
        <v>260</v>
      </c>
      <c r="E40">
        <v>10000000</v>
      </c>
      <c r="H40">
        <v>1</v>
      </c>
      <c r="I40" t="s">
        <v>261</v>
      </c>
      <c r="L40" t="s">
        <v>58</v>
      </c>
      <c r="O40">
        <v>0</v>
      </c>
      <c r="P40" t="s">
        <v>262</v>
      </c>
      <c r="T40">
        <v>25</v>
      </c>
      <c r="V40">
        <v>50</v>
      </c>
      <c r="W40" t="s">
        <v>263</v>
      </c>
      <c r="X40" t="s">
        <v>264</v>
      </c>
      <c r="Y40">
        <v>6.9324090121313006E-2</v>
      </c>
      <c r="AB40">
        <v>4.58715596330279E-2</v>
      </c>
      <c r="AC40" t="s">
        <v>85</v>
      </c>
      <c r="AD40" t="s">
        <v>268</v>
      </c>
      <c r="AE40" t="s">
        <v>63</v>
      </c>
      <c r="AI40">
        <v>3</v>
      </c>
      <c r="AV40" t="s">
        <v>266</v>
      </c>
    </row>
    <row r="41" spans="1:48" hidden="1" x14ac:dyDescent="0.3">
      <c r="A41" t="s">
        <v>259</v>
      </c>
      <c r="C41" t="s">
        <v>251</v>
      </c>
      <c r="D41" t="s">
        <v>260</v>
      </c>
      <c r="E41">
        <v>10000000</v>
      </c>
      <c r="H41">
        <v>1</v>
      </c>
      <c r="I41" t="s">
        <v>261</v>
      </c>
      <c r="L41" t="s">
        <v>58</v>
      </c>
      <c r="O41">
        <v>0</v>
      </c>
      <c r="P41" t="s">
        <v>262</v>
      </c>
      <c r="T41">
        <v>25</v>
      </c>
      <c r="V41">
        <v>50</v>
      </c>
      <c r="W41" t="s">
        <v>263</v>
      </c>
      <c r="X41" t="s">
        <v>264</v>
      </c>
      <c r="Y41">
        <v>30.2253032928942</v>
      </c>
      <c r="AB41">
        <v>6.42201834862383E-2</v>
      </c>
      <c r="AC41" t="s">
        <v>85</v>
      </c>
      <c r="AD41" t="s">
        <v>268</v>
      </c>
      <c r="AE41" t="s">
        <v>63</v>
      </c>
      <c r="AI41">
        <v>3</v>
      </c>
      <c r="AV41" t="s">
        <v>266</v>
      </c>
    </row>
    <row r="42" spans="1:48" hidden="1" x14ac:dyDescent="0.3">
      <c r="A42" t="s">
        <v>259</v>
      </c>
      <c r="C42" t="s">
        <v>251</v>
      </c>
      <c r="D42" t="s">
        <v>260</v>
      </c>
      <c r="E42">
        <v>10000000</v>
      </c>
      <c r="H42">
        <v>1</v>
      </c>
      <c r="I42" t="s">
        <v>261</v>
      </c>
      <c r="L42" t="s">
        <v>58</v>
      </c>
      <c r="O42">
        <v>0</v>
      </c>
      <c r="P42" t="s">
        <v>262</v>
      </c>
      <c r="T42">
        <v>25</v>
      </c>
      <c r="V42">
        <v>50</v>
      </c>
      <c r="W42" t="s">
        <v>263</v>
      </c>
      <c r="X42" t="s">
        <v>264</v>
      </c>
      <c r="Y42">
        <v>60.0346620450606</v>
      </c>
      <c r="AB42">
        <v>6.42201834862383E-2</v>
      </c>
      <c r="AC42" t="s">
        <v>85</v>
      </c>
      <c r="AD42" t="s">
        <v>268</v>
      </c>
      <c r="AE42" t="s">
        <v>63</v>
      </c>
      <c r="AI42">
        <v>3</v>
      </c>
      <c r="AV42" t="s">
        <v>266</v>
      </c>
    </row>
    <row r="43" spans="1:48" hidden="1" x14ac:dyDescent="0.3">
      <c r="A43" t="s">
        <v>259</v>
      </c>
      <c r="C43" t="s">
        <v>251</v>
      </c>
      <c r="D43" t="s">
        <v>260</v>
      </c>
      <c r="E43">
        <v>10000000</v>
      </c>
      <c r="H43">
        <v>1</v>
      </c>
      <c r="I43" t="s">
        <v>261</v>
      </c>
      <c r="L43" t="s">
        <v>58</v>
      </c>
      <c r="O43">
        <v>0</v>
      </c>
      <c r="P43" t="s">
        <v>262</v>
      </c>
      <c r="T43">
        <v>25</v>
      </c>
      <c r="V43">
        <v>50</v>
      </c>
      <c r="W43" t="s">
        <v>263</v>
      </c>
      <c r="X43" t="s">
        <v>264</v>
      </c>
      <c r="Y43">
        <v>90.0173310225303</v>
      </c>
      <c r="AB43">
        <v>8.2568807339449699E-2</v>
      </c>
      <c r="AC43" t="s">
        <v>85</v>
      </c>
      <c r="AD43" t="s">
        <v>268</v>
      </c>
      <c r="AE43" t="s">
        <v>63</v>
      </c>
      <c r="AI43">
        <v>3</v>
      </c>
      <c r="AV43" t="s">
        <v>266</v>
      </c>
    </row>
    <row r="44" spans="1:48" hidden="1" x14ac:dyDescent="0.3">
      <c r="A44" t="s">
        <v>259</v>
      </c>
      <c r="C44" t="s">
        <v>251</v>
      </c>
      <c r="D44" t="s">
        <v>260</v>
      </c>
      <c r="E44">
        <v>10000000</v>
      </c>
      <c r="H44">
        <v>1</v>
      </c>
      <c r="I44" t="s">
        <v>261</v>
      </c>
      <c r="L44" t="s">
        <v>58</v>
      </c>
      <c r="O44">
        <v>0</v>
      </c>
      <c r="P44" t="s">
        <v>262</v>
      </c>
      <c r="T44">
        <v>25</v>
      </c>
      <c r="V44">
        <v>50</v>
      </c>
      <c r="W44" t="s">
        <v>263</v>
      </c>
      <c r="X44" t="s">
        <v>264</v>
      </c>
      <c r="Y44">
        <v>120</v>
      </c>
      <c r="AB44">
        <v>0.17431192660550399</v>
      </c>
      <c r="AC44" t="s">
        <v>85</v>
      </c>
      <c r="AD44" t="s">
        <v>268</v>
      </c>
      <c r="AE44" t="s">
        <v>63</v>
      </c>
      <c r="AI44">
        <v>3</v>
      </c>
      <c r="AV44" t="s">
        <v>266</v>
      </c>
    </row>
    <row r="45" spans="1:48" hidden="1" x14ac:dyDescent="0.3">
      <c r="A45" t="s">
        <v>259</v>
      </c>
      <c r="C45" t="s">
        <v>251</v>
      </c>
      <c r="D45" t="s">
        <v>260</v>
      </c>
      <c r="E45">
        <v>10000000</v>
      </c>
      <c r="H45">
        <v>1</v>
      </c>
      <c r="I45" t="s">
        <v>261</v>
      </c>
      <c r="L45" t="s">
        <v>58</v>
      </c>
      <c r="O45">
        <v>118</v>
      </c>
      <c r="P45" t="s">
        <v>262</v>
      </c>
      <c r="T45">
        <v>25</v>
      </c>
      <c r="V45">
        <v>50</v>
      </c>
      <c r="W45" t="s">
        <v>269</v>
      </c>
      <c r="X45" t="s">
        <v>264</v>
      </c>
      <c r="Y45">
        <v>120</v>
      </c>
      <c r="AB45">
        <v>0</v>
      </c>
      <c r="AC45" t="s">
        <v>85</v>
      </c>
      <c r="AE45" t="s">
        <v>63</v>
      </c>
      <c r="AI45">
        <v>3</v>
      </c>
      <c r="AV45" t="s">
        <v>266</v>
      </c>
    </row>
    <row r="46" spans="1:48" hidden="1" x14ac:dyDescent="0.3">
      <c r="A46" t="s">
        <v>270</v>
      </c>
      <c r="C46" t="s">
        <v>251</v>
      </c>
      <c r="D46" t="s">
        <v>81</v>
      </c>
      <c r="E46">
        <v>10000000</v>
      </c>
      <c r="O46">
        <v>8.4</v>
      </c>
      <c r="P46" t="s">
        <v>253</v>
      </c>
      <c r="T46">
        <v>100</v>
      </c>
      <c r="V46">
        <v>50</v>
      </c>
      <c r="W46" t="s">
        <v>271</v>
      </c>
      <c r="X46" t="s">
        <v>272</v>
      </c>
      <c r="Y46">
        <v>0</v>
      </c>
      <c r="AB46">
        <v>6.3278688524589999</v>
      </c>
      <c r="AC46" t="s">
        <v>210</v>
      </c>
      <c r="AI46">
        <v>3</v>
      </c>
    </row>
    <row r="47" spans="1:48" hidden="1" x14ac:dyDescent="0.3">
      <c r="A47" t="s">
        <v>270</v>
      </c>
      <c r="C47" t="s">
        <v>251</v>
      </c>
      <c r="D47" t="s">
        <v>81</v>
      </c>
      <c r="E47">
        <v>10000000</v>
      </c>
      <c r="O47">
        <v>8.4</v>
      </c>
      <c r="P47" t="s">
        <v>253</v>
      </c>
      <c r="T47">
        <v>100</v>
      </c>
      <c r="V47">
        <v>50</v>
      </c>
      <c r="W47" t="s">
        <v>271</v>
      </c>
      <c r="X47" t="s">
        <v>272</v>
      </c>
      <c r="Y47">
        <v>4.9709302325581302</v>
      </c>
      <c r="AB47">
        <v>5.8032786885245802</v>
      </c>
      <c r="AC47" t="s">
        <v>210</v>
      </c>
      <c r="AI47">
        <v>3</v>
      </c>
    </row>
    <row r="48" spans="1:48" hidden="1" x14ac:dyDescent="0.3">
      <c r="A48" t="s">
        <v>270</v>
      </c>
      <c r="C48" t="s">
        <v>251</v>
      </c>
      <c r="D48" t="s">
        <v>81</v>
      </c>
      <c r="E48">
        <v>10000000</v>
      </c>
      <c r="O48">
        <v>8.4</v>
      </c>
      <c r="P48" t="s">
        <v>253</v>
      </c>
      <c r="T48">
        <v>100</v>
      </c>
      <c r="V48">
        <v>50</v>
      </c>
      <c r="W48" t="s">
        <v>271</v>
      </c>
      <c r="X48" t="s">
        <v>272</v>
      </c>
      <c r="Y48">
        <v>9.9767441860464992</v>
      </c>
      <c r="AB48">
        <v>5.4918032786885203</v>
      </c>
      <c r="AC48" t="s">
        <v>210</v>
      </c>
      <c r="AI48">
        <v>3</v>
      </c>
    </row>
    <row r="49" spans="1:52" hidden="1" x14ac:dyDescent="0.3">
      <c r="A49" t="s">
        <v>270</v>
      </c>
      <c r="C49" t="s">
        <v>251</v>
      </c>
      <c r="D49" t="s">
        <v>81</v>
      </c>
      <c r="E49">
        <v>10000000</v>
      </c>
      <c r="O49">
        <v>8.4</v>
      </c>
      <c r="P49" t="s">
        <v>253</v>
      </c>
      <c r="T49">
        <v>100</v>
      </c>
      <c r="V49">
        <v>50</v>
      </c>
      <c r="W49" t="s">
        <v>271</v>
      </c>
      <c r="X49" t="s">
        <v>272</v>
      </c>
      <c r="Y49">
        <v>14.982558139534801</v>
      </c>
      <c r="AB49">
        <v>5.3934426229508103</v>
      </c>
      <c r="AC49" t="s">
        <v>210</v>
      </c>
      <c r="AI49">
        <v>3</v>
      </c>
    </row>
    <row r="50" spans="1:52" hidden="1" x14ac:dyDescent="0.3">
      <c r="A50" t="s">
        <v>270</v>
      </c>
      <c r="C50" t="s">
        <v>251</v>
      </c>
      <c r="D50" t="s">
        <v>81</v>
      </c>
      <c r="E50">
        <v>10000000</v>
      </c>
      <c r="O50">
        <v>8.4</v>
      </c>
      <c r="P50" t="s">
        <v>253</v>
      </c>
      <c r="T50">
        <v>100</v>
      </c>
      <c r="V50">
        <v>50</v>
      </c>
      <c r="W50" t="s">
        <v>273</v>
      </c>
      <c r="X50" t="s">
        <v>272</v>
      </c>
      <c r="Y50">
        <v>0</v>
      </c>
      <c r="AB50">
        <v>6.2786885245901498</v>
      </c>
      <c r="AC50" t="s">
        <v>210</v>
      </c>
      <c r="AI50">
        <v>3</v>
      </c>
      <c r="AJ50" t="s">
        <v>201</v>
      </c>
      <c r="AO50">
        <v>0</v>
      </c>
    </row>
    <row r="51" spans="1:52" hidden="1" x14ac:dyDescent="0.3">
      <c r="A51" t="s">
        <v>270</v>
      </c>
      <c r="C51" t="s">
        <v>251</v>
      </c>
      <c r="D51" t="s">
        <v>81</v>
      </c>
      <c r="E51">
        <v>10000000</v>
      </c>
      <c r="O51">
        <v>8.4</v>
      </c>
      <c r="P51" t="s">
        <v>253</v>
      </c>
      <c r="T51">
        <v>100</v>
      </c>
      <c r="V51">
        <v>50</v>
      </c>
      <c r="W51" t="s">
        <v>273</v>
      </c>
      <c r="X51" t="s">
        <v>272</v>
      </c>
      <c r="Y51">
        <v>5.0058139534883601</v>
      </c>
      <c r="AB51">
        <v>3.8032786885245802</v>
      </c>
      <c r="AC51" t="s">
        <v>210</v>
      </c>
      <c r="AI51">
        <v>3</v>
      </c>
      <c r="AJ51" t="s">
        <v>201</v>
      </c>
      <c r="AO51">
        <v>0</v>
      </c>
    </row>
    <row r="52" spans="1:52" hidden="1" x14ac:dyDescent="0.3">
      <c r="A52" t="s">
        <v>270</v>
      </c>
      <c r="C52" t="s">
        <v>251</v>
      </c>
      <c r="D52" t="s">
        <v>81</v>
      </c>
      <c r="E52">
        <v>10000000</v>
      </c>
      <c r="O52">
        <v>8.4</v>
      </c>
      <c r="P52" t="s">
        <v>253</v>
      </c>
      <c r="T52">
        <v>100</v>
      </c>
      <c r="V52">
        <v>50</v>
      </c>
      <c r="W52" t="s">
        <v>273</v>
      </c>
      <c r="X52" t="s">
        <v>272</v>
      </c>
      <c r="Y52">
        <v>9.9941860465116203</v>
      </c>
      <c r="AB52">
        <v>2.5737704918032702</v>
      </c>
      <c r="AC52" t="s">
        <v>210</v>
      </c>
      <c r="AI52">
        <v>3</v>
      </c>
      <c r="AJ52" t="s">
        <v>201</v>
      </c>
      <c r="AO52">
        <v>0</v>
      </c>
    </row>
    <row r="53" spans="1:52" hidden="1" x14ac:dyDescent="0.3">
      <c r="A53" t="s">
        <v>270</v>
      </c>
      <c r="C53" t="s">
        <v>251</v>
      </c>
      <c r="D53" t="s">
        <v>81</v>
      </c>
      <c r="E53">
        <v>10000000</v>
      </c>
      <c r="O53">
        <v>8.4</v>
      </c>
      <c r="P53" t="s">
        <v>253</v>
      </c>
      <c r="T53">
        <v>100</v>
      </c>
      <c r="V53">
        <v>50</v>
      </c>
      <c r="W53" t="s">
        <v>273</v>
      </c>
      <c r="X53" t="s">
        <v>272</v>
      </c>
      <c r="Y53">
        <v>14.982558139534801</v>
      </c>
      <c r="AA53" t="s">
        <v>128</v>
      </c>
      <c r="AB53">
        <v>1</v>
      </c>
      <c r="AC53" t="s">
        <v>210</v>
      </c>
      <c r="AI53">
        <v>3</v>
      </c>
      <c r="AJ53" t="s">
        <v>201</v>
      </c>
      <c r="AO53">
        <v>0</v>
      </c>
      <c r="AZ53">
        <v>0</v>
      </c>
    </row>
    <row r="54" spans="1:52" hidden="1" x14ac:dyDescent="0.3">
      <c r="A54" t="s">
        <v>270</v>
      </c>
      <c r="C54" t="s">
        <v>251</v>
      </c>
      <c r="D54" t="s">
        <v>81</v>
      </c>
      <c r="E54">
        <v>10000000</v>
      </c>
      <c r="O54">
        <v>8.4</v>
      </c>
      <c r="P54" t="s">
        <v>253</v>
      </c>
      <c r="T54">
        <v>100</v>
      </c>
      <c r="V54">
        <v>50</v>
      </c>
      <c r="W54" t="s">
        <v>274</v>
      </c>
      <c r="X54" t="s">
        <v>272</v>
      </c>
      <c r="Y54">
        <v>0</v>
      </c>
      <c r="AB54">
        <v>6.2950819672131102</v>
      </c>
      <c r="AC54" t="s">
        <v>210</v>
      </c>
      <c r="AI54">
        <v>3</v>
      </c>
      <c r="AT54" t="s">
        <v>150</v>
      </c>
    </row>
    <row r="55" spans="1:52" hidden="1" x14ac:dyDescent="0.3">
      <c r="A55" t="s">
        <v>270</v>
      </c>
      <c r="C55" t="s">
        <v>251</v>
      </c>
      <c r="D55" t="s">
        <v>81</v>
      </c>
      <c r="E55">
        <v>10000000</v>
      </c>
      <c r="O55">
        <v>8.4</v>
      </c>
      <c r="P55" t="s">
        <v>253</v>
      </c>
      <c r="T55">
        <v>100</v>
      </c>
      <c r="V55">
        <v>50</v>
      </c>
      <c r="W55" t="s">
        <v>274</v>
      </c>
      <c r="X55" t="s">
        <v>272</v>
      </c>
      <c r="Y55">
        <v>5.0058139534883601</v>
      </c>
      <c r="AB55">
        <v>2.8196721311475401</v>
      </c>
      <c r="AC55" t="s">
        <v>210</v>
      </c>
      <c r="AI55">
        <v>3</v>
      </c>
      <c r="AT55" t="s">
        <v>150</v>
      </c>
    </row>
    <row r="56" spans="1:52" hidden="1" x14ac:dyDescent="0.3">
      <c r="A56" t="s">
        <v>270</v>
      </c>
      <c r="C56" t="s">
        <v>251</v>
      </c>
      <c r="D56" t="s">
        <v>81</v>
      </c>
      <c r="E56">
        <v>10000000</v>
      </c>
      <c r="O56">
        <v>8.4</v>
      </c>
      <c r="P56" t="s">
        <v>253</v>
      </c>
      <c r="T56">
        <v>100</v>
      </c>
      <c r="V56">
        <v>50</v>
      </c>
      <c r="W56" t="s">
        <v>274</v>
      </c>
      <c r="X56" t="s">
        <v>272</v>
      </c>
      <c r="Y56">
        <v>9.9767441860464992</v>
      </c>
      <c r="AA56" t="s">
        <v>128</v>
      </c>
      <c r="AB56">
        <v>1</v>
      </c>
      <c r="AC56" t="s">
        <v>210</v>
      </c>
      <c r="AI56">
        <v>3</v>
      </c>
      <c r="AT56" t="s">
        <v>150</v>
      </c>
      <c r="AZ56">
        <v>0</v>
      </c>
    </row>
    <row r="57" spans="1:52" hidden="1" x14ac:dyDescent="0.3">
      <c r="A57" t="s">
        <v>270</v>
      </c>
      <c r="C57" t="s">
        <v>251</v>
      </c>
      <c r="D57" t="s">
        <v>81</v>
      </c>
      <c r="E57">
        <v>10000000</v>
      </c>
      <c r="O57">
        <v>8.4</v>
      </c>
      <c r="P57" t="s">
        <v>253</v>
      </c>
      <c r="T57">
        <v>100</v>
      </c>
      <c r="V57">
        <v>50</v>
      </c>
      <c r="W57" t="s">
        <v>274</v>
      </c>
      <c r="X57" t="s">
        <v>272</v>
      </c>
      <c r="Y57">
        <v>15</v>
      </c>
      <c r="AA57" t="s">
        <v>128</v>
      </c>
      <c r="AB57">
        <v>1</v>
      </c>
      <c r="AC57" t="s">
        <v>210</v>
      </c>
      <c r="AI57">
        <v>3</v>
      </c>
      <c r="AT57" t="s">
        <v>150</v>
      </c>
      <c r="AZ57">
        <v>0</v>
      </c>
    </row>
    <row r="58" spans="1:52" hidden="1" x14ac:dyDescent="0.3">
      <c r="A58" t="s">
        <v>270</v>
      </c>
      <c r="C58" t="s">
        <v>251</v>
      </c>
      <c r="D58" t="s">
        <v>81</v>
      </c>
      <c r="E58">
        <v>10000000</v>
      </c>
      <c r="O58">
        <v>8.4</v>
      </c>
      <c r="P58" t="s">
        <v>253</v>
      </c>
      <c r="T58">
        <v>100</v>
      </c>
      <c r="V58">
        <v>50</v>
      </c>
      <c r="W58" t="s">
        <v>275</v>
      </c>
      <c r="X58" t="s">
        <v>272</v>
      </c>
      <c r="Y58">
        <v>0</v>
      </c>
      <c r="AB58">
        <v>6.2950819672131102</v>
      </c>
      <c r="AC58" t="s">
        <v>210</v>
      </c>
      <c r="AI58">
        <v>3</v>
      </c>
      <c r="AT58" t="s">
        <v>150</v>
      </c>
    </row>
    <row r="59" spans="1:52" hidden="1" x14ac:dyDescent="0.3">
      <c r="A59" t="s">
        <v>270</v>
      </c>
      <c r="C59" t="s">
        <v>251</v>
      </c>
      <c r="D59" t="s">
        <v>81</v>
      </c>
      <c r="E59">
        <v>10000000</v>
      </c>
      <c r="O59">
        <v>8.4</v>
      </c>
      <c r="P59" t="s">
        <v>253</v>
      </c>
      <c r="T59">
        <v>100</v>
      </c>
      <c r="V59">
        <v>50</v>
      </c>
      <c r="W59" t="s">
        <v>275</v>
      </c>
      <c r="X59" t="s">
        <v>272</v>
      </c>
      <c r="Y59">
        <v>4.9883720930232398</v>
      </c>
      <c r="AA59" t="s">
        <v>128</v>
      </c>
      <c r="AB59">
        <v>1</v>
      </c>
      <c r="AC59" t="s">
        <v>210</v>
      </c>
      <c r="AI59">
        <v>3</v>
      </c>
      <c r="AT59" t="s">
        <v>150</v>
      </c>
      <c r="AZ59">
        <v>0</v>
      </c>
    </row>
    <row r="60" spans="1:52" hidden="1" x14ac:dyDescent="0.3">
      <c r="A60" t="s">
        <v>270</v>
      </c>
      <c r="C60" t="s">
        <v>251</v>
      </c>
      <c r="D60" t="s">
        <v>81</v>
      </c>
      <c r="E60">
        <v>10000000</v>
      </c>
      <c r="O60">
        <v>8.4</v>
      </c>
      <c r="P60" t="s">
        <v>253</v>
      </c>
      <c r="T60">
        <v>100</v>
      </c>
      <c r="V60">
        <v>50</v>
      </c>
      <c r="W60" t="s">
        <v>275</v>
      </c>
      <c r="X60" t="s">
        <v>272</v>
      </c>
      <c r="Y60">
        <v>9.9767441860464992</v>
      </c>
      <c r="AA60" t="s">
        <v>128</v>
      </c>
      <c r="AB60">
        <v>1</v>
      </c>
      <c r="AC60" t="s">
        <v>210</v>
      </c>
      <c r="AI60">
        <v>3</v>
      </c>
      <c r="AT60" t="s">
        <v>150</v>
      </c>
      <c r="AZ60">
        <v>0</v>
      </c>
    </row>
    <row r="61" spans="1:52" hidden="1" x14ac:dyDescent="0.3">
      <c r="A61" t="s">
        <v>270</v>
      </c>
      <c r="C61" t="s">
        <v>251</v>
      </c>
      <c r="D61" t="s">
        <v>81</v>
      </c>
      <c r="E61">
        <v>10000000</v>
      </c>
      <c r="O61">
        <v>8.4</v>
      </c>
      <c r="P61" t="s">
        <v>253</v>
      </c>
      <c r="T61">
        <v>100</v>
      </c>
      <c r="V61">
        <v>50</v>
      </c>
      <c r="W61" t="s">
        <v>275</v>
      </c>
      <c r="X61" t="s">
        <v>272</v>
      </c>
      <c r="Y61">
        <v>15</v>
      </c>
      <c r="AA61" t="s">
        <v>128</v>
      </c>
      <c r="AB61">
        <v>1</v>
      </c>
      <c r="AC61" t="s">
        <v>210</v>
      </c>
      <c r="AI61">
        <v>3</v>
      </c>
      <c r="AT61" t="s">
        <v>150</v>
      </c>
      <c r="AZ61">
        <v>0</v>
      </c>
    </row>
    <row r="62" spans="1:52" hidden="1" x14ac:dyDescent="0.3">
      <c r="A62" t="s">
        <v>276</v>
      </c>
      <c r="C62" t="s">
        <v>251</v>
      </c>
      <c r="D62" t="s">
        <v>81</v>
      </c>
      <c r="E62">
        <v>10000000</v>
      </c>
      <c r="O62">
        <v>12</v>
      </c>
      <c r="P62" t="s">
        <v>277</v>
      </c>
      <c r="S62" t="s">
        <v>278</v>
      </c>
      <c r="T62">
        <v>20.5</v>
      </c>
      <c r="V62">
        <v>50</v>
      </c>
      <c r="W62" t="s">
        <v>279</v>
      </c>
      <c r="X62" t="s">
        <v>280</v>
      </c>
      <c r="Y62">
        <v>60</v>
      </c>
      <c r="AB62">
        <v>0.25</v>
      </c>
      <c r="AC62" t="s">
        <v>85</v>
      </c>
      <c r="AJ62" t="s">
        <v>201</v>
      </c>
    </row>
    <row r="63" spans="1:52" hidden="1" x14ac:dyDescent="0.3">
      <c r="A63" t="s">
        <v>276</v>
      </c>
      <c r="C63" t="s">
        <v>251</v>
      </c>
      <c r="D63" t="s">
        <v>81</v>
      </c>
      <c r="E63">
        <v>10000000</v>
      </c>
      <c r="O63">
        <v>12</v>
      </c>
      <c r="P63" t="s">
        <v>277</v>
      </c>
      <c r="S63" t="s">
        <v>278</v>
      </c>
      <c r="T63">
        <v>20.5</v>
      </c>
      <c r="V63">
        <v>50</v>
      </c>
      <c r="W63" t="s">
        <v>279</v>
      </c>
      <c r="X63" t="s">
        <v>280</v>
      </c>
      <c r="Y63">
        <v>120</v>
      </c>
      <c r="AB63">
        <v>0.33</v>
      </c>
      <c r="AC63" t="s">
        <v>85</v>
      </c>
      <c r="AJ63" t="s">
        <v>201</v>
      </c>
    </row>
    <row r="64" spans="1:52" hidden="1" x14ac:dyDescent="0.3">
      <c r="A64" t="s">
        <v>276</v>
      </c>
      <c r="C64" t="s">
        <v>251</v>
      </c>
      <c r="D64" t="s">
        <v>81</v>
      </c>
      <c r="E64">
        <v>10000000</v>
      </c>
      <c r="O64">
        <v>12</v>
      </c>
      <c r="P64" t="s">
        <v>277</v>
      </c>
      <c r="S64" t="s">
        <v>278</v>
      </c>
      <c r="T64">
        <v>20.5</v>
      </c>
      <c r="V64">
        <v>50</v>
      </c>
      <c r="W64" t="s">
        <v>279</v>
      </c>
      <c r="X64" t="s">
        <v>280</v>
      </c>
      <c r="Y64">
        <v>240</v>
      </c>
      <c r="AB64">
        <v>1.96</v>
      </c>
      <c r="AC64" t="s">
        <v>85</v>
      </c>
      <c r="AJ64" t="s">
        <v>201</v>
      </c>
    </row>
    <row r="65" spans="1:53" hidden="1" x14ac:dyDescent="0.3">
      <c r="A65" t="s">
        <v>276</v>
      </c>
      <c r="C65" t="s">
        <v>251</v>
      </c>
      <c r="D65" t="s">
        <v>81</v>
      </c>
      <c r="E65">
        <v>10000000</v>
      </c>
      <c r="O65">
        <v>12</v>
      </c>
      <c r="P65" t="s">
        <v>277</v>
      </c>
      <c r="S65" t="s">
        <v>278</v>
      </c>
      <c r="T65">
        <v>20.5</v>
      </c>
      <c r="V65">
        <v>50</v>
      </c>
      <c r="W65" t="s">
        <v>279</v>
      </c>
      <c r="X65" t="s">
        <v>280</v>
      </c>
      <c r="Y65">
        <v>720</v>
      </c>
      <c r="AB65">
        <v>6.38</v>
      </c>
      <c r="AC65" t="s">
        <v>85</v>
      </c>
      <c r="AJ65" t="s">
        <v>201</v>
      </c>
    </row>
    <row r="66" spans="1:53" hidden="1" x14ac:dyDescent="0.3">
      <c r="A66" t="s">
        <v>276</v>
      </c>
      <c r="C66" t="s">
        <v>251</v>
      </c>
      <c r="D66" t="s">
        <v>81</v>
      </c>
      <c r="E66">
        <v>10000000</v>
      </c>
      <c r="O66">
        <v>12</v>
      </c>
      <c r="P66" t="s">
        <v>277</v>
      </c>
      <c r="S66" t="s">
        <v>278</v>
      </c>
      <c r="T66">
        <v>20.5</v>
      </c>
      <c r="V66">
        <v>50</v>
      </c>
      <c r="W66" t="s">
        <v>279</v>
      </c>
      <c r="X66" t="s">
        <v>280</v>
      </c>
      <c r="Y66">
        <v>1440</v>
      </c>
      <c r="AB66">
        <v>6.32</v>
      </c>
      <c r="AC66" t="s">
        <v>85</v>
      </c>
      <c r="AJ66" t="s">
        <v>201</v>
      </c>
    </row>
    <row r="67" spans="1:53" hidden="1" x14ac:dyDescent="0.3">
      <c r="A67" t="s">
        <v>276</v>
      </c>
      <c r="C67" t="s">
        <v>251</v>
      </c>
      <c r="D67" t="s">
        <v>81</v>
      </c>
      <c r="E67">
        <v>10000000</v>
      </c>
      <c r="O67">
        <v>12</v>
      </c>
      <c r="P67" t="s">
        <v>277</v>
      </c>
      <c r="S67" t="s">
        <v>278</v>
      </c>
      <c r="T67">
        <v>20.5</v>
      </c>
      <c r="V67">
        <v>50</v>
      </c>
      <c r="W67" t="s">
        <v>279</v>
      </c>
      <c r="X67" t="s">
        <v>280</v>
      </c>
      <c r="Y67">
        <v>4320</v>
      </c>
      <c r="AB67">
        <v>6.36</v>
      </c>
      <c r="AC67" t="s">
        <v>85</v>
      </c>
      <c r="AJ67" t="s">
        <v>201</v>
      </c>
    </row>
    <row r="68" spans="1:53" hidden="1" x14ac:dyDescent="0.3">
      <c r="A68" t="s">
        <v>276</v>
      </c>
      <c r="C68" t="s">
        <v>251</v>
      </c>
      <c r="D68" t="s">
        <v>81</v>
      </c>
      <c r="E68">
        <v>10000000</v>
      </c>
      <c r="O68">
        <v>12</v>
      </c>
      <c r="P68" t="s">
        <v>277</v>
      </c>
      <c r="S68" t="s">
        <v>278</v>
      </c>
      <c r="T68">
        <v>55</v>
      </c>
      <c r="V68">
        <v>50</v>
      </c>
      <c r="W68" t="s">
        <v>279</v>
      </c>
      <c r="X68" t="s">
        <v>280</v>
      </c>
      <c r="Y68">
        <v>30</v>
      </c>
      <c r="AB68">
        <v>5.59</v>
      </c>
      <c r="AC68" t="s">
        <v>85</v>
      </c>
      <c r="AJ68" t="s">
        <v>201</v>
      </c>
    </row>
    <row r="69" spans="1:53" hidden="1" x14ac:dyDescent="0.3">
      <c r="A69" t="s">
        <v>276</v>
      </c>
      <c r="C69" t="s">
        <v>251</v>
      </c>
      <c r="D69" t="s">
        <v>81</v>
      </c>
      <c r="E69">
        <v>10000000</v>
      </c>
      <c r="O69">
        <v>12</v>
      </c>
      <c r="P69" t="s">
        <v>277</v>
      </c>
      <c r="S69" t="s">
        <v>278</v>
      </c>
      <c r="T69">
        <v>55</v>
      </c>
      <c r="V69">
        <v>50</v>
      </c>
      <c r="W69" t="s">
        <v>279</v>
      </c>
      <c r="X69" t="s">
        <v>280</v>
      </c>
      <c r="Y69">
        <v>60</v>
      </c>
      <c r="AB69">
        <v>6.66</v>
      </c>
      <c r="AC69" t="s">
        <v>85</v>
      </c>
      <c r="AJ69" t="s">
        <v>201</v>
      </c>
    </row>
    <row r="70" spans="1:53" hidden="1" x14ac:dyDescent="0.3">
      <c r="A70" t="s">
        <v>276</v>
      </c>
      <c r="C70" t="s">
        <v>251</v>
      </c>
      <c r="D70" t="s">
        <v>81</v>
      </c>
      <c r="E70">
        <v>10000000</v>
      </c>
      <c r="O70">
        <v>12</v>
      </c>
      <c r="P70" t="s">
        <v>277</v>
      </c>
      <c r="S70" t="s">
        <v>278</v>
      </c>
      <c r="T70">
        <v>55</v>
      </c>
      <c r="V70">
        <v>50</v>
      </c>
      <c r="W70" t="s">
        <v>279</v>
      </c>
      <c r="X70" t="s">
        <v>280</v>
      </c>
      <c r="Y70">
        <v>120</v>
      </c>
      <c r="AB70">
        <v>6.74</v>
      </c>
      <c r="AC70" t="s">
        <v>85</v>
      </c>
      <c r="AJ70" t="s">
        <v>201</v>
      </c>
    </row>
    <row r="71" spans="1:53" hidden="1" x14ac:dyDescent="0.3">
      <c r="A71" t="s">
        <v>276</v>
      </c>
      <c r="C71" t="s">
        <v>251</v>
      </c>
      <c r="D71" t="s">
        <v>81</v>
      </c>
      <c r="E71">
        <v>10000000</v>
      </c>
      <c r="O71">
        <v>12</v>
      </c>
      <c r="P71" t="s">
        <v>277</v>
      </c>
      <c r="S71" t="s">
        <v>278</v>
      </c>
      <c r="T71">
        <v>55</v>
      </c>
      <c r="V71">
        <v>50</v>
      </c>
      <c r="W71" t="s">
        <v>279</v>
      </c>
      <c r="X71" t="s">
        <v>280</v>
      </c>
      <c r="Y71">
        <v>240</v>
      </c>
      <c r="AB71">
        <v>6.46</v>
      </c>
      <c r="AC71" t="s">
        <v>85</v>
      </c>
      <c r="AJ71" t="s">
        <v>201</v>
      </c>
    </row>
    <row r="72" spans="1:53" hidden="1" x14ac:dyDescent="0.3">
      <c r="A72" t="s">
        <v>276</v>
      </c>
      <c r="C72" t="s">
        <v>251</v>
      </c>
      <c r="D72" t="s">
        <v>81</v>
      </c>
      <c r="E72">
        <v>10000000</v>
      </c>
      <c r="O72">
        <v>12</v>
      </c>
      <c r="P72" t="s">
        <v>277</v>
      </c>
      <c r="S72" t="s">
        <v>278</v>
      </c>
      <c r="T72">
        <v>55</v>
      </c>
      <c r="V72">
        <v>50</v>
      </c>
      <c r="W72" t="s">
        <v>279</v>
      </c>
      <c r="X72" t="s">
        <v>280</v>
      </c>
      <c r="Y72">
        <v>480</v>
      </c>
      <c r="AB72">
        <v>6.38</v>
      </c>
      <c r="AC72" t="s">
        <v>85</v>
      </c>
      <c r="AJ72" t="s">
        <v>201</v>
      </c>
    </row>
    <row r="73" spans="1:53" hidden="1" x14ac:dyDescent="0.3">
      <c r="A73" t="s">
        <v>276</v>
      </c>
      <c r="C73" t="s">
        <v>251</v>
      </c>
      <c r="D73" t="s">
        <v>81</v>
      </c>
      <c r="E73">
        <v>10000000</v>
      </c>
      <c r="O73">
        <v>12</v>
      </c>
      <c r="P73" t="s">
        <v>277</v>
      </c>
      <c r="S73" t="s">
        <v>278</v>
      </c>
      <c r="T73">
        <v>55</v>
      </c>
      <c r="V73">
        <v>50</v>
      </c>
      <c r="W73" t="s">
        <v>279</v>
      </c>
      <c r="X73" t="s">
        <v>280</v>
      </c>
      <c r="Y73">
        <v>960</v>
      </c>
      <c r="AB73">
        <v>6.32</v>
      </c>
      <c r="AC73" t="s">
        <v>85</v>
      </c>
      <c r="AJ73" t="s">
        <v>201</v>
      </c>
    </row>
    <row r="74" spans="1:53" hidden="1" x14ac:dyDescent="0.3">
      <c r="A74" t="s">
        <v>276</v>
      </c>
      <c r="C74" t="s">
        <v>251</v>
      </c>
      <c r="D74" t="s">
        <v>81</v>
      </c>
      <c r="E74">
        <v>10000000</v>
      </c>
      <c r="O74">
        <v>12</v>
      </c>
      <c r="P74" t="s">
        <v>277</v>
      </c>
      <c r="S74" t="s">
        <v>278</v>
      </c>
      <c r="T74">
        <v>55</v>
      </c>
      <c r="V74">
        <v>50</v>
      </c>
      <c r="W74" t="s">
        <v>279</v>
      </c>
      <c r="X74" t="s">
        <v>280</v>
      </c>
      <c r="Y74">
        <v>1440</v>
      </c>
      <c r="AB74">
        <v>6.3</v>
      </c>
      <c r="AC74" t="s">
        <v>85</v>
      </c>
      <c r="AJ74" t="s">
        <v>201</v>
      </c>
    </row>
    <row r="75" spans="1:53" hidden="1" x14ac:dyDescent="0.3">
      <c r="A75" t="s">
        <v>281</v>
      </c>
      <c r="C75" t="s">
        <v>251</v>
      </c>
      <c r="D75" t="s">
        <v>81</v>
      </c>
      <c r="E75">
        <v>10000000</v>
      </c>
      <c r="H75">
        <v>1.61</v>
      </c>
      <c r="I75" t="s">
        <v>56</v>
      </c>
      <c r="J75">
        <v>1.6100000000000001E-4</v>
      </c>
      <c r="K75" t="s">
        <v>57</v>
      </c>
      <c r="N75" t="s">
        <v>282</v>
      </c>
      <c r="O75">
        <v>225</v>
      </c>
      <c r="P75" t="s">
        <v>262</v>
      </c>
      <c r="T75">
        <v>28</v>
      </c>
      <c r="V75">
        <v>83</v>
      </c>
      <c r="W75" t="s">
        <v>75</v>
      </c>
      <c r="X75" t="s">
        <v>280</v>
      </c>
      <c r="Y75">
        <v>960</v>
      </c>
      <c r="AB75">
        <v>0</v>
      </c>
      <c r="AC75" t="s">
        <v>210</v>
      </c>
      <c r="AD75" t="s">
        <v>194</v>
      </c>
      <c r="AE75" t="s">
        <v>63</v>
      </c>
      <c r="AH75">
        <v>5.66</v>
      </c>
      <c r="AI75">
        <v>6</v>
      </c>
      <c r="AR75">
        <v>0</v>
      </c>
      <c r="AT75" t="s">
        <v>75</v>
      </c>
      <c r="AV75" t="s">
        <v>88</v>
      </c>
      <c r="AX75">
        <v>225</v>
      </c>
      <c r="AZ75">
        <v>0</v>
      </c>
      <c r="BA75">
        <v>5.66</v>
      </c>
    </row>
    <row r="76" spans="1:53" hidden="1" x14ac:dyDescent="0.3">
      <c r="A76" t="s">
        <v>281</v>
      </c>
      <c r="C76" t="s">
        <v>251</v>
      </c>
      <c r="D76" t="s">
        <v>81</v>
      </c>
      <c r="E76">
        <v>10000000</v>
      </c>
      <c r="H76">
        <v>1.61</v>
      </c>
      <c r="I76" t="s">
        <v>56</v>
      </c>
      <c r="J76">
        <v>1.6100000000000001E-4</v>
      </c>
      <c r="K76" t="s">
        <v>57</v>
      </c>
      <c r="N76" t="s">
        <v>282</v>
      </c>
      <c r="O76">
        <v>225</v>
      </c>
      <c r="P76" t="s">
        <v>262</v>
      </c>
      <c r="T76">
        <v>28</v>
      </c>
      <c r="V76">
        <v>83</v>
      </c>
      <c r="W76" t="s">
        <v>75</v>
      </c>
      <c r="X76" t="s">
        <v>280</v>
      </c>
      <c r="Y76">
        <v>1440</v>
      </c>
      <c r="AB76">
        <v>0</v>
      </c>
      <c r="AC76" t="s">
        <v>210</v>
      </c>
      <c r="AD76" t="s">
        <v>194</v>
      </c>
      <c r="AE76" t="s">
        <v>63</v>
      </c>
      <c r="AH76">
        <v>5.66</v>
      </c>
      <c r="AI76">
        <v>6</v>
      </c>
      <c r="AR76">
        <v>0</v>
      </c>
      <c r="AT76" t="s">
        <v>75</v>
      </c>
      <c r="AV76" t="s">
        <v>88</v>
      </c>
      <c r="AX76">
        <v>225</v>
      </c>
      <c r="AZ76">
        <v>0</v>
      </c>
      <c r="BA76">
        <v>5.66</v>
      </c>
    </row>
    <row r="77" spans="1:53" hidden="1" x14ac:dyDescent="0.3">
      <c r="A77" t="s">
        <v>281</v>
      </c>
      <c r="C77" t="s">
        <v>251</v>
      </c>
      <c r="D77" t="s">
        <v>81</v>
      </c>
      <c r="E77">
        <v>10000000</v>
      </c>
      <c r="H77">
        <v>1.61</v>
      </c>
      <c r="I77" t="s">
        <v>56</v>
      </c>
      <c r="J77">
        <v>1.6100000000000001E-4</v>
      </c>
      <c r="K77" t="s">
        <v>57</v>
      </c>
      <c r="N77" t="s">
        <v>282</v>
      </c>
      <c r="O77">
        <v>225</v>
      </c>
      <c r="P77" t="s">
        <v>262</v>
      </c>
      <c r="T77">
        <v>28</v>
      </c>
      <c r="V77">
        <v>83</v>
      </c>
      <c r="W77" t="s">
        <v>75</v>
      </c>
      <c r="X77" t="s">
        <v>280</v>
      </c>
      <c r="Y77">
        <v>1920</v>
      </c>
      <c r="AB77">
        <v>0</v>
      </c>
      <c r="AC77" t="s">
        <v>210</v>
      </c>
      <c r="AD77" t="s">
        <v>194</v>
      </c>
      <c r="AE77" t="s">
        <v>63</v>
      </c>
      <c r="AH77">
        <v>5.66</v>
      </c>
      <c r="AI77">
        <v>6</v>
      </c>
      <c r="AR77">
        <v>0</v>
      </c>
      <c r="AT77" t="s">
        <v>75</v>
      </c>
      <c r="AV77" t="s">
        <v>88</v>
      </c>
      <c r="AX77">
        <v>225</v>
      </c>
      <c r="AZ77">
        <v>0</v>
      </c>
      <c r="BA77">
        <v>5.66</v>
      </c>
    </row>
    <row r="78" spans="1:53" hidden="1" x14ac:dyDescent="0.3">
      <c r="A78" t="s">
        <v>281</v>
      </c>
      <c r="C78" t="s">
        <v>251</v>
      </c>
      <c r="D78" t="s">
        <v>81</v>
      </c>
      <c r="E78">
        <v>10000000</v>
      </c>
      <c r="H78">
        <v>1.61</v>
      </c>
      <c r="I78" t="s">
        <v>56</v>
      </c>
      <c r="J78">
        <v>1.6100000000000001E-4</v>
      </c>
      <c r="K78" t="s">
        <v>57</v>
      </c>
      <c r="N78" t="s">
        <v>282</v>
      </c>
      <c r="O78">
        <v>225</v>
      </c>
      <c r="P78" t="s">
        <v>262</v>
      </c>
      <c r="T78">
        <v>28</v>
      </c>
      <c r="V78">
        <v>83</v>
      </c>
      <c r="W78" t="s">
        <v>75</v>
      </c>
      <c r="X78" t="s">
        <v>280</v>
      </c>
      <c r="Y78">
        <v>2400</v>
      </c>
      <c r="AB78">
        <v>0</v>
      </c>
      <c r="AC78" t="s">
        <v>210</v>
      </c>
      <c r="AD78" t="s">
        <v>194</v>
      </c>
      <c r="AE78" t="s">
        <v>63</v>
      </c>
      <c r="AH78">
        <v>5.66</v>
      </c>
      <c r="AI78">
        <v>6</v>
      </c>
      <c r="AR78">
        <v>0</v>
      </c>
      <c r="AT78" t="s">
        <v>75</v>
      </c>
      <c r="AV78" t="s">
        <v>88</v>
      </c>
      <c r="AX78">
        <v>225</v>
      </c>
      <c r="AZ78">
        <v>0</v>
      </c>
      <c r="BA78">
        <v>5.66</v>
      </c>
    </row>
    <row r="79" spans="1:53" hidden="1" x14ac:dyDescent="0.3">
      <c r="A79" t="s">
        <v>281</v>
      </c>
      <c r="C79" t="s">
        <v>251</v>
      </c>
      <c r="D79" t="s">
        <v>81</v>
      </c>
      <c r="E79">
        <v>10000000</v>
      </c>
      <c r="H79">
        <v>2.7</v>
      </c>
      <c r="I79" t="s">
        <v>56</v>
      </c>
      <c r="J79">
        <v>2.7000000000000011E-4</v>
      </c>
      <c r="K79" t="s">
        <v>57</v>
      </c>
      <c r="N79" t="s">
        <v>282</v>
      </c>
      <c r="O79">
        <v>225</v>
      </c>
      <c r="P79" t="s">
        <v>262</v>
      </c>
      <c r="T79">
        <v>28</v>
      </c>
      <c r="V79">
        <v>83</v>
      </c>
      <c r="W79" t="s">
        <v>150</v>
      </c>
      <c r="X79" t="s">
        <v>280</v>
      </c>
      <c r="Y79">
        <v>960</v>
      </c>
      <c r="AB79">
        <v>2.92</v>
      </c>
      <c r="AC79" t="s">
        <v>210</v>
      </c>
      <c r="AD79" t="s">
        <v>283</v>
      </c>
      <c r="AE79" t="s">
        <v>63</v>
      </c>
      <c r="AH79">
        <v>6.34</v>
      </c>
      <c r="AI79">
        <v>6</v>
      </c>
      <c r="AR79">
        <v>1</v>
      </c>
      <c r="AT79" t="s">
        <v>150</v>
      </c>
      <c r="AV79" t="s">
        <v>88</v>
      </c>
      <c r="AX79">
        <v>225</v>
      </c>
      <c r="AZ79">
        <v>1</v>
      </c>
      <c r="BA79">
        <v>6.34</v>
      </c>
    </row>
    <row r="80" spans="1:53" hidden="1" x14ac:dyDescent="0.3">
      <c r="A80" t="s">
        <v>281</v>
      </c>
      <c r="C80" t="s">
        <v>251</v>
      </c>
      <c r="D80" t="s">
        <v>81</v>
      </c>
      <c r="E80">
        <v>10000000</v>
      </c>
      <c r="H80">
        <v>2.7</v>
      </c>
      <c r="I80" t="s">
        <v>56</v>
      </c>
      <c r="J80">
        <v>2.7000000000000011E-4</v>
      </c>
      <c r="K80" t="s">
        <v>57</v>
      </c>
      <c r="N80" t="s">
        <v>282</v>
      </c>
      <c r="O80">
        <v>225</v>
      </c>
      <c r="P80" t="s">
        <v>262</v>
      </c>
      <c r="T80">
        <v>28</v>
      </c>
      <c r="V80">
        <v>83</v>
      </c>
      <c r="W80" t="s">
        <v>150</v>
      </c>
      <c r="X80" t="s">
        <v>280</v>
      </c>
      <c r="Y80">
        <v>1440</v>
      </c>
      <c r="AB80">
        <v>0</v>
      </c>
      <c r="AC80" t="s">
        <v>210</v>
      </c>
      <c r="AD80" t="s">
        <v>194</v>
      </c>
      <c r="AE80" t="s">
        <v>63</v>
      </c>
      <c r="AH80">
        <v>6.34</v>
      </c>
      <c r="AI80">
        <v>6</v>
      </c>
      <c r="AR80">
        <v>0</v>
      </c>
      <c r="AT80" t="s">
        <v>150</v>
      </c>
      <c r="AV80" t="s">
        <v>88</v>
      </c>
      <c r="AX80">
        <v>225</v>
      </c>
      <c r="AZ80">
        <v>0</v>
      </c>
      <c r="BA80">
        <v>6.34</v>
      </c>
    </row>
    <row r="81" spans="1:53" hidden="1" x14ac:dyDescent="0.3">
      <c r="A81" t="s">
        <v>281</v>
      </c>
      <c r="C81" t="s">
        <v>251</v>
      </c>
      <c r="D81" t="s">
        <v>81</v>
      </c>
      <c r="E81">
        <v>10000000</v>
      </c>
      <c r="H81">
        <v>2.7</v>
      </c>
      <c r="I81" t="s">
        <v>56</v>
      </c>
      <c r="J81">
        <v>2.7000000000000011E-4</v>
      </c>
      <c r="K81" t="s">
        <v>57</v>
      </c>
      <c r="N81" t="s">
        <v>282</v>
      </c>
      <c r="O81">
        <v>225</v>
      </c>
      <c r="P81" t="s">
        <v>262</v>
      </c>
      <c r="T81">
        <v>28</v>
      </c>
      <c r="V81">
        <v>83</v>
      </c>
      <c r="W81" t="s">
        <v>150</v>
      </c>
      <c r="X81" t="s">
        <v>280</v>
      </c>
      <c r="Y81">
        <v>1920</v>
      </c>
      <c r="AB81">
        <v>0</v>
      </c>
      <c r="AC81" t="s">
        <v>210</v>
      </c>
      <c r="AD81" t="s">
        <v>194</v>
      </c>
      <c r="AE81" t="s">
        <v>63</v>
      </c>
      <c r="AH81">
        <v>6.34</v>
      </c>
      <c r="AI81">
        <v>6</v>
      </c>
      <c r="AR81">
        <v>0</v>
      </c>
      <c r="AT81" t="s">
        <v>150</v>
      </c>
      <c r="AV81" t="s">
        <v>88</v>
      </c>
      <c r="AX81">
        <v>225</v>
      </c>
      <c r="AZ81">
        <v>0</v>
      </c>
      <c r="BA81">
        <v>6.34</v>
      </c>
    </row>
    <row r="82" spans="1:53" hidden="1" x14ac:dyDescent="0.3">
      <c r="A82" t="s">
        <v>281</v>
      </c>
      <c r="C82" t="s">
        <v>251</v>
      </c>
      <c r="D82" t="s">
        <v>81</v>
      </c>
      <c r="E82">
        <v>10000000</v>
      </c>
      <c r="H82">
        <v>2.7</v>
      </c>
      <c r="I82" t="s">
        <v>56</v>
      </c>
      <c r="J82">
        <v>2.7000000000000011E-4</v>
      </c>
      <c r="K82" t="s">
        <v>57</v>
      </c>
      <c r="N82" t="s">
        <v>282</v>
      </c>
      <c r="O82">
        <v>225</v>
      </c>
      <c r="P82" t="s">
        <v>262</v>
      </c>
      <c r="T82">
        <v>28</v>
      </c>
      <c r="V82">
        <v>83</v>
      </c>
      <c r="W82" t="s">
        <v>150</v>
      </c>
      <c r="X82" t="s">
        <v>280</v>
      </c>
      <c r="Y82">
        <v>2400</v>
      </c>
      <c r="AB82">
        <v>0</v>
      </c>
      <c r="AC82" t="s">
        <v>210</v>
      </c>
      <c r="AD82" t="s">
        <v>194</v>
      </c>
      <c r="AE82" t="s">
        <v>63</v>
      </c>
      <c r="AH82">
        <v>6.34</v>
      </c>
      <c r="AI82">
        <v>6</v>
      </c>
      <c r="AR82">
        <v>0</v>
      </c>
      <c r="AT82" t="s">
        <v>150</v>
      </c>
      <c r="AV82" t="s">
        <v>88</v>
      </c>
      <c r="AX82">
        <v>225</v>
      </c>
      <c r="AZ82">
        <v>0</v>
      </c>
      <c r="BA82">
        <v>6.34</v>
      </c>
    </row>
    <row r="83" spans="1:53" hidden="1" x14ac:dyDescent="0.3">
      <c r="A83" t="s">
        <v>281</v>
      </c>
      <c r="C83" t="s">
        <v>251</v>
      </c>
      <c r="D83" t="s">
        <v>81</v>
      </c>
      <c r="E83">
        <v>10000000</v>
      </c>
      <c r="H83">
        <v>1.61</v>
      </c>
      <c r="I83" t="s">
        <v>56</v>
      </c>
      <c r="J83">
        <v>1.6100000000000001E-4</v>
      </c>
      <c r="K83" t="s">
        <v>57</v>
      </c>
      <c r="N83" t="s">
        <v>282</v>
      </c>
      <c r="O83">
        <v>225</v>
      </c>
      <c r="P83" t="s">
        <v>262</v>
      </c>
      <c r="T83">
        <v>28</v>
      </c>
      <c r="V83">
        <v>83</v>
      </c>
      <c r="W83" t="s">
        <v>75</v>
      </c>
      <c r="X83" t="s">
        <v>280</v>
      </c>
      <c r="Y83">
        <v>2880</v>
      </c>
      <c r="AB83">
        <v>0</v>
      </c>
      <c r="AC83" t="s">
        <v>210</v>
      </c>
      <c r="AD83" t="s">
        <v>194</v>
      </c>
      <c r="AE83" t="s">
        <v>63</v>
      </c>
      <c r="AH83">
        <v>5.66</v>
      </c>
      <c r="AI83">
        <v>87</v>
      </c>
      <c r="AR83">
        <v>0</v>
      </c>
      <c r="AT83" t="s">
        <v>75</v>
      </c>
      <c r="AV83" t="s">
        <v>88</v>
      </c>
      <c r="AX83">
        <v>225</v>
      </c>
      <c r="AZ83">
        <v>0</v>
      </c>
      <c r="BA83">
        <v>5.66</v>
      </c>
    </row>
    <row r="84" spans="1:53" hidden="1" x14ac:dyDescent="0.3">
      <c r="A84" t="s">
        <v>281</v>
      </c>
      <c r="C84" t="s">
        <v>251</v>
      </c>
      <c r="D84" t="s">
        <v>81</v>
      </c>
      <c r="E84">
        <v>10000000</v>
      </c>
      <c r="H84">
        <v>2.7</v>
      </c>
      <c r="I84" t="s">
        <v>56</v>
      </c>
      <c r="J84">
        <v>2.7000000000000011E-4</v>
      </c>
      <c r="K84" t="s">
        <v>57</v>
      </c>
      <c r="N84" t="s">
        <v>282</v>
      </c>
      <c r="O84">
        <v>225</v>
      </c>
      <c r="P84" t="s">
        <v>262</v>
      </c>
      <c r="T84">
        <v>28</v>
      </c>
      <c r="V84">
        <v>83</v>
      </c>
      <c r="W84" t="s">
        <v>150</v>
      </c>
      <c r="X84" t="s">
        <v>280</v>
      </c>
      <c r="Y84">
        <v>2880</v>
      </c>
      <c r="AB84">
        <v>0</v>
      </c>
      <c r="AC84" t="s">
        <v>210</v>
      </c>
      <c r="AD84" t="s">
        <v>194</v>
      </c>
      <c r="AE84" t="s">
        <v>63</v>
      </c>
      <c r="AH84">
        <v>6.34</v>
      </c>
      <c r="AI84">
        <v>87</v>
      </c>
      <c r="AR84">
        <v>0</v>
      </c>
      <c r="AT84" t="s">
        <v>150</v>
      </c>
      <c r="AV84" t="s">
        <v>88</v>
      </c>
      <c r="AX84">
        <v>225</v>
      </c>
      <c r="AZ84">
        <v>0</v>
      </c>
      <c r="BA84">
        <v>6.34</v>
      </c>
    </row>
    <row r="85" spans="1:53" hidden="1" x14ac:dyDescent="0.3">
      <c r="A85" t="s">
        <v>284</v>
      </c>
      <c r="C85" t="s">
        <v>251</v>
      </c>
      <c r="D85" t="s">
        <v>81</v>
      </c>
      <c r="E85">
        <v>10000000</v>
      </c>
      <c r="O85">
        <v>400</v>
      </c>
      <c r="P85" t="s">
        <v>277</v>
      </c>
      <c r="T85">
        <v>26</v>
      </c>
      <c r="U85" t="s">
        <v>120</v>
      </c>
      <c r="V85">
        <v>90</v>
      </c>
      <c r="W85" t="s">
        <v>150</v>
      </c>
      <c r="X85" t="s">
        <v>255</v>
      </c>
      <c r="Y85">
        <v>480</v>
      </c>
      <c r="AA85" t="s">
        <v>184</v>
      </c>
      <c r="AB85">
        <v>5.0857142857142801</v>
      </c>
      <c r="AC85" t="s">
        <v>85</v>
      </c>
      <c r="AD85" t="s">
        <v>285</v>
      </c>
      <c r="AI85">
        <v>14</v>
      </c>
      <c r="AT85" t="s">
        <v>150</v>
      </c>
      <c r="AY85">
        <v>400</v>
      </c>
      <c r="AZ85">
        <v>0</v>
      </c>
      <c r="BA85">
        <v>5.0857142857142801</v>
      </c>
    </row>
    <row r="86" spans="1:53" hidden="1" x14ac:dyDescent="0.3">
      <c r="A86" t="s">
        <v>284</v>
      </c>
      <c r="C86" t="s">
        <v>251</v>
      </c>
      <c r="D86" t="s">
        <v>81</v>
      </c>
      <c r="E86">
        <v>10000000</v>
      </c>
      <c r="O86">
        <v>400</v>
      </c>
      <c r="P86" t="s">
        <v>277</v>
      </c>
      <c r="T86">
        <v>26</v>
      </c>
      <c r="U86" t="s">
        <v>120</v>
      </c>
      <c r="V86">
        <v>90</v>
      </c>
      <c r="W86" t="s">
        <v>150</v>
      </c>
      <c r="X86" t="s">
        <v>255</v>
      </c>
      <c r="Y86">
        <v>480</v>
      </c>
      <c r="AA86" t="s">
        <v>184</v>
      </c>
      <c r="AB86">
        <v>5.2785714285714196</v>
      </c>
      <c r="AC86" t="s">
        <v>85</v>
      </c>
      <c r="AD86" t="s">
        <v>286</v>
      </c>
      <c r="AI86">
        <v>14</v>
      </c>
      <c r="AT86" t="s">
        <v>150</v>
      </c>
      <c r="AY86">
        <v>400</v>
      </c>
      <c r="AZ86">
        <v>0</v>
      </c>
      <c r="BA86">
        <v>5.2785714285714196</v>
      </c>
    </row>
    <row r="87" spans="1:53" hidden="1" x14ac:dyDescent="0.3">
      <c r="A87" t="s">
        <v>284</v>
      </c>
      <c r="C87" t="s">
        <v>251</v>
      </c>
      <c r="D87" t="s">
        <v>81</v>
      </c>
      <c r="E87">
        <v>10000000</v>
      </c>
      <c r="O87">
        <v>400</v>
      </c>
      <c r="P87" t="s">
        <v>277</v>
      </c>
      <c r="T87">
        <v>26</v>
      </c>
      <c r="U87" t="s">
        <v>120</v>
      </c>
      <c r="V87">
        <v>90</v>
      </c>
      <c r="W87" t="s">
        <v>150</v>
      </c>
      <c r="X87" t="s">
        <v>255</v>
      </c>
      <c r="Y87">
        <v>480</v>
      </c>
      <c r="AA87" t="s">
        <v>184</v>
      </c>
      <c r="AB87">
        <v>5.5285714285714196</v>
      </c>
      <c r="AC87" t="s">
        <v>85</v>
      </c>
      <c r="AD87" t="s">
        <v>287</v>
      </c>
      <c r="AI87">
        <v>14</v>
      </c>
      <c r="AT87" t="s">
        <v>150</v>
      </c>
      <c r="AY87">
        <v>400</v>
      </c>
      <c r="AZ87">
        <v>0</v>
      </c>
      <c r="BA87">
        <v>5.5285714285714196</v>
      </c>
    </row>
    <row r="88" spans="1:53" hidden="1" x14ac:dyDescent="0.3">
      <c r="A88" t="s">
        <v>284</v>
      </c>
      <c r="C88" t="s">
        <v>251</v>
      </c>
      <c r="D88" t="s">
        <v>81</v>
      </c>
      <c r="E88">
        <v>10000000</v>
      </c>
      <c r="O88">
        <v>400</v>
      </c>
      <c r="P88" t="s">
        <v>277</v>
      </c>
      <c r="T88">
        <v>26</v>
      </c>
      <c r="U88" t="s">
        <v>120</v>
      </c>
      <c r="V88">
        <v>90</v>
      </c>
      <c r="W88" t="s">
        <v>288</v>
      </c>
      <c r="X88" t="s">
        <v>255</v>
      </c>
      <c r="Y88">
        <v>480</v>
      </c>
      <c r="AA88" t="s">
        <v>184</v>
      </c>
      <c r="AB88">
        <v>6</v>
      </c>
      <c r="AC88" t="s">
        <v>85</v>
      </c>
      <c r="AD88" t="s">
        <v>194</v>
      </c>
      <c r="AI88">
        <v>18</v>
      </c>
      <c r="AT88" t="s">
        <v>65</v>
      </c>
      <c r="AY88">
        <v>400</v>
      </c>
      <c r="AZ88">
        <v>0</v>
      </c>
      <c r="BA88">
        <v>6</v>
      </c>
    </row>
    <row r="89" spans="1:53" hidden="1" x14ac:dyDescent="0.3">
      <c r="A89" t="s">
        <v>289</v>
      </c>
      <c r="C89" t="s">
        <v>251</v>
      </c>
      <c r="D89" t="s">
        <v>81</v>
      </c>
      <c r="E89">
        <v>10000000</v>
      </c>
      <c r="O89">
        <v>351</v>
      </c>
      <c r="P89" t="s">
        <v>277</v>
      </c>
      <c r="T89">
        <v>25</v>
      </c>
      <c r="V89">
        <v>50</v>
      </c>
      <c r="W89" t="s">
        <v>290</v>
      </c>
      <c r="X89" t="s">
        <v>291</v>
      </c>
      <c r="Y89">
        <v>61</v>
      </c>
      <c r="AB89">
        <v>9.4</v>
      </c>
      <c r="AC89" t="s">
        <v>85</v>
      </c>
      <c r="AD89" t="s">
        <v>292</v>
      </c>
      <c r="AE89" t="s">
        <v>293</v>
      </c>
      <c r="AI89">
        <v>22</v>
      </c>
      <c r="AW89">
        <v>351</v>
      </c>
    </row>
    <row r="90" spans="1:53" hidden="1" x14ac:dyDescent="0.3">
      <c r="A90" t="s">
        <v>289</v>
      </c>
      <c r="C90" t="s">
        <v>251</v>
      </c>
      <c r="D90" t="s">
        <v>81</v>
      </c>
      <c r="E90">
        <v>10000000</v>
      </c>
      <c r="O90">
        <v>377</v>
      </c>
      <c r="P90" t="s">
        <v>277</v>
      </c>
      <c r="T90">
        <v>25</v>
      </c>
      <c r="V90">
        <v>65</v>
      </c>
      <c r="W90" t="s">
        <v>290</v>
      </c>
      <c r="X90" t="s">
        <v>291</v>
      </c>
      <c r="Y90">
        <v>100</v>
      </c>
      <c r="AA90" t="s">
        <v>94</v>
      </c>
      <c r="AB90">
        <v>8.6</v>
      </c>
      <c r="AC90" t="s">
        <v>85</v>
      </c>
      <c r="AI90">
        <v>22</v>
      </c>
      <c r="AW90">
        <v>377</v>
      </c>
      <c r="AZ90">
        <v>0</v>
      </c>
      <c r="BA90">
        <v>8.6</v>
      </c>
    </row>
    <row r="91" spans="1:53" hidden="1" x14ac:dyDescent="0.3">
      <c r="A91" t="s">
        <v>289</v>
      </c>
      <c r="C91" t="s">
        <v>251</v>
      </c>
      <c r="D91" t="s">
        <v>81</v>
      </c>
      <c r="E91">
        <v>10000000</v>
      </c>
      <c r="O91">
        <v>379</v>
      </c>
      <c r="P91" t="s">
        <v>277</v>
      </c>
      <c r="T91">
        <v>25</v>
      </c>
      <c r="V91">
        <v>65</v>
      </c>
      <c r="W91" t="s">
        <v>290</v>
      </c>
      <c r="X91" t="s">
        <v>291</v>
      </c>
      <c r="Y91">
        <v>95</v>
      </c>
      <c r="AA91" t="s">
        <v>94</v>
      </c>
      <c r="AB91">
        <v>9.1999999999999904</v>
      </c>
      <c r="AC91" t="s">
        <v>85</v>
      </c>
      <c r="AI91">
        <v>22</v>
      </c>
      <c r="AW91">
        <v>379</v>
      </c>
      <c r="AZ91">
        <v>0</v>
      </c>
      <c r="BA91">
        <v>9.1999999999999904</v>
      </c>
    </row>
    <row r="92" spans="1:53" hidden="1" x14ac:dyDescent="0.3">
      <c r="A92" t="s">
        <v>289</v>
      </c>
      <c r="C92" t="s">
        <v>251</v>
      </c>
      <c r="D92" t="s">
        <v>81</v>
      </c>
      <c r="E92">
        <v>10000000</v>
      </c>
      <c r="O92">
        <v>385</v>
      </c>
      <c r="P92" t="s">
        <v>277</v>
      </c>
      <c r="T92">
        <v>25</v>
      </c>
      <c r="V92">
        <v>65</v>
      </c>
      <c r="W92" t="s">
        <v>290</v>
      </c>
      <c r="X92" t="s">
        <v>291</v>
      </c>
      <c r="Y92">
        <v>83</v>
      </c>
      <c r="AA92" t="s">
        <v>94</v>
      </c>
      <c r="AB92">
        <v>9.1999999999999904</v>
      </c>
      <c r="AC92" t="s">
        <v>85</v>
      </c>
      <c r="AI92">
        <v>22</v>
      </c>
      <c r="AW92">
        <v>385</v>
      </c>
      <c r="AZ92">
        <v>0</v>
      </c>
      <c r="BA92">
        <v>9.1999999999999904</v>
      </c>
    </row>
    <row r="93" spans="1:53" hidden="1" x14ac:dyDescent="0.3">
      <c r="A93" t="s">
        <v>289</v>
      </c>
      <c r="C93" t="s">
        <v>251</v>
      </c>
      <c r="D93" t="s">
        <v>81</v>
      </c>
      <c r="E93">
        <v>10000000</v>
      </c>
      <c r="O93">
        <v>376</v>
      </c>
      <c r="P93" t="s">
        <v>277</v>
      </c>
      <c r="T93">
        <v>25</v>
      </c>
      <c r="V93">
        <v>64</v>
      </c>
      <c r="W93" t="s">
        <v>290</v>
      </c>
      <c r="X93" t="s">
        <v>291</v>
      </c>
      <c r="Y93">
        <v>98</v>
      </c>
      <c r="AB93">
        <v>9.9</v>
      </c>
      <c r="AC93" t="s">
        <v>85</v>
      </c>
      <c r="AD93" t="s">
        <v>294</v>
      </c>
      <c r="AE93" t="s">
        <v>293</v>
      </c>
      <c r="AI93">
        <v>22</v>
      </c>
      <c r="AW93">
        <v>376</v>
      </c>
    </row>
    <row r="94" spans="1:53" hidden="1" x14ac:dyDescent="0.3">
      <c r="A94" t="s">
        <v>289</v>
      </c>
      <c r="C94" t="s">
        <v>251</v>
      </c>
      <c r="D94" t="s">
        <v>81</v>
      </c>
      <c r="E94">
        <v>10000000</v>
      </c>
      <c r="O94">
        <v>378</v>
      </c>
      <c r="P94" t="s">
        <v>277</v>
      </c>
      <c r="T94">
        <v>25</v>
      </c>
      <c r="V94">
        <v>66</v>
      </c>
      <c r="W94" t="s">
        <v>290</v>
      </c>
      <c r="X94" t="s">
        <v>291</v>
      </c>
      <c r="Y94">
        <v>64</v>
      </c>
      <c r="AB94">
        <v>8.6999999999999904</v>
      </c>
      <c r="AC94" t="s">
        <v>85</v>
      </c>
      <c r="AD94" t="s">
        <v>295</v>
      </c>
      <c r="AE94" t="s">
        <v>293</v>
      </c>
      <c r="AI94">
        <v>22</v>
      </c>
      <c r="AW94">
        <v>378</v>
      </c>
    </row>
    <row r="95" spans="1:53" hidden="1" x14ac:dyDescent="0.3">
      <c r="A95" t="s">
        <v>289</v>
      </c>
      <c r="C95" t="s">
        <v>251</v>
      </c>
      <c r="D95" t="s">
        <v>81</v>
      </c>
      <c r="E95">
        <v>10000000</v>
      </c>
      <c r="O95">
        <v>351</v>
      </c>
      <c r="P95" t="s">
        <v>277</v>
      </c>
      <c r="T95">
        <v>25</v>
      </c>
      <c r="V95">
        <v>50</v>
      </c>
      <c r="W95" t="s">
        <v>296</v>
      </c>
      <c r="X95" t="s">
        <v>291</v>
      </c>
      <c r="Y95">
        <v>61</v>
      </c>
      <c r="AB95">
        <v>0</v>
      </c>
      <c r="AC95" t="s">
        <v>297</v>
      </c>
      <c r="AI95">
        <v>10</v>
      </c>
      <c r="AW95">
        <v>351</v>
      </c>
      <c r="AZ95">
        <v>0</v>
      </c>
    </row>
    <row r="96" spans="1:53" hidden="1" x14ac:dyDescent="0.3">
      <c r="A96" t="s">
        <v>289</v>
      </c>
      <c r="C96" t="s">
        <v>251</v>
      </c>
      <c r="D96" t="s">
        <v>81</v>
      </c>
      <c r="E96">
        <v>10000000</v>
      </c>
      <c r="O96">
        <v>377</v>
      </c>
      <c r="P96" t="s">
        <v>277</v>
      </c>
      <c r="T96">
        <v>25</v>
      </c>
      <c r="V96">
        <v>65</v>
      </c>
      <c r="W96" t="s">
        <v>296</v>
      </c>
      <c r="X96" t="s">
        <v>291</v>
      </c>
      <c r="Y96">
        <v>100</v>
      </c>
      <c r="AB96">
        <v>0</v>
      </c>
      <c r="AC96" t="s">
        <v>297</v>
      </c>
      <c r="AI96">
        <v>10</v>
      </c>
      <c r="AW96">
        <v>377</v>
      </c>
      <c r="AZ96">
        <v>0</v>
      </c>
    </row>
    <row r="97" spans="1:52" hidden="1" x14ac:dyDescent="0.3">
      <c r="A97" t="s">
        <v>289</v>
      </c>
      <c r="C97" t="s">
        <v>251</v>
      </c>
      <c r="D97" t="s">
        <v>81</v>
      </c>
      <c r="E97">
        <v>10000000</v>
      </c>
      <c r="O97">
        <v>379</v>
      </c>
      <c r="P97" t="s">
        <v>277</v>
      </c>
      <c r="T97">
        <v>25</v>
      </c>
      <c r="V97">
        <v>65</v>
      </c>
      <c r="W97" t="s">
        <v>296</v>
      </c>
      <c r="X97" t="s">
        <v>291</v>
      </c>
      <c r="Y97">
        <v>95</v>
      </c>
      <c r="AB97">
        <v>0</v>
      </c>
      <c r="AC97" t="s">
        <v>297</v>
      </c>
      <c r="AI97">
        <v>10</v>
      </c>
      <c r="AW97">
        <v>379</v>
      </c>
      <c r="AZ97">
        <v>0</v>
      </c>
    </row>
    <row r="98" spans="1:52" hidden="1" x14ac:dyDescent="0.3">
      <c r="A98" t="s">
        <v>289</v>
      </c>
      <c r="C98" t="s">
        <v>251</v>
      </c>
      <c r="D98" t="s">
        <v>81</v>
      </c>
      <c r="E98">
        <v>10000000</v>
      </c>
      <c r="O98">
        <v>385</v>
      </c>
      <c r="P98" t="s">
        <v>277</v>
      </c>
      <c r="T98">
        <v>25</v>
      </c>
      <c r="V98">
        <v>65</v>
      </c>
      <c r="W98" t="s">
        <v>296</v>
      </c>
      <c r="X98" t="s">
        <v>291</v>
      </c>
      <c r="Y98">
        <v>83</v>
      </c>
      <c r="AB98">
        <v>0</v>
      </c>
      <c r="AC98" t="s">
        <v>297</v>
      </c>
      <c r="AI98">
        <v>10</v>
      </c>
      <c r="AW98">
        <v>385</v>
      </c>
      <c r="AZ98">
        <v>0</v>
      </c>
    </row>
    <row r="99" spans="1:52" hidden="1" x14ac:dyDescent="0.3">
      <c r="A99" t="s">
        <v>289</v>
      </c>
      <c r="C99" t="s">
        <v>251</v>
      </c>
      <c r="D99" t="s">
        <v>81</v>
      </c>
      <c r="E99">
        <v>10000000</v>
      </c>
      <c r="O99">
        <v>376</v>
      </c>
      <c r="P99" t="s">
        <v>277</v>
      </c>
      <c r="T99">
        <v>25</v>
      </c>
      <c r="V99">
        <v>64</v>
      </c>
      <c r="W99" t="s">
        <v>296</v>
      </c>
      <c r="X99" t="s">
        <v>291</v>
      </c>
      <c r="Y99">
        <v>98</v>
      </c>
      <c r="AB99">
        <v>1</v>
      </c>
      <c r="AC99" t="s">
        <v>297</v>
      </c>
      <c r="AI99">
        <v>10</v>
      </c>
      <c r="AW99">
        <v>376</v>
      </c>
      <c r="AZ99">
        <v>1</v>
      </c>
    </row>
    <row r="100" spans="1:52" hidden="1" x14ac:dyDescent="0.3">
      <c r="A100" t="s">
        <v>289</v>
      </c>
      <c r="C100" t="s">
        <v>251</v>
      </c>
      <c r="D100" t="s">
        <v>81</v>
      </c>
      <c r="E100">
        <v>10000000</v>
      </c>
      <c r="O100">
        <v>378</v>
      </c>
      <c r="P100" t="s">
        <v>277</v>
      </c>
      <c r="T100">
        <v>25</v>
      </c>
      <c r="V100">
        <v>66</v>
      </c>
      <c r="W100" t="s">
        <v>296</v>
      </c>
      <c r="X100" t="s">
        <v>291</v>
      </c>
      <c r="Y100">
        <v>64</v>
      </c>
      <c r="AB100">
        <v>1</v>
      </c>
      <c r="AC100" t="s">
        <v>297</v>
      </c>
      <c r="AI100">
        <v>10</v>
      </c>
      <c r="AW100">
        <v>378</v>
      </c>
      <c r="AZ100">
        <v>1</v>
      </c>
    </row>
    <row r="101" spans="1:52" hidden="1" x14ac:dyDescent="0.3">
      <c r="A101" t="s">
        <v>298</v>
      </c>
      <c r="C101" t="s">
        <v>251</v>
      </c>
      <c r="E101">
        <v>10000000</v>
      </c>
      <c r="O101">
        <v>362</v>
      </c>
      <c r="P101" t="s">
        <v>277</v>
      </c>
      <c r="T101">
        <v>25</v>
      </c>
      <c r="V101">
        <v>55</v>
      </c>
      <c r="W101" t="s">
        <v>299</v>
      </c>
      <c r="X101" t="s">
        <v>300</v>
      </c>
      <c r="Y101">
        <v>179</v>
      </c>
      <c r="AB101">
        <v>9.3000000000000007</v>
      </c>
      <c r="AC101" t="s">
        <v>85</v>
      </c>
      <c r="AD101" t="s">
        <v>301</v>
      </c>
      <c r="AE101" t="s">
        <v>302</v>
      </c>
      <c r="AI101">
        <v>20</v>
      </c>
      <c r="AW101">
        <v>362</v>
      </c>
    </row>
    <row r="102" spans="1:52" hidden="1" x14ac:dyDescent="0.3">
      <c r="A102" t="s">
        <v>298</v>
      </c>
      <c r="C102" t="s">
        <v>251</v>
      </c>
      <c r="E102">
        <v>10000000</v>
      </c>
      <c r="O102">
        <v>315</v>
      </c>
      <c r="P102" t="s">
        <v>277</v>
      </c>
      <c r="T102">
        <v>25</v>
      </c>
      <c r="V102">
        <v>65</v>
      </c>
      <c r="W102" t="s">
        <v>299</v>
      </c>
      <c r="X102" t="s">
        <v>300</v>
      </c>
      <c r="Y102">
        <v>92</v>
      </c>
      <c r="AB102">
        <v>8.1999999999999993</v>
      </c>
      <c r="AC102" t="s">
        <v>85</v>
      </c>
      <c r="AD102" t="s">
        <v>303</v>
      </c>
      <c r="AE102" t="s">
        <v>302</v>
      </c>
      <c r="AI102">
        <v>20</v>
      </c>
      <c r="AW102">
        <v>315</v>
      </c>
    </row>
    <row r="103" spans="1:52" hidden="1" x14ac:dyDescent="0.3">
      <c r="A103" t="s">
        <v>298</v>
      </c>
      <c r="C103" t="s">
        <v>251</v>
      </c>
      <c r="E103">
        <v>10000000</v>
      </c>
      <c r="O103">
        <v>406</v>
      </c>
      <c r="P103" t="s">
        <v>277</v>
      </c>
      <c r="T103">
        <v>25</v>
      </c>
      <c r="V103">
        <v>65</v>
      </c>
      <c r="W103" t="s">
        <v>299</v>
      </c>
      <c r="X103" t="s">
        <v>300</v>
      </c>
      <c r="Y103">
        <v>100</v>
      </c>
      <c r="AB103">
        <v>9</v>
      </c>
      <c r="AC103" t="s">
        <v>85</v>
      </c>
      <c r="AD103" t="s">
        <v>304</v>
      </c>
      <c r="AE103" t="s">
        <v>302</v>
      </c>
      <c r="AI103">
        <v>20</v>
      </c>
      <c r="AW103">
        <v>406</v>
      </c>
    </row>
    <row r="104" spans="1:52" hidden="1" x14ac:dyDescent="0.3">
      <c r="A104" t="s">
        <v>298</v>
      </c>
      <c r="C104" t="s">
        <v>251</v>
      </c>
      <c r="E104">
        <v>10000000</v>
      </c>
      <c r="O104">
        <v>695</v>
      </c>
      <c r="P104" t="s">
        <v>277</v>
      </c>
      <c r="T104">
        <v>25</v>
      </c>
      <c r="V104">
        <v>55</v>
      </c>
      <c r="W104" t="s">
        <v>299</v>
      </c>
      <c r="X104" t="s">
        <v>300</v>
      </c>
      <c r="Y104">
        <v>65</v>
      </c>
      <c r="AB104">
        <v>9</v>
      </c>
      <c r="AC104" t="s">
        <v>85</v>
      </c>
      <c r="AD104" t="s">
        <v>305</v>
      </c>
      <c r="AE104" t="s">
        <v>302</v>
      </c>
      <c r="AI104">
        <v>20</v>
      </c>
      <c r="AW104">
        <v>695</v>
      </c>
    </row>
    <row r="105" spans="1:52" hidden="1" x14ac:dyDescent="0.3">
      <c r="A105" t="s">
        <v>298</v>
      </c>
      <c r="C105" t="s">
        <v>251</v>
      </c>
      <c r="D105" t="s">
        <v>81</v>
      </c>
      <c r="E105">
        <v>10000000</v>
      </c>
      <c r="O105">
        <v>362</v>
      </c>
      <c r="P105" t="s">
        <v>277</v>
      </c>
      <c r="T105">
        <v>25</v>
      </c>
      <c r="V105">
        <v>55</v>
      </c>
      <c r="W105" t="s">
        <v>296</v>
      </c>
      <c r="X105" t="s">
        <v>300</v>
      </c>
      <c r="Y105">
        <v>179</v>
      </c>
      <c r="AB105">
        <v>9</v>
      </c>
      <c r="AC105" t="s">
        <v>306</v>
      </c>
      <c r="AE105" t="s">
        <v>302</v>
      </c>
      <c r="AI105">
        <v>10</v>
      </c>
      <c r="AW105">
        <v>362</v>
      </c>
      <c r="AZ105">
        <v>1</v>
      </c>
    </row>
    <row r="106" spans="1:52" hidden="1" x14ac:dyDescent="0.3">
      <c r="A106" t="s">
        <v>298</v>
      </c>
      <c r="C106" t="s">
        <v>251</v>
      </c>
      <c r="D106" t="s">
        <v>81</v>
      </c>
      <c r="E106">
        <v>10000000</v>
      </c>
      <c r="O106">
        <v>315</v>
      </c>
      <c r="P106" t="s">
        <v>277</v>
      </c>
      <c r="T106">
        <v>25</v>
      </c>
      <c r="V106">
        <v>65</v>
      </c>
      <c r="W106" t="s">
        <v>296</v>
      </c>
      <c r="X106" t="s">
        <v>300</v>
      </c>
      <c r="Y106">
        <v>92</v>
      </c>
      <c r="AB106">
        <v>8</v>
      </c>
      <c r="AC106" t="s">
        <v>306</v>
      </c>
      <c r="AE106" t="s">
        <v>302</v>
      </c>
      <c r="AI106">
        <v>10</v>
      </c>
      <c r="AW106">
        <v>315</v>
      </c>
      <c r="AZ106">
        <v>2</v>
      </c>
    </row>
    <row r="107" spans="1:52" hidden="1" x14ac:dyDescent="0.3">
      <c r="A107" t="s">
        <v>298</v>
      </c>
      <c r="C107" t="s">
        <v>251</v>
      </c>
      <c r="D107" t="s">
        <v>81</v>
      </c>
      <c r="E107">
        <v>10000000</v>
      </c>
      <c r="O107">
        <v>406</v>
      </c>
      <c r="P107" t="s">
        <v>277</v>
      </c>
      <c r="T107">
        <v>25</v>
      </c>
      <c r="V107">
        <v>65</v>
      </c>
      <c r="W107" t="s">
        <v>296</v>
      </c>
      <c r="X107" t="s">
        <v>300</v>
      </c>
      <c r="Y107">
        <v>100</v>
      </c>
      <c r="AB107">
        <v>9</v>
      </c>
      <c r="AC107" t="s">
        <v>306</v>
      </c>
      <c r="AE107" t="s">
        <v>302</v>
      </c>
      <c r="AI107">
        <v>10</v>
      </c>
      <c r="AW107">
        <v>406</v>
      </c>
      <c r="AZ107">
        <v>1</v>
      </c>
    </row>
    <row r="108" spans="1:52" hidden="1" x14ac:dyDescent="0.3">
      <c r="A108" t="s">
        <v>298</v>
      </c>
      <c r="C108" t="s">
        <v>251</v>
      </c>
      <c r="D108" t="s">
        <v>81</v>
      </c>
      <c r="E108">
        <v>10000000</v>
      </c>
      <c r="O108">
        <v>695</v>
      </c>
      <c r="P108" t="s">
        <v>277</v>
      </c>
      <c r="T108">
        <v>25</v>
      </c>
      <c r="V108">
        <v>55</v>
      </c>
      <c r="W108" t="s">
        <v>296</v>
      </c>
      <c r="X108" t="s">
        <v>300</v>
      </c>
      <c r="Y108">
        <v>65</v>
      </c>
      <c r="AB108">
        <v>8</v>
      </c>
      <c r="AC108" t="s">
        <v>306</v>
      </c>
      <c r="AE108" t="s">
        <v>302</v>
      </c>
      <c r="AI108">
        <v>10</v>
      </c>
      <c r="AW108">
        <v>695</v>
      </c>
      <c r="AZ108">
        <v>2</v>
      </c>
    </row>
    <row r="109" spans="1:52" hidden="1" x14ac:dyDescent="0.3">
      <c r="A109" t="s">
        <v>307</v>
      </c>
      <c r="C109" t="s">
        <v>251</v>
      </c>
      <c r="D109" t="s">
        <v>81</v>
      </c>
      <c r="E109">
        <v>10000000</v>
      </c>
      <c r="O109">
        <v>407</v>
      </c>
      <c r="P109" t="s">
        <v>277</v>
      </c>
      <c r="T109">
        <v>25</v>
      </c>
      <c r="V109">
        <v>65</v>
      </c>
      <c r="W109" t="s">
        <v>296</v>
      </c>
      <c r="X109" t="s">
        <v>308</v>
      </c>
      <c r="Y109">
        <v>87</v>
      </c>
      <c r="AB109">
        <v>0</v>
      </c>
      <c r="AC109" t="s">
        <v>297</v>
      </c>
      <c r="AI109">
        <v>2</v>
      </c>
      <c r="AW109">
        <v>407</v>
      </c>
      <c r="AZ109">
        <v>0</v>
      </c>
    </row>
    <row r="110" spans="1:52" hidden="1" x14ac:dyDescent="0.3">
      <c r="A110" t="s">
        <v>307</v>
      </c>
      <c r="C110" t="s">
        <v>251</v>
      </c>
      <c r="D110" t="s">
        <v>81</v>
      </c>
      <c r="E110">
        <v>10000000</v>
      </c>
      <c r="O110">
        <v>358</v>
      </c>
      <c r="P110" t="s">
        <v>277</v>
      </c>
      <c r="T110">
        <v>25</v>
      </c>
      <c r="V110">
        <v>75</v>
      </c>
      <c r="W110" t="s">
        <v>296</v>
      </c>
      <c r="X110" t="s">
        <v>308</v>
      </c>
      <c r="Y110">
        <v>136</v>
      </c>
      <c r="AB110">
        <v>0</v>
      </c>
      <c r="AC110" t="s">
        <v>297</v>
      </c>
      <c r="AI110">
        <v>2</v>
      </c>
      <c r="AW110">
        <v>358</v>
      </c>
      <c r="AZ110">
        <v>0</v>
      </c>
    </row>
    <row r="111" spans="1:52" hidden="1" x14ac:dyDescent="0.3">
      <c r="A111" t="s">
        <v>307</v>
      </c>
      <c r="C111" t="s">
        <v>251</v>
      </c>
      <c r="D111" t="s">
        <v>81</v>
      </c>
      <c r="E111">
        <v>10000000</v>
      </c>
      <c r="O111">
        <v>377</v>
      </c>
      <c r="P111" t="s">
        <v>277</v>
      </c>
      <c r="T111">
        <v>25</v>
      </c>
      <c r="V111">
        <v>70</v>
      </c>
      <c r="W111" t="s">
        <v>296</v>
      </c>
      <c r="X111" t="s">
        <v>308</v>
      </c>
      <c r="Y111">
        <v>128</v>
      </c>
      <c r="AB111">
        <v>0</v>
      </c>
      <c r="AC111" t="s">
        <v>297</v>
      </c>
      <c r="AI111">
        <v>2</v>
      </c>
      <c r="AW111">
        <v>377</v>
      </c>
      <c r="AZ111">
        <v>0</v>
      </c>
    </row>
    <row r="112" spans="1:52" hidden="1" x14ac:dyDescent="0.3">
      <c r="A112" t="s">
        <v>307</v>
      </c>
      <c r="C112" t="s">
        <v>251</v>
      </c>
      <c r="D112" t="s">
        <v>81</v>
      </c>
      <c r="E112">
        <v>10000000</v>
      </c>
      <c r="O112">
        <v>448</v>
      </c>
      <c r="P112" t="s">
        <v>277</v>
      </c>
      <c r="T112">
        <v>25</v>
      </c>
      <c r="V112">
        <v>70</v>
      </c>
      <c r="W112" t="s">
        <v>296</v>
      </c>
      <c r="X112" t="s">
        <v>308</v>
      </c>
      <c r="Y112">
        <v>389</v>
      </c>
      <c r="AB112">
        <v>0</v>
      </c>
      <c r="AC112" t="s">
        <v>297</v>
      </c>
      <c r="AI112">
        <v>2</v>
      </c>
      <c r="AW112">
        <v>448</v>
      </c>
      <c r="AZ112">
        <v>0</v>
      </c>
    </row>
    <row r="113" spans="1:51" hidden="1" x14ac:dyDescent="0.3">
      <c r="A113" t="s">
        <v>309</v>
      </c>
      <c r="C113" t="s">
        <v>251</v>
      </c>
      <c r="D113" t="s">
        <v>81</v>
      </c>
      <c r="E113">
        <v>10000000</v>
      </c>
      <c r="O113">
        <v>750</v>
      </c>
      <c r="P113" t="s">
        <v>277</v>
      </c>
      <c r="T113">
        <v>35</v>
      </c>
      <c r="V113">
        <v>50</v>
      </c>
      <c r="W113" t="s">
        <v>310</v>
      </c>
      <c r="X113" t="s">
        <v>280</v>
      </c>
      <c r="Y113">
        <v>2.9482071713147402</v>
      </c>
      <c r="AB113">
        <v>0.87487018749645884</v>
      </c>
      <c r="AC113" t="s">
        <v>85</v>
      </c>
      <c r="AE113" t="s">
        <v>63</v>
      </c>
      <c r="AI113">
        <v>9</v>
      </c>
      <c r="AY113">
        <v>750</v>
      </c>
    </row>
    <row r="114" spans="1:51" hidden="1" x14ac:dyDescent="0.3">
      <c r="A114" t="s">
        <v>309</v>
      </c>
      <c r="C114" t="s">
        <v>251</v>
      </c>
      <c r="D114" t="s">
        <v>81</v>
      </c>
      <c r="E114">
        <v>10000000</v>
      </c>
      <c r="O114">
        <v>750</v>
      </c>
      <c r="P114" t="s">
        <v>277</v>
      </c>
      <c r="T114">
        <v>35</v>
      </c>
      <c r="V114">
        <v>50</v>
      </c>
      <c r="W114" t="s">
        <v>310</v>
      </c>
      <c r="X114" t="s">
        <v>280</v>
      </c>
      <c r="Y114">
        <v>6.0159362549800699</v>
      </c>
      <c r="AB114">
        <v>1.9962613998980301</v>
      </c>
      <c r="AC114" t="s">
        <v>85</v>
      </c>
      <c r="AE114" t="s">
        <v>63</v>
      </c>
      <c r="AI114">
        <v>9</v>
      </c>
      <c r="AY114">
        <v>750</v>
      </c>
    </row>
    <row r="115" spans="1:51" hidden="1" x14ac:dyDescent="0.3">
      <c r="A115" t="s">
        <v>309</v>
      </c>
      <c r="C115" t="s">
        <v>251</v>
      </c>
      <c r="D115" t="s">
        <v>81</v>
      </c>
      <c r="E115">
        <v>10000000</v>
      </c>
      <c r="O115">
        <v>750</v>
      </c>
      <c r="P115" t="s">
        <v>277</v>
      </c>
      <c r="T115">
        <v>35</v>
      </c>
      <c r="V115">
        <v>50</v>
      </c>
      <c r="W115" t="s">
        <v>310</v>
      </c>
      <c r="X115" t="s">
        <v>280</v>
      </c>
      <c r="Y115">
        <v>8.9243027888446207</v>
      </c>
      <c r="AB115">
        <v>3.743093974811651</v>
      </c>
      <c r="AC115" t="s">
        <v>85</v>
      </c>
      <c r="AE115" t="s">
        <v>63</v>
      </c>
      <c r="AI115">
        <v>9</v>
      </c>
      <c r="AY115">
        <v>750</v>
      </c>
    </row>
    <row r="116" spans="1:51" hidden="1" x14ac:dyDescent="0.3">
      <c r="A116" t="s">
        <v>309</v>
      </c>
      <c r="C116" t="s">
        <v>251</v>
      </c>
      <c r="D116" t="s">
        <v>81</v>
      </c>
      <c r="E116">
        <v>10000000</v>
      </c>
      <c r="O116">
        <v>750</v>
      </c>
      <c r="P116" t="s">
        <v>277</v>
      </c>
      <c r="T116">
        <v>35</v>
      </c>
      <c r="V116">
        <v>50</v>
      </c>
      <c r="W116" t="s">
        <v>310</v>
      </c>
      <c r="X116" t="s">
        <v>280</v>
      </c>
      <c r="Y116">
        <v>11.952191235059701</v>
      </c>
      <c r="AB116">
        <v>4.94027680746209</v>
      </c>
      <c r="AC116" t="s">
        <v>85</v>
      </c>
      <c r="AE116" t="s">
        <v>63</v>
      </c>
      <c r="AI116">
        <v>9</v>
      </c>
      <c r="AY116">
        <v>750</v>
      </c>
    </row>
    <row r="117" spans="1:51" hidden="1" x14ac:dyDescent="0.3">
      <c r="A117" t="s">
        <v>309</v>
      </c>
      <c r="C117" t="s">
        <v>251</v>
      </c>
      <c r="D117" t="s">
        <v>81</v>
      </c>
      <c r="E117">
        <v>10000000</v>
      </c>
      <c r="O117">
        <v>750</v>
      </c>
      <c r="P117" t="s">
        <v>277</v>
      </c>
      <c r="T117">
        <v>35</v>
      </c>
      <c r="V117">
        <v>50</v>
      </c>
      <c r="W117" t="s">
        <v>310</v>
      </c>
      <c r="X117" t="s">
        <v>280</v>
      </c>
      <c r="Y117">
        <v>20</v>
      </c>
      <c r="AB117">
        <v>6.4834500859122697</v>
      </c>
      <c r="AC117" t="s">
        <v>85</v>
      </c>
      <c r="AE117" t="s">
        <v>63</v>
      </c>
      <c r="AI117">
        <v>9</v>
      </c>
      <c r="AY117">
        <v>750</v>
      </c>
    </row>
    <row r="118" spans="1:51" hidden="1" x14ac:dyDescent="0.3">
      <c r="A118" t="s">
        <v>309</v>
      </c>
      <c r="C118" t="s">
        <v>251</v>
      </c>
      <c r="D118" t="s">
        <v>81</v>
      </c>
      <c r="E118">
        <v>10000000</v>
      </c>
      <c r="O118">
        <v>750</v>
      </c>
      <c r="P118" t="s">
        <v>277</v>
      </c>
      <c r="T118">
        <v>35</v>
      </c>
      <c r="V118">
        <v>50</v>
      </c>
      <c r="W118" t="s">
        <v>310</v>
      </c>
      <c r="X118" t="s">
        <v>280</v>
      </c>
      <c r="Y118">
        <v>2.9482071713147402</v>
      </c>
      <c r="AB118">
        <v>2.4672872491078301</v>
      </c>
      <c r="AC118" t="s">
        <v>85</v>
      </c>
      <c r="AE118" t="s">
        <v>63</v>
      </c>
      <c r="AI118">
        <v>9</v>
      </c>
      <c r="AY118">
        <v>750</v>
      </c>
    </row>
    <row r="119" spans="1:51" hidden="1" x14ac:dyDescent="0.3">
      <c r="A119" t="s">
        <v>309</v>
      </c>
      <c r="C119" t="s">
        <v>251</v>
      </c>
      <c r="D119" t="s">
        <v>81</v>
      </c>
      <c r="E119">
        <v>10000000</v>
      </c>
      <c r="O119">
        <v>750</v>
      </c>
      <c r="P119" t="s">
        <v>277</v>
      </c>
      <c r="T119">
        <v>35</v>
      </c>
      <c r="V119">
        <v>50</v>
      </c>
      <c r="W119" t="s">
        <v>310</v>
      </c>
      <c r="X119" t="s">
        <v>280</v>
      </c>
      <c r="Y119">
        <v>5.9760956175298796</v>
      </c>
      <c r="AB119">
        <v>3.5317686599573199</v>
      </c>
      <c r="AC119" t="s">
        <v>85</v>
      </c>
      <c r="AE119" t="s">
        <v>63</v>
      </c>
      <c r="AI119">
        <v>9</v>
      </c>
      <c r="AY119">
        <v>750</v>
      </c>
    </row>
    <row r="120" spans="1:51" hidden="1" x14ac:dyDescent="0.3">
      <c r="A120" t="s">
        <v>309</v>
      </c>
      <c r="C120" t="s">
        <v>251</v>
      </c>
      <c r="D120" t="s">
        <v>81</v>
      </c>
      <c r="E120">
        <v>10000000</v>
      </c>
      <c r="O120">
        <v>750</v>
      </c>
      <c r="P120" t="s">
        <v>277</v>
      </c>
      <c r="T120">
        <v>35</v>
      </c>
      <c r="V120">
        <v>50</v>
      </c>
      <c r="W120" t="s">
        <v>310</v>
      </c>
      <c r="X120" t="s">
        <v>280</v>
      </c>
      <c r="Y120">
        <v>8.9641434262948199</v>
      </c>
      <c r="AB120">
        <v>2.9848378995864802</v>
      </c>
      <c r="AC120" t="s">
        <v>85</v>
      </c>
      <c r="AE120" t="s">
        <v>63</v>
      </c>
      <c r="AI120">
        <v>9</v>
      </c>
      <c r="AY120">
        <v>750</v>
      </c>
    </row>
    <row r="121" spans="1:51" hidden="1" x14ac:dyDescent="0.3">
      <c r="A121" t="s">
        <v>309</v>
      </c>
      <c r="C121" t="s">
        <v>251</v>
      </c>
      <c r="D121" t="s">
        <v>81</v>
      </c>
      <c r="E121">
        <v>10000000</v>
      </c>
      <c r="O121">
        <v>750</v>
      </c>
      <c r="P121" t="s">
        <v>277</v>
      </c>
      <c r="T121">
        <v>35</v>
      </c>
      <c r="V121">
        <v>50</v>
      </c>
      <c r="W121" t="s">
        <v>310</v>
      </c>
      <c r="X121" t="s">
        <v>280</v>
      </c>
      <c r="Y121">
        <v>11.952191235059701</v>
      </c>
      <c r="AB121">
        <v>4.0871962387417096</v>
      </c>
      <c r="AC121" t="s">
        <v>85</v>
      </c>
      <c r="AE121" t="s">
        <v>63</v>
      </c>
      <c r="AI121">
        <v>9</v>
      </c>
      <c r="AY121">
        <v>750</v>
      </c>
    </row>
    <row r="122" spans="1:51" hidden="1" x14ac:dyDescent="0.3">
      <c r="A122" t="s">
        <v>309</v>
      </c>
      <c r="C122" t="s">
        <v>251</v>
      </c>
      <c r="D122" t="s">
        <v>81</v>
      </c>
      <c r="E122">
        <v>10000000</v>
      </c>
      <c r="O122">
        <v>750</v>
      </c>
      <c r="P122" t="s">
        <v>277</v>
      </c>
      <c r="T122">
        <v>35</v>
      </c>
      <c r="V122">
        <v>50</v>
      </c>
      <c r="W122" t="s">
        <v>310</v>
      </c>
      <c r="X122" t="s">
        <v>280</v>
      </c>
      <c r="Y122">
        <v>20</v>
      </c>
      <c r="AB122">
        <v>4.8910330243009001</v>
      </c>
      <c r="AC122" t="s">
        <v>85</v>
      </c>
      <c r="AE122" t="s">
        <v>63</v>
      </c>
      <c r="AI122">
        <v>9</v>
      </c>
      <c r="AY122">
        <v>750</v>
      </c>
    </row>
    <row r="123" spans="1:51" hidden="1" x14ac:dyDescent="0.3">
      <c r="A123" t="s">
        <v>309</v>
      </c>
      <c r="C123" t="s">
        <v>251</v>
      </c>
      <c r="D123" t="s">
        <v>81</v>
      </c>
      <c r="E123">
        <v>10000000</v>
      </c>
      <c r="O123">
        <v>750</v>
      </c>
      <c r="P123" t="s">
        <v>277</v>
      </c>
      <c r="T123">
        <v>35</v>
      </c>
      <c r="V123">
        <v>50</v>
      </c>
      <c r="W123" t="s">
        <v>310</v>
      </c>
      <c r="X123" t="s">
        <v>280</v>
      </c>
      <c r="Y123">
        <v>2.9482071713147402</v>
      </c>
      <c r="AB123">
        <v>5.87960952398935</v>
      </c>
      <c r="AC123" t="s">
        <v>85</v>
      </c>
      <c r="AE123" t="s">
        <v>63</v>
      </c>
      <c r="AI123">
        <v>9</v>
      </c>
      <c r="AY123">
        <v>750</v>
      </c>
    </row>
    <row r="124" spans="1:51" hidden="1" x14ac:dyDescent="0.3">
      <c r="A124" t="s">
        <v>309</v>
      </c>
      <c r="C124" t="s">
        <v>251</v>
      </c>
      <c r="D124" t="s">
        <v>81</v>
      </c>
      <c r="E124">
        <v>10000000</v>
      </c>
      <c r="O124">
        <v>750</v>
      </c>
      <c r="P124" t="s">
        <v>277</v>
      </c>
      <c r="T124">
        <v>35</v>
      </c>
      <c r="V124">
        <v>50</v>
      </c>
      <c r="W124" t="s">
        <v>310</v>
      </c>
      <c r="X124" t="s">
        <v>280</v>
      </c>
      <c r="Y124">
        <v>6.0159362549800699</v>
      </c>
      <c r="AB124">
        <v>6.4322803572440002</v>
      </c>
      <c r="AC124" t="s">
        <v>85</v>
      </c>
      <c r="AE124" t="s">
        <v>63</v>
      </c>
      <c r="AI124">
        <v>9</v>
      </c>
      <c r="AY124">
        <v>750</v>
      </c>
    </row>
    <row r="125" spans="1:51" hidden="1" x14ac:dyDescent="0.3">
      <c r="A125" t="s">
        <v>309</v>
      </c>
      <c r="C125" t="s">
        <v>251</v>
      </c>
      <c r="D125" t="s">
        <v>81</v>
      </c>
      <c r="E125">
        <v>10000000</v>
      </c>
      <c r="O125">
        <v>750</v>
      </c>
      <c r="P125" t="s">
        <v>277</v>
      </c>
      <c r="T125">
        <v>35</v>
      </c>
      <c r="V125">
        <v>50</v>
      </c>
      <c r="W125" t="s">
        <v>310</v>
      </c>
      <c r="X125" t="s">
        <v>280</v>
      </c>
      <c r="Y125">
        <v>8.9641434262948199</v>
      </c>
      <c r="AB125">
        <v>6.6436056720983299</v>
      </c>
      <c r="AC125" t="s">
        <v>85</v>
      </c>
      <c r="AE125" t="s">
        <v>63</v>
      </c>
      <c r="AI125">
        <v>9</v>
      </c>
      <c r="AY125">
        <v>750</v>
      </c>
    </row>
    <row r="126" spans="1:51" hidden="1" x14ac:dyDescent="0.3">
      <c r="A126" t="s">
        <v>309</v>
      </c>
      <c r="C126" t="s">
        <v>251</v>
      </c>
      <c r="D126" t="s">
        <v>81</v>
      </c>
      <c r="E126">
        <v>10000000</v>
      </c>
      <c r="O126">
        <v>750</v>
      </c>
      <c r="P126" t="s">
        <v>277</v>
      </c>
      <c r="T126">
        <v>35</v>
      </c>
      <c r="V126">
        <v>50</v>
      </c>
      <c r="W126" t="s">
        <v>310</v>
      </c>
      <c r="X126" t="s">
        <v>280</v>
      </c>
      <c r="Y126">
        <v>12.031872509960101</v>
      </c>
      <c r="AB126">
        <v>6.3431959366326103</v>
      </c>
      <c r="AC126" t="s">
        <v>85</v>
      </c>
      <c r="AE126" t="s">
        <v>63</v>
      </c>
      <c r="AI126">
        <v>9</v>
      </c>
      <c r="AY126">
        <v>750</v>
      </c>
    </row>
    <row r="127" spans="1:51" hidden="1" x14ac:dyDescent="0.3">
      <c r="A127" t="s">
        <v>309</v>
      </c>
      <c r="C127" t="s">
        <v>251</v>
      </c>
      <c r="D127" t="s">
        <v>81</v>
      </c>
      <c r="E127">
        <v>10000000</v>
      </c>
      <c r="O127">
        <v>750</v>
      </c>
      <c r="P127" t="s">
        <v>277</v>
      </c>
      <c r="T127">
        <v>35</v>
      </c>
      <c r="V127">
        <v>50</v>
      </c>
      <c r="W127" t="s">
        <v>310</v>
      </c>
      <c r="X127" t="s">
        <v>280</v>
      </c>
      <c r="Y127">
        <v>20.039840637450201</v>
      </c>
      <c r="AB127">
        <v>6.3507864277487096</v>
      </c>
      <c r="AC127" t="s">
        <v>85</v>
      </c>
      <c r="AE127" t="s">
        <v>63</v>
      </c>
      <c r="AI127">
        <v>9</v>
      </c>
      <c r="AY127">
        <v>750</v>
      </c>
    </row>
    <row r="128" spans="1:51" hidden="1" x14ac:dyDescent="0.3">
      <c r="A128" t="s">
        <v>309</v>
      </c>
      <c r="C128" t="s">
        <v>251</v>
      </c>
      <c r="D128" t="s">
        <v>81</v>
      </c>
      <c r="E128">
        <v>10000000</v>
      </c>
      <c r="O128">
        <v>396</v>
      </c>
      <c r="P128" t="s">
        <v>277</v>
      </c>
      <c r="T128">
        <v>25</v>
      </c>
      <c r="V128">
        <v>65</v>
      </c>
      <c r="W128" t="s">
        <v>310</v>
      </c>
      <c r="X128" t="s">
        <v>280</v>
      </c>
      <c r="AB128">
        <v>-1.7927768526227399E-2</v>
      </c>
      <c r="AC128" t="s">
        <v>85</v>
      </c>
      <c r="AE128" t="s">
        <v>63</v>
      </c>
      <c r="AI128">
        <v>9</v>
      </c>
      <c r="AW128">
        <v>396</v>
      </c>
    </row>
    <row r="129" spans="1:49" hidden="1" x14ac:dyDescent="0.3">
      <c r="A129" t="s">
        <v>309</v>
      </c>
      <c r="C129" t="s">
        <v>251</v>
      </c>
      <c r="D129" t="s">
        <v>81</v>
      </c>
      <c r="E129">
        <v>10000000</v>
      </c>
      <c r="O129">
        <v>396</v>
      </c>
      <c r="P129" t="s">
        <v>277</v>
      </c>
      <c r="T129">
        <v>25</v>
      </c>
      <c r="V129">
        <v>65</v>
      </c>
      <c r="W129" t="s">
        <v>310</v>
      </c>
      <c r="X129" t="s">
        <v>280</v>
      </c>
      <c r="Y129">
        <v>9.7469556619483697</v>
      </c>
      <c r="AB129">
        <v>4.17620732722737E-2</v>
      </c>
      <c r="AC129" t="s">
        <v>85</v>
      </c>
      <c r="AE129" t="s">
        <v>63</v>
      </c>
      <c r="AI129">
        <v>9</v>
      </c>
      <c r="AW129">
        <v>396</v>
      </c>
    </row>
    <row r="130" spans="1:49" hidden="1" x14ac:dyDescent="0.3">
      <c r="A130" t="s">
        <v>309</v>
      </c>
      <c r="C130" t="s">
        <v>251</v>
      </c>
      <c r="D130" t="s">
        <v>81</v>
      </c>
      <c r="E130">
        <v>10000000</v>
      </c>
      <c r="O130">
        <v>396</v>
      </c>
      <c r="P130" t="s">
        <v>277</v>
      </c>
      <c r="T130">
        <v>25</v>
      </c>
      <c r="V130">
        <v>65</v>
      </c>
      <c r="W130" t="s">
        <v>310</v>
      </c>
      <c r="X130" t="s">
        <v>280</v>
      </c>
      <c r="Y130">
        <v>19.762827851790099</v>
      </c>
      <c r="AB130">
        <v>-4.1866153205661297E-2</v>
      </c>
      <c r="AC130" t="s">
        <v>85</v>
      </c>
      <c r="AE130" t="s">
        <v>63</v>
      </c>
      <c r="AI130">
        <v>9</v>
      </c>
      <c r="AW130">
        <v>396</v>
      </c>
    </row>
    <row r="131" spans="1:49" hidden="1" x14ac:dyDescent="0.3">
      <c r="A131" t="s">
        <v>309</v>
      </c>
      <c r="C131" t="s">
        <v>251</v>
      </c>
      <c r="D131" t="s">
        <v>81</v>
      </c>
      <c r="E131">
        <v>10000000</v>
      </c>
      <c r="O131">
        <v>396</v>
      </c>
      <c r="P131" t="s">
        <v>277</v>
      </c>
      <c r="T131">
        <v>25</v>
      </c>
      <c r="V131">
        <v>65</v>
      </c>
      <c r="W131" t="s">
        <v>310</v>
      </c>
      <c r="X131" t="s">
        <v>280</v>
      </c>
      <c r="Y131">
        <v>29.794312031640199</v>
      </c>
      <c r="AB131">
        <v>0.44798605328892599</v>
      </c>
      <c r="AC131" t="s">
        <v>85</v>
      </c>
      <c r="AE131" t="s">
        <v>63</v>
      </c>
      <c r="AI131">
        <v>9</v>
      </c>
      <c r="AW131">
        <v>396</v>
      </c>
    </row>
    <row r="132" spans="1:49" hidden="1" x14ac:dyDescent="0.3">
      <c r="A132" t="s">
        <v>309</v>
      </c>
      <c r="C132" t="s">
        <v>251</v>
      </c>
      <c r="D132" t="s">
        <v>81</v>
      </c>
      <c r="E132">
        <v>10000000</v>
      </c>
      <c r="O132">
        <v>396</v>
      </c>
      <c r="P132" t="s">
        <v>277</v>
      </c>
      <c r="T132">
        <v>25</v>
      </c>
      <c r="V132">
        <v>65</v>
      </c>
      <c r="W132" t="s">
        <v>310</v>
      </c>
      <c r="X132" t="s">
        <v>280</v>
      </c>
      <c r="Y132">
        <v>44.810704621149</v>
      </c>
      <c r="AB132">
        <v>5.0140507910075502E-2</v>
      </c>
      <c r="AC132" t="s">
        <v>85</v>
      </c>
      <c r="AE132" t="s">
        <v>63</v>
      </c>
      <c r="AI132">
        <v>9</v>
      </c>
      <c r="AW132">
        <v>396</v>
      </c>
    </row>
    <row r="133" spans="1:49" hidden="1" x14ac:dyDescent="0.3">
      <c r="A133" t="s">
        <v>309</v>
      </c>
      <c r="C133" t="s">
        <v>251</v>
      </c>
      <c r="D133" t="s">
        <v>81</v>
      </c>
      <c r="E133">
        <v>10000000</v>
      </c>
      <c r="O133">
        <v>396</v>
      </c>
      <c r="P133" t="s">
        <v>277</v>
      </c>
      <c r="T133">
        <v>25</v>
      </c>
      <c r="V133">
        <v>65</v>
      </c>
      <c r="W133" t="s">
        <v>310</v>
      </c>
      <c r="X133" t="s">
        <v>280</v>
      </c>
      <c r="Y133">
        <v>59.727570774354589</v>
      </c>
      <c r="AB133">
        <v>-3.64279766860897E-3</v>
      </c>
      <c r="AC133" t="s">
        <v>85</v>
      </c>
      <c r="AE133" t="s">
        <v>63</v>
      </c>
      <c r="AI133">
        <v>9</v>
      </c>
      <c r="AW133">
        <v>396</v>
      </c>
    </row>
    <row r="134" spans="1:49" hidden="1" x14ac:dyDescent="0.3">
      <c r="A134" t="s">
        <v>309</v>
      </c>
      <c r="C134" t="s">
        <v>251</v>
      </c>
      <c r="D134" t="s">
        <v>81</v>
      </c>
      <c r="E134">
        <v>10000000</v>
      </c>
      <c r="O134">
        <v>396</v>
      </c>
      <c r="P134" t="s">
        <v>277</v>
      </c>
      <c r="T134">
        <v>25</v>
      </c>
      <c r="V134">
        <v>65</v>
      </c>
      <c r="W134" t="s">
        <v>310</v>
      </c>
      <c r="X134" t="s">
        <v>280</v>
      </c>
      <c r="AB134">
        <v>-1.7927768526227399E-2</v>
      </c>
      <c r="AC134" t="s">
        <v>85</v>
      </c>
      <c r="AE134" t="s">
        <v>63</v>
      </c>
      <c r="AI134">
        <v>9</v>
      </c>
      <c r="AW134">
        <v>396</v>
      </c>
    </row>
    <row r="135" spans="1:49" hidden="1" x14ac:dyDescent="0.3">
      <c r="A135" t="s">
        <v>309</v>
      </c>
      <c r="C135" t="s">
        <v>251</v>
      </c>
      <c r="D135" t="s">
        <v>81</v>
      </c>
      <c r="E135">
        <v>10000000</v>
      </c>
      <c r="O135">
        <v>396</v>
      </c>
      <c r="P135" t="s">
        <v>277</v>
      </c>
      <c r="T135">
        <v>25</v>
      </c>
      <c r="V135">
        <v>65</v>
      </c>
      <c r="W135" t="s">
        <v>310</v>
      </c>
      <c r="X135" t="s">
        <v>280</v>
      </c>
      <c r="Y135">
        <v>9.8656067860116501</v>
      </c>
      <c r="AB135">
        <v>0.40021336386344702</v>
      </c>
      <c r="AC135" t="s">
        <v>85</v>
      </c>
      <c r="AE135" t="s">
        <v>63</v>
      </c>
      <c r="AI135">
        <v>9</v>
      </c>
      <c r="AW135">
        <v>396</v>
      </c>
    </row>
    <row r="136" spans="1:49" hidden="1" x14ac:dyDescent="0.3">
      <c r="A136" t="s">
        <v>309</v>
      </c>
      <c r="C136" t="s">
        <v>251</v>
      </c>
      <c r="D136" t="s">
        <v>81</v>
      </c>
      <c r="E136">
        <v>10000000</v>
      </c>
      <c r="O136">
        <v>396</v>
      </c>
      <c r="P136" t="s">
        <v>277</v>
      </c>
      <c r="T136">
        <v>25</v>
      </c>
      <c r="V136">
        <v>65</v>
      </c>
      <c r="W136" t="s">
        <v>310</v>
      </c>
      <c r="X136" t="s">
        <v>280</v>
      </c>
      <c r="Y136">
        <v>19.7835137385512</v>
      </c>
      <c r="AB136">
        <v>0.71799542048293097</v>
      </c>
      <c r="AC136" t="s">
        <v>85</v>
      </c>
      <c r="AE136" t="s">
        <v>63</v>
      </c>
      <c r="AI136">
        <v>9</v>
      </c>
      <c r="AW136">
        <v>396</v>
      </c>
    </row>
    <row r="137" spans="1:49" hidden="1" x14ac:dyDescent="0.3">
      <c r="A137" t="s">
        <v>309</v>
      </c>
      <c r="C137" t="s">
        <v>251</v>
      </c>
      <c r="D137" t="s">
        <v>81</v>
      </c>
      <c r="E137">
        <v>10000000</v>
      </c>
      <c r="O137">
        <v>396</v>
      </c>
      <c r="P137" t="s">
        <v>277</v>
      </c>
      <c r="T137">
        <v>25</v>
      </c>
      <c r="V137">
        <v>65</v>
      </c>
      <c r="W137" t="s">
        <v>310</v>
      </c>
      <c r="X137" t="s">
        <v>280</v>
      </c>
      <c r="Y137">
        <v>29.838806203164001</v>
      </c>
      <c r="AB137">
        <v>2.08240528726061</v>
      </c>
      <c r="AC137" t="s">
        <v>85</v>
      </c>
      <c r="AE137" t="s">
        <v>63</v>
      </c>
      <c r="AI137">
        <v>9</v>
      </c>
      <c r="AW137">
        <v>396</v>
      </c>
    </row>
    <row r="138" spans="1:49" hidden="1" x14ac:dyDescent="0.3">
      <c r="A138" t="s">
        <v>309</v>
      </c>
      <c r="C138" t="s">
        <v>251</v>
      </c>
      <c r="D138" t="s">
        <v>81</v>
      </c>
      <c r="E138">
        <v>10000000</v>
      </c>
      <c r="O138">
        <v>396</v>
      </c>
      <c r="P138" t="s">
        <v>277</v>
      </c>
      <c r="T138">
        <v>25</v>
      </c>
      <c r="V138">
        <v>65</v>
      </c>
      <c r="W138" t="s">
        <v>310</v>
      </c>
      <c r="X138" t="s">
        <v>280</v>
      </c>
      <c r="Y138">
        <v>44.798215029142298</v>
      </c>
      <c r="AB138">
        <v>3.5913561615320511</v>
      </c>
      <c r="AC138" t="s">
        <v>85</v>
      </c>
      <c r="AE138" t="s">
        <v>63</v>
      </c>
      <c r="AI138">
        <v>9</v>
      </c>
      <c r="AW138">
        <v>396</v>
      </c>
    </row>
    <row r="139" spans="1:49" hidden="1" x14ac:dyDescent="0.3">
      <c r="A139" t="s">
        <v>309</v>
      </c>
      <c r="C139" t="s">
        <v>251</v>
      </c>
      <c r="D139" t="s">
        <v>81</v>
      </c>
      <c r="E139">
        <v>10000000</v>
      </c>
      <c r="O139">
        <v>396</v>
      </c>
      <c r="P139" t="s">
        <v>277</v>
      </c>
      <c r="T139">
        <v>25</v>
      </c>
      <c r="V139">
        <v>65</v>
      </c>
      <c r="W139" t="s">
        <v>310</v>
      </c>
      <c r="X139" t="s">
        <v>280</v>
      </c>
      <c r="Y139">
        <v>59.858711490424589</v>
      </c>
      <c r="AB139">
        <v>4.81359283930058</v>
      </c>
      <c r="AC139" t="s">
        <v>85</v>
      </c>
      <c r="AE139" t="s">
        <v>63</v>
      </c>
      <c r="AI139">
        <v>9</v>
      </c>
      <c r="AW139">
        <v>396</v>
      </c>
    </row>
    <row r="140" spans="1:49" hidden="1" x14ac:dyDescent="0.3">
      <c r="A140" t="s">
        <v>309</v>
      </c>
      <c r="C140" t="s">
        <v>251</v>
      </c>
      <c r="D140" t="s">
        <v>81</v>
      </c>
      <c r="E140">
        <v>10000000</v>
      </c>
      <c r="O140">
        <v>396</v>
      </c>
      <c r="P140" t="s">
        <v>277</v>
      </c>
      <c r="T140">
        <v>25</v>
      </c>
      <c r="V140">
        <v>65</v>
      </c>
      <c r="W140" t="s">
        <v>310</v>
      </c>
      <c r="X140" t="s">
        <v>280</v>
      </c>
      <c r="AB140">
        <v>1.0746253122398601E-2</v>
      </c>
      <c r="AC140" t="s">
        <v>85</v>
      </c>
      <c r="AE140" t="s">
        <v>63</v>
      </c>
      <c r="AI140">
        <v>9</v>
      </c>
      <c r="AW140">
        <v>396</v>
      </c>
    </row>
    <row r="141" spans="1:49" hidden="1" x14ac:dyDescent="0.3">
      <c r="A141" t="s">
        <v>309</v>
      </c>
      <c r="C141" t="s">
        <v>251</v>
      </c>
      <c r="D141" t="s">
        <v>81</v>
      </c>
      <c r="E141">
        <v>10000000</v>
      </c>
      <c r="O141">
        <v>396</v>
      </c>
      <c r="P141" t="s">
        <v>277</v>
      </c>
      <c r="T141">
        <v>25</v>
      </c>
      <c r="V141">
        <v>65</v>
      </c>
      <c r="W141" t="s">
        <v>310</v>
      </c>
      <c r="X141" t="s">
        <v>280</v>
      </c>
      <c r="Y141">
        <v>9.7489071606994102</v>
      </c>
      <c r="AB141">
        <v>0.113447127393839</v>
      </c>
      <c r="AC141" t="s">
        <v>85</v>
      </c>
      <c r="AE141" t="s">
        <v>63</v>
      </c>
      <c r="AI141">
        <v>9</v>
      </c>
      <c r="AW141">
        <v>396</v>
      </c>
    </row>
    <row r="142" spans="1:49" hidden="1" x14ac:dyDescent="0.3">
      <c r="A142" t="s">
        <v>309</v>
      </c>
      <c r="C142" t="s">
        <v>251</v>
      </c>
      <c r="D142" t="s">
        <v>81</v>
      </c>
      <c r="E142">
        <v>10000000</v>
      </c>
      <c r="O142">
        <v>396</v>
      </c>
      <c r="P142" t="s">
        <v>277</v>
      </c>
      <c r="T142">
        <v>25</v>
      </c>
      <c r="V142">
        <v>65</v>
      </c>
      <c r="W142" t="s">
        <v>310</v>
      </c>
      <c r="X142" t="s">
        <v>280</v>
      </c>
      <c r="Y142">
        <v>19.875624479600301</v>
      </c>
      <c r="AB142">
        <v>0.101529975020816</v>
      </c>
      <c r="AC142" t="s">
        <v>85</v>
      </c>
      <c r="AE142" t="s">
        <v>63</v>
      </c>
      <c r="AI142">
        <v>9</v>
      </c>
      <c r="AW142">
        <v>396</v>
      </c>
    </row>
    <row r="143" spans="1:49" hidden="1" x14ac:dyDescent="0.3">
      <c r="A143" t="s">
        <v>309</v>
      </c>
      <c r="C143" t="s">
        <v>251</v>
      </c>
      <c r="D143" t="s">
        <v>81</v>
      </c>
      <c r="E143">
        <v>10000000</v>
      </c>
      <c r="O143">
        <v>396</v>
      </c>
      <c r="P143" t="s">
        <v>277</v>
      </c>
      <c r="T143">
        <v>25</v>
      </c>
      <c r="V143">
        <v>65</v>
      </c>
      <c r="W143" t="s">
        <v>310</v>
      </c>
      <c r="X143" t="s">
        <v>280</v>
      </c>
      <c r="Y143">
        <v>29.802898626144799</v>
      </c>
      <c r="AB143">
        <v>0.76340029142381316</v>
      </c>
      <c r="AC143" t="s">
        <v>85</v>
      </c>
      <c r="AE143" t="s">
        <v>63</v>
      </c>
      <c r="AI143">
        <v>9</v>
      </c>
      <c r="AW143">
        <v>396</v>
      </c>
    </row>
    <row r="144" spans="1:49" hidden="1" x14ac:dyDescent="0.3">
      <c r="A144" t="s">
        <v>309</v>
      </c>
      <c r="C144" t="s">
        <v>251</v>
      </c>
      <c r="D144" t="s">
        <v>81</v>
      </c>
      <c r="E144">
        <v>10000000</v>
      </c>
      <c r="O144">
        <v>396</v>
      </c>
      <c r="P144" t="s">
        <v>277</v>
      </c>
      <c r="T144">
        <v>25</v>
      </c>
      <c r="V144">
        <v>65</v>
      </c>
      <c r="W144" t="s">
        <v>310</v>
      </c>
      <c r="X144" t="s">
        <v>280</v>
      </c>
      <c r="Y144">
        <v>44.743182764362999</v>
      </c>
      <c r="AB144">
        <v>1.5698376353039101</v>
      </c>
      <c r="AC144" t="s">
        <v>85</v>
      </c>
      <c r="AE144" t="s">
        <v>63</v>
      </c>
      <c r="AI144">
        <v>9</v>
      </c>
      <c r="AW144">
        <v>396</v>
      </c>
    </row>
    <row r="145" spans="1:53" hidden="1" x14ac:dyDescent="0.3">
      <c r="A145" t="s">
        <v>309</v>
      </c>
      <c r="C145" t="s">
        <v>251</v>
      </c>
      <c r="D145" t="s">
        <v>81</v>
      </c>
      <c r="E145">
        <v>10000000</v>
      </c>
      <c r="O145">
        <v>396</v>
      </c>
      <c r="P145" t="s">
        <v>277</v>
      </c>
      <c r="T145">
        <v>25</v>
      </c>
      <c r="V145">
        <v>65</v>
      </c>
      <c r="W145" t="s">
        <v>310</v>
      </c>
      <c r="X145" t="s">
        <v>280</v>
      </c>
      <c r="Y145">
        <v>59.749817860116501</v>
      </c>
      <c r="AB145">
        <v>4.8135668193172299</v>
      </c>
      <c r="AC145" t="s">
        <v>85</v>
      </c>
      <c r="AE145" t="s">
        <v>63</v>
      </c>
      <c r="AI145">
        <v>9</v>
      </c>
      <c r="AW145">
        <v>396</v>
      </c>
    </row>
    <row r="146" spans="1:53" hidden="1" x14ac:dyDescent="0.3">
      <c r="A146" t="s">
        <v>311</v>
      </c>
      <c r="C146" t="s">
        <v>251</v>
      </c>
      <c r="D146" t="s">
        <v>81</v>
      </c>
      <c r="E146">
        <v>10000000</v>
      </c>
      <c r="O146">
        <v>750</v>
      </c>
      <c r="P146" t="s">
        <v>277</v>
      </c>
      <c r="T146">
        <v>25</v>
      </c>
      <c r="V146">
        <v>50</v>
      </c>
      <c r="W146" t="s">
        <v>312</v>
      </c>
      <c r="X146" t="s">
        <v>280</v>
      </c>
      <c r="Y146">
        <v>0</v>
      </c>
      <c r="AB146">
        <v>6.32231404958676</v>
      </c>
      <c r="AC146" t="s">
        <v>210</v>
      </c>
      <c r="AI146">
        <v>54</v>
      </c>
      <c r="AT146" t="s">
        <v>65</v>
      </c>
      <c r="AY146">
        <v>750</v>
      </c>
    </row>
    <row r="147" spans="1:53" hidden="1" x14ac:dyDescent="0.3">
      <c r="A147" t="s">
        <v>311</v>
      </c>
      <c r="C147" t="s">
        <v>251</v>
      </c>
      <c r="D147" t="s">
        <v>81</v>
      </c>
      <c r="E147">
        <v>10000000</v>
      </c>
      <c r="O147">
        <v>750</v>
      </c>
      <c r="P147" t="s">
        <v>277</v>
      </c>
      <c r="T147">
        <v>25</v>
      </c>
      <c r="V147">
        <v>50</v>
      </c>
      <c r="W147" t="s">
        <v>312</v>
      </c>
      <c r="X147" t="s">
        <v>280</v>
      </c>
      <c r="Y147">
        <v>5.04412858325498</v>
      </c>
      <c r="AB147">
        <v>4.1404958677685801</v>
      </c>
      <c r="AC147" t="s">
        <v>210</v>
      </c>
      <c r="AI147">
        <v>54</v>
      </c>
      <c r="AT147" t="s">
        <v>65</v>
      </c>
      <c r="AY147">
        <v>750</v>
      </c>
    </row>
    <row r="148" spans="1:53" hidden="1" x14ac:dyDescent="0.3">
      <c r="A148" t="s">
        <v>311</v>
      </c>
      <c r="C148" t="s">
        <v>251</v>
      </c>
      <c r="D148" t="s">
        <v>81</v>
      </c>
      <c r="E148">
        <v>10000000</v>
      </c>
      <c r="O148">
        <v>750</v>
      </c>
      <c r="P148" t="s">
        <v>277</v>
      </c>
      <c r="T148">
        <v>25</v>
      </c>
      <c r="V148">
        <v>50</v>
      </c>
      <c r="W148" t="s">
        <v>312</v>
      </c>
      <c r="X148" t="s">
        <v>280</v>
      </c>
      <c r="Y148">
        <v>9.9596598801722909</v>
      </c>
      <c r="AB148">
        <v>2.1735537190082601</v>
      </c>
      <c r="AC148" t="s">
        <v>210</v>
      </c>
      <c r="AI148">
        <v>54</v>
      </c>
      <c r="AT148" t="s">
        <v>65</v>
      </c>
      <c r="AY148">
        <v>750</v>
      </c>
    </row>
    <row r="149" spans="1:53" hidden="1" x14ac:dyDescent="0.3">
      <c r="A149" t="s">
        <v>311</v>
      </c>
      <c r="C149" t="s">
        <v>251</v>
      </c>
      <c r="D149" t="s">
        <v>81</v>
      </c>
      <c r="E149">
        <v>10000000</v>
      </c>
      <c r="O149">
        <v>750</v>
      </c>
      <c r="P149" t="s">
        <v>277</v>
      </c>
      <c r="T149">
        <v>25</v>
      </c>
      <c r="V149">
        <v>50</v>
      </c>
      <c r="W149" t="s">
        <v>312</v>
      </c>
      <c r="X149" t="s">
        <v>280</v>
      </c>
      <c r="Y149">
        <v>15.001262821142401</v>
      </c>
      <c r="AB149">
        <v>2.1074380165289202</v>
      </c>
      <c r="AC149" t="s">
        <v>210</v>
      </c>
      <c r="AI149">
        <v>54</v>
      </c>
      <c r="AT149" t="s">
        <v>65</v>
      </c>
      <c r="AY149">
        <v>750</v>
      </c>
    </row>
    <row r="150" spans="1:53" hidden="1" x14ac:dyDescent="0.3">
      <c r="A150" t="s">
        <v>311</v>
      </c>
      <c r="C150" t="s">
        <v>251</v>
      </c>
      <c r="D150" t="s">
        <v>81</v>
      </c>
      <c r="E150">
        <v>10000000</v>
      </c>
      <c r="O150">
        <v>750</v>
      </c>
      <c r="P150" t="s">
        <v>277</v>
      </c>
      <c r="T150">
        <v>25</v>
      </c>
      <c r="V150">
        <v>50</v>
      </c>
      <c r="W150" t="s">
        <v>312</v>
      </c>
      <c r="X150" t="s">
        <v>280</v>
      </c>
      <c r="Y150">
        <v>20.0342364843059</v>
      </c>
      <c r="AB150">
        <v>1.36363636363636</v>
      </c>
      <c r="AC150" t="s">
        <v>210</v>
      </c>
      <c r="AI150">
        <v>54</v>
      </c>
      <c r="AT150" t="s">
        <v>65</v>
      </c>
      <c r="AY150">
        <v>750</v>
      </c>
    </row>
    <row r="151" spans="1:53" hidden="1" x14ac:dyDescent="0.3">
      <c r="A151" t="s">
        <v>311</v>
      </c>
      <c r="C151" t="s">
        <v>251</v>
      </c>
      <c r="D151" t="s">
        <v>81</v>
      </c>
      <c r="E151">
        <v>10000000</v>
      </c>
      <c r="O151">
        <v>750</v>
      </c>
      <c r="P151" t="s">
        <v>277</v>
      </c>
      <c r="T151">
        <v>25</v>
      </c>
      <c r="V151">
        <v>50</v>
      </c>
      <c r="W151" t="s">
        <v>312</v>
      </c>
      <c r="X151" t="s">
        <v>280</v>
      </c>
      <c r="Y151">
        <v>24.963869283980401</v>
      </c>
      <c r="AB151">
        <v>0.504132231404959</v>
      </c>
      <c r="AC151" t="s">
        <v>210</v>
      </c>
      <c r="AI151">
        <v>54</v>
      </c>
      <c r="AT151" t="s">
        <v>65</v>
      </c>
      <c r="AY151">
        <v>750</v>
      </c>
    </row>
    <row r="152" spans="1:53" hidden="1" x14ac:dyDescent="0.3">
      <c r="A152" t="s">
        <v>311</v>
      </c>
      <c r="C152" t="s">
        <v>251</v>
      </c>
      <c r="D152" t="s">
        <v>81</v>
      </c>
      <c r="E152">
        <v>10000000</v>
      </c>
      <c r="O152">
        <v>750</v>
      </c>
      <c r="P152" t="s">
        <v>277</v>
      </c>
      <c r="T152">
        <v>25</v>
      </c>
      <c r="V152">
        <v>50</v>
      </c>
      <c r="W152" t="s">
        <v>312</v>
      </c>
      <c r="X152" t="s">
        <v>280</v>
      </c>
      <c r="Y152">
        <v>30.0637724676928</v>
      </c>
      <c r="AB152">
        <v>1.01652892561983</v>
      </c>
      <c r="AC152" t="s">
        <v>210</v>
      </c>
      <c r="AI152">
        <v>54</v>
      </c>
      <c r="AT152" t="s">
        <v>65</v>
      </c>
      <c r="AY152">
        <v>750</v>
      </c>
    </row>
    <row r="153" spans="1:53" hidden="1" x14ac:dyDescent="0.3">
      <c r="A153" t="s">
        <v>313</v>
      </c>
      <c r="C153" t="s">
        <v>251</v>
      </c>
      <c r="D153" t="s">
        <v>81</v>
      </c>
      <c r="E153">
        <v>10000000</v>
      </c>
      <c r="H153">
        <v>1.69</v>
      </c>
      <c r="I153" t="s">
        <v>56</v>
      </c>
      <c r="J153">
        <v>1.6899999999999999E-4</v>
      </c>
      <c r="K153" t="s">
        <v>57</v>
      </c>
      <c r="N153" t="s">
        <v>314</v>
      </c>
      <c r="O153">
        <v>1000</v>
      </c>
      <c r="P153" t="s">
        <v>315</v>
      </c>
      <c r="S153" t="s">
        <v>316</v>
      </c>
      <c r="T153">
        <v>25</v>
      </c>
      <c r="U153" t="s">
        <v>120</v>
      </c>
      <c r="V153">
        <v>75</v>
      </c>
      <c r="W153" t="s">
        <v>73</v>
      </c>
      <c r="X153" t="s">
        <v>280</v>
      </c>
      <c r="Y153">
        <v>0</v>
      </c>
      <c r="AB153">
        <v>6.5591395933206202</v>
      </c>
      <c r="AC153" t="s">
        <v>62</v>
      </c>
      <c r="AH153">
        <v>6.5591395933206202</v>
      </c>
      <c r="AI153" t="s">
        <v>317</v>
      </c>
      <c r="AT153" t="s">
        <v>73</v>
      </c>
      <c r="AV153" t="s">
        <v>88</v>
      </c>
      <c r="AW153">
        <v>1000</v>
      </c>
      <c r="BA153">
        <v>6.5591395933206202</v>
      </c>
    </row>
    <row r="154" spans="1:53" hidden="1" x14ac:dyDescent="0.3">
      <c r="A154" t="s">
        <v>313</v>
      </c>
      <c r="C154" t="s">
        <v>251</v>
      </c>
      <c r="D154" t="s">
        <v>81</v>
      </c>
      <c r="E154">
        <v>10000000</v>
      </c>
      <c r="H154">
        <v>1.69</v>
      </c>
      <c r="I154" t="s">
        <v>56</v>
      </c>
      <c r="J154">
        <v>1.6899999999999999E-4</v>
      </c>
      <c r="K154" t="s">
        <v>57</v>
      </c>
      <c r="N154" t="s">
        <v>314</v>
      </c>
      <c r="O154">
        <v>1500</v>
      </c>
      <c r="P154" t="s">
        <v>315</v>
      </c>
      <c r="S154" t="s">
        <v>316</v>
      </c>
      <c r="T154">
        <v>25</v>
      </c>
      <c r="U154" t="s">
        <v>120</v>
      </c>
      <c r="V154">
        <v>75</v>
      </c>
      <c r="W154" t="s">
        <v>73</v>
      </c>
      <c r="X154" t="s">
        <v>280</v>
      </c>
      <c r="Y154">
        <v>0</v>
      </c>
      <c r="AB154">
        <v>6.26566927449967</v>
      </c>
      <c r="AC154" t="s">
        <v>62</v>
      </c>
      <c r="AH154">
        <v>6.26566927449967</v>
      </c>
      <c r="AI154" t="s">
        <v>317</v>
      </c>
      <c r="AT154" t="s">
        <v>73</v>
      </c>
      <c r="AV154" t="s">
        <v>88</v>
      </c>
      <c r="AW154">
        <v>1500</v>
      </c>
      <c r="BA154">
        <v>6.26566927449967</v>
      </c>
    </row>
    <row r="155" spans="1:53" hidden="1" x14ac:dyDescent="0.3">
      <c r="A155" t="s">
        <v>313</v>
      </c>
      <c r="C155" t="s">
        <v>251</v>
      </c>
      <c r="D155" t="s">
        <v>81</v>
      </c>
      <c r="E155">
        <v>10000000</v>
      </c>
      <c r="H155">
        <v>1.69</v>
      </c>
      <c r="I155" t="s">
        <v>56</v>
      </c>
      <c r="J155">
        <v>1.6899999999999999E-4</v>
      </c>
      <c r="K155" t="s">
        <v>57</v>
      </c>
      <c r="N155" t="s">
        <v>314</v>
      </c>
      <c r="O155">
        <v>1000</v>
      </c>
      <c r="P155" t="s">
        <v>315</v>
      </c>
      <c r="S155" t="s">
        <v>316</v>
      </c>
      <c r="T155">
        <v>25</v>
      </c>
      <c r="U155" t="s">
        <v>120</v>
      </c>
      <c r="V155">
        <v>75</v>
      </c>
      <c r="W155" t="s">
        <v>73</v>
      </c>
      <c r="X155" t="s">
        <v>280</v>
      </c>
      <c r="Y155">
        <v>30</v>
      </c>
      <c r="AB155">
        <v>3.3365173845632801</v>
      </c>
      <c r="AC155" t="s">
        <v>62</v>
      </c>
      <c r="AH155">
        <v>6.5591395933206202</v>
      </c>
      <c r="AI155" t="s">
        <v>317</v>
      </c>
      <c r="AT155" t="s">
        <v>73</v>
      </c>
      <c r="AV155" t="s">
        <v>88</v>
      </c>
      <c r="AW155">
        <v>1000</v>
      </c>
      <c r="BA155">
        <v>6.5591395933206202</v>
      </c>
    </row>
    <row r="156" spans="1:53" hidden="1" x14ac:dyDescent="0.3">
      <c r="A156" t="s">
        <v>313</v>
      </c>
      <c r="C156" t="s">
        <v>251</v>
      </c>
      <c r="D156" t="s">
        <v>81</v>
      </c>
      <c r="E156">
        <v>10000000</v>
      </c>
      <c r="H156">
        <v>1.69</v>
      </c>
      <c r="I156" t="s">
        <v>56</v>
      </c>
      <c r="J156">
        <v>1.6899999999999999E-4</v>
      </c>
      <c r="K156" t="s">
        <v>57</v>
      </c>
      <c r="N156" t="s">
        <v>314</v>
      </c>
      <c r="O156">
        <v>1500</v>
      </c>
      <c r="P156" t="s">
        <v>315</v>
      </c>
      <c r="S156" t="s">
        <v>316</v>
      </c>
      <c r="T156">
        <v>25</v>
      </c>
      <c r="U156" t="s">
        <v>120</v>
      </c>
      <c r="V156">
        <v>75</v>
      </c>
      <c r="W156" t="s">
        <v>73</v>
      </c>
      <c r="X156" t="s">
        <v>280</v>
      </c>
      <c r="Y156">
        <v>30</v>
      </c>
      <c r="AB156">
        <v>1.99834263005007</v>
      </c>
      <c r="AC156" t="s">
        <v>62</v>
      </c>
      <c r="AH156">
        <v>6.26566927449967</v>
      </c>
      <c r="AI156" t="s">
        <v>317</v>
      </c>
      <c r="AT156" t="s">
        <v>73</v>
      </c>
      <c r="AV156" t="s">
        <v>88</v>
      </c>
      <c r="AW156">
        <v>1500</v>
      </c>
      <c r="BA156">
        <v>6.26566927449967</v>
      </c>
    </row>
    <row r="157" spans="1:53" hidden="1" x14ac:dyDescent="0.3">
      <c r="A157" t="s">
        <v>313</v>
      </c>
      <c r="C157" t="s">
        <v>251</v>
      </c>
      <c r="D157" t="s">
        <v>81</v>
      </c>
      <c r="E157">
        <v>10000000</v>
      </c>
      <c r="H157">
        <v>1.69</v>
      </c>
      <c r="I157" t="s">
        <v>56</v>
      </c>
      <c r="J157">
        <v>1.6899999999999999E-4</v>
      </c>
      <c r="K157" t="s">
        <v>57</v>
      </c>
      <c r="N157" t="s">
        <v>314</v>
      </c>
      <c r="O157">
        <v>1000</v>
      </c>
      <c r="P157" t="s">
        <v>315</v>
      </c>
      <c r="S157" t="s">
        <v>316</v>
      </c>
      <c r="T157">
        <v>25</v>
      </c>
      <c r="U157" t="s">
        <v>120</v>
      </c>
      <c r="V157">
        <v>75</v>
      </c>
      <c r="W157" t="s">
        <v>73</v>
      </c>
      <c r="X157" t="s">
        <v>280</v>
      </c>
      <c r="Y157">
        <v>60</v>
      </c>
      <c r="AB157">
        <v>1.7436690250030999</v>
      </c>
      <c r="AC157" t="s">
        <v>62</v>
      </c>
      <c r="AH157">
        <v>6.5591395933206202</v>
      </c>
      <c r="AI157" t="s">
        <v>317</v>
      </c>
      <c r="AT157" t="s">
        <v>73</v>
      </c>
      <c r="AV157" t="s">
        <v>88</v>
      </c>
      <c r="AW157">
        <v>1000</v>
      </c>
      <c r="BA157">
        <v>6.5591395933206202</v>
      </c>
    </row>
    <row r="158" spans="1:53" hidden="1" x14ac:dyDescent="0.3">
      <c r="A158" t="s">
        <v>313</v>
      </c>
      <c r="C158" t="s">
        <v>251</v>
      </c>
      <c r="D158" t="s">
        <v>81</v>
      </c>
      <c r="E158">
        <v>10000000</v>
      </c>
      <c r="H158">
        <v>1.69</v>
      </c>
      <c r="I158" t="s">
        <v>56</v>
      </c>
      <c r="J158">
        <v>1.6899999999999999E-4</v>
      </c>
      <c r="K158" t="s">
        <v>57</v>
      </c>
      <c r="N158" t="s">
        <v>314</v>
      </c>
      <c r="O158">
        <v>1500</v>
      </c>
      <c r="P158" t="s">
        <v>315</v>
      </c>
      <c r="S158" t="s">
        <v>316</v>
      </c>
      <c r="T158">
        <v>25</v>
      </c>
      <c r="U158" t="s">
        <v>120</v>
      </c>
      <c r="V158">
        <v>75</v>
      </c>
      <c r="W158" t="s">
        <v>73</v>
      </c>
      <c r="X158" t="s">
        <v>280</v>
      </c>
      <c r="Y158">
        <v>60</v>
      </c>
      <c r="AB158">
        <v>0.30095521536898701</v>
      </c>
      <c r="AC158" t="s">
        <v>62</v>
      </c>
      <c r="AH158">
        <v>6.26566927449967</v>
      </c>
      <c r="AI158" t="s">
        <v>317</v>
      </c>
      <c r="AT158" t="s">
        <v>73</v>
      </c>
      <c r="AV158" t="s">
        <v>88</v>
      </c>
      <c r="AW158">
        <v>1500</v>
      </c>
      <c r="BA158">
        <v>6.26566927449967</v>
      </c>
    </row>
    <row r="159" spans="1:53" hidden="1" x14ac:dyDescent="0.3">
      <c r="A159" t="s">
        <v>313</v>
      </c>
      <c r="C159" t="s">
        <v>251</v>
      </c>
      <c r="D159" t="s">
        <v>81</v>
      </c>
      <c r="E159">
        <v>10000000</v>
      </c>
      <c r="H159">
        <v>1.69</v>
      </c>
      <c r="I159" t="s">
        <v>56</v>
      </c>
      <c r="J159">
        <v>1.6899999999999999E-4</v>
      </c>
      <c r="K159" t="s">
        <v>57</v>
      </c>
      <c r="N159" t="s">
        <v>314</v>
      </c>
      <c r="O159">
        <v>1000</v>
      </c>
      <c r="P159" t="s">
        <v>315</v>
      </c>
      <c r="S159" t="s">
        <v>316</v>
      </c>
      <c r="T159">
        <v>25</v>
      </c>
      <c r="U159" t="s">
        <v>120</v>
      </c>
      <c r="V159">
        <v>75</v>
      </c>
      <c r="W159" t="s">
        <v>73</v>
      </c>
      <c r="X159" t="s">
        <v>280</v>
      </c>
      <c r="Y159">
        <v>120</v>
      </c>
      <c r="AB159">
        <v>0.108967618911839</v>
      </c>
      <c r="AC159" t="s">
        <v>62</v>
      </c>
      <c r="AH159">
        <v>6.5591395933206202</v>
      </c>
      <c r="AI159" t="s">
        <v>317</v>
      </c>
      <c r="AT159" t="s">
        <v>73</v>
      </c>
      <c r="AV159" t="s">
        <v>88</v>
      </c>
      <c r="AW159">
        <v>1000</v>
      </c>
      <c r="BA159">
        <v>6.5591395933206202</v>
      </c>
    </row>
    <row r="160" spans="1:53" hidden="1" x14ac:dyDescent="0.3">
      <c r="A160" t="s">
        <v>313</v>
      </c>
      <c r="C160" t="s">
        <v>251</v>
      </c>
      <c r="D160" t="s">
        <v>81</v>
      </c>
      <c r="E160">
        <v>10000000</v>
      </c>
      <c r="H160">
        <v>1.69</v>
      </c>
      <c r="I160" t="s">
        <v>56</v>
      </c>
      <c r="J160">
        <v>1.6899999999999999E-4</v>
      </c>
      <c r="K160" t="s">
        <v>57</v>
      </c>
      <c r="N160" t="s">
        <v>314</v>
      </c>
      <c r="O160">
        <v>1500</v>
      </c>
      <c r="P160" t="s">
        <v>315</v>
      </c>
      <c r="S160" t="s">
        <v>316</v>
      </c>
      <c r="T160">
        <v>25</v>
      </c>
      <c r="U160" t="s">
        <v>120</v>
      </c>
      <c r="V160">
        <v>75</v>
      </c>
      <c r="W160" t="s">
        <v>73</v>
      </c>
      <c r="X160" t="s">
        <v>280</v>
      </c>
      <c r="Y160">
        <v>120</v>
      </c>
      <c r="AB160">
        <v>6.6303708588028004E-2</v>
      </c>
      <c r="AC160" t="s">
        <v>62</v>
      </c>
      <c r="AH160">
        <v>6.26566927449967</v>
      </c>
      <c r="AI160" t="s">
        <v>317</v>
      </c>
      <c r="AT160" t="s">
        <v>73</v>
      </c>
      <c r="AV160" t="s">
        <v>88</v>
      </c>
      <c r="AW160">
        <v>1500</v>
      </c>
      <c r="BA160">
        <v>6.26566927449967</v>
      </c>
    </row>
    <row r="161" spans="1:53" hidden="1" x14ac:dyDescent="0.3">
      <c r="A161" t="s">
        <v>313</v>
      </c>
      <c r="C161" t="s">
        <v>251</v>
      </c>
      <c r="D161" t="s">
        <v>81</v>
      </c>
      <c r="E161">
        <v>10000000</v>
      </c>
      <c r="H161">
        <v>1.69</v>
      </c>
      <c r="I161" t="s">
        <v>56</v>
      </c>
      <c r="J161">
        <v>1.6899999999999999E-4</v>
      </c>
      <c r="K161" t="s">
        <v>57</v>
      </c>
      <c r="N161" t="s">
        <v>314</v>
      </c>
      <c r="O161">
        <v>1000</v>
      </c>
      <c r="P161" t="s">
        <v>315</v>
      </c>
      <c r="S161" t="s">
        <v>316</v>
      </c>
      <c r="T161">
        <v>25</v>
      </c>
      <c r="U161" t="s">
        <v>120</v>
      </c>
      <c r="V161">
        <v>75</v>
      </c>
      <c r="W161" t="s">
        <v>73</v>
      </c>
      <c r="X161" t="s">
        <v>280</v>
      </c>
      <c r="Y161">
        <v>180</v>
      </c>
      <c r="AA161" t="s">
        <v>128</v>
      </c>
      <c r="AB161">
        <v>0</v>
      </c>
      <c r="AC161" t="s">
        <v>62</v>
      </c>
      <c r="AH161">
        <v>6.5591395933206202</v>
      </c>
      <c r="AI161" t="s">
        <v>317</v>
      </c>
      <c r="AT161" t="s">
        <v>73</v>
      </c>
      <c r="AV161" t="s">
        <v>88</v>
      </c>
      <c r="AW161">
        <v>1000</v>
      </c>
      <c r="AZ161">
        <v>0</v>
      </c>
      <c r="BA161">
        <v>6.5591395933206202</v>
      </c>
    </row>
    <row r="162" spans="1:53" hidden="1" x14ac:dyDescent="0.3">
      <c r="A162" t="s">
        <v>313</v>
      </c>
      <c r="C162" t="s">
        <v>251</v>
      </c>
      <c r="D162" t="s">
        <v>81</v>
      </c>
      <c r="E162">
        <v>10000000</v>
      </c>
      <c r="H162">
        <v>1.69</v>
      </c>
      <c r="I162" t="s">
        <v>56</v>
      </c>
      <c r="J162">
        <v>1.6899999999999999E-4</v>
      </c>
      <c r="K162" t="s">
        <v>57</v>
      </c>
      <c r="N162" t="s">
        <v>314</v>
      </c>
      <c r="O162">
        <v>1500</v>
      </c>
      <c r="P162" t="s">
        <v>315</v>
      </c>
      <c r="S162" t="s">
        <v>316</v>
      </c>
      <c r="T162">
        <v>25</v>
      </c>
      <c r="U162" t="s">
        <v>120</v>
      </c>
      <c r="V162">
        <v>75</v>
      </c>
      <c r="W162" t="s">
        <v>73</v>
      </c>
      <c r="X162" t="s">
        <v>280</v>
      </c>
      <c r="Y162">
        <v>180</v>
      </c>
      <c r="AA162" t="s">
        <v>128</v>
      </c>
      <c r="AB162">
        <v>0</v>
      </c>
      <c r="AC162" t="s">
        <v>62</v>
      </c>
      <c r="AH162">
        <v>6.26566927449967</v>
      </c>
      <c r="AI162" t="s">
        <v>317</v>
      </c>
      <c r="AT162" t="s">
        <v>73</v>
      </c>
      <c r="AV162" t="s">
        <v>88</v>
      </c>
      <c r="AW162">
        <v>1500</v>
      </c>
      <c r="AZ162">
        <v>0</v>
      </c>
      <c r="BA162">
        <v>6.26566927449967</v>
      </c>
    </row>
    <row r="163" spans="1:53" hidden="1" x14ac:dyDescent="0.3">
      <c r="A163" t="s">
        <v>313</v>
      </c>
      <c r="C163" t="s">
        <v>251</v>
      </c>
      <c r="D163" t="s">
        <v>81</v>
      </c>
      <c r="E163">
        <v>10000000</v>
      </c>
      <c r="H163">
        <v>1.69</v>
      </c>
      <c r="I163" t="s">
        <v>56</v>
      </c>
      <c r="J163">
        <v>1.6899999999999999E-4</v>
      </c>
      <c r="K163" t="s">
        <v>57</v>
      </c>
      <c r="N163" t="s">
        <v>314</v>
      </c>
      <c r="O163">
        <v>1000</v>
      </c>
      <c r="P163" t="s">
        <v>315</v>
      </c>
      <c r="S163" t="s">
        <v>316</v>
      </c>
      <c r="T163">
        <v>25</v>
      </c>
      <c r="U163" t="s">
        <v>120</v>
      </c>
      <c r="V163">
        <v>75</v>
      </c>
      <c r="W163" t="s">
        <v>73</v>
      </c>
      <c r="X163" t="s">
        <v>280</v>
      </c>
      <c r="Y163">
        <v>300</v>
      </c>
      <c r="AA163" t="s">
        <v>128</v>
      </c>
      <c r="AB163">
        <v>0</v>
      </c>
      <c r="AC163" t="s">
        <v>62</v>
      </c>
      <c r="AH163">
        <v>6.5591395933206202</v>
      </c>
      <c r="AI163" t="s">
        <v>317</v>
      </c>
      <c r="AT163" t="s">
        <v>73</v>
      </c>
      <c r="AV163" t="s">
        <v>88</v>
      </c>
      <c r="AW163">
        <v>1000</v>
      </c>
      <c r="AZ163">
        <v>0</v>
      </c>
      <c r="BA163">
        <v>6.5591395933206202</v>
      </c>
    </row>
    <row r="164" spans="1:53" hidden="1" x14ac:dyDescent="0.3">
      <c r="A164" t="s">
        <v>313</v>
      </c>
      <c r="C164" t="s">
        <v>251</v>
      </c>
      <c r="D164" t="s">
        <v>81</v>
      </c>
      <c r="E164">
        <v>10000000</v>
      </c>
      <c r="H164">
        <v>1.69</v>
      </c>
      <c r="I164" t="s">
        <v>56</v>
      </c>
      <c r="J164">
        <v>1.6899999999999999E-4</v>
      </c>
      <c r="K164" t="s">
        <v>57</v>
      </c>
      <c r="N164" t="s">
        <v>314</v>
      </c>
      <c r="O164">
        <v>1500</v>
      </c>
      <c r="P164" t="s">
        <v>315</v>
      </c>
      <c r="S164" t="s">
        <v>316</v>
      </c>
      <c r="T164">
        <v>25</v>
      </c>
      <c r="U164" t="s">
        <v>120</v>
      </c>
      <c r="V164">
        <v>75</v>
      </c>
      <c r="W164" t="s">
        <v>73</v>
      </c>
      <c r="X164" t="s">
        <v>280</v>
      </c>
      <c r="Y164">
        <v>300</v>
      </c>
      <c r="AA164" t="s">
        <v>128</v>
      </c>
      <c r="AB164">
        <v>0</v>
      </c>
      <c r="AC164" t="s">
        <v>62</v>
      </c>
      <c r="AH164">
        <v>6.26566927449967</v>
      </c>
      <c r="AI164" t="s">
        <v>317</v>
      </c>
      <c r="AT164" t="s">
        <v>73</v>
      </c>
      <c r="AV164" t="s">
        <v>88</v>
      </c>
      <c r="AW164">
        <v>1500</v>
      </c>
      <c r="AZ164">
        <v>0</v>
      </c>
      <c r="BA164">
        <v>6.26566927449967</v>
      </c>
    </row>
    <row r="165" spans="1:53" hidden="1" x14ac:dyDescent="0.3">
      <c r="A165" t="s">
        <v>313</v>
      </c>
      <c r="C165" t="s">
        <v>251</v>
      </c>
      <c r="D165" t="s">
        <v>81</v>
      </c>
      <c r="E165">
        <v>10000000</v>
      </c>
      <c r="H165">
        <v>1.69</v>
      </c>
      <c r="I165" t="s">
        <v>56</v>
      </c>
      <c r="J165">
        <v>1.6899999999999999E-4</v>
      </c>
      <c r="K165" t="s">
        <v>57</v>
      </c>
      <c r="N165" t="s">
        <v>314</v>
      </c>
      <c r="O165">
        <v>1000</v>
      </c>
      <c r="P165" t="s">
        <v>315</v>
      </c>
      <c r="S165" t="s">
        <v>316</v>
      </c>
      <c r="T165">
        <v>25</v>
      </c>
      <c r="U165" t="s">
        <v>120</v>
      </c>
      <c r="V165">
        <v>75</v>
      </c>
      <c r="W165" t="s">
        <v>73</v>
      </c>
      <c r="X165" t="s">
        <v>280</v>
      </c>
      <c r="Y165">
        <v>420</v>
      </c>
      <c r="AA165" t="s">
        <v>128</v>
      </c>
      <c r="AB165">
        <v>0</v>
      </c>
      <c r="AC165" t="s">
        <v>62</v>
      </c>
      <c r="AH165">
        <v>6.5591395933206202</v>
      </c>
      <c r="AI165" t="s">
        <v>317</v>
      </c>
      <c r="AT165" t="s">
        <v>73</v>
      </c>
      <c r="AV165" t="s">
        <v>88</v>
      </c>
      <c r="AW165">
        <v>1000</v>
      </c>
      <c r="AZ165">
        <v>0</v>
      </c>
      <c r="BA165">
        <v>6.5591395933206202</v>
      </c>
    </row>
    <row r="166" spans="1:53" hidden="1" x14ac:dyDescent="0.3">
      <c r="A166" t="s">
        <v>313</v>
      </c>
      <c r="C166" t="s">
        <v>251</v>
      </c>
      <c r="D166" t="s">
        <v>81</v>
      </c>
      <c r="E166">
        <v>10000000</v>
      </c>
      <c r="H166">
        <v>1.69</v>
      </c>
      <c r="I166" t="s">
        <v>56</v>
      </c>
      <c r="J166">
        <v>1.6899999999999999E-4</v>
      </c>
      <c r="K166" t="s">
        <v>57</v>
      </c>
      <c r="N166" t="s">
        <v>314</v>
      </c>
      <c r="O166">
        <v>1500</v>
      </c>
      <c r="P166" t="s">
        <v>315</v>
      </c>
      <c r="S166" t="s">
        <v>316</v>
      </c>
      <c r="T166">
        <v>25</v>
      </c>
      <c r="U166" t="s">
        <v>120</v>
      </c>
      <c r="V166">
        <v>75</v>
      </c>
      <c r="W166" t="s">
        <v>73</v>
      </c>
      <c r="X166" t="s">
        <v>280</v>
      </c>
      <c r="Y166">
        <v>420</v>
      </c>
      <c r="AA166" t="s">
        <v>128</v>
      </c>
      <c r="AB166">
        <v>0</v>
      </c>
      <c r="AC166" t="s">
        <v>62</v>
      </c>
      <c r="AH166">
        <v>6.26566927449967</v>
      </c>
      <c r="AI166" t="s">
        <v>317</v>
      </c>
      <c r="AT166" t="s">
        <v>73</v>
      </c>
      <c r="AV166" t="s">
        <v>88</v>
      </c>
      <c r="AW166">
        <v>1500</v>
      </c>
      <c r="AZ166">
        <v>0</v>
      </c>
      <c r="BA166">
        <v>6.26566927449967</v>
      </c>
    </row>
    <row r="167" spans="1:53" hidden="1" x14ac:dyDescent="0.3">
      <c r="A167" t="s">
        <v>313</v>
      </c>
      <c r="C167" t="s">
        <v>251</v>
      </c>
      <c r="D167" t="s">
        <v>81</v>
      </c>
      <c r="E167">
        <v>10000000</v>
      </c>
      <c r="H167">
        <v>1.69</v>
      </c>
      <c r="I167" t="s">
        <v>56</v>
      </c>
      <c r="J167">
        <v>1.6899999999999999E-4</v>
      </c>
      <c r="K167" t="s">
        <v>57</v>
      </c>
      <c r="N167" t="s">
        <v>314</v>
      </c>
      <c r="O167">
        <v>1000</v>
      </c>
      <c r="P167" t="s">
        <v>315</v>
      </c>
      <c r="S167" t="s">
        <v>316</v>
      </c>
      <c r="T167">
        <v>25</v>
      </c>
      <c r="U167" t="s">
        <v>120</v>
      </c>
      <c r="V167">
        <v>75</v>
      </c>
      <c r="W167" t="s">
        <v>73</v>
      </c>
      <c r="X167" t="s">
        <v>280</v>
      </c>
      <c r="Y167">
        <v>540</v>
      </c>
      <c r="AA167" t="s">
        <v>128</v>
      </c>
      <c r="AB167">
        <v>0</v>
      </c>
      <c r="AC167" t="s">
        <v>62</v>
      </c>
      <c r="AH167">
        <v>6.5591395933206202</v>
      </c>
      <c r="AI167" t="s">
        <v>317</v>
      </c>
      <c r="AT167" t="s">
        <v>73</v>
      </c>
      <c r="AV167" t="s">
        <v>88</v>
      </c>
      <c r="AW167">
        <v>1000</v>
      </c>
      <c r="AZ167">
        <v>0</v>
      </c>
      <c r="BA167">
        <v>6.5591395933206202</v>
      </c>
    </row>
    <row r="168" spans="1:53" hidden="1" x14ac:dyDescent="0.3">
      <c r="A168" t="s">
        <v>313</v>
      </c>
      <c r="C168" t="s">
        <v>251</v>
      </c>
      <c r="D168" t="s">
        <v>81</v>
      </c>
      <c r="E168">
        <v>10000000</v>
      </c>
      <c r="H168">
        <v>1.69</v>
      </c>
      <c r="I168" t="s">
        <v>56</v>
      </c>
      <c r="J168">
        <v>1.6899999999999999E-4</v>
      </c>
      <c r="K168" t="s">
        <v>57</v>
      </c>
      <c r="N168" t="s">
        <v>314</v>
      </c>
      <c r="O168">
        <v>1500</v>
      </c>
      <c r="P168" t="s">
        <v>315</v>
      </c>
      <c r="S168" t="s">
        <v>316</v>
      </c>
      <c r="T168">
        <v>25</v>
      </c>
      <c r="U168" t="s">
        <v>120</v>
      </c>
      <c r="V168">
        <v>75</v>
      </c>
      <c r="W168" t="s">
        <v>73</v>
      </c>
      <c r="X168" t="s">
        <v>280</v>
      </c>
      <c r="Y168">
        <v>540</v>
      </c>
      <c r="AA168" t="s">
        <v>128</v>
      </c>
      <c r="AB168">
        <v>0</v>
      </c>
      <c r="AC168" t="s">
        <v>62</v>
      </c>
      <c r="AH168">
        <v>6.26566927449967</v>
      </c>
      <c r="AI168" t="s">
        <v>317</v>
      </c>
      <c r="AT168" t="s">
        <v>73</v>
      </c>
      <c r="AV168" t="s">
        <v>88</v>
      </c>
      <c r="AW168">
        <v>1500</v>
      </c>
      <c r="AZ168">
        <v>0</v>
      </c>
      <c r="BA168">
        <v>6.26566927449967</v>
      </c>
    </row>
    <row r="169" spans="1:53" hidden="1" x14ac:dyDescent="0.3">
      <c r="A169" t="s">
        <v>313</v>
      </c>
      <c r="C169" t="s">
        <v>251</v>
      </c>
      <c r="D169" t="s">
        <v>81</v>
      </c>
      <c r="E169">
        <v>10000000</v>
      </c>
      <c r="H169">
        <v>1.69</v>
      </c>
      <c r="I169" t="s">
        <v>56</v>
      </c>
      <c r="J169">
        <v>1.6899999999999999E-4</v>
      </c>
      <c r="K169" t="s">
        <v>57</v>
      </c>
      <c r="N169" t="s">
        <v>314</v>
      </c>
      <c r="O169">
        <v>1000</v>
      </c>
      <c r="P169" t="s">
        <v>315</v>
      </c>
      <c r="S169" t="s">
        <v>316</v>
      </c>
      <c r="T169">
        <v>25</v>
      </c>
      <c r="U169" t="s">
        <v>120</v>
      </c>
      <c r="V169">
        <v>75</v>
      </c>
      <c r="W169" t="s">
        <v>318</v>
      </c>
      <c r="X169" t="s">
        <v>280</v>
      </c>
      <c r="Y169">
        <v>0</v>
      </c>
      <c r="AB169">
        <v>6.9801136363636198</v>
      </c>
      <c r="AC169" t="s">
        <v>62</v>
      </c>
      <c r="AH169">
        <v>6.9801136363636198</v>
      </c>
      <c r="AI169" t="s">
        <v>317</v>
      </c>
      <c r="AT169" t="s">
        <v>318</v>
      </c>
      <c r="AV169" t="s">
        <v>88</v>
      </c>
      <c r="AW169">
        <v>1000</v>
      </c>
      <c r="BA169">
        <v>6.9801136363636198</v>
      </c>
    </row>
    <row r="170" spans="1:53" hidden="1" x14ac:dyDescent="0.3">
      <c r="A170" t="s">
        <v>313</v>
      </c>
      <c r="C170" t="s">
        <v>251</v>
      </c>
      <c r="D170" t="s">
        <v>81</v>
      </c>
      <c r="E170">
        <v>10000000</v>
      </c>
      <c r="H170">
        <v>1.69</v>
      </c>
      <c r="I170" t="s">
        <v>56</v>
      </c>
      <c r="J170">
        <v>1.6899999999999999E-4</v>
      </c>
      <c r="K170" t="s">
        <v>57</v>
      </c>
      <c r="N170" t="s">
        <v>314</v>
      </c>
      <c r="O170">
        <v>1500</v>
      </c>
      <c r="P170" t="s">
        <v>315</v>
      </c>
      <c r="S170" t="s">
        <v>316</v>
      </c>
      <c r="T170">
        <v>25</v>
      </c>
      <c r="U170" t="s">
        <v>120</v>
      </c>
      <c r="V170">
        <v>75</v>
      </c>
      <c r="W170" t="s">
        <v>318</v>
      </c>
      <c r="X170" t="s">
        <v>280</v>
      </c>
      <c r="Y170">
        <v>0</v>
      </c>
      <c r="AB170">
        <v>6.9005681818181701</v>
      </c>
      <c r="AC170" t="s">
        <v>62</v>
      </c>
      <c r="AH170">
        <v>6.9005681818181701</v>
      </c>
      <c r="AI170" t="s">
        <v>317</v>
      </c>
      <c r="AT170" t="s">
        <v>318</v>
      </c>
      <c r="AV170" t="s">
        <v>88</v>
      </c>
      <c r="AW170">
        <v>1500</v>
      </c>
      <c r="BA170">
        <v>6.9005681818181701</v>
      </c>
    </row>
    <row r="171" spans="1:53" hidden="1" x14ac:dyDescent="0.3">
      <c r="A171" t="s">
        <v>313</v>
      </c>
      <c r="C171" t="s">
        <v>251</v>
      </c>
      <c r="D171" t="s">
        <v>81</v>
      </c>
      <c r="E171">
        <v>10000000</v>
      </c>
      <c r="H171">
        <v>1.69</v>
      </c>
      <c r="I171" t="s">
        <v>56</v>
      </c>
      <c r="J171">
        <v>1.6899999999999999E-4</v>
      </c>
      <c r="K171" t="s">
        <v>57</v>
      </c>
      <c r="N171" t="s">
        <v>314</v>
      </c>
      <c r="O171">
        <v>1000</v>
      </c>
      <c r="P171" t="s">
        <v>315</v>
      </c>
      <c r="S171" t="s">
        <v>316</v>
      </c>
      <c r="T171">
        <v>25</v>
      </c>
      <c r="U171" t="s">
        <v>120</v>
      </c>
      <c r="V171">
        <v>75</v>
      </c>
      <c r="W171" t="s">
        <v>318</v>
      </c>
      <c r="X171" t="s">
        <v>280</v>
      </c>
      <c r="Y171">
        <v>30</v>
      </c>
      <c r="AB171">
        <v>3.8977272727272601</v>
      </c>
      <c r="AC171" t="s">
        <v>62</v>
      </c>
      <c r="AH171">
        <v>6.9801136363636198</v>
      </c>
      <c r="AI171" t="s">
        <v>317</v>
      </c>
      <c r="AT171" t="s">
        <v>318</v>
      </c>
      <c r="AV171" t="s">
        <v>88</v>
      </c>
      <c r="AW171">
        <v>1000</v>
      </c>
      <c r="BA171">
        <v>6.9801136363636198</v>
      </c>
    </row>
    <row r="172" spans="1:53" hidden="1" x14ac:dyDescent="0.3">
      <c r="A172" t="s">
        <v>313</v>
      </c>
      <c r="C172" t="s">
        <v>251</v>
      </c>
      <c r="D172" t="s">
        <v>81</v>
      </c>
      <c r="E172">
        <v>10000000</v>
      </c>
      <c r="H172">
        <v>1.69</v>
      </c>
      <c r="I172" t="s">
        <v>56</v>
      </c>
      <c r="J172">
        <v>1.6899999999999999E-4</v>
      </c>
      <c r="K172" t="s">
        <v>57</v>
      </c>
      <c r="N172" t="s">
        <v>314</v>
      </c>
      <c r="O172">
        <v>1500</v>
      </c>
      <c r="P172" t="s">
        <v>315</v>
      </c>
      <c r="S172" t="s">
        <v>316</v>
      </c>
      <c r="T172">
        <v>25</v>
      </c>
      <c r="U172" t="s">
        <v>120</v>
      </c>
      <c r="V172">
        <v>75</v>
      </c>
      <c r="W172" t="s">
        <v>318</v>
      </c>
      <c r="X172" t="s">
        <v>280</v>
      </c>
      <c r="Y172">
        <v>30</v>
      </c>
      <c r="AB172">
        <v>2.9034090909090802</v>
      </c>
      <c r="AC172" t="s">
        <v>62</v>
      </c>
      <c r="AH172">
        <v>6.9005681818181701</v>
      </c>
      <c r="AI172" t="s">
        <v>317</v>
      </c>
      <c r="AT172" t="s">
        <v>318</v>
      </c>
      <c r="AV172" t="s">
        <v>88</v>
      </c>
      <c r="AW172">
        <v>1500</v>
      </c>
      <c r="BA172">
        <v>6.9005681818181701</v>
      </c>
    </row>
    <row r="173" spans="1:53" hidden="1" x14ac:dyDescent="0.3">
      <c r="A173" t="s">
        <v>313</v>
      </c>
      <c r="C173" t="s">
        <v>251</v>
      </c>
      <c r="D173" t="s">
        <v>81</v>
      </c>
      <c r="E173">
        <v>10000000</v>
      </c>
      <c r="H173">
        <v>1.69</v>
      </c>
      <c r="I173" t="s">
        <v>56</v>
      </c>
      <c r="J173">
        <v>1.6899999999999999E-4</v>
      </c>
      <c r="K173" t="s">
        <v>57</v>
      </c>
      <c r="N173" t="s">
        <v>314</v>
      </c>
      <c r="O173">
        <v>1000</v>
      </c>
      <c r="P173" t="s">
        <v>315</v>
      </c>
      <c r="S173" t="s">
        <v>316</v>
      </c>
      <c r="T173">
        <v>25</v>
      </c>
      <c r="U173" t="s">
        <v>120</v>
      </c>
      <c r="V173">
        <v>75</v>
      </c>
      <c r="W173" t="s">
        <v>318</v>
      </c>
      <c r="X173" t="s">
        <v>280</v>
      </c>
      <c r="Y173">
        <v>60</v>
      </c>
      <c r="AB173">
        <v>2.7443181818181701</v>
      </c>
      <c r="AC173" t="s">
        <v>62</v>
      </c>
      <c r="AH173">
        <v>6.9801136363636198</v>
      </c>
      <c r="AI173" t="s">
        <v>317</v>
      </c>
      <c r="AT173" t="s">
        <v>318</v>
      </c>
      <c r="AV173" t="s">
        <v>88</v>
      </c>
      <c r="AW173">
        <v>1000</v>
      </c>
      <c r="BA173">
        <v>6.9801136363636198</v>
      </c>
    </row>
    <row r="174" spans="1:53" hidden="1" x14ac:dyDescent="0.3">
      <c r="A174" t="s">
        <v>313</v>
      </c>
      <c r="C174" t="s">
        <v>251</v>
      </c>
      <c r="D174" t="s">
        <v>81</v>
      </c>
      <c r="E174">
        <v>10000000</v>
      </c>
      <c r="H174">
        <v>1.69</v>
      </c>
      <c r="I174" t="s">
        <v>56</v>
      </c>
      <c r="J174">
        <v>1.6899999999999999E-4</v>
      </c>
      <c r="K174" t="s">
        <v>57</v>
      </c>
      <c r="N174" t="s">
        <v>314</v>
      </c>
      <c r="O174">
        <v>1500</v>
      </c>
      <c r="P174" t="s">
        <v>315</v>
      </c>
      <c r="S174" t="s">
        <v>316</v>
      </c>
      <c r="T174">
        <v>25</v>
      </c>
      <c r="U174" t="s">
        <v>120</v>
      </c>
      <c r="V174">
        <v>75</v>
      </c>
      <c r="W174" t="s">
        <v>318</v>
      </c>
      <c r="X174" t="s">
        <v>280</v>
      </c>
      <c r="Y174">
        <v>60</v>
      </c>
      <c r="AB174">
        <v>1.13352272727272</v>
      </c>
      <c r="AC174" t="s">
        <v>62</v>
      </c>
      <c r="AH174">
        <v>6.9005681818181701</v>
      </c>
      <c r="AI174" t="s">
        <v>317</v>
      </c>
      <c r="AT174" t="s">
        <v>318</v>
      </c>
      <c r="AV174" t="s">
        <v>88</v>
      </c>
      <c r="AW174">
        <v>1500</v>
      </c>
      <c r="BA174">
        <v>6.9005681818181701</v>
      </c>
    </row>
    <row r="175" spans="1:53" hidden="1" x14ac:dyDescent="0.3">
      <c r="A175" t="s">
        <v>313</v>
      </c>
      <c r="C175" t="s">
        <v>251</v>
      </c>
      <c r="D175" t="s">
        <v>81</v>
      </c>
      <c r="E175">
        <v>10000000</v>
      </c>
      <c r="H175">
        <v>1.69</v>
      </c>
      <c r="I175" t="s">
        <v>56</v>
      </c>
      <c r="J175">
        <v>1.6899999999999999E-4</v>
      </c>
      <c r="K175" t="s">
        <v>57</v>
      </c>
      <c r="N175" t="s">
        <v>314</v>
      </c>
      <c r="O175">
        <v>1000</v>
      </c>
      <c r="P175" t="s">
        <v>315</v>
      </c>
      <c r="S175" t="s">
        <v>316</v>
      </c>
      <c r="T175">
        <v>25</v>
      </c>
      <c r="U175" t="s">
        <v>120</v>
      </c>
      <c r="V175">
        <v>75</v>
      </c>
      <c r="W175" t="s">
        <v>318</v>
      </c>
      <c r="X175" t="s">
        <v>280</v>
      </c>
      <c r="Y175">
        <v>120</v>
      </c>
      <c r="AB175">
        <v>0.81534090909090695</v>
      </c>
      <c r="AC175" t="s">
        <v>62</v>
      </c>
      <c r="AH175">
        <v>6.9801136363636198</v>
      </c>
      <c r="AI175" t="s">
        <v>317</v>
      </c>
      <c r="AT175" t="s">
        <v>318</v>
      </c>
      <c r="AV175" t="s">
        <v>88</v>
      </c>
      <c r="AW175">
        <v>1000</v>
      </c>
      <c r="BA175">
        <v>6.9801136363636198</v>
      </c>
    </row>
    <row r="176" spans="1:53" hidden="1" x14ac:dyDescent="0.3">
      <c r="A176" t="s">
        <v>313</v>
      </c>
      <c r="C176" t="s">
        <v>251</v>
      </c>
      <c r="D176" t="s">
        <v>81</v>
      </c>
      <c r="E176">
        <v>10000000</v>
      </c>
      <c r="H176">
        <v>1.69</v>
      </c>
      <c r="I176" t="s">
        <v>56</v>
      </c>
      <c r="J176">
        <v>1.6899999999999999E-4</v>
      </c>
      <c r="K176" t="s">
        <v>57</v>
      </c>
      <c r="N176" t="s">
        <v>314</v>
      </c>
      <c r="O176">
        <v>1500</v>
      </c>
      <c r="P176" t="s">
        <v>315</v>
      </c>
      <c r="S176" t="s">
        <v>316</v>
      </c>
      <c r="T176">
        <v>25</v>
      </c>
      <c r="U176" t="s">
        <v>120</v>
      </c>
      <c r="V176">
        <v>75</v>
      </c>
      <c r="W176" t="s">
        <v>318</v>
      </c>
      <c r="X176" t="s">
        <v>280</v>
      </c>
      <c r="Y176">
        <v>120</v>
      </c>
      <c r="AB176">
        <v>0.35795454545454602</v>
      </c>
      <c r="AC176" t="s">
        <v>62</v>
      </c>
      <c r="AH176">
        <v>6.9005681818181701</v>
      </c>
      <c r="AI176" t="s">
        <v>317</v>
      </c>
      <c r="AT176" t="s">
        <v>318</v>
      </c>
      <c r="AV176" t="s">
        <v>88</v>
      </c>
      <c r="AW176">
        <v>1500</v>
      </c>
      <c r="BA176">
        <v>6.9005681818181701</v>
      </c>
    </row>
    <row r="177" spans="1:53" hidden="1" x14ac:dyDescent="0.3">
      <c r="A177" t="s">
        <v>313</v>
      </c>
      <c r="C177" t="s">
        <v>251</v>
      </c>
      <c r="D177" t="s">
        <v>81</v>
      </c>
      <c r="E177">
        <v>10000000</v>
      </c>
      <c r="H177">
        <v>1.69</v>
      </c>
      <c r="I177" t="s">
        <v>56</v>
      </c>
      <c r="J177">
        <v>1.6899999999999999E-4</v>
      </c>
      <c r="K177" t="s">
        <v>57</v>
      </c>
      <c r="N177" t="s">
        <v>314</v>
      </c>
      <c r="O177">
        <v>1000</v>
      </c>
      <c r="P177" t="s">
        <v>315</v>
      </c>
      <c r="S177" t="s">
        <v>316</v>
      </c>
      <c r="T177">
        <v>25</v>
      </c>
      <c r="U177" t="s">
        <v>120</v>
      </c>
      <c r="V177">
        <v>75</v>
      </c>
      <c r="W177" t="s">
        <v>318</v>
      </c>
      <c r="X177" t="s">
        <v>280</v>
      </c>
      <c r="Y177">
        <v>180</v>
      </c>
      <c r="AB177">
        <v>0.23863636363636301</v>
      </c>
      <c r="AC177" t="s">
        <v>62</v>
      </c>
      <c r="AH177">
        <v>6.9801136363636198</v>
      </c>
      <c r="AI177" t="s">
        <v>317</v>
      </c>
      <c r="AT177" t="s">
        <v>318</v>
      </c>
      <c r="AV177" t="s">
        <v>88</v>
      </c>
      <c r="AW177">
        <v>1000</v>
      </c>
      <c r="BA177">
        <v>6.9801136363636198</v>
      </c>
    </row>
    <row r="178" spans="1:53" hidden="1" x14ac:dyDescent="0.3">
      <c r="A178" t="s">
        <v>313</v>
      </c>
      <c r="C178" t="s">
        <v>251</v>
      </c>
      <c r="D178" t="s">
        <v>81</v>
      </c>
      <c r="E178">
        <v>10000000</v>
      </c>
      <c r="H178">
        <v>1.69</v>
      </c>
      <c r="I178" t="s">
        <v>56</v>
      </c>
      <c r="J178">
        <v>1.6899999999999999E-4</v>
      </c>
      <c r="K178" t="s">
        <v>57</v>
      </c>
      <c r="N178" t="s">
        <v>314</v>
      </c>
      <c r="O178">
        <v>1500</v>
      </c>
      <c r="P178" t="s">
        <v>315</v>
      </c>
      <c r="S178" t="s">
        <v>316</v>
      </c>
      <c r="T178">
        <v>25</v>
      </c>
      <c r="U178" t="s">
        <v>120</v>
      </c>
      <c r="V178">
        <v>75</v>
      </c>
      <c r="W178" t="s">
        <v>318</v>
      </c>
      <c r="X178" t="s">
        <v>280</v>
      </c>
      <c r="Y178">
        <v>180</v>
      </c>
      <c r="AA178" t="s">
        <v>128</v>
      </c>
      <c r="AB178">
        <v>0</v>
      </c>
      <c r="AC178" t="s">
        <v>62</v>
      </c>
      <c r="AH178">
        <v>6.9005681818181701</v>
      </c>
      <c r="AI178" t="s">
        <v>317</v>
      </c>
      <c r="AT178" t="s">
        <v>318</v>
      </c>
      <c r="AV178" t="s">
        <v>88</v>
      </c>
      <c r="AW178">
        <v>1500</v>
      </c>
      <c r="AZ178">
        <v>0</v>
      </c>
      <c r="BA178">
        <v>6.9005681818181701</v>
      </c>
    </row>
    <row r="179" spans="1:53" hidden="1" x14ac:dyDescent="0.3">
      <c r="A179" t="s">
        <v>313</v>
      </c>
      <c r="C179" t="s">
        <v>251</v>
      </c>
      <c r="D179" t="s">
        <v>81</v>
      </c>
      <c r="E179">
        <v>10000000</v>
      </c>
      <c r="H179">
        <v>1.69</v>
      </c>
      <c r="I179" t="s">
        <v>56</v>
      </c>
      <c r="J179">
        <v>1.6899999999999999E-4</v>
      </c>
      <c r="K179" t="s">
        <v>57</v>
      </c>
      <c r="N179" t="s">
        <v>314</v>
      </c>
      <c r="O179">
        <v>1000</v>
      </c>
      <c r="P179" t="s">
        <v>315</v>
      </c>
      <c r="S179" t="s">
        <v>316</v>
      </c>
      <c r="T179">
        <v>25</v>
      </c>
      <c r="U179" t="s">
        <v>120</v>
      </c>
      <c r="V179">
        <v>75</v>
      </c>
      <c r="W179" t="s">
        <v>318</v>
      </c>
      <c r="X179" t="s">
        <v>280</v>
      </c>
      <c r="Y179">
        <v>300</v>
      </c>
      <c r="AA179" t="s">
        <v>128</v>
      </c>
      <c r="AB179">
        <v>0</v>
      </c>
      <c r="AC179" t="s">
        <v>62</v>
      </c>
      <c r="AH179">
        <v>6.9801136363636198</v>
      </c>
      <c r="AI179" t="s">
        <v>317</v>
      </c>
      <c r="AT179" t="s">
        <v>318</v>
      </c>
      <c r="AV179" t="s">
        <v>88</v>
      </c>
      <c r="AW179">
        <v>1000</v>
      </c>
      <c r="AZ179">
        <v>0</v>
      </c>
      <c r="BA179">
        <v>6.9801136363636198</v>
      </c>
    </row>
    <row r="180" spans="1:53" hidden="1" x14ac:dyDescent="0.3">
      <c r="A180" t="s">
        <v>313</v>
      </c>
      <c r="C180" t="s">
        <v>251</v>
      </c>
      <c r="D180" t="s">
        <v>81</v>
      </c>
      <c r="E180">
        <v>10000000</v>
      </c>
      <c r="H180">
        <v>1.69</v>
      </c>
      <c r="I180" t="s">
        <v>56</v>
      </c>
      <c r="J180">
        <v>1.6899999999999999E-4</v>
      </c>
      <c r="K180" t="s">
        <v>57</v>
      </c>
      <c r="N180" t="s">
        <v>314</v>
      </c>
      <c r="O180">
        <v>1500</v>
      </c>
      <c r="P180" t="s">
        <v>315</v>
      </c>
      <c r="S180" t="s">
        <v>316</v>
      </c>
      <c r="T180">
        <v>25</v>
      </c>
      <c r="U180" t="s">
        <v>120</v>
      </c>
      <c r="V180">
        <v>75</v>
      </c>
      <c r="W180" t="s">
        <v>318</v>
      </c>
      <c r="X180" t="s">
        <v>280</v>
      </c>
      <c r="Y180">
        <v>300</v>
      </c>
      <c r="AA180" t="s">
        <v>128</v>
      </c>
      <c r="AB180">
        <v>0</v>
      </c>
      <c r="AC180" t="s">
        <v>62</v>
      </c>
      <c r="AH180">
        <v>6.9005681818181701</v>
      </c>
      <c r="AI180" t="s">
        <v>317</v>
      </c>
      <c r="AT180" t="s">
        <v>318</v>
      </c>
      <c r="AV180" t="s">
        <v>88</v>
      </c>
      <c r="AW180">
        <v>1500</v>
      </c>
      <c r="AZ180">
        <v>0</v>
      </c>
      <c r="BA180">
        <v>6.9005681818181701</v>
      </c>
    </row>
    <row r="181" spans="1:53" hidden="1" x14ac:dyDescent="0.3">
      <c r="A181" t="s">
        <v>313</v>
      </c>
      <c r="C181" t="s">
        <v>251</v>
      </c>
      <c r="D181" t="s">
        <v>81</v>
      </c>
      <c r="E181">
        <v>10000000</v>
      </c>
      <c r="H181">
        <v>1.69</v>
      </c>
      <c r="I181" t="s">
        <v>56</v>
      </c>
      <c r="J181">
        <v>1.6899999999999999E-4</v>
      </c>
      <c r="K181" t="s">
        <v>57</v>
      </c>
      <c r="N181" t="s">
        <v>314</v>
      </c>
      <c r="O181">
        <v>1000</v>
      </c>
      <c r="P181" t="s">
        <v>315</v>
      </c>
      <c r="S181" t="s">
        <v>316</v>
      </c>
      <c r="T181">
        <v>25</v>
      </c>
      <c r="U181" t="s">
        <v>120</v>
      </c>
      <c r="V181">
        <v>75</v>
      </c>
      <c r="W181" t="s">
        <v>318</v>
      </c>
      <c r="X181" t="s">
        <v>280</v>
      </c>
      <c r="Y181">
        <v>420</v>
      </c>
      <c r="AA181" t="s">
        <v>128</v>
      </c>
      <c r="AB181">
        <v>0</v>
      </c>
      <c r="AC181" t="s">
        <v>62</v>
      </c>
      <c r="AH181">
        <v>6.9801136363636198</v>
      </c>
      <c r="AI181" t="s">
        <v>317</v>
      </c>
      <c r="AT181" t="s">
        <v>318</v>
      </c>
      <c r="AV181" t="s">
        <v>88</v>
      </c>
      <c r="AW181">
        <v>1000</v>
      </c>
      <c r="AZ181">
        <v>0</v>
      </c>
      <c r="BA181">
        <v>6.9801136363636198</v>
      </c>
    </row>
    <row r="182" spans="1:53" hidden="1" x14ac:dyDescent="0.3">
      <c r="A182" t="s">
        <v>313</v>
      </c>
      <c r="C182" t="s">
        <v>251</v>
      </c>
      <c r="D182" t="s">
        <v>81</v>
      </c>
      <c r="E182">
        <v>10000000</v>
      </c>
      <c r="H182">
        <v>1.69</v>
      </c>
      <c r="I182" t="s">
        <v>56</v>
      </c>
      <c r="J182">
        <v>1.6899999999999999E-4</v>
      </c>
      <c r="K182" t="s">
        <v>57</v>
      </c>
      <c r="N182" t="s">
        <v>314</v>
      </c>
      <c r="O182">
        <v>1500</v>
      </c>
      <c r="P182" t="s">
        <v>315</v>
      </c>
      <c r="S182" t="s">
        <v>316</v>
      </c>
      <c r="T182">
        <v>25</v>
      </c>
      <c r="U182" t="s">
        <v>120</v>
      </c>
      <c r="V182">
        <v>75</v>
      </c>
      <c r="W182" t="s">
        <v>318</v>
      </c>
      <c r="X182" t="s">
        <v>280</v>
      </c>
      <c r="Y182">
        <v>420</v>
      </c>
      <c r="AB182">
        <v>9.9431818181817802E-2</v>
      </c>
      <c r="AC182" t="s">
        <v>62</v>
      </c>
      <c r="AH182">
        <v>6.9005681818181701</v>
      </c>
      <c r="AI182" t="s">
        <v>317</v>
      </c>
      <c r="AT182" t="s">
        <v>318</v>
      </c>
      <c r="AV182" t="s">
        <v>88</v>
      </c>
      <c r="AW182">
        <v>1500</v>
      </c>
      <c r="BA182">
        <v>6.9005681818181701</v>
      </c>
    </row>
    <row r="183" spans="1:53" hidden="1" x14ac:dyDescent="0.3">
      <c r="A183" t="s">
        <v>313</v>
      </c>
      <c r="C183" t="s">
        <v>251</v>
      </c>
      <c r="D183" t="s">
        <v>81</v>
      </c>
      <c r="E183">
        <v>10000000</v>
      </c>
      <c r="H183">
        <v>1.69</v>
      </c>
      <c r="I183" t="s">
        <v>56</v>
      </c>
      <c r="J183">
        <v>1.6899999999999999E-4</v>
      </c>
      <c r="K183" t="s">
        <v>57</v>
      </c>
      <c r="N183" t="s">
        <v>314</v>
      </c>
      <c r="O183">
        <v>1000</v>
      </c>
      <c r="P183" t="s">
        <v>315</v>
      </c>
      <c r="S183" t="s">
        <v>316</v>
      </c>
      <c r="T183">
        <v>25</v>
      </c>
      <c r="U183" t="s">
        <v>120</v>
      </c>
      <c r="V183">
        <v>75</v>
      </c>
      <c r="W183" t="s">
        <v>318</v>
      </c>
      <c r="X183" t="s">
        <v>280</v>
      </c>
      <c r="Y183">
        <v>540</v>
      </c>
      <c r="AA183" t="s">
        <v>128</v>
      </c>
      <c r="AB183">
        <v>0</v>
      </c>
      <c r="AC183" t="s">
        <v>62</v>
      </c>
      <c r="AH183">
        <v>6.9801136363636198</v>
      </c>
      <c r="AI183" t="s">
        <v>317</v>
      </c>
      <c r="AT183" t="s">
        <v>318</v>
      </c>
      <c r="AV183" t="s">
        <v>88</v>
      </c>
      <c r="AW183">
        <v>1000</v>
      </c>
      <c r="AZ183">
        <v>0</v>
      </c>
      <c r="BA183">
        <v>6.9801136363636198</v>
      </c>
    </row>
    <row r="184" spans="1:53" hidden="1" x14ac:dyDescent="0.3">
      <c r="A184" t="s">
        <v>313</v>
      </c>
      <c r="C184" t="s">
        <v>251</v>
      </c>
      <c r="D184" t="s">
        <v>81</v>
      </c>
      <c r="E184">
        <v>10000000</v>
      </c>
      <c r="H184">
        <v>1.69</v>
      </c>
      <c r="I184" t="s">
        <v>56</v>
      </c>
      <c r="J184">
        <v>1.6899999999999999E-4</v>
      </c>
      <c r="K184" t="s">
        <v>57</v>
      </c>
      <c r="N184" t="s">
        <v>314</v>
      </c>
      <c r="O184">
        <v>1500</v>
      </c>
      <c r="P184" t="s">
        <v>315</v>
      </c>
      <c r="S184" t="s">
        <v>316</v>
      </c>
      <c r="T184">
        <v>25</v>
      </c>
      <c r="U184" t="s">
        <v>120</v>
      </c>
      <c r="V184">
        <v>75</v>
      </c>
      <c r="W184" t="s">
        <v>318</v>
      </c>
      <c r="X184" t="s">
        <v>280</v>
      </c>
      <c r="Y184">
        <v>540</v>
      </c>
      <c r="AA184" t="s">
        <v>128</v>
      </c>
      <c r="AB184">
        <v>0</v>
      </c>
      <c r="AC184" t="s">
        <v>62</v>
      </c>
      <c r="AH184">
        <v>6.9005681818181701</v>
      </c>
      <c r="AI184" t="s">
        <v>317</v>
      </c>
      <c r="AT184" t="s">
        <v>318</v>
      </c>
      <c r="AV184" t="s">
        <v>88</v>
      </c>
      <c r="AW184">
        <v>1500</v>
      </c>
      <c r="AZ184">
        <v>0</v>
      </c>
      <c r="BA184">
        <v>6.9005681818181701</v>
      </c>
    </row>
    <row r="185" spans="1:53" hidden="1" x14ac:dyDescent="0.3">
      <c r="A185" t="s">
        <v>313</v>
      </c>
      <c r="C185" t="s">
        <v>251</v>
      </c>
      <c r="D185" t="s">
        <v>81</v>
      </c>
      <c r="E185">
        <v>10000000</v>
      </c>
      <c r="H185">
        <v>1.69</v>
      </c>
      <c r="I185" t="s">
        <v>56</v>
      </c>
      <c r="J185">
        <v>1.6899999999999999E-4</v>
      </c>
      <c r="K185" t="s">
        <v>57</v>
      </c>
      <c r="N185" t="s">
        <v>314</v>
      </c>
      <c r="O185">
        <v>1000</v>
      </c>
      <c r="P185" t="s">
        <v>315</v>
      </c>
      <c r="S185" t="s">
        <v>316</v>
      </c>
      <c r="T185">
        <v>25</v>
      </c>
      <c r="U185" t="s">
        <v>120</v>
      </c>
      <c r="V185">
        <v>75</v>
      </c>
      <c r="W185" t="s">
        <v>319</v>
      </c>
      <c r="X185" t="s">
        <v>280</v>
      </c>
      <c r="Y185">
        <v>0</v>
      </c>
      <c r="AB185">
        <v>6.74233128834355</v>
      </c>
      <c r="AC185" t="s">
        <v>62</v>
      </c>
      <c r="AH185">
        <v>6.74233128834355</v>
      </c>
      <c r="AI185" t="s">
        <v>317</v>
      </c>
      <c r="AT185" t="s">
        <v>77</v>
      </c>
      <c r="AV185" t="s">
        <v>88</v>
      </c>
      <c r="AW185">
        <v>1000</v>
      </c>
      <c r="BA185">
        <v>6.74233128834355</v>
      </c>
    </row>
    <row r="186" spans="1:53" hidden="1" x14ac:dyDescent="0.3">
      <c r="A186" t="s">
        <v>313</v>
      </c>
      <c r="C186" t="s">
        <v>251</v>
      </c>
      <c r="D186" t="s">
        <v>81</v>
      </c>
      <c r="E186">
        <v>10000000</v>
      </c>
      <c r="H186">
        <v>1.69</v>
      </c>
      <c r="I186" t="s">
        <v>56</v>
      </c>
      <c r="J186">
        <v>1.6899999999999999E-4</v>
      </c>
      <c r="K186" t="s">
        <v>57</v>
      </c>
      <c r="N186" t="s">
        <v>314</v>
      </c>
      <c r="O186">
        <v>1500</v>
      </c>
      <c r="P186" t="s">
        <v>315</v>
      </c>
      <c r="S186" t="s">
        <v>316</v>
      </c>
      <c r="T186">
        <v>25</v>
      </c>
      <c r="U186" t="s">
        <v>120</v>
      </c>
      <c r="V186">
        <v>75</v>
      </c>
      <c r="W186" t="s">
        <v>319</v>
      </c>
      <c r="X186" t="s">
        <v>280</v>
      </c>
      <c r="Y186">
        <v>0</v>
      </c>
      <c r="AB186">
        <v>6.5061349693251502</v>
      </c>
      <c r="AC186" t="s">
        <v>62</v>
      </c>
      <c r="AH186">
        <v>6.5061349693251502</v>
      </c>
      <c r="AI186" t="s">
        <v>317</v>
      </c>
      <c r="AT186" t="s">
        <v>77</v>
      </c>
      <c r="AV186" t="s">
        <v>88</v>
      </c>
      <c r="AW186">
        <v>1500</v>
      </c>
      <c r="BA186">
        <v>6.5061349693251502</v>
      </c>
    </row>
    <row r="187" spans="1:53" hidden="1" x14ac:dyDescent="0.3">
      <c r="A187" t="s">
        <v>313</v>
      </c>
      <c r="C187" t="s">
        <v>251</v>
      </c>
      <c r="D187" t="s">
        <v>81</v>
      </c>
      <c r="E187">
        <v>10000000</v>
      </c>
      <c r="H187">
        <v>1.69</v>
      </c>
      <c r="I187" t="s">
        <v>56</v>
      </c>
      <c r="J187">
        <v>1.6899999999999999E-4</v>
      </c>
      <c r="K187" t="s">
        <v>57</v>
      </c>
      <c r="N187" t="s">
        <v>314</v>
      </c>
      <c r="O187">
        <v>1000</v>
      </c>
      <c r="P187" t="s">
        <v>315</v>
      </c>
      <c r="S187" t="s">
        <v>316</v>
      </c>
      <c r="T187">
        <v>25</v>
      </c>
      <c r="U187" t="s">
        <v>120</v>
      </c>
      <c r="V187">
        <v>75</v>
      </c>
      <c r="W187" t="s">
        <v>319</v>
      </c>
      <c r="X187" t="s">
        <v>280</v>
      </c>
      <c r="Y187">
        <v>30</v>
      </c>
      <c r="AB187">
        <v>3.77914110429447</v>
      </c>
      <c r="AC187" t="s">
        <v>62</v>
      </c>
      <c r="AH187">
        <v>6.74233128834355</v>
      </c>
      <c r="AI187" t="s">
        <v>317</v>
      </c>
      <c r="AT187" t="s">
        <v>77</v>
      </c>
      <c r="AV187" t="s">
        <v>88</v>
      </c>
      <c r="AW187">
        <v>1000</v>
      </c>
      <c r="BA187">
        <v>6.74233128834355</v>
      </c>
    </row>
    <row r="188" spans="1:53" hidden="1" x14ac:dyDescent="0.3">
      <c r="A188" t="s">
        <v>313</v>
      </c>
      <c r="C188" t="s">
        <v>251</v>
      </c>
      <c r="D188" t="s">
        <v>81</v>
      </c>
      <c r="E188">
        <v>10000000</v>
      </c>
      <c r="H188">
        <v>1.69</v>
      </c>
      <c r="I188" t="s">
        <v>56</v>
      </c>
      <c r="J188">
        <v>1.6899999999999999E-4</v>
      </c>
      <c r="K188" t="s">
        <v>57</v>
      </c>
      <c r="N188" t="s">
        <v>314</v>
      </c>
      <c r="O188">
        <v>1500</v>
      </c>
      <c r="P188" t="s">
        <v>315</v>
      </c>
      <c r="S188" t="s">
        <v>316</v>
      </c>
      <c r="T188">
        <v>25</v>
      </c>
      <c r="U188" t="s">
        <v>120</v>
      </c>
      <c r="V188">
        <v>75</v>
      </c>
      <c r="W188" t="s">
        <v>319</v>
      </c>
      <c r="X188" t="s">
        <v>280</v>
      </c>
      <c r="Y188">
        <v>30</v>
      </c>
      <c r="AB188">
        <v>1.8251533742331201</v>
      </c>
      <c r="AC188" t="s">
        <v>62</v>
      </c>
      <c r="AH188">
        <v>6.5061349693251502</v>
      </c>
      <c r="AI188" t="s">
        <v>317</v>
      </c>
      <c r="AT188" t="s">
        <v>77</v>
      </c>
      <c r="AV188" t="s">
        <v>88</v>
      </c>
      <c r="AW188">
        <v>1500</v>
      </c>
      <c r="BA188">
        <v>6.5061349693251502</v>
      </c>
    </row>
    <row r="189" spans="1:53" hidden="1" x14ac:dyDescent="0.3">
      <c r="A189" t="s">
        <v>313</v>
      </c>
      <c r="C189" t="s">
        <v>251</v>
      </c>
      <c r="D189" t="s">
        <v>81</v>
      </c>
      <c r="E189">
        <v>10000000</v>
      </c>
      <c r="H189">
        <v>1.69</v>
      </c>
      <c r="I189" t="s">
        <v>56</v>
      </c>
      <c r="J189">
        <v>1.6899999999999999E-4</v>
      </c>
      <c r="K189" t="s">
        <v>57</v>
      </c>
      <c r="N189" t="s">
        <v>314</v>
      </c>
      <c r="O189">
        <v>1000</v>
      </c>
      <c r="P189" t="s">
        <v>315</v>
      </c>
      <c r="S189" t="s">
        <v>316</v>
      </c>
      <c r="T189">
        <v>25</v>
      </c>
      <c r="U189" t="s">
        <v>120</v>
      </c>
      <c r="V189">
        <v>75</v>
      </c>
      <c r="W189" t="s">
        <v>319</v>
      </c>
      <c r="X189" t="s">
        <v>280</v>
      </c>
      <c r="Y189">
        <v>60</v>
      </c>
      <c r="AB189">
        <v>2.76993865030673</v>
      </c>
      <c r="AC189" t="s">
        <v>62</v>
      </c>
      <c r="AH189">
        <v>6.74233128834355</v>
      </c>
      <c r="AI189" t="s">
        <v>317</v>
      </c>
      <c r="AT189" t="s">
        <v>77</v>
      </c>
      <c r="AV189" t="s">
        <v>88</v>
      </c>
      <c r="AW189">
        <v>1000</v>
      </c>
      <c r="BA189">
        <v>6.74233128834355</v>
      </c>
    </row>
    <row r="190" spans="1:53" hidden="1" x14ac:dyDescent="0.3">
      <c r="A190" t="s">
        <v>313</v>
      </c>
      <c r="C190" t="s">
        <v>251</v>
      </c>
      <c r="D190" t="s">
        <v>81</v>
      </c>
      <c r="E190">
        <v>10000000</v>
      </c>
      <c r="H190">
        <v>1.69</v>
      </c>
      <c r="I190" t="s">
        <v>56</v>
      </c>
      <c r="J190">
        <v>1.6899999999999999E-4</v>
      </c>
      <c r="K190" t="s">
        <v>57</v>
      </c>
      <c r="N190" t="s">
        <v>314</v>
      </c>
      <c r="O190">
        <v>1500</v>
      </c>
      <c r="P190" t="s">
        <v>315</v>
      </c>
      <c r="S190" t="s">
        <v>316</v>
      </c>
      <c r="T190">
        <v>25</v>
      </c>
      <c r="U190" t="s">
        <v>120</v>
      </c>
      <c r="V190">
        <v>75</v>
      </c>
      <c r="W190" t="s">
        <v>319</v>
      </c>
      <c r="X190" t="s">
        <v>280</v>
      </c>
      <c r="Y190">
        <v>60</v>
      </c>
      <c r="AB190">
        <v>1.97546012269938</v>
      </c>
      <c r="AC190" t="s">
        <v>62</v>
      </c>
      <c r="AH190">
        <v>6.5061349693251502</v>
      </c>
      <c r="AI190" t="s">
        <v>317</v>
      </c>
      <c r="AT190" t="s">
        <v>77</v>
      </c>
      <c r="AV190" t="s">
        <v>88</v>
      </c>
      <c r="AW190">
        <v>1500</v>
      </c>
      <c r="BA190">
        <v>6.5061349693251502</v>
      </c>
    </row>
    <row r="191" spans="1:53" hidden="1" x14ac:dyDescent="0.3">
      <c r="A191" t="s">
        <v>313</v>
      </c>
      <c r="C191" t="s">
        <v>251</v>
      </c>
      <c r="D191" t="s">
        <v>81</v>
      </c>
      <c r="E191">
        <v>10000000</v>
      </c>
      <c r="H191">
        <v>1.69</v>
      </c>
      <c r="I191" t="s">
        <v>56</v>
      </c>
      <c r="J191">
        <v>1.6899999999999999E-4</v>
      </c>
      <c r="K191" t="s">
        <v>57</v>
      </c>
      <c r="N191" t="s">
        <v>314</v>
      </c>
      <c r="O191">
        <v>1000</v>
      </c>
      <c r="P191" t="s">
        <v>315</v>
      </c>
      <c r="S191" t="s">
        <v>316</v>
      </c>
      <c r="T191">
        <v>25</v>
      </c>
      <c r="U191" t="s">
        <v>120</v>
      </c>
      <c r="V191">
        <v>75</v>
      </c>
      <c r="W191" t="s">
        <v>319</v>
      </c>
      <c r="X191" t="s">
        <v>280</v>
      </c>
      <c r="Y191">
        <v>120</v>
      </c>
      <c r="AB191">
        <v>0.66564417177914104</v>
      </c>
      <c r="AC191" t="s">
        <v>62</v>
      </c>
      <c r="AH191">
        <v>6.74233128834355</v>
      </c>
      <c r="AI191" t="s">
        <v>317</v>
      </c>
      <c r="AT191" t="s">
        <v>77</v>
      </c>
      <c r="AV191" t="s">
        <v>88</v>
      </c>
      <c r="AW191">
        <v>1000</v>
      </c>
      <c r="BA191">
        <v>6.74233128834355</v>
      </c>
    </row>
    <row r="192" spans="1:53" hidden="1" x14ac:dyDescent="0.3">
      <c r="A192" t="s">
        <v>313</v>
      </c>
      <c r="C192" t="s">
        <v>251</v>
      </c>
      <c r="D192" t="s">
        <v>81</v>
      </c>
      <c r="E192">
        <v>10000000</v>
      </c>
      <c r="H192">
        <v>1.69</v>
      </c>
      <c r="I192" t="s">
        <v>56</v>
      </c>
      <c r="J192">
        <v>1.6899999999999999E-4</v>
      </c>
      <c r="K192" t="s">
        <v>57</v>
      </c>
      <c r="N192" t="s">
        <v>314</v>
      </c>
      <c r="O192">
        <v>1500</v>
      </c>
      <c r="P192" t="s">
        <v>315</v>
      </c>
      <c r="S192" t="s">
        <v>316</v>
      </c>
      <c r="T192">
        <v>25</v>
      </c>
      <c r="U192" t="s">
        <v>120</v>
      </c>
      <c r="V192">
        <v>75</v>
      </c>
      <c r="W192" t="s">
        <v>319</v>
      </c>
      <c r="X192" t="s">
        <v>280</v>
      </c>
      <c r="Y192">
        <v>120</v>
      </c>
      <c r="AB192">
        <v>0.68711656441717595</v>
      </c>
      <c r="AC192" t="s">
        <v>62</v>
      </c>
      <c r="AH192">
        <v>6.5061349693251502</v>
      </c>
      <c r="AI192" t="s">
        <v>317</v>
      </c>
      <c r="AT192" t="s">
        <v>77</v>
      </c>
      <c r="AV192" t="s">
        <v>88</v>
      </c>
      <c r="AW192">
        <v>1500</v>
      </c>
      <c r="BA192">
        <v>6.5061349693251502</v>
      </c>
    </row>
    <row r="193" spans="1:53" hidden="1" x14ac:dyDescent="0.3">
      <c r="A193" t="s">
        <v>313</v>
      </c>
      <c r="C193" t="s">
        <v>251</v>
      </c>
      <c r="D193" t="s">
        <v>81</v>
      </c>
      <c r="E193">
        <v>10000000</v>
      </c>
      <c r="H193">
        <v>1.69</v>
      </c>
      <c r="I193" t="s">
        <v>56</v>
      </c>
      <c r="J193">
        <v>1.6899999999999999E-4</v>
      </c>
      <c r="K193" t="s">
        <v>57</v>
      </c>
      <c r="N193" t="s">
        <v>314</v>
      </c>
      <c r="O193">
        <v>1000</v>
      </c>
      <c r="P193" t="s">
        <v>315</v>
      </c>
      <c r="S193" t="s">
        <v>316</v>
      </c>
      <c r="T193">
        <v>25</v>
      </c>
      <c r="U193" t="s">
        <v>120</v>
      </c>
      <c r="V193">
        <v>75</v>
      </c>
      <c r="W193" t="s">
        <v>319</v>
      </c>
      <c r="X193" t="s">
        <v>280</v>
      </c>
      <c r="Y193">
        <v>180</v>
      </c>
      <c r="AB193">
        <v>0.32208588957055201</v>
      </c>
      <c r="AC193" t="s">
        <v>62</v>
      </c>
      <c r="AH193">
        <v>6.74233128834355</v>
      </c>
      <c r="AI193" t="s">
        <v>317</v>
      </c>
      <c r="AT193" t="s">
        <v>77</v>
      </c>
      <c r="AV193" t="s">
        <v>88</v>
      </c>
      <c r="AW193">
        <v>1000</v>
      </c>
      <c r="BA193">
        <v>6.74233128834355</v>
      </c>
    </row>
    <row r="194" spans="1:53" hidden="1" x14ac:dyDescent="0.3">
      <c r="A194" t="s">
        <v>313</v>
      </c>
      <c r="C194" t="s">
        <v>251</v>
      </c>
      <c r="D194" t="s">
        <v>81</v>
      </c>
      <c r="E194">
        <v>10000000</v>
      </c>
      <c r="H194">
        <v>1.69</v>
      </c>
      <c r="I194" t="s">
        <v>56</v>
      </c>
      <c r="J194">
        <v>1.6899999999999999E-4</v>
      </c>
      <c r="K194" t="s">
        <v>57</v>
      </c>
      <c r="N194" t="s">
        <v>314</v>
      </c>
      <c r="O194">
        <v>1500</v>
      </c>
      <c r="P194" t="s">
        <v>315</v>
      </c>
      <c r="S194" t="s">
        <v>316</v>
      </c>
      <c r="T194">
        <v>25</v>
      </c>
      <c r="U194" t="s">
        <v>120</v>
      </c>
      <c r="V194">
        <v>75</v>
      </c>
      <c r="W194" t="s">
        <v>319</v>
      </c>
      <c r="X194" t="s">
        <v>280</v>
      </c>
      <c r="Y194">
        <v>180</v>
      </c>
      <c r="AB194">
        <v>0.150306748466257</v>
      </c>
      <c r="AC194" t="s">
        <v>62</v>
      </c>
      <c r="AH194">
        <v>6.5061349693251502</v>
      </c>
      <c r="AI194" t="s">
        <v>317</v>
      </c>
      <c r="AT194" t="s">
        <v>77</v>
      </c>
      <c r="AV194" t="s">
        <v>88</v>
      </c>
      <c r="AW194">
        <v>1500</v>
      </c>
      <c r="BA194">
        <v>6.5061349693251502</v>
      </c>
    </row>
    <row r="195" spans="1:53" hidden="1" x14ac:dyDescent="0.3">
      <c r="A195" t="s">
        <v>313</v>
      </c>
      <c r="C195" t="s">
        <v>251</v>
      </c>
      <c r="D195" t="s">
        <v>81</v>
      </c>
      <c r="E195">
        <v>10000000</v>
      </c>
      <c r="H195">
        <v>1.69</v>
      </c>
      <c r="I195" t="s">
        <v>56</v>
      </c>
      <c r="J195">
        <v>1.6899999999999999E-4</v>
      </c>
      <c r="K195" t="s">
        <v>57</v>
      </c>
      <c r="N195" t="s">
        <v>314</v>
      </c>
      <c r="O195">
        <v>1000</v>
      </c>
      <c r="P195" t="s">
        <v>315</v>
      </c>
      <c r="S195" t="s">
        <v>316</v>
      </c>
      <c r="T195">
        <v>25</v>
      </c>
      <c r="U195" t="s">
        <v>120</v>
      </c>
      <c r="V195">
        <v>75</v>
      </c>
      <c r="W195" t="s">
        <v>319</v>
      </c>
      <c r="X195" t="s">
        <v>280</v>
      </c>
      <c r="Y195">
        <v>300</v>
      </c>
      <c r="AA195" t="s">
        <v>128</v>
      </c>
      <c r="AB195">
        <v>0</v>
      </c>
      <c r="AC195" t="s">
        <v>62</v>
      </c>
      <c r="AH195">
        <v>6.74233128834355</v>
      </c>
      <c r="AI195" t="s">
        <v>317</v>
      </c>
      <c r="AT195" t="s">
        <v>77</v>
      </c>
      <c r="AV195" t="s">
        <v>88</v>
      </c>
      <c r="AW195">
        <v>1000</v>
      </c>
      <c r="AZ195">
        <v>0</v>
      </c>
      <c r="BA195">
        <v>6.74233128834355</v>
      </c>
    </row>
    <row r="196" spans="1:53" hidden="1" x14ac:dyDescent="0.3">
      <c r="A196" t="s">
        <v>313</v>
      </c>
      <c r="C196" t="s">
        <v>251</v>
      </c>
      <c r="D196" t="s">
        <v>81</v>
      </c>
      <c r="E196">
        <v>10000000</v>
      </c>
      <c r="H196">
        <v>1.69</v>
      </c>
      <c r="I196" t="s">
        <v>56</v>
      </c>
      <c r="J196">
        <v>1.6899999999999999E-4</v>
      </c>
      <c r="K196" t="s">
        <v>57</v>
      </c>
      <c r="N196" t="s">
        <v>314</v>
      </c>
      <c r="O196">
        <v>1500</v>
      </c>
      <c r="P196" t="s">
        <v>315</v>
      </c>
      <c r="S196" t="s">
        <v>316</v>
      </c>
      <c r="T196">
        <v>25</v>
      </c>
      <c r="U196" t="s">
        <v>120</v>
      </c>
      <c r="V196">
        <v>75</v>
      </c>
      <c r="W196" t="s">
        <v>319</v>
      </c>
      <c r="X196" t="s">
        <v>280</v>
      </c>
      <c r="Y196">
        <v>300</v>
      </c>
      <c r="AB196">
        <v>0.51533742331288201</v>
      </c>
      <c r="AC196" t="s">
        <v>62</v>
      </c>
      <c r="AH196">
        <v>6.5061349693251502</v>
      </c>
      <c r="AI196" t="s">
        <v>317</v>
      </c>
      <c r="AT196" t="s">
        <v>77</v>
      </c>
      <c r="AV196" t="s">
        <v>88</v>
      </c>
      <c r="AW196">
        <v>1500</v>
      </c>
      <c r="BA196">
        <v>6.5061349693251502</v>
      </c>
    </row>
    <row r="197" spans="1:53" hidden="1" x14ac:dyDescent="0.3">
      <c r="A197" t="s">
        <v>313</v>
      </c>
      <c r="C197" t="s">
        <v>251</v>
      </c>
      <c r="D197" t="s">
        <v>81</v>
      </c>
      <c r="E197">
        <v>10000000</v>
      </c>
      <c r="H197">
        <v>1.69</v>
      </c>
      <c r="I197" t="s">
        <v>56</v>
      </c>
      <c r="J197">
        <v>1.6899999999999999E-4</v>
      </c>
      <c r="K197" t="s">
        <v>57</v>
      </c>
      <c r="N197" t="s">
        <v>314</v>
      </c>
      <c r="O197">
        <v>1000</v>
      </c>
      <c r="P197" t="s">
        <v>315</v>
      </c>
      <c r="S197" t="s">
        <v>316</v>
      </c>
      <c r="T197">
        <v>25</v>
      </c>
      <c r="U197" t="s">
        <v>120</v>
      </c>
      <c r="V197">
        <v>75</v>
      </c>
      <c r="W197" t="s">
        <v>319</v>
      </c>
      <c r="X197" t="s">
        <v>280</v>
      </c>
      <c r="Y197">
        <v>420</v>
      </c>
      <c r="AB197">
        <v>0.53680981595091903</v>
      </c>
      <c r="AC197" t="s">
        <v>62</v>
      </c>
      <c r="AH197">
        <v>6.74233128834355</v>
      </c>
      <c r="AI197" t="s">
        <v>317</v>
      </c>
      <c r="AT197" t="s">
        <v>77</v>
      </c>
      <c r="AV197" t="s">
        <v>88</v>
      </c>
      <c r="AW197">
        <v>1000</v>
      </c>
      <c r="BA197">
        <v>6.74233128834355</v>
      </c>
    </row>
    <row r="198" spans="1:53" hidden="1" x14ac:dyDescent="0.3">
      <c r="A198" t="s">
        <v>313</v>
      </c>
      <c r="C198" t="s">
        <v>251</v>
      </c>
      <c r="D198" t="s">
        <v>81</v>
      </c>
      <c r="E198">
        <v>10000000</v>
      </c>
      <c r="H198">
        <v>1.69</v>
      </c>
      <c r="I198" t="s">
        <v>56</v>
      </c>
      <c r="J198">
        <v>1.6899999999999999E-4</v>
      </c>
      <c r="K198" t="s">
        <v>57</v>
      </c>
      <c r="N198" t="s">
        <v>314</v>
      </c>
      <c r="O198">
        <v>1500</v>
      </c>
      <c r="P198" t="s">
        <v>315</v>
      </c>
      <c r="S198" t="s">
        <v>316</v>
      </c>
      <c r="T198">
        <v>25</v>
      </c>
      <c r="U198" t="s">
        <v>120</v>
      </c>
      <c r="V198">
        <v>75</v>
      </c>
      <c r="W198" t="s">
        <v>319</v>
      </c>
      <c r="X198" t="s">
        <v>280</v>
      </c>
      <c r="Y198">
        <v>420</v>
      </c>
      <c r="AA198" t="s">
        <v>128</v>
      </c>
      <c r="AB198">
        <v>0</v>
      </c>
      <c r="AC198" t="s">
        <v>62</v>
      </c>
      <c r="AH198">
        <v>6.5061349693251502</v>
      </c>
      <c r="AI198" t="s">
        <v>317</v>
      </c>
      <c r="AT198" t="s">
        <v>77</v>
      </c>
      <c r="AV198" t="s">
        <v>88</v>
      </c>
      <c r="AW198">
        <v>1500</v>
      </c>
      <c r="AZ198">
        <v>0</v>
      </c>
      <c r="BA198">
        <v>6.5061349693251502</v>
      </c>
    </row>
    <row r="199" spans="1:53" hidden="1" x14ac:dyDescent="0.3">
      <c r="A199" t="s">
        <v>313</v>
      </c>
      <c r="C199" t="s">
        <v>251</v>
      </c>
      <c r="D199" t="s">
        <v>81</v>
      </c>
      <c r="E199">
        <v>10000000</v>
      </c>
      <c r="H199">
        <v>1.69</v>
      </c>
      <c r="I199" t="s">
        <v>56</v>
      </c>
      <c r="J199">
        <v>1.6899999999999999E-4</v>
      </c>
      <c r="K199" t="s">
        <v>57</v>
      </c>
      <c r="N199" t="s">
        <v>314</v>
      </c>
      <c r="O199">
        <v>1000</v>
      </c>
      <c r="P199" t="s">
        <v>315</v>
      </c>
      <c r="S199" t="s">
        <v>316</v>
      </c>
      <c r="T199">
        <v>25</v>
      </c>
      <c r="U199" t="s">
        <v>120</v>
      </c>
      <c r="V199">
        <v>75</v>
      </c>
      <c r="W199" t="s">
        <v>319</v>
      </c>
      <c r="X199" t="s">
        <v>280</v>
      </c>
      <c r="Y199">
        <v>540</v>
      </c>
      <c r="AA199" t="s">
        <v>128</v>
      </c>
      <c r="AB199">
        <v>0</v>
      </c>
      <c r="AC199" t="s">
        <v>62</v>
      </c>
      <c r="AH199">
        <v>6.74233128834355</v>
      </c>
      <c r="AI199" t="s">
        <v>317</v>
      </c>
      <c r="AT199" t="s">
        <v>77</v>
      </c>
      <c r="AV199" t="s">
        <v>88</v>
      </c>
      <c r="AW199">
        <v>1000</v>
      </c>
      <c r="AZ199">
        <v>0</v>
      </c>
      <c r="BA199">
        <v>6.74233128834355</v>
      </c>
    </row>
    <row r="200" spans="1:53" hidden="1" x14ac:dyDescent="0.3">
      <c r="A200" t="s">
        <v>313</v>
      </c>
      <c r="C200" t="s">
        <v>251</v>
      </c>
      <c r="D200" t="s">
        <v>81</v>
      </c>
      <c r="E200">
        <v>10000000</v>
      </c>
      <c r="H200">
        <v>1.69</v>
      </c>
      <c r="I200" t="s">
        <v>56</v>
      </c>
      <c r="J200">
        <v>1.6899999999999999E-4</v>
      </c>
      <c r="K200" t="s">
        <v>57</v>
      </c>
      <c r="N200" t="s">
        <v>314</v>
      </c>
      <c r="O200">
        <v>1500</v>
      </c>
      <c r="P200" t="s">
        <v>315</v>
      </c>
      <c r="S200" t="s">
        <v>316</v>
      </c>
      <c r="T200">
        <v>25</v>
      </c>
      <c r="U200" t="s">
        <v>120</v>
      </c>
      <c r="V200">
        <v>75</v>
      </c>
      <c r="W200" t="s">
        <v>319</v>
      </c>
      <c r="X200" t="s">
        <v>280</v>
      </c>
      <c r="Y200">
        <v>540</v>
      </c>
      <c r="AA200" t="s">
        <v>128</v>
      </c>
      <c r="AB200">
        <v>0</v>
      </c>
      <c r="AC200" t="s">
        <v>62</v>
      </c>
      <c r="AH200">
        <v>6.5061349693251502</v>
      </c>
      <c r="AI200" t="s">
        <v>317</v>
      </c>
      <c r="AT200" t="s">
        <v>77</v>
      </c>
      <c r="AV200" t="s">
        <v>88</v>
      </c>
      <c r="AW200">
        <v>1500</v>
      </c>
      <c r="AZ200">
        <v>0</v>
      </c>
      <c r="BA200">
        <v>6.5061349693251502</v>
      </c>
    </row>
    <row r="201" spans="1:53" hidden="1" x14ac:dyDescent="0.3">
      <c r="A201" t="s">
        <v>313</v>
      </c>
      <c r="C201" t="s">
        <v>251</v>
      </c>
      <c r="D201" t="s">
        <v>81</v>
      </c>
      <c r="E201">
        <v>10000000</v>
      </c>
      <c r="H201">
        <v>1.69</v>
      </c>
      <c r="I201" t="s">
        <v>56</v>
      </c>
      <c r="J201">
        <v>1.6899999999999999E-4</v>
      </c>
      <c r="K201" t="s">
        <v>57</v>
      </c>
      <c r="N201" t="s">
        <v>314</v>
      </c>
      <c r="O201">
        <v>1000</v>
      </c>
      <c r="P201" t="s">
        <v>315</v>
      </c>
      <c r="S201" t="s">
        <v>316</v>
      </c>
      <c r="T201">
        <v>25</v>
      </c>
      <c r="U201" t="s">
        <v>120</v>
      </c>
      <c r="V201">
        <v>75</v>
      </c>
      <c r="W201" t="s">
        <v>320</v>
      </c>
      <c r="X201" t="s">
        <v>280</v>
      </c>
      <c r="Y201">
        <v>0</v>
      </c>
      <c r="AB201">
        <v>6.67536231884056</v>
      </c>
      <c r="AC201" t="s">
        <v>62</v>
      </c>
      <c r="AH201">
        <v>6.67536231884056</v>
      </c>
      <c r="AI201" t="s">
        <v>317</v>
      </c>
      <c r="AV201" t="s">
        <v>88</v>
      </c>
      <c r="AW201">
        <v>1000</v>
      </c>
      <c r="BA201">
        <v>6.67536231884056</v>
      </c>
    </row>
    <row r="202" spans="1:53" hidden="1" x14ac:dyDescent="0.3">
      <c r="A202" t="s">
        <v>313</v>
      </c>
      <c r="C202" t="s">
        <v>251</v>
      </c>
      <c r="D202" t="s">
        <v>81</v>
      </c>
      <c r="E202">
        <v>10000000</v>
      </c>
      <c r="H202">
        <v>1.69</v>
      </c>
      <c r="I202" t="s">
        <v>56</v>
      </c>
      <c r="J202">
        <v>1.6899999999999999E-4</v>
      </c>
      <c r="K202" t="s">
        <v>57</v>
      </c>
      <c r="N202" t="s">
        <v>314</v>
      </c>
      <c r="O202">
        <v>1500</v>
      </c>
      <c r="P202" t="s">
        <v>315</v>
      </c>
      <c r="S202" t="s">
        <v>316</v>
      </c>
      <c r="T202">
        <v>25</v>
      </c>
      <c r="U202" t="s">
        <v>120</v>
      </c>
      <c r="V202">
        <v>75</v>
      </c>
      <c r="W202" t="s">
        <v>320</v>
      </c>
      <c r="X202" t="s">
        <v>280</v>
      </c>
      <c r="Y202">
        <v>0</v>
      </c>
      <c r="AB202">
        <v>6.47246376811594</v>
      </c>
      <c r="AC202" t="s">
        <v>62</v>
      </c>
      <c r="AH202">
        <v>6.47246376811594</v>
      </c>
      <c r="AI202" t="s">
        <v>317</v>
      </c>
      <c r="AV202" t="s">
        <v>88</v>
      </c>
      <c r="AW202">
        <v>1500</v>
      </c>
      <c r="BA202">
        <v>6.47246376811594</v>
      </c>
    </row>
    <row r="203" spans="1:53" hidden="1" x14ac:dyDescent="0.3">
      <c r="A203" t="s">
        <v>313</v>
      </c>
      <c r="C203" t="s">
        <v>251</v>
      </c>
      <c r="D203" t="s">
        <v>81</v>
      </c>
      <c r="E203">
        <v>10000000</v>
      </c>
      <c r="H203">
        <v>1.69</v>
      </c>
      <c r="I203" t="s">
        <v>56</v>
      </c>
      <c r="J203">
        <v>1.6899999999999999E-4</v>
      </c>
      <c r="K203" t="s">
        <v>57</v>
      </c>
      <c r="N203" t="s">
        <v>314</v>
      </c>
      <c r="O203">
        <v>1000</v>
      </c>
      <c r="P203" t="s">
        <v>315</v>
      </c>
      <c r="S203" t="s">
        <v>316</v>
      </c>
      <c r="T203">
        <v>25</v>
      </c>
      <c r="U203" t="s">
        <v>120</v>
      </c>
      <c r="V203">
        <v>75</v>
      </c>
      <c r="W203" t="s">
        <v>320</v>
      </c>
      <c r="X203" t="s">
        <v>280</v>
      </c>
      <c r="Y203">
        <v>30</v>
      </c>
      <c r="AB203">
        <v>4.8086956521738999</v>
      </c>
      <c r="AC203" t="s">
        <v>62</v>
      </c>
      <c r="AH203">
        <v>6.67536231884056</v>
      </c>
      <c r="AI203" t="s">
        <v>317</v>
      </c>
      <c r="AV203" t="s">
        <v>88</v>
      </c>
      <c r="AW203">
        <v>1000</v>
      </c>
      <c r="BA203">
        <v>6.67536231884056</v>
      </c>
    </row>
    <row r="204" spans="1:53" hidden="1" x14ac:dyDescent="0.3">
      <c r="A204" t="s">
        <v>313</v>
      </c>
      <c r="C204" t="s">
        <v>251</v>
      </c>
      <c r="D204" t="s">
        <v>81</v>
      </c>
      <c r="E204">
        <v>10000000</v>
      </c>
      <c r="H204">
        <v>1.69</v>
      </c>
      <c r="I204" t="s">
        <v>56</v>
      </c>
      <c r="J204">
        <v>1.6899999999999999E-4</v>
      </c>
      <c r="K204" t="s">
        <v>57</v>
      </c>
      <c r="N204" t="s">
        <v>314</v>
      </c>
      <c r="O204">
        <v>1500</v>
      </c>
      <c r="P204" t="s">
        <v>315</v>
      </c>
      <c r="S204" t="s">
        <v>316</v>
      </c>
      <c r="T204">
        <v>25</v>
      </c>
      <c r="U204" t="s">
        <v>120</v>
      </c>
      <c r="V204">
        <v>75</v>
      </c>
      <c r="W204" t="s">
        <v>320</v>
      </c>
      <c r="X204" t="s">
        <v>280</v>
      </c>
      <c r="Y204">
        <v>30</v>
      </c>
      <c r="AB204">
        <v>3.0434782608695601</v>
      </c>
      <c r="AC204" t="s">
        <v>62</v>
      </c>
      <c r="AH204">
        <v>6.47246376811594</v>
      </c>
      <c r="AI204" t="s">
        <v>317</v>
      </c>
      <c r="AV204" t="s">
        <v>88</v>
      </c>
      <c r="AW204">
        <v>1500</v>
      </c>
      <c r="BA204">
        <v>6.47246376811594</v>
      </c>
    </row>
    <row r="205" spans="1:53" hidden="1" x14ac:dyDescent="0.3">
      <c r="A205" t="s">
        <v>313</v>
      </c>
      <c r="C205" t="s">
        <v>251</v>
      </c>
      <c r="D205" t="s">
        <v>81</v>
      </c>
      <c r="E205">
        <v>10000000</v>
      </c>
      <c r="H205">
        <v>1.69</v>
      </c>
      <c r="I205" t="s">
        <v>56</v>
      </c>
      <c r="J205">
        <v>1.6899999999999999E-4</v>
      </c>
      <c r="K205" t="s">
        <v>57</v>
      </c>
      <c r="N205" t="s">
        <v>314</v>
      </c>
      <c r="O205">
        <v>1000</v>
      </c>
      <c r="P205" t="s">
        <v>315</v>
      </c>
      <c r="S205" t="s">
        <v>316</v>
      </c>
      <c r="T205">
        <v>25</v>
      </c>
      <c r="U205" t="s">
        <v>120</v>
      </c>
      <c r="V205">
        <v>75</v>
      </c>
      <c r="W205" t="s">
        <v>320</v>
      </c>
      <c r="X205" t="s">
        <v>280</v>
      </c>
      <c r="Y205">
        <v>60</v>
      </c>
      <c r="AB205">
        <v>3.0231884057971001</v>
      </c>
      <c r="AC205" t="s">
        <v>62</v>
      </c>
      <c r="AH205">
        <v>6.67536231884056</v>
      </c>
      <c r="AI205" t="s">
        <v>317</v>
      </c>
      <c r="AV205" t="s">
        <v>88</v>
      </c>
      <c r="AW205">
        <v>1000</v>
      </c>
      <c r="BA205">
        <v>6.67536231884056</v>
      </c>
    </row>
    <row r="206" spans="1:53" hidden="1" x14ac:dyDescent="0.3">
      <c r="A206" t="s">
        <v>313</v>
      </c>
      <c r="C206" t="s">
        <v>251</v>
      </c>
      <c r="D206" t="s">
        <v>81</v>
      </c>
      <c r="E206">
        <v>10000000</v>
      </c>
      <c r="H206">
        <v>1.69</v>
      </c>
      <c r="I206" t="s">
        <v>56</v>
      </c>
      <c r="J206">
        <v>1.6899999999999999E-4</v>
      </c>
      <c r="K206" t="s">
        <v>57</v>
      </c>
      <c r="N206" t="s">
        <v>314</v>
      </c>
      <c r="O206">
        <v>1500</v>
      </c>
      <c r="P206" t="s">
        <v>315</v>
      </c>
      <c r="S206" t="s">
        <v>316</v>
      </c>
      <c r="T206">
        <v>25</v>
      </c>
      <c r="U206" t="s">
        <v>120</v>
      </c>
      <c r="V206">
        <v>75</v>
      </c>
      <c r="W206" t="s">
        <v>320</v>
      </c>
      <c r="X206" t="s">
        <v>280</v>
      </c>
      <c r="Y206">
        <v>60</v>
      </c>
      <c r="AB206">
        <v>1.72463768115941</v>
      </c>
      <c r="AC206" t="s">
        <v>62</v>
      </c>
      <c r="AH206">
        <v>6.47246376811594</v>
      </c>
      <c r="AI206" t="s">
        <v>317</v>
      </c>
      <c r="AV206" t="s">
        <v>88</v>
      </c>
      <c r="AW206">
        <v>1500</v>
      </c>
      <c r="BA206">
        <v>6.47246376811594</v>
      </c>
    </row>
    <row r="207" spans="1:53" hidden="1" x14ac:dyDescent="0.3">
      <c r="A207" t="s">
        <v>313</v>
      </c>
      <c r="C207" t="s">
        <v>251</v>
      </c>
      <c r="D207" t="s">
        <v>81</v>
      </c>
      <c r="E207">
        <v>10000000</v>
      </c>
      <c r="H207">
        <v>1.69</v>
      </c>
      <c r="I207" t="s">
        <v>56</v>
      </c>
      <c r="J207">
        <v>1.6899999999999999E-4</v>
      </c>
      <c r="K207" t="s">
        <v>57</v>
      </c>
      <c r="N207" t="s">
        <v>314</v>
      </c>
      <c r="O207">
        <v>1000</v>
      </c>
      <c r="P207" t="s">
        <v>315</v>
      </c>
      <c r="S207" t="s">
        <v>316</v>
      </c>
      <c r="T207">
        <v>25</v>
      </c>
      <c r="U207" t="s">
        <v>120</v>
      </c>
      <c r="V207">
        <v>75</v>
      </c>
      <c r="W207" t="s">
        <v>320</v>
      </c>
      <c r="X207" t="s">
        <v>280</v>
      </c>
      <c r="Y207">
        <v>120</v>
      </c>
      <c r="AB207">
        <v>1.6637681159420099</v>
      </c>
      <c r="AC207" t="s">
        <v>62</v>
      </c>
      <c r="AH207">
        <v>6.67536231884056</v>
      </c>
      <c r="AI207" t="s">
        <v>317</v>
      </c>
      <c r="AV207" t="s">
        <v>88</v>
      </c>
      <c r="AW207">
        <v>1000</v>
      </c>
      <c r="BA207">
        <v>6.67536231884056</v>
      </c>
    </row>
    <row r="208" spans="1:53" hidden="1" x14ac:dyDescent="0.3">
      <c r="A208" t="s">
        <v>313</v>
      </c>
      <c r="C208" t="s">
        <v>251</v>
      </c>
      <c r="D208" t="s">
        <v>81</v>
      </c>
      <c r="E208">
        <v>10000000</v>
      </c>
      <c r="H208">
        <v>1.69</v>
      </c>
      <c r="I208" t="s">
        <v>56</v>
      </c>
      <c r="J208">
        <v>1.6899999999999999E-4</v>
      </c>
      <c r="K208" t="s">
        <v>57</v>
      </c>
      <c r="N208" t="s">
        <v>314</v>
      </c>
      <c r="O208">
        <v>1500</v>
      </c>
      <c r="P208" t="s">
        <v>315</v>
      </c>
      <c r="S208" t="s">
        <v>316</v>
      </c>
      <c r="T208">
        <v>25</v>
      </c>
      <c r="U208" t="s">
        <v>120</v>
      </c>
      <c r="V208">
        <v>75</v>
      </c>
      <c r="W208" t="s">
        <v>320</v>
      </c>
      <c r="X208" t="s">
        <v>280</v>
      </c>
      <c r="Y208">
        <v>120</v>
      </c>
      <c r="AB208">
        <v>0.852173913043478</v>
      </c>
      <c r="AC208" t="s">
        <v>62</v>
      </c>
      <c r="AH208">
        <v>6.47246376811594</v>
      </c>
      <c r="AI208" t="s">
        <v>317</v>
      </c>
      <c r="AV208" t="s">
        <v>88</v>
      </c>
      <c r="AW208">
        <v>1500</v>
      </c>
      <c r="BA208">
        <v>6.47246376811594</v>
      </c>
    </row>
    <row r="209" spans="1:53" hidden="1" x14ac:dyDescent="0.3">
      <c r="A209" t="s">
        <v>313</v>
      </c>
      <c r="C209" t="s">
        <v>251</v>
      </c>
      <c r="D209" t="s">
        <v>81</v>
      </c>
      <c r="E209">
        <v>10000000</v>
      </c>
      <c r="H209">
        <v>1.69</v>
      </c>
      <c r="I209" t="s">
        <v>56</v>
      </c>
      <c r="J209">
        <v>1.6899999999999999E-4</v>
      </c>
      <c r="K209" t="s">
        <v>57</v>
      </c>
      <c r="N209" t="s">
        <v>314</v>
      </c>
      <c r="O209">
        <v>1000</v>
      </c>
      <c r="P209" t="s">
        <v>315</v>
      </c>
      <c r="S209" t="s">
        <v>316</v>
      </c>
      <c r="T209">
        <v>25</v>
      </c>
      <c r="U209" t="s">
        <v>120</v>
      </c>
      <c r="V209">
        <v>75</v>
      </c>
      <c r="W209" t="s">
        <v>320</v>
      </c>
      <c r="X209" t="s">
        <v>280</v>
      </c>
      <c r="Y209">
        <v>180</v>
      </c>
      <c r="AB209">
        <v>0.365217391304346</v>
      </c>
      <c r="AC209" t="s">
        <v>62</v>
      </c>
      <c r="AH209">
        <v>6.67536231884056</v>
      </c>
      <c r="AI209" t="s">
        <v>317</v>
      </c>
      <c r="AV209" t="s">
        <v>88</v>
      </c>
      <c r="AW209">
        <v>1000</v>
      </c>
      <c r="BA209">
        <v>6.67536231884056</v>
      </c>
    </row>
    <row r="210" spans="1:53" hidden="1" x14ac:dyDescent="0.3">
      <c r="A210" t="s">
        <v>313</v>
      </c>
      <c r="C210" t="s">
        <v>251</v>
      </c>
      <c r="D210" t="s">
        <v>81</v>
      </c>
      <c r="E210">
        <v>10000000</v>
      </c>
      <c r="H210">
        <v>1.69</v>
      </c>
      <c r="I210" t="s">
        <v>56</v>
      </c>
      <c r="J210">
        <v>1.6899999999999999E-4</v>
      </c>
      <c r="K210" t="s">
        <v>57</v>
      </c>
      <c r="N210" t="s">
        <v>314</v>
      </c>
      <c r="O210">
        <v>1500</v>
      </c>
      <c r="P210" t="s">
        <v>315</v>
      </c>
      <c r="S210" t="s">
        <v>316</v>
      </c>
      <c r="T210">
        <v>25</v>
      </c>
      <c r="U210" t="s">
        <v>120</v>
      </c>
      <c r="V210">
        <v>75</v>
      </c>
      <c r="W210" t="s">
        <v>320</v>
      </c>
      <c r="X210" t="s">
        <v>280</v>
      </c>
      <c r="Y210">
        <v>180</v>
      </c>
      <c r="AB210">
        <v>1.19710144927536</v>
      </c>
      <c r="AC210" t="s">
        <v>62</v>
      </c>
      <c r="AH210">
        <v>6.47246376811594</v>
      </c>
      <c r="AI210" t="s">
        <v>317</v>
      </c>
      <c r="AV210" t="s">
        <v>88</v>
      </c>
      <c r="AW210">
        <v>1500</v>
      </c>
      <c r="BA210">
        <v>6.47246376811594</v>
      </c>
    </row>
    <row r="211" spans="1:53" hidden="1" x14ac:dyDescent="0.3">
      <c r="A211" t="s">
        <v>313</v>
      </c>
      <c r="C211" t="s">
        <v>251</v>
      </c>
      <c r="D211" t="s">
        <v>81</v>
      </c>
      <c r="E211">
        <v>10000000</v>
      </c>
      <c r="H211">
        <v>1.69</v>
      </c>
      <c r="I211" t="s">
        <v>56</v>
      </c>
      <c r="J211">
        <v>1.6899999999999999E-4</v>
      </c>
      <c r="K211" t="s">
        <v>57</v>
      </c>
      <c r="N211" t="s">
        <v>314</v>
      </c>
      <c r="O211">
        <v>1000</v>
      </c>
      <c r="P211" t="s">
        <v>315</v>
      </c>
      <c r="S211" t="s">
        <v>316</v>
      </c>
      <c r="T211">
        <v>25</v>
      </c>
      <c r="U211" t="s">
        <v>120</v>
      </c>
      <c r="V211">
        <v>75</v>
      </c>
      <c r="W211" t="s">
        <v>320</v>
      </c>
      <c r="X211" t="s">
        <v>280</v>
      </c>
      <c r="Y211">
        <v>300</v>
      </c>
      <c r="AB211">
        <v>0.26376811594202798</v>
      </c>
      <c r="AC211" t="s">
        <v>62</v>
      </c>
      <c r="AH211">
        <v>6.67536231884056</v>
      </c>
      <c r="AI211" t="s">
        <v>317</v>
      </c>
      <c r="AV211" t="s">
        <v>88</v>
      </c>
      <c r="AW211">
        <v>1000</v>
      </c>
      <c r="BA211">
        <v>6.67536231884056</v>
      </c>
    </row>
    <row r="212" spans="1:53" hidden="1" x14ac:dyDescent="0.3">
      <c r="A212" t="s">
        <v>313</v>
      </c>
      <c r="C212" t="s">
        <v>251</v>
      </c>
      <c r="D212" t="s">
        <v>81</v>
      </c>
      <c r="E212">
        <v>10000000</v>
      </c>
      <c r="H212">
        <v>1.69</v>
      </c>
      <c r="I212" t="s">
        <v>56</v>
      </c>
      <c r="J212">
        <v>1.6899999999999999E-4</v>
      </c>
      <c r="K212" t="s">
        <v>57</v>
      </c>
      <c r="N212" t="s">
        <v>314</v>
      </c>
      <c r="O212">
        <v>1500</v>
      </c>
      <c r="P212" t="s">
        <v>315</v>
      </c>
      <c r="S212" t="s">
        <v>316</v>
      </c>
      <c r="T212">
        <v>25</v>
      </c>
      <c r="U212" t="s">
        <v>120</v>
      </c>
      <c r="V212">
        <v>75</v>
      </c>
      <c r="W212" t="s">
        <v>320</v>
      </c>
      <c r="X212" t="s">
        <v>280</v>
      </c>
      <c r="Y212">
        <v>300</v>
      </c>
      <c r="AB212">
        <v>0.365217391304346</v>
      </c>
      <c r="AC212" t="s">
        <v>62</v>
      </c>
      <c r="AH212">
        <v>6.47246376811594</v>
      </c>
      <c r="AI212" t="s">
        <v>317</v>
      </c>
      <c r="AV212" t="s">
        <v>88</v>
      </c>
      <c r="AW212">
        <v>1500</v>
      </c>
      <c r="BA212">
        <v>6.47246376811594</v>
      </c>
    </row>
    <row r="213" spans="1:53" hidden="1" x14ac:dyDescent="0.3">
      <c r="A213" t="s">
        <v>313</v>
      </c>
      <c r="C213" t="s">
        <v>251</v>
      </c>
      <c r="D213" t="s">
        <v>81</v>
      </c>
      <c r="E213">
        <v>10000000</v>
      </c>
      <c r="H213">
        <v>1.69</v>
      </c>
      <c r="I213" t="s">
        <v>56</v>
      </c>
      <c r="J213">
        <v>1.6899999999999999E-4</v>
      </c>
      <c r="K213" t="s">
        <v>57</v>
      </c>
      <c r="N213" t="s">
        <v>314</v>
      </c>
      <c r="O213">
        <v>1000</v>
      </c>
      <c r="P213" t="s">
        <v>315</v>
      </c>
      <c r="S213" t="s">
        <v>316</v>
      </c>
      <c r="T213">
        <v>25</v>
      </c>
      <c r="U213" t="s">
        <v>120</v>
      </c>
      <c r="V213">
        <v>75</v>
      </c>
      <c r="W213" t="s">
        <v>320</v>
      </c>
      <c r="X213" t="s">
        <v>280</v>
      </c>
      <c r="Y213">
        <v>420</v>
      </c>
      <c r="AB213">
        <v>0.426086956521739</v>
      </c>
      <c r="AC213" t="s">
        <v>62</v>
      </c>
      <c r="AH213">
        <v>6.67536231884056</v>
      </c>
      <c r="AI213" t="s">
        <v>317</v>
      </c>
      <c r="AV213" t="s">
        <v>88</v>
      </c>
      <c r="AW213">
        <v>1000</v>
      </c>
      <c r="BA213">
        <v>6.67536231884056</v>
      </c>
    </row>
    <row r="214" spans="1:53" hidden="1" x14ac:dyDescent="0.3">
      <c r="A214" t="s">
        <v>313</v>
      </c>
      <c r="C214" t="s">
        <v>251</v>
      </c>
      <c r="D214" t="s">
        <v>81</v>
      </c>
      <c r="E214">
        <v>10000000</v>
      </c>
      <c r="H214">
        <v>1.69</v>
      </c>
      <c r="I214" t="s">
        <v>56</v>
      </c>
      <c r="J214">
        <v>1.6899999999999999E-4</v>
      </c>
      <c r="K214" t="s">
        <v>57</v>
      </c>
      <c r="N214" t="s">
        <v>314</v>
      </c>
      <c r="O214">
        <v>1500</v>
      </c>
      <c r="P214" t="s">
        <v>315</v>
      </c>
      <c r="S214" t="s">
        <v>316</v>
      </c>
      <c r="T214">
        <v>25</v>
      </c>
      <c r="U214" t="s">
        <v>120</v>
      </c>
      <c r="V214">
        <v>75</v>
      </c>
      <c r="W214" t="s">
        <v>320</v>
      </c>
      <c r="X214" t="s">
        <v>280</v>
      </c>
      <c r="Y214">
        <v>420</v>
      </c>
      <c r="AB214">
        <v>1.88695652173913</v>
      </c>
      <c r="AC214" t="s">
        <v>62</v>
      </c>
      <c r="AH214">
        <v>6.47246376811594</v>
      </c>
      <c r="AI214" t="s">
        <v>317</v>
      </c>
      <c r="AV214" t="s">
        <v>88</v>
      </c>
      <c r="AW214">
        <v>1500</v>
      </c>
      <c r="BA214">
        <v>6.47246376811594</v>
      </c>
    </row>
    <row r="215" spans="1:53" hidden="1" x14ac:dyDescent="0.3">
      <c r="A215" t="s">
        <v>313</v>
      </c>
      <c r="C215" t="s">
        <v>251</v>
      </c>
      <c r="D215" t="s">
        <v>81</v>
      </c>
      <c r="E215">
        <v>10000000</v>
      </c>
      <c r="H215">
        <v>1.69</v>
      </c>
      <c r="I215" t="s">
        <v>56</v>
      </c>
      <c r="J215">
        <v>1.6899999999999999E-4</v>
      </c>
      <c r="K215" t="s">
        <v>57</v>
      </c>
      <c r="N215" t="s">
        <v>314</v>
      </c>
      <c r="O215">
        <v>1000</v>
      </c>
      <c r="P215" t="s">
        <v>315</v>
      </c>
      <c r="S215" t="s">
        <v>316</v>
      </c>
      <c r="T215">
        <v>25</v>
      </c>
      <c r="U215" t="s">
        <v>120</v>
      </c>
      <c r="V215">
        <v>75</v>
      </c>
      <c r="W215" t="s">
        <v>320</v>
      </c>
      <c r="X215" t="s">
        <v>280</v>
      </c>
      <c r="Y215">
        <v>540</v>
      </c>
      <c r="AB215">
        <v>0.182608695652173</v>
      </c>
      <c r="AC215" t="s">
        <v>62</v>
      </c>
      <c r="AH215">
        <v>6.67536231884056</v>
      </c>
      <c r="AI215" t="s">
        <v>317</v>
      </c>
      <c r="AV215" t="s">
        <v>88</v>
      </c>
      <c r="AW215">
        <v>1000</v>
      </c>
      <c r="BA215">
        <v>6.67536231884056</v>
      </c>
    </row>
    <row r="216" spans="1:53" hidden="1" x14ac:dyDescent="0.3">
      <c r="A216" t="s">
        <v>313</v>
      </c>
      <c r="C216" t="s">
        <v>251</v>
      </c>
      <c r="D216" t="s">
        <v>81</v>
      </c>
      <c r="E216">
        <v>10000000</v>
      </c>
      <c r="H216">
        <v>1.69</v>
      </c>
      <c r="I216" t="s">
        <v>56</v>
      </c>
      <c r="J216">
        <v>1.6899999999999999E-4</v>
      </c>
      <c r="K216" t="s">
        <v>57</v>
      </c>
      <c r="N216" t="s">
        <v>314</v>
      </c>
      <c r="O216">
        <v>1500</v>
      </c>
      <c r="P216" t="s">
        <v>315</v>
      </c>
      <c r="S216" t="s">
        <v>316</v>
      </c>
      <c r="T216">
        <v>25</v>
      </c>
      <c r="U216" t="s">
        <v>120</v>
      </c>
      <c r="V216">
        <v>75</v>
      </c>
      <c r="W216" t="s">
        <v>320</v>
      </c>
      <c r="X216" t="s">
        <v>280</v>
      </c>
      <c r="Y216">
        <v>540</v>
      </c>
      <c r="AA216" t="s">
        <v>128</v>
      </c>
      <c r="AB216">
        <v>0</v>
      </c>
      <c r="AC216" t="s">
        <v>62</v>
      </c>
      <c r="AH216">
        <v>6.47246376811594</v>
      </c>
      <c r="AI216" t="s">
        <v>317</v>
      </c>
      <c r="AV216" t="s">
        <v>88</v>
      </c>
      <c r="AW216">
        <v>1500</v>
      </c>
      <c r="AZ216">
        <v>0</v>
      </c>
      <c r="BA216">
        <v>6.47246376811594</v>
      </c>
    </row>
    <row r="217" spans="1:53" hidden="1" x14ac:dyDescent="0.3">
      <c r="A217" t="s">
        <v>313</v>
      </c>
      <c r="C217" t="s">
        <v>251</v>
      </c>
      <c r="D217" t="s">
        <v>81</v>
      </c>
      <c r="E217">
        <v>10000000</v>
      </c>
      <c r="H217">
        <v>1.69</v>
      </c>
      <c r="I217" t="s">
        <v>56</v>
      </c>
      <c r="J217">
        <v>1.6899999999999999E-4</v>
      </c>
      <c r="K217" t="s">
        <v>57</v>
      </c>
      <c r="N217" t="s">
        <v>314</v>
      </c>
      <c r="O217">
        <v>1000</v>
      </c>
      <c r="P217" t="s">
        <v>315</v>
      </c>
      <c r="S217" t="s">
        <v>316</v>
      </c>
      <c r="T217">
        <v>25</v>
      </c>
      <c r="U217" t="s">
        <v>120</v>
      </c>
      <c r="V217">
        <v>75</v>
      </c>
      <c r="W217" t="s">
        <v>123</v>
      </c>
      <c r="X217" t="s">
        <v>280</v>
      </c>
      <c r="Y217">
        <v>0</v>
      </c>
      <c r="AB217">
        <v>6.7760616432465799</v>
      </c>
      <c r="AC217" t="s">
        <v>62</v>
      </c>
      <c r="AH217">
        <v>6.7760616432465799</v>
      </c>
      <c r="AI217" t="s">
        <v>317</v>
      </c>
      <c r="AT217" t="s">
        <v>79</v>
      </c>
      <c r="AV217" t="s">
        <v>88</v>
      </c>
      <c r="AW217">
        <v>1000</v>
      </c>
      <c r="BA217">
        <v>6.7760616432465799</v>
      </c>
    </row>
    <row r="218" spans="1:53" hidden="1" x14ac:dyDescent="0.3">
      <c r="A218" t="s">
        <v>313</v>
      </c>
      <c r="C218" t="s">
        <v>251</v>
      </c>
      <c r="D218" t="s">
        <v>81</v>
      </c>
      <c r="E218">
        <v>10000000</v>
      </c>
      <c r="H218">
        <v>1.69</v>
      </c>
      <c r="I218" t="s">
        <v>56</v>
      </c>
      <c r="J218">
        <v>1.6899999999999999E-4</v>
      </c>
      <c r="K218" t="s">
        <v>57</v>
      </c>
      <c r="N218" t="s">
        <v>314</v>
      </c>
      <c r="O218">
        <v>1500</v>
      </c>
      <c r="P218" t="s">
        <v>315</v>
      </c>
      <c r="S218" t="s">
        <v>316</v>
      </c>
      <c r="T218">
        <v>25</v>
      </c>
      <c r="U218" t="s">
        <v>120</v>
      </c>
      <c r="V218">
        <v>75</v>
      </c>
      <c r="W218" t="s">
        <v>123</v>
      </c>
      <c r="X218" t="s">
        <v>280</v>
      </c>
      <c r="Y218">
        <v>0</v>
      </c>
      <c r="AB218">
        <v>6.30476771985344</v>
      </c>
      <c r="AC218" t="s">
        <v>62</v>
      </c>
      <c r="AH218">
        <v>6.30476771985344</v>
      </c>
      <c r="AI218" t="s">
        <v>317</v>
      </c>
      <c r="AT218" t="s">
        <v>79</v>
      </c>
      <c r="AV218" t="s">
        <v>88</v>
      </c>
      <c r="AW218">
        <v>1500</v>
      </c>
      <c r="BA218">
        <v>6.30476771985344</v>
      </c>
    </row>
    <row r="219" spans="1:53" hidden="1" x14ac:dyDescent="0.3">
      <c r="A219" t="s">
        <v>313</v>
      </c>
      <c r="C219" t="s">
        <v>251</v>
      </c>
      <c r="D219" t="s">
        <v>81</v>
      </c>
      <c r="E219">
        <v>10000000</v>
      </c>
      <c r="H219">
        <v>1.69</v>
      </c>
      <c r="I219" t="s">
        <v>56</v>
      </c>
      <c r="J219">
        <v>1.6899999999999999E-4</v>
      </c>
      <c r="K219" t="s">
        <v>57</v>
      </c>
      <c r="N219" t="s">
        <v>314</v>
      </c>
      <c r="O219">
        <v>1000</v>
      </c>
      <c r="P219" t="s">
        <v>315</v>
      </c>
      <c r="S219" t="s">
        <v>316</v>
      </c>
      <c r="T219">
        <v>25</v>
      </c>
      <c r="U219" t="s">
        <v>120</v>
      </c>
      <c r="V219">
        <v>75</v>
      </c>
      <c r="W219" t="s">
        <v>123</v>
      </c>
      <c r="X219" t="s">
        <v>280</v>
      </c>
      <c r="Y219">
        <v>30</v>
      </c>
      <c r="AB219">
        <v>5.2001255568359603</v>
      </c>
      <c r="AC219" t="s">
        <v>62</v>
      </c>
      <c r="AH219">
        <v>6.7760616432465799</v>
      </c>
      <c r="AI219" t="s">
        <v>317</v>
      </c>
      <c r="AT219" t="s">
        <v>79</v>
      </c>
      <c r="AV219" t="s">
        <v>88</v>
      </c>
      <c r="AW219">
        <v>1000</v>
      </c>
      <c r="BA219">
        <v>6.7760616432465799</v>
      </c>
    </row>
    <row r="220" spans="1:53" hidden="1" x14ac:dyDescent="0.3">
      <c r="A220" t="s">
        <v>313</v>
      </c>
      <c r="C220" t="s">
        <v>251</v>
      </c>
      <c r="D220" t="s">
        <v>81</v>
      </c>
      <c r="E220">
        <v>10000000</v>
      </c>
      <c r="H220">
        <v>1.69</v>
      </c>
      <c r="I220" t="s">
        <v>56</v>
      </c>
      <c r="J220">
        <v>1.6899999999999999E-4</v>
      </c>
      <c r="K220" t="s">
        <v>57</v>
      </c>
      <c r="N220" t="s">
        <v>314</v>
      </c>
      <c r="O220">
        <v>1500</v>
      </c>
      <c r="P220" t="s">
        <v>315</v>
      </c>
      <c r="S220" t="s">
        <v>316</v>
      </c>
      <c r="T220">
        <v>25</v>
      </c>
      <c r="U220" t="s">
        <v>120</v>
      </c>
      <c r="V220">
        <v>75</v>
      </c>
      <c r="W220" t="s">
        <v>123</v>
      </c>
      <c r="X220" t="s">
        <v>280</v>
      </c>
      <c r="Y220">
        <v>30</v>
      </c>
      <c r="AB220">
        <v>3.96918697648819</v>
      </c>
      <c r="AC220" t="s">
        <v>62</v>
      </c>
      <c r="AH220">
        <v>6.30476771985344</v>
      </c>
      <c r="AI220" t="s">
        <v>317</v>
      </c>
      <c r="AT220" t="s">
        <v>79</v>
      </c>
      <c r="AV220" t="s">
        <v>88</v>
      </c>
      <c r="AW220">
        <v>1500</v>
      </c>
      <c r="BA220">
        <v>6.30476771985344</v>
      </c>
    </row>
    <row r="221" spans="1:53" hidden="1" x14ac:dyDescent="0.3">
      <c r="A221" t="s">
        <v>313</v>
      </c>
      <c r="C221" t="s">
        <v>251</v>
      </c>
      <c r="D221" t="s">
        <v>81</v>
      </c>
      <c r="E221">
        <v>10000000</v>
      </c>
      <c r="H221">
        <v>1.69</v>
      </c>
      <c r="I221" t="s">
        <v>56</v>
      </c>
      <c r="J221">
        <v>1.6899999999999999E-4</v>
      </c>
      <c r="K221" t="s">
        <v>57</v>
      </c>
      <c r="N221" t="s">
        <v>314</v>
      </c>
      <c r="O221">
        <v>1000</v>
      </c>
      <c r="P221" t="s">
        <v>315</v>
      </c>
      <c r="S221" t="s">
        <v>316</v>
      </c>
      <c r="T221">
        <v>25</v>
      </c>
      <c r="U221" t="s">
        <v>120</v>
      </c>
      <c r="V221">
        <v>75</v>
      </c>
      <c r="W221" t="s">
        <v>123</v>
      </c>
      <c r="X221" t="s">
        <v>280</v>
      </c>
      <c r="Y221">
        <v>60</v>
      </c>
      <c r="AB221">
        <v>4.17837670490702</v>
      </c>
      <c r="AC221" t="s">
        <v>62</v>
      </c>
      <c r="AH221">
        <v>6.7760616432465799</v>
      </c>
      <c r="AI221" t="s">
        <v>317</v>
      </c>
      <c r="AT221" t="s">
        <v>79</v>
      </c>
      <c r="AV221" t="s">
        <v>88</v>
      </c>
      <c r="AW221">
        <v>1000</v>
      </c>
      <c r="BA221">
        <v>6.7760616432465799</v>
      </c>
    </row>
    <row r="222" spans="1:53" hidden="1" x14ac:dyDescent="0.3">
      <c r="A222" t="s">
        <v>313</v>
      </c>
      <c r="C222" t="s">
        <v>251</v>
      </c>
      <c r="D222" t="s">
        <v>81</v>
      </c>
      <c r="E222">
        <v>10000000</v>
      </c>
      <c r="H222">
        <v>1.69</v>
      </c>
      <c r="I222" t="s">
        <v>56</v>
      </c>
      <c r="J222">
        <v>1.6899999999999999E-4</v>
      </c>
      <c r="K222" t="s">
        <v>57</v>
      </c>
      <c r="N222" t="s">
        <v>314</v>
      </c>
      <c r="O222">
        <v>1500</v>
      </c>
      <c r="P222" t="s">
        <v>315</v>
      </c>
      <c r="S222" t="s">
        <v>316</v>
      </c>
      <c r="T222">
        <v>25</v>
      </c>
      <c r="U222" t="s">
        <v>120</v>
      </c>
      <c r="V222">
        <v>75</v>
      </c>
      <c r="W222" t="s">
        <v>123</v>
      </c>
      <c r="X222" t="s">
        <v>280</v>
      </c>
      <c r="Y222">
        <v>60</v>
      </c>
      <c r="AB222">
        <v>2.74228169450129</v>
      </c>
      <c r="AC222" t="s">
        <v>62</v>
      </c>
      <c r="AH222">
        <v>6.30476771985344</v>
      </c>
      <c r="AI222" t="s">
        <v>317</v>
      </c>
      <c r="AT222" t="s">
        <v>79</v>
      </c>
      <c r="AV222" t="s">
        <v>88</v>
      </c>
      <c r="AW222">
        <v>1500</v>
      </c>
      <c r="BA222">
        <v>6.30476771985344</v>
      </c>
    </row>
    <row r="223" spans="1:53" hidden="1" x14ac:dyDescent="0.3">
      <c r="A223" t="s">
        <v>313</v>
      </c>
      <c r="C223" t="s">
        <v>251</v>
      </c>
      <c r="D223" t="s">
        <v>81</v>
      </c>
      <c r="E223">
        <v>10000000</v>
      </c>
      <c r="H223">
        <v>1.69</v>
      </c>
      <c r="I223" t="s">
        <v>56</v>
      </c>
      <c r="J223">
        <v>1.6899999999999999E-4</v>
      </c>
      <c r="K223" t="s">
        <v>57</v>
      </c>
      <c r="N223" t="s">
        <v>314</v>
      </c>
      <c r="O223">
        <v>1000</v>
      </c>
      <c r="P223" t="s">
        <v>315</v>
      </c>
      <c r="S223" t="s">
        <v>316</v>
      </c>
      <c r="T223">
        <v>25</v>
      </c>
      <c r="U223" t="s">
        <v>120</v>
      </c>
      <c r="V223">
        <v>75</v>
      </c>
      <c r="W223" t="s">
        <v>123</v>
      </c>
      <c r="X223" t="s">
        <v>280</v>
      </c>
      <c r="Y223">
        <v>120</v>
      </c>
      <c r="AB223">
        <v>2.7667222785985701</v>
      </c>
      <c r="AC223" t="s">
        <v>62</v>
      </c>
      <c r="AH223">
        <v>6.7760616432465799</v>
      </c>
      <c r="AI223" t="s">
        <v>317</v>
      </c>
      <c r="AT223" t="s">
        <v>79</v>
      </c>
      <c r="AV223" t="s">
        <v>88</v>
      </c>
      <c r="AW223">
        <v>1000</v>
      </c>
      <c r="BA223">
        <v>6.7760616432465799</v>
      </c>
    </row>
    <row r="224" spans="1:53" hidden="1" x14ac:dyDescent="0.3">
      <c r="A224" t="s">
        <v>313</v>
      </c>
      <c r="C224" t="s">
        <v>251</v>
      </c>
      <c r="D224" t="s">
        <v>81</v>
      </c>
      <c r="E224">
        <v>10000000</v>
      </c>
      <c r="H224">
        <v>1.69</v>
      </c>
      <c r="I224" t="s">
        <v>56</v>
      </c>
      <c r="J224">
        <v>1.6899999999999999E-4</v>
      </c>
      <c r="K224" t="s">
        <v>57</v>
      </c>
      <c r="N224" t="s">
        <v>314</v>
      </c>
      <c r="O224">
        <v>1500</v>
      </c>
      <c r="P224" t="s">
        <v>315</v>
      </c>
      <c r="S224" t="s">
        <v>316</v>
      </c>
      <c r="T224">
        <v>25</v>
      </c>
      <c r="U224" t="s">
        <v>120</v>
      </c>
      <c r="V224">
        <v>75</v>
      </c>
      <c r="W224" t="s">
        <v>123</v>
      </c>
      <c r="X224" t="s">
        <v>280</v>
      </c>
      <c r="Y224">
        <v>120</v>
      </c>
      <c r="AB224">
        <v>1.1457577269052801</v>
      </c>
      <c r="AC224" t="s">
        <v>62</v>
      </c>
      <c r="AH224">
        <v>6.30476771985344</v>
      </c>
      <c r="AI224" t="s">
        <v>317</v>
      </c>
      <c r="AT224" t="s">
        <v>79</v>
      </c>
      <c r="AV224" t="s">
        <v>88</v>
      </c>
      <c r="AW224">
        <v>1500</v>
      </c>
      <c r="BA224">
        <v>6.30476771985344</v>
      </c>
    </row>
    <row r="225" spans="1:53" hidden="1" x14ac:dyDescent="0.3">
      <c r="A225" t="s">
        <v>313</v>
      </c>
      <c r="C225" t="s">
        <v>251</v>
      </c>
      <c r="D225" t="s">
        <v>81</v>
      </c>
      <c r="E225">
        <v>10000000</v>
      </c>
      <c r="H225">
        <v>1.69</v>
      </c>
      <c r="I225" t="s">
        <v>56</v>
      </c>
      <c r="J225">
        <v>1.6899999999999999E-4</v>
      </c>
      <c r="K225" t="s">
        <v>57</v>
      </c>
      <c r="N225" t="s">
        <v>314</v>
      </c>
      <c r="O225">
        <v>1000</v>
      </c>
      <c r="P225" t="s">
        <v>315</v>
      </c>
      <c r="S225" t="s">
        <v>316</v>
      </c>
      <c r="T225">
        <v>25</v>
      </c>
      <c r="U225" t="s">
        <v>120</v>
      </c>
      <c r="V225">
        <v>75</v>
      </c>
      <c r="W225" t="s">
        <v>123</v>
      </c>
      <c r="X225" t="s">
        <v>280</v>
      </c>
      <c r="Y225">
        <v>180</v>
      </c>
      <c r="AB225">
        <v>0.75958445847164502</v>
      </c>
      <c r="AC225" t="s">
        <v>62</v>
      </c>
      <c r="AH225">
        <v>6.7760616432465799</v>
      </c>
      <c r="AI225" t="s">
        <v>317</v>
      </c>
      <c r="AT225" t="s">
        <v>79</v>
      </c>
      <c r="AV225" t="s">
        <v>88</v>
      </c>
      <c r="AW225">
        <v>1000</v>
      </c>
      <c r="BA225">
        <v>6.7760616432465799</v>
      </c>
    </row>
    <row r="226" spans="1:53" hidden="1" x14ac:dyDescent="0.3">
      <c r="A226" t="s">
        <v>313</v>
      </c>
      <c r="C226" t="s">
        <v>251</v>
      </c>
      <c r="D226" t="s">
        <v>81</v>
      </c>
      <c r="E226">
        <v>10000000</v>
      </c>
      <c r="H226">
        <v>1.69</v>
      </c>
      <c r="I226" t="s">
        <v>56</v>
      </c>
      <c r="J226">
        <v>1.6899999999999999E-4</v>
      </c>
      <c r="K226" t="s">
        <v>57</v>
      </c>
      <c r="N226" t="s">
        <v>314</v>
      </c>
      <c r="O226">
        <v>1500</v>
      </c>
      <c r="P226" t="s">
        <v>315</v>
      </c>
      <c r="S226" t="s">
        <v>316</v>
      </c>
      <c r="T226">
        <v>25</v>
      </c>
      <c r="U226" t="s">
        <v>120</v>
      </c>
      <c r="V226">
        <v>75</v>
      </c>
      <c r="W226" t="s">
        <v>123</v>
      </c>
      <c r="X226" t="s">
        <v>280</v>
      </c>
      <c r="Y226">
        <v>180</v>
      </c>
      <c r="AB226">
        <v>1.7664040866170101</v>
      </c>
      <c r="AC226" t="s">
        <v>62</v>
      </c>
      <c r="AH226">
        <v>6.30476771985344</v>
      </c>
      <c r="AI226" t="s">
        <v>317</v>
      </c>
      <c r="AT226" t="s">
        <v>79</v>
      </c>
      <c r="AV226" t="s">
        <v>88</v>
      </c>
      <c r="AW226">
        <v>1500</v>
      </c>
      <c r="BA226">
        <v>6.30476771985344</v>
      </c>
    </row>
    <row r="227" spans="1:53" hidden="1" x14ac:dyDescent="0.3">
      <c r="A227" t="s">
        <v>313</v>
      </c>
      <c r="C227" t="s">
        <v>251</v>
      </c>
      <c r="D227" t="s">
        <v>81</v>
      </c>
      <c r="E227">
        <v>10000000</v>
      </c>
      <c r="H227">
        <v>1.69</v>
      </c>
      <c r="I227" t="s">
        <v>56</v>
      </c>
      <c r="J227">
        <v>1.6899999999999999E-4</v>
      </c>
      <c r="K227" t="s">
        <v>57</v>
      </c>
      <c r="N227" t="s">
        <v>314</v>
      </c>
      <c r="O227">
        <v>1000</v>
      </c>
      <c r="P227" t="s">
        <v>315</v>
      </c>
      <c r="S227" t="s">
        <v>316</v>
      </c>
      <c r="T227">
        <v>25</v>
      </c>
      <c r="U227" t="s">
        <v>120</v>
      </c>
      <c r="V227">
        <v>75</v>
      </c>
      <c r="W227" t="s">
        <v>123</v>
      </c>
      <c r="X227" t="s">
        <v>280</v>
      </c>
      <c r="Y227">
        <v>300</v>
      </c>
      <c r="AB227">
        <v>0.27155535680500698</v>
      </c>
      <c r="AC227" t="s">
        <v>62</v>
      </c>
      <c r="AH227">
        <v>6.7760616432465799</v>
      </c>
      <c r="AI227" t="s">
        <v>317</v>
      </c>
      <c r="AT227" t="s">
        <v>79</v>
      </c>
      <c r="AV227" t="s">
        <v>88</v>
      </c>
      <c r="AW227">
        <v>1000</v>
      </c>
      <c r="BA227">
        <v>6.7760616432465799</v>
      </c>
    </row>
    <row r="228" spans="1:53" hidden="1" x14ac:dyDescent="0.3">
      <c r="A228" t="s">
        <v>313</v>
      </c>
      <c r="C228" t="s">
        <v>251</v>
      </c>
      <c r="D228" t="s">
        <v>81</v>
      </c>
      <c r="E228">
        <v>10000000</v>
      </c>
      <c r="H228">
        <v>1.69</v>
      </c>
      <c r="I228" t="s">
        <v>56</v>
      </c>
      <c r="J228">
        <v>1.6899999999999999E-4</v>
      </c>
      <c r="K228" t="s">
        <v>57</v>
      </c>
      <c r="N228" t="s">
        <v>314</v>
      </c>
      <c r="O228">
        <v>1500</v>
      </c>
      <c r="P228" t="s">
        <v>315</v>
      </c>
      <c r="S228" t="s">
        <v>316</v>
      </c>
      <c r="T228">
        <v>25</v>
      </c>
      <c r="U228" t="s">
        <v>120</v>
      </c>
      <c r="V228">
        <v>75</v>
      </c>
      <c r="W228" t="s">
        <v>123</v>
      </c>
      <c r="X228" t="s">
        <v>280</v>
      </c>
      <c r="Y228">
        <v>300</v>
      </c>
      <c r="AB228">
        <v>0.25199084983058301</v>
      </c>
      <c r="AC228" t="s">
        <v>62</v>
      </c>
      <c r="AH228">
        <v>6.30476771985344</v>
      </c>
      <c r="AI228" t="s">
        <v>317</v>
      </c>
      <c r="AT228" t="s">
        <v>79</v>
      </c>
      <c r="AV228" t="s">
        <v>88</v>
      </c>
      <c r="AW228">
        <v>1500</v>
      </c>
      <c r="BA228">
        <v>6.30476771985344</v>
      </c>
    </row>
    <row r="229" spans="1:53" hidden="1" x14ac:dyDescent="0.3">
      <c r="A229" t="s">
        <v>313</v>
      </c>
      <c r="C229" t="s">
        <v>251</v>
      </c>
      <c r="D229" t="s">
        <v>81</v>
      </c>
      <c r="E229">
        <v>10000000</v>
      </c>
      <c r="H229">
        <v>1.69</v>
      </c>
      <c r="I229" t="s">
        <v>56</v>
      </c>
      <c r="J229">
        <v>1.6899999999999999E-4</v>
      </c>
      <c r="K229" t="s">
        <v>57</v>
      </c>
      <c r="N229" t="s">
        <v>314</v>
      </c>
      <c r="O229">
        <v>1000</v>
      </c>
      <c r="P229" t="s">
        <v>315</v>
      </c>
      <c r="S229" t="s">
        <v>316</v>
      </c>
      <c r="T229">
        <v>25</v>
      </c>
      <c r="U229" t="s">
        <v>120</v>
      </c>
      <c r="V229">
        <v>75</v>
      </c>
      <c r="W229" t="s">
        <v>123</v>
      </c>
      <c r="X229" t="s">
        <v>280</v>
      </c>
      <c r="Y229">
        <v>420</v>
      </c>
      <c r="AB229">
        <v>0.27631103696186698</v>
      </c>
      <c r="AC229" t="s">
        <v>62</v>
      </c>
      <c r="AH229">
        <v>6.7760616432465799</v>
      </c>
      <c r="AI229" t="s">
        <v>317</v>
      </c>
      <c r="AT229" t="s">
        <v>79</v>
      </c>
      <c r="AV229" t="s">
        <v>88</v>
      </c>
      <c r="AW229">
        <v>1000</v>
      </c>
      <c r="BA229">
        <v>6.7760616432465799</v>
      </c>
    </row>
    <row r="230" spans="1:53" hidden="1" x14ac:dyDescent="0.3">
      <c r="A230" t="s">
        <v>313</v>
      </c>
      <c r="C230" t="s">
        <v>251</v>
      </c>
      <c r="D230" t="s">
        <v>81</v>
      </c>
      <c r="E230">
        <v>10000000</v>
      </c>
      <c r="H230">
        <v>1.69</v>
      </c>
      <c r="I230" t="s">
        <v>56</v>
      </c>
      <c r="J230">
        <v>1.6899999999999999E-4</v>
      </c>
      <c r="K230" t="s">
        <v>57</v>
      </c>
      <c r="N230" t="s">
        <v>314</v>
      </c>
      <c r="O230">
        <v>1500</v>
      </c>
      <c r="P230" t="s">
        <v>315</v>
      </c>
      <c r="S230" t="s">
        <v>316</v>
      </c>
      <c r="T230">
        <v>25</v>
      </c>
      <c r="U230" t="s">
        <v>120</v>
      </c>
      <c r="V230">
        <v>75</v>
      </c>
      <c r="W230" t="s">
        <v>123</v>
      </c>
      <c r="X230" t="s">
        <v>280</v>
      </c>
      <c r="Y230">
        <v>420</v>
      </c>
      <c r="AB230">
        <v>0.29762129994323999</v>
      </c>
      <c r="AC230" t="s">
        <v>62</v>
      </c>
      <c r="AH230">
        <v>6.30476771985344</v>
      </c>
      <c r="AI230" t="s">
        <v>317</v>
      </c>
      <c r="AT230" t="s">
        <v>79</v>
      </c>
      <c r="AV230" t="s">
        <v>88</v>
      </c>
      <c r="AW230">
        <v>1500</v>
      </c>
      <c r="BA230">
        <v>6.30476771985344</v>
      </c>
    </row>
    <row r="231" spans="1:53" hidden="1" x14ac:dyDescent="0.3">
      <c r="A231" t="s">
        <v>313</v>
      </c>
      <c r="C231" t="s">
        <v>251</v>
      </c>
      <c r="D231" t="s">
        <v>81</v>
      </c>
      <c r="E231">
        <v>10000000</v>
      </c>
      <c r="H231">
        <v>1.69</v>
      </c>
      <c r="I231" t="s">
        <v>56</v>
      </c>
      <c r="J231">
        <v>1.6899999999999999E-4</v>
      </c>
      <c r="K231" t="s">
        <v>57</v>
      </c>
      <c r="N231" t="s">
        <v>314</v>
      </c>
      <c r="O231">
        <v>1000</v>
      </c>
      <c r="P231" t="s">
        <v>315</v>
      </c>
      <c r="S231" t="s">
        <v>316</v>
      </c>
      <c r="T231">
        <v>25</v>
      </c>
      <c r="U231" t="s">
        <v>120</v>
      </c>
      <c r="V231">
        <v>75</v>
      </c>
      <c r="W231" t="s">
        <v>123</v>
      </c>
      <c r="X231" t="s">
        <v>280</v>
      </c>
      <c r="Y231">
        <v>540</v>
      </c>
      <c r="AA231" t="s">
        <v>128</v>
      </c>
      <c r="AB231">
        <v>0</v>
      </c>
      <c r="AC231" t="s">
        <v>62</v>
      </c>
      <c r="AH231">
        <v>6.7760616432465799</v>
      </c>
      <c r="AI231" t="s">
        <v>317</v>
      </c>
      <c r="AT231" t="s">
        <v>79</v>
      </c>
      <c r="AV231" t="s">
        <v>88</v>
      </c>
      <c r="AW231">
        <v>1000</v>
      </c>
      <c r="AZ231">
        <v>0</v>
      </c>
      <c r="BA231">
        <v>6.7760616432465799</v>
      </c>
    </row>
    <row r="232" spans="1:53" hidden="1" x14ac:dyDescent="0.3">
      <c r="A232" t="s">
        <v>313</v>
      </c>
      <c r="C232" t="s">
        <v>251</v>
      </c>
      <c r="D232" t="s">
        <v>81</v>
      </c>
      <c r="E232">
        <v>10000000</v>
      </c>
      <c r="H232">
        <v>1.69</v>
      </c>
      <c r="I232" t="s">
        <v>56</v>
      </c>
      <c r="J232">
        <v>1.6899999999999999E-4</v>
      </c>
      <c r="K232" t="s">
        <v>57</v>
      </c>
      <c r="N232" t="s">
        <v>314</v>
      </c>
      <c r="O232">
        <v>1500</v>
      </c>
      <c r="P232" t="s">
        <v>315</v>
      </c>
      <c r="S232" t="s">
        <v>316</v>
      </c>
      <c r="T232">
        <v>25</v>
      </c>
      <c r="U232" t="s">
        <v>120</v>
      </c>
      <c r="V232">
        <v>75</v>
      </c>
      <c r="W232" t="s">
        <v>123</v>
      </c>
      <c r="X232" t="s">
        <v>280</v>
      </c>
      <c r="Y232">
        <v>540</v>
      </c>
      <c r="AA232" t="s">
        <v>128</v>
      </c>
      <c r="AB232">
        <v>0</v>
      </c>
      <c r="AC232" t="s">
        <v>62</v>
      </c>
      <c r="AH232">
        <v>6.30476771985344</v>
      </c>
      <c r="AI232" t="s">
        <v>317</v>
      </c>
      <c r="AT232" t="s">
        <v>79</v>
      </c>
      <c r="AV232" t="s">
        <v>88</v>
      </c>
      <c r="AW232">
        <v>1500</v>
      </c>
      <c r="AZ232">
        <v>0</v>
      </c>
      <c r="BA232">
        <v>6.30476771985344</v>
      </c>
    </row>
    <row r="233" spans="1:53" hidden="1" x14ac:dyDescent="0.3">
      <c r="A233" t="s">
        <v>313</v>
      </c>
      <c r="C233" t="s">
        <v>251</v>
      </c>
      <c r="D233" t="s">
        <v>81</v>
      </c>
      <c r="E233">
        <v>10000000</v>
      </c>
      <c r="H233">
        <v>1.69</v>
      </c>
      <c r="I233" t="s">
        <v>56</v>
      </c>
      <c r="J233">
        <v>1.6899999999999999E-4</v>
      </c>
      <c r="K233" t="s">
        <v>57</v>
      </c>
      <c r="N233" t="s">
        <v>314</v>
      </c>
      <c r="O233">
        <v>1000</v>
      </c>
      <c r="P233" t="s">
        <v>315</v>
      </c>
      <c r="S233" t="s">
        <v>316</v>
      </c>
      <c r="T233">
        <v>25</v>
      </c>
      <c r="U233" t="s">
        <v>120</v>
      </c>
      <c r="V233">
        <v>75</v>
      </c>
      <c r="W233" t="s">
        <v>74</v>
      </c>
      <c r="X233" t="s">
        <v>280</v>
      </c>
      <c r="Y233">
        <v>0</v>
      </c>
      <c r="AB233">
        <v>6.85545722713863</v>
      </c>
      <c r="AC233" t="s">
        <v>62</v>
      </c>
      <c r="AH233">
        <v>6.85545722713863</v>
      </c>
      <c r="AI233" t="s">
        <v>317</v>
      </c>
      <c r="AT233" t="s">
        <v>75</v>
      </c>
      <c r="AV233" t="s">
        <v>88</v>
      </c>
      <c r="AW233">
        <v>1000</v>
      </c>
      <c r="BA233">
        <v>6.85545722713863</v>
      </c>
    </row>
    <row r="234" spans="1:53" hidden="1" x14ac:dyDescent="0.3">
      <c r="A234" t="s">
        <v>313</v>
      </c>
      <c r="C234" t="s">
        <v>251</v>
      </c>
      <c r="D234" t="s">
        <v>81</v>
      </c>
      <c r="E234">
        <v>10000000</v>
      </c>
      <c r="H234">
        <v>1.69</v>
      </c>
      <c r="I234" t="s">
        <v>56</v>
      </c>
      <c r="J234">
        <v>1.6899999999999999E-4</v>
      </c>
      <c r="K234" t="s">
        <v>57</v>
      </c>
      <c r="N234" t="s">
        <v>314</v>
      </c>
      <c r="O234">
        <v>1500</v>
      </c>
      <c r="P234" t="s">
        <v>315</v>
      </c>
      <c r="S234" t="s">
        <v>316</v>
      </c>
      <c r="T234">
        <v>25</v>
      </c>
      <c r="U234" t="s">
        <v>120</v>
      </c>
      <c r="V234">
        <v>75</v>
      </c>
      <c r="W234" t="s">
        <v>74</v>
      </c>
      <c r="X234" t="s">
        <v>280</v>
      </c>
      <c r="Y234">
        <v>0</v>
      </c>
      <c r="AB234">
        <v>6.85545722713863</v>
      </c>
      <c r="AC234" t="s">
        <v>62</v>
      </c>
      <c r="AH234">
        <v>6.85545722713863</v>
      </c>
      <c r="AI234" t="s">
        <v>317</v>
      </c>
      <c r="AT234" t="s">
        <v>75</v>
      </c>
      <c r="AV234" t="s">
        <v>88</v>
      </c>
      <c r="AW234">
        <v>1500</v>
      </c>
      <c r="BA234">
        <v>6.85545722713863</v>
      </c>
    </row>
    <row r="235" spans="1:53" hidden="1" x14ac:dyDescent="0.3">
      <c r="A235" t="s">
        <v>313</v>
      </c>
      <c r="C235" t="s">
        <v>251</v>
      </c>
      <c r="D235" t="s">
        <v>81</v>
      </c>
      <c r="E235">
        <v>10000000</v>
      </c>
      <c r="H235">
        <v>1.69</v>
      </c>
      <c r="I235" t="s">
        <v>56</v>
      </c>
      <c r="J235">
        <v>1.6899999999999999E-4</v>
      </c>
      <c r="K235" t="s">
        <v>57</v>
      </c>
      <c r="N235" t="s">
        <v>314</v>
      </c>
      <c r="O235">
        <v>1000</v>
      </c>
      <c r="P235" t="s">
        <v>315</v>
      </c>
      <c r="S235" t="s">
        <v>316</v>
      </c>
      <c r="T235">
        <v>25</v>
      </c>
      <c r="U235" t="s">
        <v>120</v>
      </c>
      <c r="V235">
        <v>75</v>
      </c>
      <c r="W235" t="s">
        <v>74</v>
      </c>
      <c r="X235" t="s">
        <v>280</v>
      </c>
      <c r="Y235">
        <v>30</v>
      </c>
      <c r="AB235">
        <v>5.6165191740412901</v>
      </c>
      <c r="AC235" t="s">
        <v>62</v>
      </c>
      <c r="AH235">
        <v>6.85545722713863</v>
      </c>
      <c r="AI235" t="s">
        <v>317</v>
      </c>
      <c r="AT235" t="s">
        <v>75</v>
      </c>
      <c r="AV235" t="s">
        <v>88</v>
      </c>
      <c r="AW235">
        <v>1000</v>
      </c>
      <c r="BA235">
        <v>6.85545722713863</v>
      </c>
    </row>
    <row r="236" spans="1:53" hidden="1" x14ac:dyDescent="0.3">
      <c r="A236" t="s">
        <v>313</v>
      </c>
      <c r="C236" t="s">
        <v>251</v>
      </c>
      <c r="D236" t="s">
        <v>81</v>
      </c>
      <c r="E236">
        <v>10000000</v>
      </c>
      <c r="H236">
        <v>1.69</v>
      </c>
      <c r="I236" t="s">
        <v>56</v>
      </c>
      <c r="J236">
        <v>1.6899999999999999E-4</v>
      </c>
      <c r="K236" t="s">
        <v>57</v>
      </c>
      <c r="N236" t="s">
        <v>314</v>
      </c>
      <c r="O236">
        <v>1500</v>
      </c>
      <c r="P236" t="s">
        <v>315</v>
      </c>
      <c r="S236" t="s">
        <v>316</v>
      </c>
      <c r="T236">
        <v>25</v>
      </c>
      <c r="U236" t="s">
        <v>120</v>
      </c>
      <c r="V236">
        <v>75</v>
      </c>
      <c r="W236" t="s">
        <v>74</v>
      </c>
      <c r="X236" t="s">
        <v>280</v>
      </c>
      <c r="Y236">
        <v>30</v>
      </c>
      <c r="AB236">
        <v>5.1828908554572202</v>
      </c>
      <c r="AC236" t="s">
        <v>62</v>
      </c>
      <c r="AH236">
        <v>6.85545722713863</v>
      </c>
      <c r="AI236" t="s">
        <v>317</v>
      </c>
      <c r="AT236" t="s">
        <v>75</v>
      </c>
      <c r="AV236" t="s">
        <v>88</v>
      </c>
      <c r="AW236">
        <v>1500</v>
      </c>
      <c r="BA236">
        <v>6.85545722713863</v>
      </c>
    </row>
    <row r="237" spans="1:53" hidden="1" x14ac:dyDescent="0.3">
      <c r="A237" t="s">
        <v>313</v>
      </c>
      <c r="C237" t="s">
        <v>251</v>
      </c>
      <c r="D237" t="s">
        <v>81</v>
      </c>
      <c r="E237">
        <v>10000000</v>
      </c>
      <c r="H237">
        <v>1.69</v>
      </c>
      <c r="I237" t="s">
        <v>56</v>
      </c>
      <c r="J237">
        <v>1.6899999999999999E-4</v>
      </c>
      <c r="K237" t="s">
        <v>57</v>
      </c>
      <c r="N237" t="s">
        <v>314</v>
      </c>
      <c r="O237">
        <v>1000</v>
      </c>
      <c r="P237" t="s">
        <v>315</v>
      </c>
      <c r="S237" t="s">
        <v>316</v>
      </c>
      <c r="T237">
        <v>25</v>
      </c>
      <c r="U237" t="s">
        <v>120</v>
      </c>
      <c r="V237">
        <v>75</v>
      </c>
      <c r="W237" t="s">
        <v>74</v>
      </c>
      <c r="X237" t="s">
        <v>280</v>
      </c>
      <c r="Y237">
        <v>60</v>
      </c>
      <c r="AB237">
        <v>5.10029498525072</v>
      </c>
      <c r="AC237" t="s">
        <v>62</v>
      </c>
      <c r="AH237">
        <v>6.85545722713863</v>
      </c>
      <c r="AI237" t="s">
        <v>317</v>
      </c>
      <c r="AT237" t="s">
        <v>75</v>
      </c>
      <c r="AV237" t="s">
        <v>88</v>
      </c>
      <c r="AW237">
        <v>1000</v>
      </c>
      <c r="BA237">
        <v>6.85545722713863</v>
      </c>
    </row>
    <row r="238" spans="1:53" hidden="1" x14ac:dyDescent="0.3">
      <c r="A238" t="s">
        <v>313</v>
      </c>
      <c r="C238" t="s">
        <v>251</v>
      </c>
      <c r="D238" t="s">
        <v>81</v>
      </c>
      <c r="E238">
        <v>10000000</v>
      </c>
      <c r="H238">
        <v>1.69</v>
      </c>
      <c r="I238" t="s">
        <v>56</v>
      </c>
      <c r="J238">
        <v>1.6899999999999999E-4</v>
      </c>
      <c r="K238" t="s">
        <v>57</v>
      </c>
      <c r="N238" t="s">
        <v>314</v>
      </c>
      <c r="O238">
        <v>1500</v>
      </c>
      <c r="P238" t="s">
        <v>315</v>
      </c>
      <c r="S238" t="s">
        <v>316</v>
      </c>
      <c r="T238">
        <v>25</v>
      </c>
      <c r="U238" t="s">
        <v>120</v>
      </c>
      <c r="V238">
        <v>75</v>
      </c>
      <c r="W238" t="s">
        <v>74</v>
      </c>
      <c r="X238" t="s">
        <v>280</v>
      </c>
      <c r="Y238">
        <v>60</v>
      </c>
      <c r="AB238">
        <v>4.6460176991150401</v>
      </c>
      <c r="AC238" t="s">
        <v>62</v>
      </c>
      <c r="AH238">
        <v>6.85545722713863</v>
      </c>
      <c r="AI238" t="s">
        <v>317</v>
      </c>
      <c r="AT238" t="s">
        <v>75</v>
      </c>
      <c r="AV238" t="s">
        <v>88</v>
      </c>
      <c r="AW238">
        <v>1500</v>
      </c>
      <c r="BA238">
        <v>6.85545722713863</v>
      </c>
    </row>
    <row r="239" spans="1:53" hidden="1" x14ac:dyDescent="0.3">
      <c r="A239" t="s">
        <v>313</v>
      </c>
      <c r="C239" t="s">
        <v>251</v>
      </c>
      <c r="D239" t="s">
        <v>81</v>
      </c>
      <c r="E239">
        <v>10000000</v>
      </c>
      <c r="H239">
        <v>1.69</v>
      </c>
      <c r="I239" t="s">
        <v>56</v>
      </c>
      <c r="J239">
        <v>1.6899999999999999E-4</v>
      </c>
      <c r="K239" t="s">
        <v>57</v>
      </c>
      <c r="N239" t="s">
        <v>314</v>
      </c>
      <c r="O239">
        <v>1000</v>
      </c>
      <c r="P239" t="s">
        <v>315</v>
      </c>
      <c r="S239" t="s">
        <v>316</v>
      </c>
      <c r="T239">
        <v>25</v>
      </c>
      <c r="U239" t="s">
        <v>120</v>
      </c>
      <c r="V239">
        <v>75</v>
      </c>
      <c r="W239" t="s">
        <v>74</v>
      </c>
      <c r="X239" t="s">
        <v>280</v>
      </c>
      <c r="Y239">
        <v>120</v>
      </c>
      <c r="AB239">
        <v>3.5516224188790502</v>
      </c>
      <c r="AC239" t="s">
        <v>62</v>
      </c>
      <c r="AH239">
        <v>6.85545722713863</v>
      </c>
      <c r="AI239" t="s">
        <v>317</v>
      </c>
      <c r="AT239" t="s">
        <v>75</v>
      </c>
      <c r="AV239" t="s">
        <v>88</v>
      </c>
      <c r="AW239">
        <v>1000</v>
      </c>
      <c r="BA239">
        <v>6.85545722713863</v>
      </c>
    </row>
    <row r="240" spans="1:53" hidden="1" x14ac:dyDescent="0.3">
      <c r="A240" t="s">
        <v>313</v>
      </c>
      <c r="C240" t="s">
        <v>251</v>
      </c>
      <c r="D240" t="s">
        <v>81</v>
      </c>
      <c r="E240">
        <v>10000000</v>
      </c>
      <c r="H240">
        <v>1.69</v>
      </c>
      <c r="I240" t="s">
        <v>56</v>
      </c>
      <c r="J240">
        <v>1.6899999999999999E-4</v>
      </c>
      <c r="K240" t="s">
        <v>57</v>
      </c>
      <c r="N240" t="s">
        <v>314</v>
      </c>
      <c r="O240">
        <v>1500</v>
      </c>
      <c r="P240" t="s">
        <v>315</v>
      </c>
      <c r="S240" t="s">
        <v>316</v>
      </c>
      <c r="T240">
        <v>25</v>
      </c>
      <c r="U240" t="s">
        <v>120</v>
      </c>
      <c r="V240">
        <v>75</v>
      </c>
      <c r="W240" t="s">
        <v>74</v>
      </c>
      <c r="X240" t="s">
        <v>280</v>
      </c>
      <c r="Y240">
        <v>120</v>
      </c>
      <c r="AB240">
        <v>3.0147492625368701</v>
      </c>
      <c r="AC240" t="s">
        <v>62</v>
      </c>
      <c r="AH240">
        <v>6.85545722713863</v>
      </c>
      <c r="AI240" t="s">
        <v>317</v>
      </c>
      <c r="AT240" t="s">
        <v>75</v>
      </c>
      <c r="AV240" t="s">
        <v>88</v>
      </c>
      <c r="AW240">
        <v>1500</v>
      </c>
      <c r="BA240">
        <v>6.85545722713863</v>
      </c>
    </row>
    <row r="241" spans="1:53" hidden="1" x14ac:dyDescent="0.3">
      <c r="A241" t="s">
        <v>313</v>
      </c>
      <c r="C241" t="s">
        <v>251</v>
      </c>
      <c r="D241" t="s">
        <v>81</v>
      </c>
      <c r="E241">
        <v>10000000</v>
      </c>
      <c r="H241">
        <v>1.69</v>
      </c>
      <c r="I241" t="s">
        <v>56</v>
      </c>
      <c r="J241">
        <v>1.6899999999999999E-4</v>
      </c>
      <c r="K241" t="s">
        <v>57</v>
      </c>
      <c r="N241" t="s">
        <v>314</v>
      </c>
      <c r="O241">
        <v>1000</v>
      </c>
      <c r="P241" t="s">
        <v>315</v>
      </c>
      <c r="S241" t="s">
        <v>316</v>
      </c>
      <c r="T241">
        <v>25</v>
      </c>
      <c r="U241" t="s">
        <v>120</v>
      </c>
      <c r="V241">
        <v>75</v>
      </c>
      <c r="W241" t="s">
        <v>74</v>
      </c>
      <c r="X241" t="s">
        <v>280</v>
      </c>
      <c r="Y241">
        <v>180</v>
      </c>
      <c r="AB241">
        <v>2.84955752212388</v>
      </c>
      <c r="AC241" t="s">
        <v>62</v>
      </c>
      <c r="AH241">
        <v>6.85545722713863</v>
      </c>
      <c r="AI241" t="s">
        <v>317</v>
      </c>
      <c r="AT241" t="s">
        <v>75</v>
      </c>
      <c r="AV241" t="s">
        <v>88</v>
      </c>
      <c r="AW241">
        <v>1000</v>
      </c>
      <c r="BA241">
        <v>6.85545722713863</v>
      </c>
    </row>
    <row r="242" spans="1:53" hidden="1" x14ac:dyDescent="0.3">
      <c r="A242" t="s">
        <v>313</v>
      </c>
      <c r="C242" t="s">
        <v>251</v>
      </c>
      <c r="D242" t="s">
        <v>81</v>
      </c>
      <c r="E242">
        <v>10000000</v>
      </c>
      <c r="H242">
        <v>1.69</v>
      </c>
      <c r="I242" t="s">
        <v>56</v>
      </c>
      <c r="J242">
        <v>1.6899999999999999E-4</v>
      </c>
      <c r="K242" t="s">
        <v>57</v>
      </c>
      <c r="N242" t="s">
        <v>314</v>
      </c>
      <c r="O242">
        <v>1500</v>
      </c>
      <c r="P242" t="s">
        <v>315</v>
      </c>
      <c r="S242" t="s">
        <v>316</v>
      </c>
      <c r="T242">
        <v>25</v>
      </c>
      <c r="U242" t="s">
        <v>120</v>
      </c>
      <c r="V242">
        <v>75</v>
      </c>
      <c r="W242" t="s">
        <v>74</v>
      </c>
      <c r="X242" t="s">
        <v>280</v>
      </c>
      <c r="Y242">
        <v>180</v>
      </c>
      <c r="AB242">
        <v>1.89970501474926</v>
      </c>
      <c r="AC242" t="s">
        <v>62</v>
      </c>
      <c r="AH242">
        <v>6.85545722713863</v>
      </c>
      <c r="AI242" t="s">
        <v>317</v>
      </c>
      <c r="AT242" t="s">
        <v>75</v>
      </c>
      <c r="AV242" t="s">
        <v>88</v>
      </c>
      <c r="AW242">
        <v>1500</v>
      </c>
      <c r="BA242">
        <v>6.85545722713863</v>
      </c>
    </row>
    <row r="243" spans="1:53" hidden="1" x14ac:dyDescent="0.3">
      <c r="A243" t="s">
        <v>313</v>
      </c>
      <c r="C243" t="s">
        <v>251</v>
      </c>
      <c r="D243" t="s">
        <v>81</v>
      </c>
      <c r="E243">
        <v>10000000</v>
      </c>
      <c r="H243">
        <v>1.69</v>
      </c>
      <c r="I243" t="s">
        <v>56</v>
      </c>
      <c r="J243">
        <v>1.6899999999999999E-4</v>
      </c>
      <c r="K243" t="s">
        <v>57</v>
      </c>
      <c r="N243" t="s">
        <v>314</v>
      </c>
      <c r="O243">
        <v>1000</v>
      </c>
      <c r="P243" t="s">
        <v>315</v>
      </c>
      <c r="S243" t="s">
        <v>316</v>
      </c>
      <c r="T243">
        <v>25</v>
      </c>
      <c r="U243" t="s">
        <v>120</v>
      </c>
      <c r="V243">
        <v>75</v>
      </c>
      <c r="W243" t="s">
        <v>74</v>
      </c>
      <c r="X243" t="s">
        <v>280</v>
      </c>
      <c r="Y243">
        <v>300</v>
      </c>
      <c r="AB243">
        <v>1.03244837758112</v>
      </c>
      <c r="AC243" t="s">
        <v>62</v>
      </c>
      <c r="AH243">
        <v>6.85545722713863</v>
      </c>
      <c r="AI243" t="s">
        <v>317</v>
      </c>
      <c r="AT243" t="s">
        <v>75</v>
      </c>
      <c r="AV243" t="s">
        <v>88</v>
      </c>
      <c r="AW243">
        <v>1000</v>
      </c>
      <c r="BA243">
        <v>6.85545722713863</v>
      </c>
    </row>
    <row r="244" spans="1:53" hidden="1" x14ac:dyDescent="0.3">
      <c r="A244" t="s">
        <v>313</v>
      </c>
      <c r="C244" t="s">
        <v>251</v>
      </c>
      <c r="D244" t="s">
        <v>81</v>
      </c>
      <c r="E244">
        <v>10000000</v>
      </c>
      <c r="H244">
        <v>1.69</v>
      </c>
      <c r="I244" t="s">
        <v>56</v>
      </c>
      <c r="J244">
        <v>1.6899999999999999E-4</v>
      </c>
      <c r="K244" t="s">
        <v>57</v>
      </c>
      <c r="N244" t="s">
        <v>314</v>
      </c>
      <c r="O244">
        <v>1500</v>
      </c>
      <c r="P244" t="s">
        <v>315</v>
      </c>
      <c r="S244" t="s">
        <v>316</v>
      </c>
      <c r="T244">
        <v>25</v>
      </c>
      <c r="U244" t="s">
        <v>120</v>
      </c>
      <c r="V244">
        <v>75</v>
      </c>
      <c r="W244" t="s">
        <v>74</v>
      </c>
      <c r="X244" t="s">
        <v>280</v>
      </c>
      <c r="Y244">
        <v>300</v>
      </c>
      <c r="AA244" t="s">
        <v>128</v>
      </c>
      <c r="AB244">
        <v>0</v>
      </c>
      <c r="AC244" t="s">
        <v>62</v>
      </c>
      <c r="AH244">
        <v>6.85545722713863</v>
      </c>
      <c r="AI244" t="s">
        <v>317</v>
      </c>
      <c r="AT244" t="s">
        <v>75</v>
      </c>
      <c r="AV244" t="s">
        <v>88</v>
      </c>
      <c r="AW244">
        <v>1500</v>
      </c>
      <c r="AZ244">
        <v>0</v>
      </c>
      <c r="BA244">
        <v>6.85545722713863</v>
      </c>
    </row>
    <row r="245" spans="1:53" hidden="1" x14ac:dyDescent="0.3">
      <c r="A245" t="s">
        <v>313</v>
      </c>
      <c r="C245" t="s">
        <v>251</v>
      </c>
      <c r="D245" t="s">
        <v>81</v>
      </c>
      <c r="E245">
        <v>10000000</v>
      </c>
      <c r="H245">
        <v>1.69</v>
      </c>
      <c r="I245" t="s">
        <v>56</v>
      </c>
      <c r="J245">
        <v>1.6899999999999999E-4</v>
      </c>
      <c r="K245" t="s">
        <v>57</v>
      </c>
      <c r="N245" t="s">
        <v>314</v>
      </c>
      <c r="O245">
        <v>1000</v>
      </c>
      <c r="P245" t="s">
        <v>315</v>
      </c>
      <c r="S245" t="s">
        <v>316</v>
      </c>
      <c r="T245">
        <v>25</v>
      </c>
      <c r="U245" t="s">
        <v>120</v>
      </c>
      <c r="V245">
        <v>75</v>
      </c>
      <c r="W245" t="s">
        <v>74</v>
      </c>
      <c r="X245" t="s">
        <v>280</v>
      </c>
      <c r="Y245">
        <v>420</v>
      </c>
      <c r="AB245">
        <v>0.20648967551622399</v>
      </c>
      <c r="AC245" t="s">
        <v>62</v>
      </c>
      <c r="AH245">
        <v>6.85545722713863</v>
      </c>
      <c r="AI245" t="s">
        <v>317</v>
      </c>
      <c r="AT245" t="s">
        <v>75</v>
      </c>
      <c r="AV245" t="s">
        <v>88</v>
      </c>
      <c r="AW245">
        <v>1000</v>
      </c>
      <c r="BA245">
        <v>6.85545722713863</v>
      </c>
    </row>
    <row r="246" spans="1:53" hidden="1" x14ac:dyDescent="0.3">
      <c r="A246" t="s">
        <v>313</v>
      </c>
      <c r="C246" t="s">
        <v>251</v>
      </c>
      <c r="D246" t="s">
        <v>81</v>
      </c>
      <c r="E246">
        <v>10000000</v>
      </c>
      <c r="H246">
        <v>1.69</v>
      </c>
      <c r="I246" t="s">
        <v>56</v>
      </c>
      <c r="J246">
        <v>1.6899999999999999E-4</v>
      </c>
      <c r="K246" t="s">
        <v>57</v>
      </c>
      <c r="N246" t="s">
        <v>314</v>
      </c>
      <c r="O246">
        <v>1500</v>
      </c>
      <c r="P246" t="s">
        <v>315</v>
      </c>
      <c r="S246" t="s">
        <v>316</v>
      </c>
      <c r="T246">
        <v>25</v>
      </c>
      <c r="U246" t="s">
        <v>120</v>
      </c>
      <c r="V246">
        <v>75</v>
      </c>
      <c r="W246" t="s">
        <v>74</v>
      </c>
      <c r="X246" t="s">
        <v>280</v>
      </c>
      <c r="Y246">
        <v>420</v>
      </c>
      <c r="AB246">
        <v>3.5516224188790502</v>
      </c>
      <c r="AC246" t="s">
        <v>62</v>
      </c>
      <c r="AH246">
        <v>6.85545722713863</v>
      </c>
      <c r="AI246" t="s">
        <v>317</v>
      </c>
      <c r="AT246" t="s">
        <v>75</v>
      </c>
      <c r="AV246" t="s">
        <v>88</v>
      </c>
      <c r="AW246">
        <v>1500</v>
      </c>
      <c r="BA246">
        <v>6.85545722713863</v>
      </c>
    </row>
    <row r="247" spans="1:53" hidden="1" x14ac:dyDescent="0.3">
      <c r="A247" t="s">
        <v>313</v>
      </c>
      <c r="C247" t="s">
        <v>251</v>
      </c>
      <c r="D247" t="s">
        <v>81</v>
      </c>
      <c r="E247">
        <v>10000000</v>
      </c>
      <c r="H247">
        <v>1.69</v>
      </c>
      <c r="I247" t="s">
        <v>56</v>
      </c>
      <c r="J247">
        <v>1.6899999999999999E-4</v>
      </c>
      <c r="K247" t="s">
        <v>57</v>
      </c>
      <c r="N247" t="s">
        <v>314</v>
      </c>
      <c r="O247">
        <v>1000</v>
      </c>
      <c r="P247" t="s">
        <v>315</v>
      </c>
      <c r="S247" t="s">
        <v>316</v>
      </c>
      <c r="T247">
        <v>25</v>
      </c>
      <c r="U247" t="s">
        <v>120</v>
      </c>
      <c r="V247">
        <v>75</v>
      </c>
      <c r="W247" t="s">
        <v>74</v>
      </c>
      <c r="X247" t="s">
        <v>280</v>
      </c>
      <c r="Y247">
        <v>540</v>
      </c>
      <c r="AB247">
        <v>2.1887905604719702</v>
      </c>
      <c r="AC247" t="s">
        <v>62</v>
      </c>
      <c r="AH247">
        <v>6.85545722713863</v>
      </c>
      <c r="AI247" t="s">
        <v>317</v>
      </c>
      <c r="AT247" t="s">
        <v>75</v>
      </c>
      <c r="AV247" t="s">
        <v>88</v>
      </c>
      <c r="AW247">
        <v>1000</v>
      </c>
      <c r="BA247">
        <v>6.85545722713863</v>
      </c>
    </row>
    <row r="248" spans="1:53" hidden="1" x14ac:dyDescent="0.3">
      <c r="A248" t="s">
        <v>313</v>
      </c>
      <c r="C248" t="s">
        <v>251</v>
      </c>
      <c r="D248" t="s">
        <v>81</v>
      </c>
      <c r="E248">
        <v>10000000</v>
      </c>
      <c r="H248">
        <v>1.69</v>
      </c>
      <c r="I248" t="s">
        <v>56</v>
      </c>
      <c r="J248">
        <v>1.6899999999999999E-4</v>
      </c>
      <c r="K248" t="s">
        <v>57</v>
      </c>
      <c r="N248" t="s">
        <v>314</v>
      </c>
      <c r="O248">
        <v>1500</v>
      </c>
      <c r="P248" t="s">
        <v>315</v>
      </c>
      <c r="S248" t="s">
        <v>316</v>
      </c>
      <c r="T248">
        <v>25</v>
      </c>
      <c r="U248" t="s">
        <v>120</v>
      </c>
      <c r="V248">
        <v>75</v>
      </c>
      <c r="W248" t="s">
        <v>74</v>
      </c>
      <c r="X248" t="s">
        <v>280</v>
      </c>
      <c r="Y248">
        <v>540</v>
      </c>
      <c r="AA248" t="s">
        <v>128</v>
      </c>
      <c r="AB248">
        <v>0</v>
      </c>
      <c r="AC248" t="s">
        <v>62</v>
      </c>
      <c r="AH248">
        <v>6.85545722713863</v>
      </c>
      <c r="AI248" t="s">
        <v>317</v>
      </c>
      <c r="AT248" t="s">
        <v>75</v>
      </c>
      <c r="AV248" t="s">
        <v>88</v>
      </c>
      <c r="AW248">
        <v>1500</v>
      </c>
      <c r="AZ248">
        <v>0</v>
      </c>
      <c r="BA248">
        <v>6.85545722713863</v>
      </c>
    </row>
    <row r="249" spans="1:53" hidden="1" x14ac:dyDescent="0.3">
      <c r="A249" t="s">
        <v>313</v>
      </c>
      <c r="C249" t="s">
        <v>251</v>
      </c>
      <c r="D249" t="s">
        <v>81</v>
      </c>
      <c r="E249">
        <v>10000000</v>
      </c>
      <c r="H249">
        <v>1.69</v>
      </c>
      <c r="I249" t="s">
        <v>56</v>
      </c>
      <c r="J249">
        <v>1.6899999999999999E-4</v>
      </c>
      <c r="K249" t="s">
        <v>57</v>
      </c>
      <c r="N249" t="s">
        <v>314</v>
      </c>
      <c r="O249">
        <v>3000</v>
      </c>
      <c r="P249" t="s">
        <v>315</v>
      </c>
      <c r="S249" t="s">
        <v>316</v>
      </c>
      <c r="T249">
        <v>25</v>
      </c>
      <c r="U249" t="s">
        <v>120</v>
      </c>
      <c r="V249">
        <v>75</v>
      </c>
      <c r="W249" t="s">
        <v>72</v>
      </c>
      <c r="X249" t="s">
        <v>280</v>
      </c>
      <c r="Y249">
        <v>30</v>
      </c>
      <c r="AI249" t="s">
        <v>317</v>
      </c>
      <c r="AT249" t="s">
        <v>73</v>
      </c>
      <c r="AV249" t="s">
        <v>88</v>
      </c>
      <c r="AW249">
        <v>3000</v>
      </c>
    </row>
    <row r="250" spans="1:53" hidden="1" x14ac:dyDescent="0.3">
      <c r="A250" t="s">
        <v>313</v>
      </c>
      <c r="C250" t="s">
        <v>251</v>
      </c>
      <c r="D250" t="s">
        <v>81</v>
      </c>
      <c r="E250">
        <v>10000000</v>
      </c>
      <c r="H250">
        <v>1.69</v>
      </c>
      <c r="I250" t="s">
        <v>56</v>
      </c>
      <c r="J250">
        <v>1.6899999999999999E-4</v>
      </c>
      <c r="K250" t="s">
        <v>57</v>
      </c>
      <c r="N250" t="s">
        <v>314</v>
      </c>
      <c r="O250">
        <v>3000</v>
      </c>
      <c r="P250" t="s">
        <v>315</v>
      </c>
      <c r="S250" t="s">
        <v>316</v>
      </c>
      <c r="T250">
        <v>25</v>
      </c>
      <c r="U250" t="s">
        <v>120</v>
      </c>
      <c r="V250">
        <v>75</v>
      </c>
      <c r="W250" t="s">
        <v>72</v>
      </c>
      <c r="X250" t="s">
        <v>280</v>
      </c>
      <c r="Y250">
        <v>60</v>
      </c>
      <c r="AB250">
        <v>6.8</v>
      </c>
      <c r="AC250" t="s">
        <v>85</v>
      </c>
      <c r="AD250" t="s">
        <v>98</v>
      </c>
      <c r="AI250" t="s">
        <v>317</v>
      </c>
      <c r="AT250" t="s">
        <v>73</v>
      </c>
      <c r="AV250" t="s">
        <v>88</v>
      </c>
      <c r="AW250">
        <v>3000</v>
      </c>
    </row>
    <row r="251" spans="1:53" hidden="1" x14ac:dyDescent="0.3">
      <c r="A251" t="s">
        <v>313</v>
      </c>
      <c r="C251" t="s">
        <v>251</v>
      </c>
      <c r="D251" t="s">
        <v>81</v>
      </c>
      <c r="E251">
        <v>10000000</v>
      </c>
      <c r="H251">
        <v>1.69</v>
      </c>
      <c r="I251" t="s">
        <v>56</v>
      </c>
      <c r="J251">
        <v>1.6899999999999999E-4</v>
      </c>
      <c r="K251" t="s">
        <v>57</v>
      </c>
      <c r="N251" t="s">
        <v>314</v>
      </c>
      <c r="O251">
        <v>3000</v>
      </c>
      <c r="P251" t="s">
        <v>315</v>
      </c>
      <c r="S251" t="s">
        <v>316</v>
      </c>
      <c r="T251">
        <v>25</v>
      </c>
      <c r="U251" t="s">
        <v>120</v>
      </c>
      <c r="V251">
        <v>75</v>
      </c>
      <c r="W251" t="s">
        <v>72</v>
      </c>
      <c r="X251" t="s">
        <v>280</v>
      </c>
      <c r="Y251">
        <v>120</v>
      </c>
      <c r="AI251" t="s">
        <v>317</v>
      </c>
      <c r="AT251" t="s">
        <v>73</v>
      </c>
      <c r="AV251" t="s">
        <v>88</v>
      </c>
      <c r="AW251">
        <v>3000</v>
      </c>
    </row>
    <row r="252" spans="1:53" hidden="1" x14ac:dyDescent="0.3">
      <c r="A252" t="s">
        <v>313</v>
      </c>
      <c r="C252" t="s">
        <v>251</v>
      </c>
      <c r="D252" t="s">
        <v>81</v>
      </c>
      <c r="E252">
        <v>10000000</v>
      </c>
      <c r="H252">
        <v>1.69</v>
      </c>
      <c r="I252" t="s">
        <v>56</v>
      </c>
      <c r="J252">
        <v>1.6899999999999999E-4</v>
      </c>
      <c r="K252" t="s">
        <v>57</v>
      </c>
      <c r="N252" t="s">
        <v>314</v>
      </c>
      <c r="O252">
        <v>3000</v>
      </c>
      <c r="P252" t="s">
        <v>315</v>
      </c>
      <c r="S252" t="s">
        <v>316</v>
      </c>
      <c r="T252">
        <v>25</v>
      </c>
      <c r="U252" t="s">
        <v>120</v>
      </c>
      <c r="V252">
        <v>75</v>
      </c>
      <c r="W252" t="s">
        <v>72</v>
      </c>
      <c r="X252" t="s">
        <v>280</v>
      </c>
      <c r="Y252">
        <v>180</v>
      </c>
      <c r="AA252" t="s">
        <v>184</v>
      </c>
      <c r="AB252">
        <v>7</v>
      </c>
      <c r="AC252" t="s">
        <v>85</v>
      </c>
      <c r="AD252" t="s">
        <v>321</v>
      </c>
      <c r="AI252" t="s">
        <v>317</v>
      </c>
      <c r="AT252" t="s">
        <v>73</v>
      </c>
      <c r="AV252" t="s">
        <v>88</v>
      </c>
      <c r="AW252">
        <v>3000</v>
      </c>
      <c r="AZ252">
        <v>0</v>
      </c>
      <c r="BA252">
        <v>7</v>
      </c>
    </row>
    <row r="253" spans="1:53" hidden="1" x14ac:dyDescent="0.3">
      <c r="A253" t="s">
        <v>313</v>
      </c>
      <c r="C253" t="s">
        <v>251</v>
      </c>
      <c r="D253" t="s">
        <v>81</v>
      </c>
      <c r="E253">
        <v>10000000</v>
      </c>
      <c r="H253">
        <v>1.69</v>
      </c>
      <c r="I253" t="s">
        <v>56</v>
      </c>
      <c r="J253">
        <v>1.6899999999999999E-4</v>
      </c>
      <c r="K253" t="s">
        <v>57</v>
      </c>
      <c r="N253" t="s">
        <v>314</v>
      </c>
      <c r="O253">
        <v>3000</v>
      </c>
      <c r="P253" t="s">
        <v>315</v>
      </c>
      <c r="S253" t="s">
        <v>316</v>
      </c>
      <c r="T253">
        <v>25</v>
      </c>
      <c r="U253" t="s">
        <v>120</v>
      </c>
      <c r="V253">
        <v>75</v>
      </c>
      <c r="W253" t="s">
        <v>72</v>
      </c>
      <c r="X253" t="s">
        <v>280</v>
      </c>
      <c r="Y253">
        <v>300</v>
      </c>
      <c r="AA253" t="s">
        <v>184</v>
      </c>
      <c r="AB253">
        <v>7</v>
      </c>
      <c r="AC253" t="s">
        <v>85</v>
      </c>
      <c r="AD253" t="s">
        <v>321</v>
      </c>
      <c r="AI253" t="s">
        <v>317</v>
      </c>
      <c r="AT253" t="s">
        <v>73</v>
      </c>
      <c r="AV253" t="s">
        <v>88</v>
      </c>
      <c r="AW253">
        <v>3000</v>
      </c>
      <c r="AZ253">
        <v>0</v>
      </c>
      <c r="BA253">
        <v>7</v>
      </c>
    </row>
    <row r="254" spans="1:53" hidden="1" x14ac:dyDescent="0.3">
      <c r="A254" t="s">
        <v>313</v>
      </c>
      <c r="C254" t="s">
        <v>251</v>
      </c>
      <c r="D254" t="s">
        <v>81</v>
      </c>
      <c r="E254">
        <v>10000000</v>
      </c>
      <c r="H254">
        <v>1.69</v>
      </c>
      <c r="I254" t="s">
        <v>56</v>
      </c>
      <c r="J254">
        <v>1.6899999999999999E-4</v>
      </c>
      <c r="K254" t="s">
        <v>57</v>
      </c>
      <c r="N254" t="s">
        <v>314</v>
      </c>
      <c r="O254">
        <v>3000</v>
      </c>
      <c r="P254" t="s">
        <v>315</v>
      </c>
      <c r="S254" t="s">
        <v>316</v>
      </c>
      <c r="T254">
        <v>25</v>
      </c>
      <c r="U254" t="s">
        <v>120</v>
      </c>
      <c r="V254">
        <v>75</v>
      </c>
      <c r="W254" t="s">
        <v>72</v>
      </c>
      <c r="X254" t="s">
        <v>280</v>
      </c>
      <c r="Y254">
        <v>420</v>
      </c>
      <c r="AA254" t="s">
        <v>184</v>
      </c>
      <c r="AB254">
        <v>7</v>
      </c>
      <c r="AC254" t="s">
        <v>85</v>
      </c>
      <c r="AD254" t="s">
        <v>321</v>
      </c>
      <c r="AI254" t="s">
        <v>317</v>
      </c>
      <c r="AT254" t="s">
        <v>73</v>
      </c>
      <c r="AV254" t="s">
        <v>88</v>
      </c>
      <c r="AW254">
        <v>3000</v>
      </c>
      <c r="AZ254">
        <v>0</v>
      </c>
      <c r="BA254">
        <v>7</v>
      </c>
    </row>
    <row r="255" spans="1:53" hidden="1" x14ac:dyDescent="0.3">
      <c r="A255" t="s">
        <v>313</v>
      </c>
      <c r="C255" t="s">
        <v>251</v>
      </c>
      <c r="D255" t="s">
        <v>81</v>
      </c>
      <c r="E255">
        <v>10000000</v>
      </c>
      <c r="H255">
        <v>1.69</v>
      </c>
      <c r="I255" t="s">
        <v>56</v>
      </c>
      <c r="J255">
        <v>1.6899999999999999E-4</v>
      </c>
      <c r="K255" t="s">
        <v>57</v>
      </c>
      <c r="N255" t="s">
        <v>314</v>
      </c>
      <c r="O255">
        <v>3000</v>
      </c>
      <c r="P255" t="s">
        <v>315</v>
      </c>
      <c r="S255" t="s">
        <v>316</v>
      </c>
      <c r="T255">
        <v>25</v>
      </c>
      <c r="U255" t="s">
        <v>120</v>
      </c>
      <c r="V255">
        <v>75</v>
      </c>
      <c r="W255" t="s">
        <v>72</v>
      </c>
      <c r="X255" t="s">
        <v>280</v>
      </c>
      <c r="Y255">
        <v>540</v>
      </c>
      <c r="AA255" t="s">
        <v>184</v>
      </c>
      <c r="AB255">
        <v>7</v>
      </c>
      <c r="AC255" t="s">
        <v>85</v>
      </c>
      <c r="AD255" t="s">
        <v>321</v>
      </c>
      <c r="AI255" t="s">
        <v>317</v>
      </c>
      <c r="AT255" t="s">
        <v>73</v>
      </c>
      <c r="AV255" t="s">
        <v>88</v>
      </c>
      <c r="AW255">
        <v>3000</v>
      </c>
      <c r="AZ255">
        <v>0</v>
      </c>
      <c r="BA255">
        <v>7</v>
      </c>
    </row>
    <row r="256" spans="1:53" hidden="1" x14ac:dyDescent="0.3">
      <c r="A256" t="s">
        <v>313</v>
      </c>
      <c r="C256" t="s">
        <v>251</v>
      </c>
      <c r="D256" t="s">
        <v>81</v>
      </c>
      <c r="E256">
        <v>10000000</v>
      </c>
      <c r="H256">
        <v>1.69</v>
      </c>
      <c r="I256" t="s">
        <v>56</v>
      </c>
      <c r="J256">
        <v>1.6899999999999999E-4</v>
      </c>
      <c r="K256" t="s">
        <v>57</v>
      </c>
      <c r="N256" t="s">
        <v>314</v>
      </c>
      <c r="O256">
        <v>3000</v>
      </c>
      <c r="P256" t="s">
        <v>315</v>
      </c>
      <c r="S256" t="s">
        <v>316</v>
      </c>
      <c r="T256">
        <v>25</v>
      </c>
      <c r="U256" t="s">
        <v>120</v>
      </c>
      <c r="V256">
        <v>75</v>
      </c>
      <c r="W256" t="s">
        <v>72</v>
      </c>
      <c r="X256" t="s">
        <v>280</v>
      </c>
      <c r="Y256">
        <v>30</v>
      </c>
      <c r="AB256">
        <v>5.6</v>
      </c>
      <c r="AC256" t="s">
        <v>85</v>
      </c>
      <c r="AD256" t="s">
        <v>322</v>
      </c>
      <c r="AI256" t="s">
        <v>317</v>
      </c>
      <c r="AT256" t="s">
        <v>73</v>
      </c>
      <c r="AV256" t="s">
        <v>88</v>
      </c>
      <c r="AW256">
        <v>3000</v>
      </c>
    </row>
    <row r="257" spans="1:53" hidden="1" x14ac:dyDescent="0.3">
      <c r="A257" t="s">
        <v>313</v>
      </c>
      <c r="C257" t="s">
        <v>251</v>
      </c>
      <c r="D257" t="s">
        <v>81</v>
      </c>
      <c r="E257">
        <v>10000000</v>
      </c>
      <c r="H257">
        <v>1.69</v>
      </c>
      <c r="I257" t="s">
        <v>56</v>
      </c>
      <c r="J257">
        <v>1.6899999999999999E-4</v>
      </c>
      <c r="K257" t="s">
        <v>57</v>
      </c>
      <c r="N257" t="s">
        <v>314</v>
      </c>
      <c r="O257">
        <v>3000</v>
      </c>
      <c r="P257" t="s">
        <v>315</v>
      </c>
      <c r="S257" t="s">
        <v>316</v>
      </c>
      <c r="T257">
        <v>25</v>
      </c>
      <c r="U257" t="s">
        <v>120</v>
      </c>
      <c r="V257">
        <v>75</v>
      </c>
      <c r="W257" t="s">
        <v>72</v>
      </c>
      <c r="X257" t="s">
        <v>280</v>
      </c>
      <c r="Y257">
        <v>60</v>
      </c>
      <c r="AB257">
        <v>6.6</v>
      </c>
      <c r="AC257" t="s">
        <v>85</v>
      </c>
      <c r="AD257" t="s">
        <v>98</v>
      </c>
      <c r="AI257" t="s">
        <v>317</v>
      </c>
      <c r="AT257" t="s">
        <v>73</v>
      </c>
      <c r="AV257" t="s">
        <v>88</v>
      </c>
      <c r="AW257">
        <v>3000</v>
      </c>
    </row>
    <row r="258" spans="1:53" hidden="1" x14ac:dyDescent="0.3">
      <c r="A258" t="s">
        <v>313</v>
      </c>
      <c r="C258" t="s">
        <v>251</v>
      </c>
      <c r="D258" t="s">
        <v>81</v>
      </c>
      <c r="E258">
        <v>10000000</v>
      </c>
      <c r="H258">
        <v>1.69</v>
      </c>
      <c r="I258" t="s">
        <v>56</v>
      </c>
      <c r="J258">
        <v>1.6899999999999999E-4</v>
      </c>
      <c r="K258" t="s">
        <v>57</v>
      </c>
      <c r="N258" t="s">
        <v>314</v>
      </c>
      <c r="O258">
        <v>3000</v>
      </c>
      <c r="P258" t="s">
        <v>315</v>
      </c>
      <c r="S258" t="s">
        <v>316</v>
      </c>
      <c r="T258">
        <v>25</v>
      </c>
      <c r="U258" t="s">
        <v>120</v>
      </c>
      <c r="V258">
        <v>75</v>
      </c>
      <c r="W258" t="s">
        <v>72</v>
      </c>
      <c r="X258" t="s">
        <v>280</v>
      </c>
      <c r="Y258">
        <v>120</v>
      </c>
      <c r="AA258" t="s">
        <v>184</v>
      </c>
      <c r="AB258">
        <v>6.7</v>
      </c>
      <c r="AC258" t="s">
        <v>85</v>
      </c>
      <c r="AD258" t="s">
        <v>106</v>
      </c>
      <c r="AI258" t="s">
        <v>317</v>
      </c>
      <c r="AT258" t="s">
        <v>73</v>
      </c>
      <c r="AV258" t="s">
        <v>88</v>
      </c>
      <c r="AW258">
        <v>3000</v>
      </c>
      <c r="AZ258">
        <v>0</v>
      </c>
      <c r="BA258">
        <v>6.7</v>
      </c>
    </row>
    <row r="259" spans="1:53" hidden="1" x14ac:dyDescent="0.3">
      <c r="A259" t="s">
        <v>313</v>
      </c>
      <c r="C259" t="s">
        <v>251</v>
      </c>
      <c r="D259" t="s">
        <v>81</v>
      </c>
      <c r="E259">
        <v>10000000</v>
      </c>
      <c r="H259">
        <v>1.69</v>
      </c>
      <c r="I259" t="s">
        <v>56</v>
      </c>
      <c r="J259">
        <v>1.6899999999999999E-4</v>
      </c>
      <c r="K259" t="s">
        <v>57</v>
      </c>
      <c r="N259" t="s">
        <v>314</v>
      </c>
      <c r="O259">
        <v>3000</v>
      </c>
      <c r="P259" t="s">
        <v>315</v>
      </c>
      <c r="S259" t="s">
        <v>316</v>
      </c>
      <c r="T259">
        <v>25</v>
      </c>
      <c r="U259" t="s">
        <v>120</v>
      </c>
      <c r="V259">
        <v>75</v>
      </c>
      <c r="W259" t="s">
        <v>72</v>
      </c>
      <c r="X259" t="s">
        <v>280</v>
      </c>
      <c r="Y259">
        <v>180</v>
      </c>
      <c r="AA259" t="s">
        <v>184</v>
      </c>
      <c r="AB259">
        <v>6.7</v>
      </c>
      <c r="AC259" t="s">
        <v>85</v>
      </c>
      <c r="AD259" t="s">
        <v>106</v>
      </c>
      <c r="AI259" t="s">
        <v>317</v>
      </c>
      <c r="AT259" t="s">
        <v>73</v>
      </c>
      <c r="AV259" t="s">
        <v>88</v>
      </c>
      <c r="AW259">
        <v>3000</v>
      </c>
      <c r="AZ259">
        <v>0</v>
      </c>
      <c r="BA259">
        <v>6.7</v>
      </c>
    </row>
    <row r="260" spans="1:53" hidden="1" x14ac:dyDescent="0.3">
      <c r="A260" t="s">
        <v>313</v>
      </c>
      <c r="C260" t="s">
        <v>251</v>
      </c>
      <c r="D260" t="s">
        <v>81</v>
      </c>
      <c r="E260">
        <v>10000000</v>
      </c>
      <c r="H260">
        <v>1.69</v>
      </c>
      <c r="I260" t="s">
        <v>56</v>
      </c>
      <c r="J260">
        <v>1.6899999999999999E-4</v>
      </c>
      <c r="K260" t="s">
        <v>57</v>
      </c>
      <c r="N260" t="s">
        <v>314</v>
      </c>
      <c r="O260">
        <v>3000</v>
      </c>
      <c r="P260" t="s">
        <v>315</v>
      </c>
      <c r="S260" t="s">
        <v>316</v>
      </c>
      <c r="T260">
        <v>25</v>
      </c>
      <c r="U260" t="s">
        <v>120</v>
      </c>
      <c r="V260">
        <v>75</v>
      </c>
      <c r="W260" t="s">
        <v>72</v>
      </c>
      <c r="X260" t="s">
        <v>280</v>
      </c>
      <c r="Y260">
        <v>300</v>
      </c>
      <c r="AA260" t="s">
        <v>184</v>
      </c>
      <c r="AB260">
        <v>6.7</v>
      </c>
      <c r="AC260" t="s">
        <v>85</v>
      </c>
      <c r="AD260" t="s">
        <v>106</v>
      </c>
      <c r="AI260" t="s">
        <v>317</v>
      </c>
      <c r="AT260" t="s">
        <v>73</v>
      </c>
      <c r="AV260" t="s">
        <v>88</v>
      </c>
      <c r="AW260">
        <v>3000</v>
      </c>
      <c r="AZ260">
        <v>0</v>
      </c>
      <c r="BA260">
        <v>6.7</v>
      </c>
    </row>
    <row r="261" spans="1:53" hidden="1" x14ac:dyDescent="0.3">
      <c r="A261" t="s">
        <v>313</v>
      </c>
      <c r="C261" t="s">
        <v>251</v>
      </c>
      <c r="D261" t="s">
        <v>81</v>
      </c>
      <c r="E261">
        <v>10000000</v>
      </c>
      <c r="H261">
        <v>1.69</v>
      </c>
      <c r="I261" t="s">
        <v>56</v>
      </c>
      <c r="J261">
        <v>1.6899999999999999E-4</v>
      </c>
      <c r="K261" t="s">
        <v>57</v>
      </c>
      <c r="N261" t="s">
        <v>314</v>
      </c>
      <c r="O261">
        <v>3000</v>
      </c>
      <c r="P261" t="s">
        <v>315</v>
      </c>
      <c r="S261" t="s">
        <v>316</v>
      </c>
      <c r="T261">
        <v>25</v>
      </c>
      <c r="U261" t="s">
        <v>120</v>
      </c>
      <c r="V261">
        <v>75</v>
      </c>
      <c r="W261" t="s">
        <v>72</v>
      </c>
      <c r="X261" t="s">
        <v>280</v>
      </c>
      <c r="Y261">
        <v>420</v>
      </c>
      <c r="AA261" t="s">
        <v>184</v>
      </c>
      <c r="AB261">
        <v>6.7</v>
      </c>
      <c r="AC261" t="s">
        <v>85</v>
      </c>
      <c r="AD261" t="s">
        <v>106</v>
      </c>
      <c r="AI261" t="s">
        <v>317</v>
      </c>
      <c r="AT261" t="s">
        <v>73</v>
      </c>
      <c r="AV261" t="s">
        <v>88</v>
      </c>
      <c r="AW261">
        <v>3000</v>
      </c>
      <c r="AZ261">
        <v>0</v>
      </c>
      <c r="BA261">
        <v>6.7</v>
      </c>
    </row>
    <row r="262" spans="1:53" hidden="1" x14ac:dyDescent="0.3">
      <c r="A262" t="s">
        <v>313</v>
      </c>
      <c r="C262" t="s">
        <v>251</v>
      </c>
      <c r="D262" t="s">
        <v>81</v>
      </c>
      <c r="E262">
        <v>10000000</v>
      </c>
      <c r="H262">
        <v>1.69</v>
      </c>
      <c r="I262" t="s">
        <v>56</v>
      </c>
      <c r="J262">
        <v>1.6899999999999999E-4</v>
      </c>
      <c r="K262" t="s">
        <v>57</v>
      </c>
      <c r="N262" t="s">
        <v>314</v>
      </c>
      <c r="O262">
        <v>3000</v>
      </c>
      <c r="P262" t="s">
        <v>315</v>
      </c>
      <c r="S262" t="s">
        <v>316</v>
      </c>
      <c r="T262">
        <v>25</v>
      </c>
      <c r="U262" t="s">
        <v>120</v>
      </c>
      <c r="V262">
        <v>75</v>
      </c>
      <c r="W262" t="s">
        <v>72</v>
      </c>
      <c r="X262" t="s">
        <v>280</v>
      </c>
      <c r="Y262">
        <v>540</v>
      </c>
      <c r="AA262" t="s">
        <v>184</v>
      </c>
      <c r="AB262">
        <v>6.7</v>
      </c>
      <c r="AC262" t="s">
        <v>85</v>
      </c>
      <c r="AD262" t="s">
        <v>106</v>
      </c>
      <c r="AI262" t="s">
        <v>317</v>
      </c>
      <c r="AT262" t="s">
        <v>73</v>
      </c>
      <c r="AV262" t="s">
        <v>88</v>
      </c>
      <c r="AW262">
        <v>3000</v>
      </c>
      <c r="AZ262">
        <v>0</v>
      </c>
      <c r="BA262">
        <v>6.7</v>
      </c>
    </row>
    <row r="263" spans="1:53" hidden="1" x14ac:dyDescent="0.3">
      <c r="A263" t="s">
        <v>313</v>
      </c>
      <c r="C263" t="s">
        <v>251</v>
      </c>
      <c r="D263" t="s">
        <v>81</v>
      </c>
      <c r="E263">
        <v>10000000</v>
      </c>
      <c r="H263">
        <v>1.69</v>
      </c>
      <c r="I263" t="s">
        <v>56</v>
      </c>
      <c r="J263">
        <v>1.6899999999999999E-4</v>
      </c>
      <c r="K263" t="s">
        <v>57</v>
      </c>
      <c r="N263" t="s">
        <v>314</v>
      </c>
      <c r="O263">
        <v>3000</v>
      </c>
      <c r="P263" t="s">
        <v>315</v>
      </c>
      <c r="S263" t="s">
        <v>316</v>
      </c>
      <c r="T263">
        <v>25</v>
      </c>
      <c r="U263" t="s">
        <v>120</v>
      </c>
      <c r="V263">
        <v>75</v>
      </c>
      <c r="W263" t="s">
        <v>323</v>
      </c>
      <c r="X263" t="s">
        <v>280</v>
      </c>
      <c r="Y263">
        <v>30</v>
      </c>
      <c r="AI263" t="s">
        <v>317</v>
      </c>
      <c r="AT263" t="s">
        <v>318</v>
      </c>
      <c r="AV263" t="s">
        <v>88</v>
      </c>
      <c r="AW263">
        <v>3000</v>
      </c>
    </row>
    <row r="264" spans="1:53" hidden="1" x14ac:dyDescent="0.3">
      <c r="A264" t="s">
        <v>313</v>
      </c>
      <c r="C264" t="s">
        <v>251</v>
      </c>
      <c r="D264" t="s">
        <v>81</v>
      </c>
      <c r="E264">
        <v>10000000</v>
      </c>
      <c r="H264">
        <v>1.69</v>
      </c>
      <c r="I264" t="s">
        <v>56</v>
      </c>
      <c r="J264">
        <v>1.6899999999999999E-4</v>
      </c>
      <c r="K264" t="s">
        <v>57</v>
      </c>
      <c r="N264" t="s">
        <v>314</v>
      </c>
      <c r="O264">
        <v>3000</v>
      </c>
      <c r="P264" t="s">
        <v>315</v>
      </c>
      <c r="S264" t="s">
        <v>316</v>
      </c>
      <c r="T264">
        <v>25</v>
      </c>
      <c r="U264" t="s">
        <v>120</v>
      </c>
      <c r="V264">
        <v>75</v>
      </c>
      <c r="W264" t="s">
        <v>323</v>
      </c>
      <c r="X264" t="s">
        <v>280</v>
      </c>
      <c r="Y264">
        <v>60</v>
      </c>
      <c r="AB264">
        <v>3.6</v>
      </c>
      <c r="AC264" t="s">
        <v>85</v>
      </c>
      <c r="AD264" t="s">
        <v>106</v>
      </c>
      <c r="AI264" t="s">
        <v>317</v>
      </c>
      <c r="AT264" t="s">
        <v>318</v>
      </c>
      <c r="AV264" t="s">
        <v>88</v>
      </c>
      <c r="AW264">
        <v>3000</v>
      </c>
    </row>
    <row r="265" spans="1:53" hidden="1" x14ac:dyDescent="0.3">
      <c r="A265" t="s">
        <v>313</v>
      </c>
      <c r="C265" t="s">
        <v>251</v>
      </c>
      <c r="D265" t="s">
        <v>81</v>
      </c>
      <c r="E265">
        <v>10000000</v>
      </c>
      <c r="H265">
        <v>1.69</v>
      </c>
      <c r="I265" t="s">
        <v>56</v>
      </c>
      <c r="J265">
        <v>1.6899999999999999E-4</v>
      </c>
      <c r="K265" t="s">
        <v>57</v>
      </c>
      <c r="N265" t="s">
        <v>314</v>
      </c>
      <c r="O265">
        <v>3000</v>
      </c>
      <c r="P265" t="s">
        <v>315</v>
      </c>
      <c r="S265" t="s">
        <v>316</v>
      </c>
      <c r="T265">
        <v>25</v>
      </c>
      <c r="U265" t="s">
        <v>120</v>
      </c>
      <c r="V265">
        <v>75</v>
      </c>
      <c r="W265" t="s">
        <v>323</v>
      </c>
      <c r="X265" t="s">
        <v>280</v>
      </c>
      <c r="Y265">
        <v>120</v>
      </c>
      <c r="AI265" t="s">
        <v>317</v>
      </c>
      <c r="AT265" t="s">
        <v>318</v>
      </c>
      <c r="AV265" t="s">
        <v>88</v>
      </c>
      <c r="AW265">
        <v>3000</v>
      </c>
    </row>
    <row r="266" spans="1:53" hidden="1" x14ac:dyDescent="0.3">
      <c r="A266" t="s">
        <v>313</v>
      </c>
      <c r="C266" t="s">
        <v>251</v>
      </c>
      <c r="D266" t="s">
        <v>81</v>
      </c>
      <c r="E266">
        <v>1000000</v>
      </c>
      <c r="H266">
        <v>1.69</v>
      </c>
      <c r="I266" t="s">
        <v>56</v>
      </c>
      <c r="J266">
        <v>1.6899999999999999E-4</v>
      </c>
      <c r="K266" t="s">
        <v>57</v>
      </c>
      <c r="N266" t="s">
        <v>314</v>
      </c>
      <c r="O266">
        <v>3000</v>
      </c>
      <c r="P266" t="s">
        <v>315</v>
      </c>
      <c r="S266" t="s">
        <v>316</v>
      </c>
      <c r="T266">
        <v>25</v>
      </c>
      <c r="U266" t="s">
        <v>120</v>
      </c>
      <c r="V266">
        <v>75</v>
      </c>
      <c r="W266" t="s">
        <v>323</v>
      </c>
      <c r="X266" t="s">
        <v>280</v>
      </c>
      <c r="Y266">
        <v>180</v>
      </c>
      <c r="AB266">
        <v>6.6</v>
      </c>
      <c r="AC266" t="s">
        <v>85</v>
      </c>
      <c r="AD266" t="s">
        <v>324</v>
      </c>
      <c r="AI266" t="s">
        <v>317</v>
      </c>
      <c r="AT266" t="s">
        <v>318</v>
      </c>
      <c r="AV266" t="s">
        <v>88</v>
      </c>
      <c r="AW266">
        <v>3000</v>
      </c>
    </row>
    <row r="267" spans="1:53" hidden="1" x14ac:dyDescent="0.3">
      <c r="A267" t="s">
        <v>313</v>
      </c>
      <c r="C267" t="s">
        <v>251</v>
      </c>
      <c r="D267" t="s">
        <v>81</v>
      </c>
      <c r="E267">
        <v>1000000</v>
      </c>
      <c r="H267">
        <v>1.69</v>
      </c>
      <c r="I267" t="s">
        <v>56</v>
      </c>
      <c r="J267">
        <v>1.6899999999999999E-4</v>
      </c>
      <c r="K267" t="s">
        <v>57</v>
      </c>
      <c r="N267" t="s">
        <v>314</v>
      </c>
      <c r="O267">
        <v>3000</v>
      </c>
      <c r="P267" t="s">
        <v>315</v>
      </c>
      <c r="S267" t="s">
        <v>316</v>
      </c>
      <c r="T267">
        <v>25</v>
      </c>
      <c r="U267" t="s">
        <v>120</v>
      </c>
      <c r="V267">
        <v>75</v>
      </c>
      <c r="W267" t="s">
        <v>323</v>
      </c>
      <c r="X267" t="s">
        <v>280</v>
      </c>
      <c r="Y267">
        <v>300</v>
      </c>
      <c r="AA267" t="s">
        <v>184</v>
      </c>
      <c r="AB267">
        <v>7.2</v>
      </c>
      <c r="AC267" t="s">
        <v>85</v>
      </c>
      <c r="AD267" t="s">
        <v>321</v>
      </c>
      <c r="AI267" t="s">
        <v>317</v>
      </c>
      <c r="AT267" t="s">
        <v>318</v>
      </c>
      <c r="AV267" t="s">
        <v>88</v>
      </c>
      <c r="AW267">
        <v>3000</v>
      </c>
      <c r="AZ267">
        <v>0</v>
      </c>
      <c r="BA267">
        <v>7.2</v>
      </c>
    </row>
    <row r="268" spans="1:53" hidden="1" x14ac:dyDescent="0.3">
      <c r="A268" t="s">
        <v>313</v>
      </c>
      <c r="C268" t="s">
        <v>251</v>
      </c>
      <c r="D268" t="s">
        <v>81</v>
      </c>
      <c r="E268">
        <v>1000000</v>
      </c>
      <c r="H268">
        <v>1.69</v>
      </c>
      <c r="I268" t="s">
        <v>56</v>
      </c>
      <c r="J268">
        <v>1.6899999999999999E-4</v>
      </c>
      <c r="K268" t="s">
        <v>57</v>
      </c>
      <c r="N268" t="s">
        <v>314</v>
      </c>
      <c r="O268">
        <v>3000</v>
      </c>
      <c r="P268" t="s">
        <v>315</v>
      </c>
      <c r="S268" t="s">
        <v>316</v>
      </c>
      <c r="T268">
        <v>25</v>
      </c>
      <c r="U268" t="s">
        <v>120</v>
      </c>
      <c r="V268">
        <v>75</v>
      </c>
      <c r="W268" t="s">
        <v>323</v>
      </c>
      <c r="X268" t="s">
        <v>280</v>
      </c>
      <c r="Y268">
        <v>420</v>
      </c>
      <c r="AA268" t="s">
        <v>184</v>
      </c>
      <c r="AB268">
        <v>7.2</v>
      </c>
      <c r="AC268" t="s">
        <v>85</v>
      </c>
      <c r="AD268" t="s">
        <v>321</v>
      </c>
      <c r="AI268" t="s">
        <v>317</v>
      </c>
      <c r="AT268" t="s">
        <v>318</v>
      </c>
      <c r="AV268" t="s">
        <v>88</v>
      </c>
      <c r="AW268">
        <v>3000</v>
      </c>
      <c r="AZ268">
        <v>0</v>
      </c>
      <c r="BA268">
        <v>7.2</v>
      </c>
    </row>
    <row r="269" spans="1:53" hidden="1" x14ac:dyDescent="0.3">
      <c r="A269" t="s">
        <v>313</v>
      </c>
      <c r="C269" t="s">
        <v>251</v>
      </c>
      <c r="D269" t="s">
        <v>81</v>
      </c>
      <c r="E269">
        <v>1000000</v>
      </c>
      <c r="H269">
        <v>1.69</v>
      </c>
      <c r="I269" t="s">
        <v>56</v>
      </c>
      <c r="J269">
        <v>1.6899999999999999E-4</v>
      </c>
      <c r="K269" t="s">
        <v>57</v>
      </c>
      <c r="N269" t="s">
        <v>314</v>
      </c>
      <c r="O269">
        <v>3000</v>
      </c>
      <c r="P269" t="s">
        <v>315</v>
      </c>
      <c r="S269" t="s">
        <v>316</v>
      </c>
      <c r="T269">
        <v>25</v>
      </c>
      <c r="U269" t="s">
        <v>120</v>
      </c>
      <c r="V269">
        <v>75</v>
      </c>
      <c r="W269" t="s">
        <v>323</v>
      </c>
      <c r="X269" t="s">
        <v>280</v>
      </c>
      <c r="Y269">
        <v>540</v>
      </c>
      <c r="AA269" t="s">
        <v>184</v>
      </c>
      <c r="AB269">
        <v>7.2</v>
      </c>
      <c r="AC269" t="s">
        <v>85</v>
      </c>
      <c r="AD269" t="s">
        <v>321</v>
      </c>
      <c r="AI269" t="s">
        <v>317</v>
      </c>
      <c r="AT269" t="s">
        <v>318</v>
      </c>
      <c r="AV269" t="s">
        <v>88</v>
      </c>
      <c r="AW269">
        <v>3000</v>
      </c>
      <c r="AZ269">
        <v>0</v>
      </c>
      <c r="BA269">
        <v>7.2</v>
      </c>
    </row>
    <row r="270" spans="1:53" hidden="1" x14ac:dyDescent="0.3">
      <c r="A270" t="s">
        <v>313</v>
      </c>
      <c r="C270" t="s">
        <v>251</v>
      </c>
      <c r="D270" t="s">
        <v>81</v>
      </c>
      <c r="E270">
        <v>1000000</v>
      </c>
      <c r="H270">
        <v>1.69</v>
      </c>
      <c r="I270" t="s">
        <v>56</v>
      </c>
      <c r="J270">
        <v>1.6899999999999999E-4</v>
      </c>
      <c r="K270" t="s">
        <v>57</v>
      </c>
      <c r="N270" t="s">
        <v>314</v>
      </c>
      <c r="O270">
        <v>3000</v>
      </c>
      <c r="P270" t="s">
        <v>315</v>
      </c>
      <c r="S270" t="s">
        <v>316</v>
      </c>
      <c r="T270">
        <v>25</v>
      </c>
      <c r="U270" t="s">
        <v>120</v>
      </c>
      <c r="V270">
        <v>75</v>
      </c>
      <c r="W270" t="s">
        <v>323</v>
      </c>
      <c r="X270" t="s">
        <v>280</v>
      </c>
      <c r="Y270">
        <v>30</v>
      </c>
      <c r="AB270">
        <v>2.6</v>
      </c>
      <c r="AC270" t="s">
        <v>85</v>
      </c>
      <c r="AD270" t="s">
        <v>325</v>
      </c>
      <c r="AI270" t="s">
        <v>317</v>
      </c>
      <c r="AT270" t="s">
        <v>318</v>
      </c>
      <c r="AV270" t="s">
        <v>88</v>
      </c>
      <c r="AW270">
        <v>3000</v>
      </c>
    </row>
    <row r="271" spans="1:53" hidden="1" x14ac:dyDescent="0.3">
      <c r="A271" t="s">
        <v>313</v>
      </c>
      <c r="C271" t="s">
        <v>251</v>
      </c>
      <c r="D271" t="s">
        <v>81</v>
      </c>
      <c r="E271">
        <v>1000000</v>
      </c>
      <c r="H271">
        <v>1.69</v>
      </c>
      <c r="I271" t="s">
        <v>56</v>
      </c>
      <c r="J271">
        <v>1.6899999999999999E-4</v>
      </c>
      <c r="K271" t="s">
        <v>57</v>
      </c>
      <c r="N271" t="s">
        <v>314</v>
      </c>
      <c r="O271">
        <v>3000</v>
      </c>
      <c r="P271" t="s">
        <v>315</v>
      </c>
      <c r="S271" t="s">
        <v>316</v>
      </c>
      <c r="T271">
        <v>25</v>
      </c>
      <c r="U271" t="s">
        <v>120</v>
      </c>
      <c r="V271">
        <v>75</v>
      </c>
      <c r="W271" t="s">
        <v>323</v>
      </c>
      <c r="X271" t="s">
        <v>280</v>
      </c>
      <c r="Y271">
        <v>60</v>
      </c>
      <c r="AB271">
        <v>3.7</v>
      </c>
      <c r="AC271" t="s">
        <v>85</v>
      </c>
      <c r="AD271" t="s">
        <v>326</v>
      </c>
      <c r="AI271" t="s">
        <v>317</v>
      </c>
      <c r="AT271" t="s">
        <v>318</v>
      </c>
      <c r="AV271" t="s">
        <v>88</v>
      </c>
      <c r="AW271">
        <v>3000</v>
      </c>
    </row>
    <row r="272" spans="1:53" hidden="1" x14ac:dyDescent="0.3">
      <c r="A272" t="s">
        <v>313</v>
      </c>
      <c r="C272" t="s">
        <v>251</v>
      </c>
      <c r="D272" t="s">
        <v>81</v>
      </c>
      <c r="E272">
        <v>10000000</v>
      </c>
      <c r="H272">
        <v>1.69</v>
      </c>
      <c r="I272" t="s">
        <v>56</v>
      </c>
      <c r="J272">
        <v>1.6899999999999999E-4</v>
      </c>
      <c r="K272" t="s">
        <v>57</v>
      </c>
      <c r="N272" t="s">
        <v>314</v>
      </c>
      <c r="O272">
        <v>3000</v>
      </c>
      <c r="P272" t="s">
        <v>315</v>
      </c>
      <c r="S272" t="s">
        <v>316</v>
      </c>
      <c r="T272">
        <v>25</v>
      </c>
      <c r="U272" t="s">
        <v>120</v>
      </c>
      <c r="V272">
        <v>75</v>
      </c>
      <c r="W272" t="s">
        <v>323</v>
      </c>
      <c r="X272" t="s">
        <v>280</v>
      </c>
      <c r="Y272">
        <v>120</v>
      </c>
      <c r="AB272">
        <v>4.5</v>
      </c>
      <c r="AC272" t="s">
        <v>85</v>
      </c>
      <c r="AD272" t="s">
        <v>325</v>
      </c>
      <c r="AI272" t="s">
        <v>317</v>
      </c>
      <c r="AT272" t="s">
        <v>318</v>
      </c>
      <c r="AV272" t="s">
        <v>88</v>
      </c>
      <c r="AW272">
        <v>3000</v>
      </c>
    </row>
    <row r="273" spans="1:53" hidden="1" x14ac:dyDescent="0.3">
      <c r="A273" t="s">
        <v>313</v>
      </c>
      <c r="C273" t="s">
        <v>251</v>
      </c>
      <c r="D273" t="s">
        <v>81</v>
      </c>
      <c r="E273">
        <v>10000000</v>
      </c>
      <c r="H273">
        <v>1.69</v>
      </c>
      <c r="I273" t="s">
        <v>56</v>
      </c>
      <c r="J273">
        <v>1.6899999999999999E-4</v>
      </c>
      <c r="K273" t="s">
        <v>57</v>
      </c>
      <c r="N273" t="s">
        <v>314</v>
      </c>
      <c r="O273">
        <v>3000</v>
      </c>
      <c r="P273" t="s">
        <v>315</v>
      </c>
      <c r="S273" t="s">
        <v>316</v>
      </c>
      <c r="T273">
        <v>25</v>
      </c>
      <c r="U273" t="s">
        <v>120</v>
      </c>
      <c r="V273">
        <v>75</v>
      </c>
      <c r="W273" t="s">
        <v>323</v>
      </c>
      <c r="X273" t="s">
        <v>280</v>
      </c>
      <c r="Y273">
        <v>180</v>
      </c>
      <c r="AB273">
        <v>5.5</v>
      </c>
      <c r="AC273" t="s">
        <v>85</v>
      </c>
      <c r="AD273" t="s">
        <v>327</v>
      </c>
      <c r="AI273" t="s">
        <v>317</v>
      </c>
      <c r="AT273" t="s">
        <v>318</v>
      </c>
      <c r="AV273" t="s">
        <v>88</v>
      </c>
      <c r="AW273">
        <v>3000</v>
      </c>
    </row>
    <row r="274" spans="1:53" hidden="1" x14ac:dyDescent="0.3">
      <c r="A274" t="s">
        <v>313</v>
      </c>
      <c r="C274" t="s">
        <v>251</v>
      </c>
      <c r="D274" t="s">
        <v>81</v>
      </c>
      <c r="E274">
        <v>10000000</v>
      </c>
      <c r="H274">
        <v>1.69</v>
      </c>
      <c r="I274" t="s">
        <v>56</v>
      </c>
      <c r="J274">
        <v>1.6899999999999999E-4</v>
      </c>
      <c r="K274" t="s">
        <v>57</v>
      </c>
      <c r="N274" t="s">
        <v>314</v>
      </c>
      <c r="O274">
        <v>3000</v>
      </c>
      <c r="P274" t="s">
        <v>315</v>
      </c>
      <c r="S274" t="s">
        <v>316</v>
      </c>
      <c r="T274">
        <v>25</v>
      </c>
      <c r="U274" t="s">
        <v>120</v>
      </c>
      <c r="V274">
        <v>75</v>
      </c>
      <c r="W274" t="s">
        <v>323</v>
      </c>
      <c r="X274" t="s">
        <v>280</v>
      </c>
      <c r="Y274">
        <v>300</v>
      </c>
      <c r="AB274">
        <v>6.5</v>
      </c>
      <c r="AC274" t="s">
        <v>85</v>
      </c>
      <c r="AD274" t="s">
        <v>328</v>
      </c>
      <c r="AI274" t="s">
        <v>317</v>
      </c>
      <c r="AT274" t="s">
        <v>318</v>
      </c>
      <c r="AV274" t="s">
        <v>88</v>
      </c>
      <c r="AW274">
        <v>3000</v>
      </c>
    </row>
    <row r="275" spans="1:53" hidden="1" x14ac:dyDescent="0.3">
      <c r="A275" t="s">
        <v>313</v>
      </c>
      <c r="C275" t="s">
        <v>251</v>
      </c>
      <c r="D275" t="s">
        <v>81</v>
      </c>
      <c r="E275">
        <v>10000000</v>
      </c>
      <c r="H275">
        <v>1.69</v>
      </c>
      <c r="I275" t="s">
        <v>56</v>
      </c>
      <c r="J275">
        <v>1.6899999999999999E-4</v>
      </c>
      <c r="K275" t="s">
        <v>57</v>
      </c>
      <c r="N275" t="s">
        <v>314</v>
      </c>
      <c r="O275">
        <v>3000</v>
      </c>
      <c r="P275" t="s">
        <v>315</v>
      </c>
      <c r="S275" t="s">
        <v>316</v>
      </c>
      <c r="T275">
        <v>25</v>
      </c>
      <c r="U275" t="s">
        <v>120</v>
      </c>
      <c r="V275">
        <v>75</v>
      </c>
      <c r="W275" t="s">
        <v>323</v>
      </c>
      <c r="X275" t="s">
        <v>280</v>
      </c>
      <c r="Y275">
        <v>420</v>
      </c>
      <c r="AB275">
        <v>6.7</v>
      </c>
      <c r="AC275" t="s">
        <v>85</v>
      </c>
      <c r="AD275" t="s">
        <v>98</v>
      </c>
      <c r="AI275" t="s">
        <v>317</v>
      </c>
      <c r="AT275" t="s">
        <v>318</v>
      </c>
      <c r="AV275" t="s">
        <v>88</v>
      </c>
      <c r="AW275">
        <v>3000</v>
      </c>
    </row>
    <row r="276" spans="1:53" hidden="1" x14ac:dyDescent="0.3">
      <c r="A276" t="s">
        <v>313</v>
      </c>
      <c r="C276" t="s">
        <v>251</v>
      </c>
      <c r="D276" t="s">
        <v>81</v>
      </c>
      <c r="E276">
        <v>10000000</v>
      </c>
      <c r="H276">
        <v>1.69</v>
      </c>
      <c r="I276" t="s">
        <v>56</v>
      </c>
      <c r="J276">
        <v>1.6899999999999999E-4</v>
      </c>
      <c r="K276" t="s">
        <v>57</v>
      </c>
      <c r="N276" t="s">
        <v>314</v>
      </c>
      <c r="O276">
        <v>3000</v>
      </c>
      <c r="P276" t="s">
        <v>315</v>
      </c>
      <c r="S276" t="s">
        <v>316</v>
      </c>
      <c r="T276">
        <v>25</v>
      </c>
      <c r="U276" t="s">
        <v>120</v>
      </c>
      <c r="V276">
        <v>75</v>
      </c>
      <c r="W276" t="s">
        <v>323</v>
      </c>
      <c r="X276" t="s">
        <v>280</v>
      </c>
      <c r="Y276">
        <v>540</v>
      </c>
      <c r="AA276" t="s">
        <v>184</v>
      </c>
      <c r="AB276">
        <v>6.9</v>
      </c>
      <c r="AC276" t="s">
        <v>85</v>
      </c>
      <c r="AD276" t="s">
        <v>321</v>
      </c>
      <c r="AI276" t="s">
        <v>317</v>
      </c>
      <c r="AT276" t="s">
        <v>318</v>
      </c>
      <c r="AV276" t="s">
        <v>88</v>
      </c>
      <c r="AW276">
        <v>3000</v>
      </c>
      <c r="AZ276">
        <v>0</v>
      </c>
      <c r="BA276">
        <v>6.9</v>
      </c>
    </row>
    <row r="277" spans="1:53" hidden="1" x14ac:dyDescent="0.3">
      <c r="A277" t="s">
        <v>313</v>
      </c>
      <c r="C277" t="s">
        <v>251</v>
      </c>
      <c r="D277" t="s">
        <v>81</v>
      </c>
      <c r="E277">
        <v>10000000</v>
      </c>
      <c r="H277">
        <v>1.69</v>
      </c>
      <c r="I277" t="s">
        <v>56</v>
      </c>
      <c r="J277">
        <v>1.6899999999999999E-4</v>
      </c>
      <c r="K277" t="s">
        <v>57</v>
      </c>
      <c r="N277" t="s">
        <v>314</v>
      </c>
      <c r="O277">
        <v>3000</v>
      </c>
      <c r="P277" t="s">
        <v>315</v>
      </c>
      <c r="S277" t="s">
        <v>316</v>
      </c>
      <c r="T277">
        <v>25</v>
      </c>
      <c r="U277" t="s">
        <v>120</v>
      </c>
      <c r="V277">
        <v>75</v>
      </c>
      <c r="W277" t="s">
        <v>329</v>
      </c>
      <c r="X277" t="s">
        <v>280</v>
      </c>
      <c r="Y277">
        <v>30</v>
      </c>
      <c r="AI277" t="s">
        <v>317</v>
      </c>
      <c r="AT277" t="s">
        <v>77</v>
      </c>
      <c r="AV277" t="s">
        <v>88</v>
      </c>
      <c r="AW277">
        <v>3000</v>
      </c>
    </row>
    <row r="278" spans="1:53" hidden="1" x14ac:dyDescent="0.3">
      <c r="A278" t="s">
        <v>313</v>
      </c>
      <c r="C278" t="s">
        <v>251</v>
      </c>
      <c r="D278" t="s">
        <v>81</v>
      </c>
      <c r="E278">
        <v>100000000</v>
      </c>
      <c r="H278">
        <v>1.69</v>
      </c>
      <c r="I278" t="s">
        <v>56</v>
      </c>
      <c r="J278">
        <v>1.6899999999999999E-4</v>
      </c>
      <c r="K278" t="s">
        <v>57</v>
      </c>
      <c r="N278" t="s">
        <v>314</v>
      </c>
      <c r="O278">
        <v>3000</v>
      </c>
      <c r="P278" t="s">
        <v>315</v>
      </c>
      <c r="S278" t="s">
        <v>316</v>
      </c>
      <c r="T278">
        <v>25</v>
      </c>
      <c r="U278" t="s">
        <v>120</v>
      </c>
      <c r="V278">
        <v>75</v>
      </c>
      <c r="W278" t="s">
        <v>329</v>
      </c>
      <c r="X278" t="s">
        <v>280</v>
      </c>
      <c r="Y278">
        <v>60</v>
      </c>
      <c r="AB278">
        <v>6.8</v>
      </c>
      <c r="AC278" t="s">
        <v>85</v>
      </c>
      <c r="AD278" t="s">
        <v>321</v>
      </c>
      <c r="AI278" t="s">
        <v>317</v>
      </c>
      <c r="AT278" t="s">
        <v>77</v>
      </c>
      <c r="AV278" t="s">
        <v>88</v>
      </c>
      <c r="AW278">
        <v>3000</v>
      </c>
    </row>
    <row r="279" spans="1:53" hidden="1" x14ac:dyDescent="0.3">
      <c r="A279" t="s">
        <v>313</v>
      </c>
      <c r="C279" t="s">
        <v>251</v>
      </c>
      <c r="D279" t="s">
        <v>81</v>
      </c>
      <c r="E279">
        <v>100000000</v>
      </c>
      <c r="H279">
        <v>1.69</v>
      </c>
      <c r="I279" t="s">
        <v>56</v>
      </c>
      <c r="J279">
        <v>1.6899999999999999E-4</v>
      </c>
      <c r="K279" t="s">
        <v>57</v>
      </c>
      <c r="N279" t="s">
        <v>314</v>
      </c>
      <c r="O279">
        <v>3000</v>
      </c>
      <c r="P279" t="s">
        <v>315</v>
      </c>
      <c r="S279" t="s">
        <v>316</v>
      </c>
      <c r="T279">
        <v>25</v>
      </c>
      <c r="U279" t="s">
        <v>120</v>
      </c>
      <c r="V279">
        <v>75</v>
      </c>
      <c r="W279" t="s">
        <v>329</v>
      </c>
      <c r="X279" t="s">
        <v>280</v>
      </c>
      <c r="Y279">
        <v>120</v>
      </c>
      <c r="AI279" t="s">
        <v>317</v>
      </c>
      <c r="AT279" t="s">
        <v>77</v>
      </c>
      <c r="AV279" t="s">
        <v>88</v>
      </c>
      <c r="AW279">
        <v>3000</v>
      </c>
    </row>
    <row r="280" spans="1:53" hidden="1" x14ac:dyDescent="0.3">
      <c r="A280" t="s">
        <v>313</v>
      </c>
      <c r="C280" t="s">
        <v>251</v>
      </c>
      <c r="D280" t="s">
        <v>81</v>
      </c>
      <c r="E280">
        <v>100000000</v>
      </c>
      <c r="H280">
        <v>1.69</v>
      </c>
      <c r="I280" t="s">
        <v>56</v>
      </c>
      <c r="J280">
        <v>1.6899999999999999E-4</v>
      </c>
      <c r="K280" t="s">
        <v>57</v>
      </c>
      <c r="N280" t="s">
        <v>314</v>
      </c>
      <c r="O280">
        <v>3000</v>
      </c>
      <c r="P280" t="s">
        <v>315</v>
      </c>
      <c r="S280" t="s">
        <v>316</v>
      </c>
      <c r="T280">
        <v>25</v>
      </c>
      <c r="U280" t="s">
        <v>120</v>
      </c>
      <c r="V280">
        <v>75</v>
      </c>
      <c r="W280" t="s">
        <v>329</v>
      </c>
      <c r="X280" t="s">
        <v>280</v>
      </c>
      <c r="Y280">
        <v>180</v>
      </c>
      <c r="AA280" t="s">
        <v>184</v>
      </c>
      <c r="AB280">
        <v>6.8</v>
      </c>
      <c r="AC280" t="s">
        <v>85</v>
      </c>
      <c r="AD280" t="s">
        <v>321</v>
      </c>
      <c r="AI280" t="s">
        <v>317</v>
      </c>
      <c r="AT280" t="s">
        <v>77</v>
      </c>
      <c r="AV280" t="s">
        <v>88</v>
      </c>
      <c r="AW280">
        <v>3000</v>
      </c>
      <c r="AZ280">
        <v>0</v>
      </c>
      <c r="BA280">
        <v>6.8</v>
      </c>
    </row>
    <row r="281" spans="1:53" hidden="1" x14ac:dyDescent="0.3">
      <c r="A281" t="s">
        <v>313</v>
      </c>
      <c r="C281" t="s">
        <v>251</v>
      </c>
      <c r="D281" t="s">
        <v>81</v>
      </c>
      <c r="E281">
        <v>100000000</v>
      </c>
      <c r="H281">
        <v>1.69</v>
      </c>
      <c r="I281" t="s">
        <v>56</v>
      </c>
      <c r="J281">
        <v>1.6899999999999999E-4</v>
      </c>
      <c r="K281" t="s">
        <v>57</v>
      </c>
      <c r="N281" t="s">
        <v>314</v>
      </c>
      <c r="O281">
        <v>3000</v>
      </c>
      <c r="P281" t="s">
        <v>315</v>
      </c>
      <c r="S281" t="s">
        <v>316</v>
      </c>
      <c r="T281">
        <v>25</v>
      </c>
      <c r="U281" t="s">
        <v>120</v>
      </c>
      <c r="V281">
        <v>75</v>
      </c>
      <c r="W281" t="s">
        <v>329</v>
      </c>
      <c r="X281" t="s">
        <v>280</v>
      </c>
      <c r="Y281">
        <v>300</v>
      </c>
      <c r="AA281" t="s">
        <v>184</v>
      </c>
      <c r="AB281">
        <v>6.7</v>
      </c>
      <c r="AC281" t="s">
        <v>85</v>
      </c>
      <c r="AD281" t="s">
        <v>106</v>
      </c>
      <c r="AI281" t="s">
        <v>317</v>
      </c>
      <c r="AT281" t="s">
        <v>77</v>
      </c>
      <c r="AV281" t="s">
        <v>88</v>
      </c>
      <c r="AW281">
        <v>3000</v>
      </c>
      <c r="AZ281">
        <v>0</v>
      </c>
      <c r="BA281">
        <v>6.7</v>
      </c>
    </row>
    <row r="282" spans="1:53" hidden="1" x14ac:dyDescent="0.3">
      <c r="A282" t="s">
        <v>313</v>
      </c>
      <c r="C282" t="s">
        <v>251</v>
      </c>
      <c r="D282" t="s">
        <v>81</v>
      </c>
      <c r="E282">
        <v>100000000</v>
      </c>
      <c r="H282">
        <v>1.69</v>
      </c>
      <c r="I282" t="s">
        <v>56</v>
      </c>
      <c r="J282">
        <v>1.6899999999999999E-4</v>
      </c>
      <c r="K282" t="s">
        <v>57</v>
      </c>
      <c r="N282" t="s">
        <v>314</v>
      </c>
      <c r="O282">
        <v>3000</v>
      </c>
      <c r="P282" t="s">
        <v>315</v>
      </c>
      <c r="S282" t="s">
        <v>316</v>
      </c>
      <c r="T282">
        <v>25</v>
      </c>
      <c r="U282" t="s">
        <v>120</v>
      </c>
      <c r="V282">
        <v>75</v>
      </c>
      <c r="W282" t="s">
        <v>329</v>
      </c>
      <c r="X282" t="s">
        <v>280</v>
      </c>
      <c r="Y282">
        <v>420</v>
      </c>
      <c r="AA282" t="s">
        <v>184</v>
      </c>
      <c r="AB282">
        <v>6.8</v>
      </c>
      <c r="AC282" t="s">
        <v>85</v>
      </c>
      <c r="AD282" t="s">
        <v>321</v>
      </c>
      <c r="AI282" t="s">
        <v>317</v>
      </c>
      <c r="AT282" t="s">
        <v>77</v>
      </c>
      <c r="AV282" t="s">
        <v>88</v>
      </c>
      <c r="AW282">
        <v>3000</v>
      </c>
      <c r="AZ282">
        <v>0</v>
      </c>
      <c r="BA282">
        <v>6.8</v>
      </c>
    </row>
    <row r="283" spans="1:53" hidden="1" x14ac:dyDescent="0.3">
      <c r="A283" t="s">
        <v>313</v>
      </c>
      <c r="C283" t="s">
        <v>251</v>
      </c>
      <c r="D283" t="s">
        <v>81</v>
      </c>
      <c r="E283">
        <v>100000000</v>
      </c>
      <c r="H283">
        <v>1.69</v>
      </c>
      <c r="I283" t="s">
        <v>56</v>
      </c>
      <c r="J283">
        <v>1.6899999999999999E-4</v>
      </c>
      <c r="K283" t="s">
        <v>57</v>
      </c>
      <c r="N283" t="s">
        <v>314</v>
      </c>
      <c r="O283">
        <v>3000</v>
      </c>
      <c r="P283" t="s">
        <v>315</v>
      </c>
      <c r="S283" t="s">
        <v>316</v>
      </c>
      <c r="T283">
        <v>25</v>
      </c>
      <c r="U283" t="s">
        <v>120</v>
      </c>
      <c r="V283">
        <v>75</v>
      </c>
      <c r="W283" t="s">
        <v>329</v>
      </c>
      <c r="X283" t="s">
        <v>280</v>
      </c>
      <c r="Y283">
        <v>540</v>
      </c>
      <c r="AA283" t="s">
        <v>184</v>
      </c>
      <c r="AB283">
        <v>6.8</v>
      </c>
      <c r="AC283" t="s">
        <v>85</v>
      </c>
      <c r="AD283" t="s">
        <v>321</v>
      </c>
      <c r="AI283" t="s">
        <v>317</v>
      </c>
      <c r="AT283" t="s">
        <v>77</v>
      </c>
      <c r="AV283" t="s">
        <v>88</v>
      </c>
      <c r="AW283">
        <v>3000</v>
      </c>
      <c r="AZ283">
        <v>0</v>
      </c>
      <c r="BA283">
        <v>6.8</v>
      </c>
    </row>
    <row r="284" spans="1:53" hidden="1" x14ac:dyDescent="0.3">
      <c r="A284" t="s">
        <v>313</v>
      </c>
      <c r="C284" t="s">
        <v>251</v>
      </c>
      <c r="D284" t="s">
        <v>81</v>
      </c>
      <c r="E284">
        <v>1000000</v>
      </c>
      <c r="H284">
        <v>1.69</v>
      </c>
      <c r="I284" t="s">
        <v>56</v>
      </c>
      <c r="J284">
        <v>1.6899999999999999E-4</v>
      </c>
      <c r="K284" t="s">
        <v>57</v>
      </c>
      <c r="N284" t="s">
        <v>314</v>
      </c>
      <c r="O284">
        <v>3000</v>
      </c>
      <c r="P284" t="s">
        <v>315</v>
      </c>
      <c r="S284" t="s">
        <v>316</v>
      </c>
      <c r="T284">
        <v>25</v>
      </c>
      <c r="U284" t="s">
        <v>120</v>
      </c>
      <c r="V284">
        <v>75</v>
      </c>
      <c r="W284" t="s">
        <v>329</v>
      </c>
      <c r="X284" t="s">
        <v>280</v>
      </c>
      <c r="Y284">
        <v>30</v>
      </c>
      <c r="AB284">
        <v>5.2</v>
      </c>
      <c r="AC284" t="s">
        <v>85</v>
      </c>
      <c r="AD284" t="s">
        <v>330</v>
      </c>
      <c r="AI284" t="s">
        <v>317</v>
      </c>
      <c r="AT284" t="s">
        <v>77</v>
      </c>
      <c r="AV284" t="s">
        <v>88</v>
      </c>
      <c r="AW284">
        <v>3000</v>
      </c>
    </row>
    <row r="285" spans="1:53" hidden="1" x14ac:dyDescent="0.3">
      <c r="A285" t="s">
        <v>313</v>
      </c>
      <c r="C285" t="s">
        <v>251</v>
      </c>
      <c r="D285" t="s">
        <v>81</v>
      </c>
      <c r="E285">
        <v>1000000</v>
      </c>
      <c r="H285">
        <v>1.69</v>
      </c>
      <c r="I285" t="s">
        <v>56</v>
      </c>
      <c r="J285">
        <v>1.6899999999999999E-4</v>
      </c>
      <c r="K285" t="s">
        <v>57</v>
      </c>
      <c r="N285" t="s">
        <v>314</v>
      </c>
      <c r="O285">
        <v>3000</v>
      </c>
      <c r="P285" t="s">
        <v>315</v>
      </c>
      <c r="S285" t="s">
        <v>316</v>
      </c>
      <c r="T285">
        <v>25</v>
      </c>
      <c r="U285" t="s">
        <v>120</v>
      </c>
      <c r="V285">
        <v>75</v>
      </c>
      <c r="W285" t="s">
        <v>329</v>
      </c>
      <c r="X285" t="s">
        <v>280</v>
      </c>
      <c r="Y285">
        <v>60</v>
      </c>
      <c r="AB285">
        <v>5.7</v>
      </c>
      <c r="AC285" t="s">
        <v>85</v>
      </c>
      <c r="AD285" t="s">
        <v>327</v>
      </c>
      <c r="AI285" t="s">
        <v>317</v>
      </c>
      <c r="AT285" t="s">
        <v>77</v>
      </c>
      <c r="AV285" t="s">
        <v>88</v>
      </c>
      <c r="AW285">
        <v>3000</v>
      </c>
    </row>
    <row r="286" spans="1:53" hidden="1" x14ac:dyDescent="0.3">
      <c r="A286" t="s">
        <v>313</v>
      </c>
      <c r="C286" t="s">
        <v>251</v>
      </c>
      <c r="D286" t="s">
        <v>81</v>
      </c>
      <c r="E286">
        <v>1000000</v>
      </c>
      <c r="H286">
        <v>1.69</v>
      </c>
      <c r="I286" t="s">
        <v>56</v>
      </c>
      <c r="J286">
        <v>1.6899999999999999E-4</v>
      </c>
      <c r="K286" t="s">
        <v>57</v>
      </c>
      <c r="N286" t="s">
        <v>314</v>
      </c>
      <c r="O286">
        <v>3000</v>
      </c>
      <c r="P286" t="s">
        <v>315</v>
      </c>
      <c r="S286" t="s">
        <v>316</v>
      </c>
      <c r="T286">
        <v>25</v>
      </c>
      <c r="U286" t="s">
        <v>120</v>
      </c>
      <c r="V286">
        <v>75</v>
      </c>
      <c r="W286" t="s">
        <v>329</v>
      </c>
      <c r="X286" t="s">
        <v>280</v>
      </c>
      <c r="Y286">
        <v>120</v>
      </c>
      <c r="AB286">
        <v>6.1</v>
      </c>
      <c r="AC286" t="s">
        <v>85</v>
      </c>
      <c r="AD286" t="s">
        <v>326</v>
      </c>
      <c r="AI286" t="s">
        <v>317</v>
      </c>
      <c r="AT286" t="s">
        <v>77</v>
      </c>
      <c r="AV286" t="s">
        <v>88</v>
      </c>
      <c r="AW286">
        <v>3000</v>
      </c>
    </row>
    <row r="287" spans="1:53" hidden="1" x14ac:dyDescent="0.3">
      <c r="A287" t="s">
        <v>313</v>
      </c>
      <c r="C287" t="s">
        <v>251</v>
      </c>
      <c r="D287" t="s">
        <v>81</v>
      </c>
      <c r="E287">
        <v>1000000</v>
      </c>
      <c r="H287">
        <v>1.69</v>
      </c>
      <c r="I287" t="s">
        <v>56</v>
      </c>
      <c r="J287">
        <v>1.6899999999999999E-4</v>
      </c>
      <c r="K287" t="s">
        <v>57</v>
      </c>
      <c r="N287" t="s">
        <v>314</v>
      </c>
      <c r="O287">
        <v>3000</v>
      </c>
      <c r="P287" t="s">
        <v>315</v>
      </c>
      <c r="S287" t="s">
        <v>316</v>
      </c>
      <c r="T287">
        <v>25</v>
      </c>
      <c r="U287" t="s">
        <v>120</v>
      </c>
      <c r="V287">
        <v>75</v>
      </c>
      <c r="W287" t="s">
        <v>329</v>
      </c>
      <c r="X287" t="s">
        <v>280</v>
      </c>
      <c r="Y287">
        <v>180</v>
      </c>
      <c r="AB287">
        <v>6.3</v>
      </c>
      <c r="AC287" t="s">
        <v>85</v>
      </c>
      <c r="AD287" t="s">
        <v>328</v>
      </c>
      <c r="AI287" t="s">
        <v>317</v>
      </c>
      <c r="AT287" t="s">
        <v>77</v>
      </c>
      <c r="AV287" t="s">
        <v>88</v>
      </c>
      <c r="AW287">
        <v>3000</v>
      </c>
    </row>
    <row r="288" spans="1:53" hidden="1" x14ac:dyDescent="0.3">
      <c r="A288" t="s">
        <v>313</v>
      </c>
      <c r="C288" t="s">
        <v>251</v>
      </c>
      <c r="D288" t="s">
        <v>81</v>
      </c>
      <c r="E288">
        <v>1000000</v>
      </c>
      <c r="H288">
        <v>1.69</v>
      </c>
      <c r="I288" t="s">
        <v>56</v>
      </c>
      <c r="J288">
        <v>1.6899999999999999E-4</v>
      </c>
      <c r="K288" t="s">
        <v>57</v>
      </c>
      <c r="N288" t="s">
        <v>314</v>
      </c>
      <c r="O288">
        <v>3000</v>
      </c>
      <c r="P288" t="s">
        <v>315</v>
      </c>
      <c r="S288" t="s">
        <v>316</v>
      </c>
      <c r="T288">
        <v>25</v>
      </c>
      <c r="U288" t="s">
        <v>120</v>
      </c>
      <c r="V288">
        <v>75</v>
      </c>
      <c r="W288" t="s">
        <v>329</v>
      </c>
      <c r="X288" t="s">
        <v>280</v>
      </c>
      <c r="Y288">
        <v>300</v>
      </c>
      <c r="AA288" t="s">
        <v>184</v>
      </c>
      <c r="AB288">
        <v>6.4</v>
      </c>
      <c r="AC288" t="s">
        <v>85</v>
      </c>
      <c r="AD288" t="s">
        <v>325</v>
      </c>
      <c r="AI288" t="s">
        <v>317</v>
      </c>
      <c r="AT288" t="s">
        <v>77</v>
      </c>
      <c r="AV288" t="s">
        <v>88</v>
      </c>
      <c r="AW288">
        <v>3000</v>
      </c>
      <c r="AZ288">
        <v>0</v>
      </c>
      <c r="BA288">
        <v>6.4</v>
      </c>
    </row>
    <row r="289" spans="1:53" hidden="1" x14ac:dyDescent="0.3">
      <c r="A289" t="s">
        <v>313</v>
      </c>
      <c r="C289" t="s">
        <v>251</v>
      </c>
      <c r="D289" t="s">
        <v>81</v>
      </c>
      <c r="E289">
        <v>1000000</v>
      </c>
      <c r="H289">
        <v>1.69</v>
      </c>
      <c r="I289" t="s">
        <v>56</v>
      </c>
      <c r="J289">
        <v>1.6899999999999999E-4</v>
      </c>
      <c r="K289" t="s">
        <v>57</v>
      </c>
      <c r="N289" t="s">
        <v>314</v>
      </c>
      <c r="O289">
        <v>3000</v>
      </c>
      <c r="P289" t="s">
        <v>315</v>
      </c>
      <c r="S289" t="s">
        <v>316</v>
      </c>
      <c r="T289">
        <v>25</v>
      </c>
      <c r="U289" t="s">
        <v>120</v>
      </c>
      <c r="V289">
        <v>75</v>
      </c>
      <c r="W289" t="s">
        <v>329</v>
      </c>
      <c r="X289" t="s">
        <v>280</v>
      </c>
      <c r="Y289">
        <v>420</v>
      </c>
      <c r="AA289" t="s">
        <v>184</v>
      </c>
      <c r="AB289">
        <v>6.4</v>
      </c>
      <c r="AC289" t="s">
        <v>85</v>
      </c>
      <c r="AD289" t="s">
        <v>325</v>
      </c>
      <c r="AI289" t="s">
        <v>317</v>
      </c>
      <c r="AT289" t="s">
        <v>77</v>
      </c>
      <c r="AV289" t="s">
        <v>88</v>
      </c>
      <c r="AW289">
        <v>3000</v>
      </c>
      <c r="AZ289">
        <v>0</v>
      </c>
      <c r="BA289">
        <v>6.4</v>
      </c>
    </row>
    <row r="290" spans="1:53" hidden="1" x14ac:dyDescent="0.3">
      <c r="A290" t="s">
        <v>313</v>
      </c>
      <c r="C290" t="s">
        <v>251</v>
      </c>
      <c r="D290" t="s">
        <v>81</v>
      </c>
      <c r="E290">
        <v>10000000</v>
      </c>
      <c r="H290">
        <v>1.69</v>
      </c>
      <c r="I290" t="s">
        <v>56</v>
      </c>
      <c r="J290">
        <v>1.6899999999999999E-4</v>
      </c>
      <c r="K290" t="s">
        <v>57</v>
      </c>
      <c r="N290" t="s">
        <v>314</v>
      </c>
      <c r="O290">
        <v>3000</v>
      </c>
      <c r="P290" t="s">
        <v>315</v>
      </c>
      <c r="S290" t="s">
        <v>316</v>
      </c>
      <c r="T290">
        <v>25</v>
      </c>
      <c r="U290" t="s">
        <v>120</v>
      </c>
      <c r="V290">
        <v>75</v>
      </c>
      <c r="W290" t="s">
        <v>329</v>
      </c>
      <c r="X290" t="s">
        <v>280</v>
      </c>
      <c r="Y290">
        <v>540</v>
      </c>
      <c r="AA290" t="s">
        <v>184</v>
      </c>
      <c r="AB290">
        <v>6.4</v>
      </c>
      <c r="AC290" t="s">
        <v>85</v>
      </c>
      <c r="AD290" t="s">
        <v>325</v>
      </c>
      <c r="AI290" t="s">
        <v>317</v>
      </c>
      <c r="AT290" t="s">
        <v>77</v>
      </c>
      <c r="AV290" t="s">
        <v>88</v>
      </c>
      <c r="AW290">
        <v>3000</v>
      </c>
      <c r="AZ290">
        <v>0</v>
      </c>
      <c r="BA290">
        <v>6.4</v>
      </c>
    </row>
    <row r="291" spans="1:53" hidden="1" x14ac:dyDescent="0.3">
      <c r="A291" t="s">
        <v>313</v>
      </c>
      <c r="C291" t="s">
        <v>251</v>
      </c>
      <c r="D291" t="s">
        <v>81</v>
      </c>
      <c r="E291">
        <v>10000000</v>
      </c>
      <c r="H291">
        <v>1.69</v>
      </c>
      <c r="I291" t="s">
        <v>56</v>
      </c>
      <c r="J291">
        <v>1.6899999999999999E-4</v>
      </c>
      <c r="K291" t="s">
        <v>57</v>
      </c>
      <c r="N291" t="s">
        <v>314</v>
      </c>
      <c r="O291">
        <v>3000</v>
      </c>
      <c r="P291" t="s">
        <v>315</v>
      </c>
      <c r="S291" t="s">
        <v>316</v>
      </c>
      <c r="T291">
        <v>25</v>
      </c>
      <c r="U291" t="s">
        <v>120</v>
      </c>
      <c r="V291">
        <v>75</v>
      </c>
      <c r="W291" t="s">
        <v>320</v>
      </c>
      <c r="X291" t="s">
        <v>280</v>
      </c>
      <c r="Y291">
        <v>30</v>
      </c>
      <c r="AI291" t="s">
        <v>317</v>
      </c>
      <c r="AV291" t="s">
        <v>88</v>
      </c>
      <c r="AW291">
        <v>3000</v>
      </c>
    </row>
    <row r="292" spans="1:53" hidden="1" x14ac:dyDescent="0.3">
      <c r="A292" t="s">
        <v>313</v>
      </c>
      <c r="C292" t="s">
        <v>251</v>
      </c>
      <c r="D292" t="s">
        <v>81</v>
      </c>
      <c r="E292">
        <v>10000000</v>
      </c>
      <c r="H292">
        <v>1.69</v>
      </c>
      <c r="I292" t="s">
        <v>56</v>
      </c>
      <c r="J292">
        <v>1.6899999999999999E-4</v>
      </c>
      <c r="K292" t="s">
        <v>57</v>
      </c>
      <c r="N292" t="s">
        <v>314</v>
      </c>
      <c r="O292">
        <v>3000</v>
      </c>
      <c r="P292" t="s">
        <v>315</v>
      </c>
      <c r="S292" t="s">
        <v>316</v>
      </c>
      <c r="T292">
        <v>25</v>
      </c>
      <c r="U292" t="s">
        <v>120</v>
      </c>
      <c r="V292">
        <v>75</v>
      </c>
      <c r="W292" t="s">
        <v>320</v>
      </c>
      <c r="X292" t="s">
        <v>280</v>
      </c>
      <c r="Y292">
        <v>60</v>
      </c>
      <c r="AB292">
        <v>6.2</v>
      </c>
      <c r="AC292" t="s">
        <v>85</v>
      </c>
      <c r="AD292" t="s">
        <v>327</v>
      </c>
      <c r="AI292" t="s">
        <v>317</v>
      </c>
      <c r="AV292" t="s">
        <v>88</v>
      </c>
      <c r="AW292">
        <v>3000</v>
      </c>
    </row>
    <row r="293" spans="1:53" hidden="1" x14ac:dyDescent="0.3">
      <c r="A293" t="s">
        <v>313</v>
      </c>
      <c r="C293" t="s">
        <v>251</v>
      </c>
      <c r="D293" t="s">
        <v>81</v>
      </c>
      <c r="E293">
        <v>10000000</v>
      </c>
      <c r="H293">
        <v>1.69</v>
      </c>
      <c r="I293" t="s">
        <v>56</v>
      </c>
      <c r="J293">
        <v>1.6899999999999999E-4</v>
      </c>
      <c r="K293" t="s">
        <v>57</v>
      </c>
      <c r="N293" t="s">
        <v>314</v>
      </c>
      <c r="O293">
        <v>3000</v>
      </c>
      <c r="P293" t="s">
        <v>315</v>
      </c>
      <c r="S293" t="s">
        <v>316</v>
      </c>
      <c r="T293">
        <v>25</v>
      </c>
      <c r="U293" t="s">
        <v>120</v>
      </c>
      <c r="V293">
        <v>75</v>
      </c>
      <c r="W293" t="s">
        <v>320</v>
      </c>
      <c r="X293" t="s">
        <v>280</v>
      </c>
      <c r="Y293">
        <v>120</v>
      </c>
      <c r="AI293" t="s">
        <v>317</v>
      </c>
      <c r="AV293" t="s">
        <v>88</v>
      </c>
      <c r="AW293">
        <v>3000</v>
      </c>
    </row>
    <row r="294" spans="1:53" hidden="1" x14ac:dyDescent="0.3">
      <c r="A294" t="s">
        <v>313</v>
      </c>
      <c r="C294" t="s">
        <v>251</v>
      </c>
      <c r="D294" t="s">
        <v>81</v>
      </c>
      <c r="E294">
        <v>10000000</v>
      </c>
      <c r="H294">
        <v>1.69</v>
      </c>
      <c r="I294" t="s">
        <v>56</v>
      </c>
      <c r="J294">
        <v>1.6899999999999999E-4</v>
      </c>
      <c r="K294" t="s">
        <v>57</v>
      </c>
      <c r="N294" t="s">
        <v>314</v>
      </c>
      <c r="O294">
        <v>3000</v>
      </c>
      <c r="P294" t="s">
        <v>315</v>
      </c>
      <c r="S294" t="s">
        <v>316</v>
      </c>
      <c r="T294">
        <v>25</v>
      </c>
      <c r="U294" t="s">
        <v>120</v>
      </c>
      <c r="V294">
        <v>75</v>
      </c>
      <c r="W294" t="s">
        <v>320</v>
      </c>
      <c r="X294" t="s">
        <v>280</v>
      </c>
      <c r="Y294">
        <v>180</v>
      </c>
      <c r="AA294" t="s">
        <v>184</v>
      </c>
      <c r="AB294">
        <v>7.1</v>
      </c>
      <c r="AC294" t="s">
        <v>85</v>
      </c>
      <c r="AD294" t="s">
        <v>321</v>
      </c>
      <c r="AI294" t="s">
        <v>317</v>
      </c>
      <c r="AV294" t="s">
        <v>88</v>
      </c>
      <c r="AW294">
        <v>3000</v>
      </c>
      <c r="AZ294">
        <v>0</v>
      </c>
      <c r="BA294">
        <v>7.1</v>
      </c>
    </row>
    <row r="295" spans="1:53" hidden="1" x14ac:dyDescent="0.3">
      <c r="A295" t="s">
        <v>313</v>
      </c>
      <c r="C295" t="s">
        <v>251</v>
      </c>
      <c r="D295" t="s">
        <v>81</v>
      </c>
      <c r="E295">
        <v>10000000</v>
      </c>
      <c r="H295">
        <v>1.69</v>
      </c>
      <c r="I295" t="s">
        <v>56</v>
      </c>
      <c r="J295">
        <v>1.6899999999999999E-4</v>
      </c>
      <c r="K295" t="s">
        <v>57</v>
      </c>
      <c r="N295" t="s">
        <v>314</v>
      </c>
      <c r="O295">
        <v>3000</v>
      </c>
      <c r="P295" t="s">
        <v>315</v>
      </c>
      <c r="S295" t="s">
        <v>316</v>
      </c>
      <c r="T295">
        <v>25</v>
      </c>
      <c r="U295" t="s">
        <v>120</v>
      </c>
      <c r="V295">
        <v>75</v>
      </c>
      <c r="W295" t="s">
        <v>320</v>
      </c>
      <c r="X295" t="s">
        <v>280</v>
      </c>
      <c r="Y295">
        <v>300</v>
      </c>
      <c r="AA295" t="s">
        <v>184</v>
      </c>
      <c r="AB295">
        <v>7.1</v>
      </c>
      <c r="AC295" t="s">
        <v>85</v>
      </c>
      <c r="AD295" t="s">
        <v>106</v>
      </c>
      <c r="AI295" t="s">
        <v>317</v>
      </c>
      <c r="AV295" t="s">
        <v>88</v>
      </c>
      <c r="AW295">
        <v>3000</v>
      </c>
      <c r="AZ295">
        <v>0</v>
      </c>
      <c r="BA295">
        <v>7.1</v>
      </c>
    </row>
    <row r="296" spans="1:53" hidden="1" x14ac:dyDescent="0.3">
      <c r="A296" t="s">
        <v>313</v>
      </c>
      <c r="C296" t="s">
        <v>251</v>
      </c>
      <c r="D296" t="s">
        <v>81</v>
      </c>
      <c r="E296">
        <v>100000000</v>
      </c>
      <c r="H296">
        <v>1.69</v>
      </c>
      <c r="I296" t="s">
        <v>56</v>
      </c>
      <c r="J296">
        <v>1.6899999999999999E-4</v>
      </c>
      <c r="K296" t="s">
        <v>57</v>
      </c>
      <c r="N296" t="s">
        <v>314</v>
      </c>
      <c r="O296">
        <v>3000</v>
      </c>
      <c r="P296" t="s">
        <v>315</v>
      </c>
      <c r="S296" t="s">
        <v>316</v>
      </c>
      <c r="T296">
        <v>25</v>
      </c>
      <c r="U296" t="s">
        <v>120</v>
      </c>
      <c r="V296">
        <v>75</v>
      </c>
      <c r="W296" t="s">
        <v>320</v>
      </c>
      <c r="X296" t="s">
        <v>280</v>
      </c>
      <c r="Y296">
        <v>420</v>
      </c>
      <c r="AA296" t="s">
        <v>184</v>
      </c>
      <c r="AB296">
        <v>7.1</v>
      </c>
      <c r="AC296" t="s">
        <v>85</v>
      </c>
      <c r="AD296" t="s">
        <v>321</v>
      </c>
      <c r="AI296" t="s">
        <v>317</v>
      </c>
      <c r="AV296" t="s">
        <v>88</v>
      </c>
      <c r="AW296">
        <v>3000</v>
      </c>
      <c r="AZ296">
        <v>0</v>
      </c>
      <c r="BA296">
        <v>7.1</v>
      </c>
    </row>
    <row r="297" spans="1:53" hidden="1" x14ac:dyDescent="0.3">
      <c r="A297" t="s">
        <v>313</v>
      </c>
      <c r="C297" t="s">
        <v>251</v>
      </c>
      <c r="D297" t="s">
        <v>81</v>
      </c>
      <c r="E297">
        <v>100000000</v>
      </c>
      <c r="H297">
        <v>1.69</v>
      </c>
      <c r="I297" t="s">
        <v>56</v>
      </c>
      <c r="J297">
        <v>1.6899999999999999E-4</v>
      </c>
      <c r="K297" t="s">
        <v>57</v>
      </c>
      <c r="N297" t="s">
        <v>314</v>
      </c>
      <c r="O297">
        <v>3000</v>
      </c>
      <c r="P297" t="s">
        <v>315</v>
      </c>
      <c r="S297" t="s">
        <v>316</v>
      </c>
      <c r="T297">
        <v>25</v>
      </c>
      <c r="U297" t="s">
        <v>120</v>
      </c>
      <c r="V297">
        <v>75</v>
      </c>
      <c r="W297" t="s">
        <v>320</v>
      </c>
      <c r="X297" t="s">
        <v>280</v>
      </c>
      <c r="Y297">
        <v>540</v>
      </c>
      <c r="AB297">
        <v>6.9</v>
      </c>
      <c r="AC297" t="s">
        <v>85</v>
      </c>
      <c r="AD297" t="s">
        <v>331</v>
      </c>
      <c r="AI297" t="s">
        <v>317</v>
      </c>
      <c r="AV297" t="s">
        <v>88</v>
      </c>
      <c r="AW297">
        <v>3000</v>
      </c>
    </row>
    <row r="298" spans="1:53" hidden="1" x14ac:dyDescent="0.3">
      <c r="A298" t="s">
        <v>313</v>
      </c>
      <c r="C298" t="s">
        <v>251</v>
      </c>
      <c r="D298" t="s">
        <v>81</v>
      </c>
      <c r="E298">
        <v>100000000</v>
      </c>
      <c r="H298">
        <v>1.69</v>
      </c>
      <c r="I298" t="s">
        <v>56</v>
      </c>
      <c r="J298">
        <v>1.6899999999999999E-4</v>
      </c>
      <c r="K298" t="s">
        <v>57</v>
      </c>
      <c r="N298" t="s">
        <v>314</v>
      </c>
      <c r="O298">
        <v>3000</v>
      </c>
      <c r="P298" t="s">
        <v>315</v>
      </c>
      <c r="S298" t="s">
        <v>316</v>
      </c>
      <c r="T298">
        <v>25</v>
      </c>
      <c r="U298" t="s">
        <v>120</v>
      </c>
      <c r="V298">
        <v>75</v>
      </c>
      <c r="W298" t="s">
        <v>320</v>
      </c>
      <c r="X298" t="s">
        <v>280</v>
      </c>
      <c r="Y298">
        <v>30</v>
      </c>
      <c r="AB298">
        <v>3.4</v>
      </c>
      <c r="AC298" t="s">
        <v>85</v>
      </c>
      <c r="AD298" t="s">
        <v>332</v>
      </c>
      <c r="AI298" t="s">
        <v>317</v>
      </c>
      <c r="AV298" t="s">
        <v>88</v>
      </c>
      <c r="AW298">
        <v>3000</v>
      </c>
    </row>
    <row r="299" spans="1:53" hidden="1" x14ac:dyDescent="0.3">
      <c r="A299" t="s">
        <v>313</v>
      </c>
      <c r="C299" t="s">
        <v>251</v>
      </c>
      <c r="D299" t="s">
        <v>81</v>
      </c>
      <c r="E299">
        <v>100000000</v>
      </c>
      <c r="H299">
        <v>1.69</v>
      </c>
      <c r="I299" t="s">
        <v>56</v>
      </c>
      <c r="J299">
        <v>1.6899999999999999E-4</v>
      </c>
      <c r="K299" t="s">
        <v>57</v>
      </c>
      <c r="N299" t="s">
        <v>314</v>
      </c>
      <c r="O299">
        <v>3000</v>
      </c>
      <c r="P299" t="s">
        <v>315</v>
      </c>
      <c r="S299" t="s">
        <v>316</v>
      </c>
      <c r="T299">
        <v>25</v>
      </c>
      <c r="U299" t="s">
        <v>120</v>
      </c>
      <c r="V299">
        <v>75</v>
      </c>
      <c r="W299" t="s">
        <v>320</v>
      </c>
      <c r="X299" t="s">
        <v>280</v>
      </c>
      <c r="Y299">
        <v>60</v>
      </c>
      <c r="AB299">
        <v>5.0999999999999899</v>
      </c>
      <c r="AC299" t="s">
        <v>85</v>
      </c>
      <c r="AD299" t="s">
        <v>333</v>
      </c>
      <c r="AI299" t="s">
        <v>317</v>
      </c>
      <c r="AV299" t="s">
        <v>88</v>
      </c>
      <c r="AW299">
        <v>3000</v>
      </c>
    </row>
    <row r="300" spans="1:53" hidden="1" x14ac:dyDescent="0.3">
      <c r="A300" t="s">
        <v>313</v>
      </c>
      <c r="C300" t="s">
        <v>251</v>
      </c>
      <c r="D300" t="s">
        <v>81</v>
      </c>
      <c r="E300">
        <v>100000000</v>
      </c>
      <c r="H300">
        <v>1.69</v>
      </c>
      <c r="I300" t="s">
        <v>56</v>
      </c>
      <c r="J300">
        <v>1.6899999999999999E-4</v>
      </c>
      <c r="K300" t="s">
        <v>57</v>
      </c>
      <c r="N300" t="s">
        <v>314</v>
      </c>
      <c r="O300">
        <v>3000</v>
      </c>
      <c r="P300" t="s">
        <v>315</v>
      </c>
      <c r="S300" t="s">
        <v>316</v>
      </c>
      <c r="T300">
        <v>25</v>
      </c>
      <c r="U300" t="s">
        <v>120</v>
      </c>
      <c r="V300">
        <v>75</v>
      </c>
      <c r="W300" t="s">
        <v>320</v>
      </c>
      <c r="X300" t="s">
        <v>280</v>
      </c>
      <c r="Y300">
        <v>120</v>
      </c>
      <c r="AB300">
        <v>5.9</v>
      </c>
      <c r="AC300" t="s">
        <v>85</v>
      </c>
      <c r="AD300" t="s">
        <v>334</v>
      </c>
      <c r="AI300" t="s">
        <v>317</v>
      </c>
      <c r="AV300" t="s">
        <v>88</v>
      </c>
      <c r="AW300">
        <v>3000</v>
      </c>
    </row>
    <row r="301" spans="1:53" hidden="1" x14ac:dyDescent="0.3">
      <c r="A301" t="s">
        <v>313</v>
      </c>
      <c r="C301" t="s">
        <v>251</v>
      </c>
      <c r="D301" t="s">
        <v>81</v>
      </c>
      <c r="E301">
        <v>100000000</v>
      </c>
      <c r="H301">
        <v>1.69</v>
      </c>
      <c r="I301" t="s">
        <v>56</v>
      </c>
      <c r="J301">
        <v>1.6899999999999999E-4</v>
      </c>
      <c r="K301" t="s">
        <v>57</v>
      </c>
      <c r="N301" t="s">
        <v>314</v>
      </c>
      <c r="O301">
        <v>3000</v>
      </c>
      <c r="P301" t="s">
        <v>315</v>
      </c>
      <c r="S301" t="s">
        <v>316</v>
      </c>
      <c r="T301">
        <v>25</v>
      </c>
      <c r="U301" t="s">
        <v>120</v>
      </c>
      <c r="V301">
        <v>75</v>
      </c>
      <c r="W301" t="s">
        <v>320</v>
      </c>
      <c r="X301" t="s">
        <v>280</v>
      </c>
      <c r="Y301">
        <v>180</v>
      </c>
      <c r="AB301">
        <v>5.7</v>
      </c>
      <c r="AC301" t="s">
        <v>85</v>
      </c>
      <c r="AD301" t="s">
        <v>322</v>
      </c>
      <c r="AI301" t="s">
        <v>317</v>
      </c>
      <c r="AV301" t="s">
        <v>88</v>
      </c>
      <c r="AW301">
        <v>3000</v>
      </c>
    </row>
    <row r="302" spans="1:53" hidden="1" x14ac:dyDescent="0.3">
      <c r="A302" t="s">
        <v>313</v>
      </c>
      <c r="C302" t="s">
        <v>251</v>
      </c>
      <c r="D302" t="s">
        <v>81</v>
      </c>
      <c r="E302">
        <v>10000000</v>
      </c>
      <c r="H302">
        <v>1.69</v>
      </c>
      <c r="I302" t="s">
        <v>56</v>
      </c>
      <c r="J302">
        <v>1.6899999999999999E-4</v>
      </c>
      <c r="K302" t="s">
        <v>57</v>
      </c>
      <c r="N302" t="s">
        <v>314</v>
      </c>
      <c r="O302">
        <v>3000</v>
      </c>
      <c r="P302" t="s">
        <v>315</v>
      </c>
      <c r="S302" t="s">
        <v>316</v>
      </c>
      <c r="T302">
        <v>25</v>
      </c>
      <c r="U302" t="s">
        <v>120</v>
      </c>
      <c r="V302">
        <v>75</v>
      </c>
      <c r="W302" t="s">
        <v>320</v>
      </c>
      <c r="X302" t="s">
        <v>280</v>
      </c>
      <c r="Y302">
        <v>300</v>
      </c>
      <c r="AB302">
        <v>6.7</v>
      </c>
      <c r="AC302" t="s">
        <v>85</v>
      </c>
      <c r="AD302" t="s">
        <v>98</v>
      </c>
      <c r="AI302" t="s">
        <v>317</v>
      </c>
      <c r="AV302" t="s">
        <v>88</v>
      </c>
      <c r="AW302">
        <v>3000</v>
      </c>
    </row>
    <row r="303" spans="1:53" hidden="1" x14ac:dyDescent="0.3">
      <c r="A303" t="s">
        <v>313</v>
      </c>
      <c r="C303" t="s">
        <v>251</v>
      </c>
      <c r="D303" t="s">
        <v>81</v>
      </c>
      <c r="E303">
        <v>10000000</v>
      </c>
      <c r="H303">
        <v>1.69</v>
      </c>
      <c r="I303" t="s">
        <v>56</v>
      </c>
      <c r="J303">
        <v>1.6899999999999999E-4</v>
      </c>
      <c r="K303" t="s">
        <v>57</v>
      </c>
      <c r="N303" t="s">
        <v>314</v>
      </c>
      <c r="O303">
        <v>3000</v>
      </c>
      <c r="P303" t="s">
        <v>315</v>
      </c>
      <c r="S303" t="s">
        <v>316</v>
      </c>
      <c r="T303">
        <v>25</v>
      </c>
      <c r="U303" t="s">
        <v>120</v>
      </c>
      <c r="V303">
        <v>75</v>
      </c>
      <c r="W303" t="s">
        <v>320</v>
      </c>
      <c r="X303" t="s">
        <v>280</v>
      </c>
      <c r="Y303">
        <v>420</v>
      </c>
      <c r="AA303" t="s">
        <v>184</v>
      </c>
      <c r="AB303">
        <v>6.9</v>
      </c>
      <c r="AC303" t="s">
        <v>85</v>
      </c>
      <c r="AD303" t="s">
        <v>106</v>
      </c>
      <c r="AI303" t="s">
        <v>317</v>
      </c>
      <c r="AV303" t="s">
        <v>88</v>
      </c>
      <c r="AW303">
        <v>3000</v>
      </c>
      <c r="AZ303">
        <v>0</v>
      </c>
      <c r="BA303">
        <v>6.9</v>
      </c>
    </row>
    <row r="304" spans="1:53" hidden="1" x14ac:dyDescent="0.3">
      <c r="A304" t="s">
        <v>313</v>
      </c>
      <c r="C304" t="s">
        <v>251</v>
      </c>
      <c r="D304" t="s">
        <v>81</v>
      </c>
      <c r="E304">
        <v>10000000</v>
      </c>
      <c r="H304">
        <v>1.69</v>
      </c>
      <c r="I304" t="s">
        <v>56</v>
      </c>
      <c r="J304">
        <v>1.6899999999999999E-4</v>
      </c>
      <c r="K304" t="s">
        <v>57</v>
      </c>
      <c r="N304" t="s">
        <v>314</v>
      </c>
      <c r="O304">
        <v>3000</v>
      </c>
      <c r="P304" t="s">
        <v>315</v>
      </c>
      <c r="S304" t="s">
        <v>316</v>
      </c>
      <c r="T304">
        <v>25</v>
      </c>
      <c r="U304" t="s">
        <v>120</v>
      </c>
      <c r="V304">
        <v>75</v>
      </c>
      <c r="W304" t="s">
        <v>320</v>
      </c>
      <c r="X304" t="s">
        <v>280</v>
      </c>
      <c r="Y304">
        <v>540</v>
      </c>
      <c r="AA304" t="s">
        <v>184</v>
      </c>
      <c r="AB304">
        <v>6.9</v>
      </c>
      <c r="AC304" t="s">
        <v>85</v>
      </c>
      <c r="AD304" t="s">
        <v>106</v>
      </c>
      <c r="AI304" t="s">
        <v>317</v>
      </c>
      <c r="AV304" t="s">
        <v>88</v>
      </c>
      <c r="AW304">
        <v>3000</v>
      </c>
      <c r="AZ304">
        <v>0</v>
      </c>
      <c r="BA304">
        <v>6.9</v>
      </c>
    </row>
    <row r="305" spans="1:53" hidden="1" x14ac:dyDescent="0.3">
      <c r="A305" t="s">
        <v>313</v>
      </c>
      <c r="C305" t="s">
        <v>251</v>
      </c>
      <c r="D305" t="s">
        <v>81</v>
      </c>
      <c r="E305">
        <v>10000000</v>
      </c>
      <c r="H305">
        <v>1.69</v>
      </c>
      <c r="I305" t="s">
        <v>56</v>
      </c>
      <c r="J305">
        <v>1.6899999999999999E-4</v>
      </c>
      <c r="K305" t="s">
        <v>57</v>
      </c>
      <c r="N305" t="s">
        <v>314</v>
      </c>
      <c r="O305">
        <v>3000</v>
      </c>
      <c r="P305" t="s">
        <v>315</v>
      </c>
      <c r="S305" t="s">
        <v>316</v>
      </c>
      <c r="T305">
        <v>25</v>
      </c>
      <c r="U305" t="s">
        <v>120</v>
      </c>
      <c r="V305">
        <v>75</v>
      </c>
      <c r="W305" t="s">
        <v>123</v>
      </c>
      <c r="X305" t="s">
        <v>280</v>
      </c>
      <c r="Y305">
        <v>30</v>
      </c>
      <c r="AI305" t="s">
        <v>317</v>
      </c>
      <c r="AT305" t="s">
        <v>79</v>
      </c>
      <c r="AV305" t="s">
        <v>88</v>
      </c>
      <c r="AW305">
        <v>3000</v>
      </c>
    </row>
    <row r="306" spans="1:53" hidden="1" x14ac:dyDescent="0.3">
      <c r="A306" t="s">
        <v>313</v>
      </c>
      <c r="C306" t="s">
        <v>251</v>
      </c>
      <c r="D306" t="s">
        <v>81</v>
      </c>
      <c r="E306">
        <v>10000000</v>
      </c>
      <c r="H306">
        <v>1.69</v>
      </c>
      <c r="I306" t="s">
        <v>56</v>
      </c>
      <c r="J306">
        <v>1.6899999999999999E-4</v>
      </c>
      <c r="K306" t="s">
        <v>57</v>
      </c>
      <c r="N306" t="s">
        <v>314</v>
      </c>
      <c r="O306">
        <v>3000</v>
      </c>
      <c r="P306" t="s">
        <v>315</v>
      </c>
      <c r="S306" t="s">
        <v>316</v>
      </c>
      <c r="T306">
        <v>25</v>
      </c>
      <c r="U306" t="s">
        <v>120</v>
      </c>
      <c r="V306">
        <v>75</v>
      </c>
      <c r="W306" t="s">
        <v>123</v>
      </c>
      <c r="X306" t="s">
        <v>280</v>
      </c>
      <c r="Y306">
        <v>60</v>
      </c>
      <c r="AB306">
        <v>5.4</v>
      </c>
      <c r="AC306" t="s">
        <v>85</v>
      </c>
      <c r="AD306" t="s">
        <v>322</v>
      </c>
      <c r="AI306" t="s">
        <v>317</v>
      </c>
      <c r="AT306" t="s">
        <v>79</v>
      </c>
      <c r="AV306" t="s">
        <v>88</v>
      </c>
      <c r="AW306">
        <v>3000</v>
      </c>
    </row>
    <row r="307" spans="1:53" hidden="1" x14ac:dyDescent="0.3">
      <c r="A307" t="s">
        <v>313</v>
      </c>
      <c r="C307" t="s">
        <v>251</v>
      </c>
      <c r="D307" t="s">
        <v>81</v>
      </c>
      <c r="E307">
        <v>10000000</v>
      </c>
      <c r="H307">
        <v>1.69</v>
      </c>
      <c r="I307" t="s">
        <v>56</v>
      </c>
      <c r="J307">
        <v>1.6899999999999999E-4</v>
      </c>
      <c r="K307" t="s">
        <v>57</v>
      </c>
      <c r="N307" t="s">
        <v>314</v>
      </c>
      <c r="O307">
        <v>3000</v>
      </c>
      <c r="P307" t="s">
        <v>315</v>
      </c>
      <c r="S307" t="s">
        <v>316</v>
      </c>
      <c r="T307">
        <v>25</v>
      </c>
      <c r="U307" t="s">
        <v>120</v>
      </c>
      <c r="V307">
        <v>75</v>
      </c>
      <c r="W307" t="s">
        <v>123</v>
      </c>
      <c r="X307" t="s">
        <v>280</v>
      </c>
      <c r="Y307">
        <v>120</v>
      </c>
      <c r="AI307" t="s">
        <v>317</v>
      </c>
      <c r="AT307" t="s">
        <v>79</v>
      </c>
      <c r="AV307" t="s">
        <v>88</v>
      </c>
      <c r="AW307">
        <v>3000</v>
      </c>
    </row>
    <row r="308" spans="1:53" hidden="1" x14ac:dyDescent="0.3">
      <c r="A308" t="s">
        <v>313</v>
      </c>
      <c r="C308" t="s">
        <v>251</v>
      </c>
      <c r="D308" t="s">
        <v>81</v>
      </c>
      <c r="E308">
        <v>10000000</v>
      </c>
      <c r="H308">
        <v>1.69</v>
      </c>
      <c r="I308" t="s">
        <v>56</v>
      </c>
      <c r="J308">
        <v>1.6899999999999999E-4</v>
      </c>
      <c r="K308" t="s">
        <v>57</v>
      </c>
      <c r="N308" t="s">
        <v>314</v>
      </c>
      <c r="O308">
        <v>3000</v>
      </c>
      <c r="P308" t="s">
        <v>315</v>
      </c>
      <c r="S308" t="s">
        <v>316</v>
      </c>
      <c r="T308">
        <v>25</v>
      </c>
      <c r="U308" t="s">
        <v>120</v>
      </c>
      <c r="V308">
        <v>75</v>
      </c>
      <c r="W308" t="s">
        <v>123</v>
      </c>
      <c r="X308" t="s">
        <v>280</v>
      </c>
      <c r="Y308">
        <v>180</v>
      </c>
      <c r="AB308">
        <v>7</v>
      </c>
      <c r="AC308" t="s">
        <v>85</v>
      </c>
      <c r="AD308" t="s">
        <v>325</v>
      </c>
      <c r="AI308" t="s">
        <v>317</v>
      </c>
      <c r="AT308" t="s">
        <v>79</v>
      </c>
      <c r="AV308" t="s">
        <v>88</v>
      </c>
      <c r="AW308">
        <v>3000</v>
      </c>
    </row>
    <row r="309" spans="1:53" hidden="1" x14ac:dyDescent="0.3">
      <c r="A309" t="s">
        <v>313</v>
      </c>
      <c r="C309" t="s">
        <v>251</v>
      </c>
      <c r="D309" t="s">
        <v>81</v>
      </c>
      <c r="E309">
        <v>10000000</v>
      </c>
      <c r="H309">
        <v>1.69</v>
      </c>
      <c r="I309" t="s">
        <v>56</v>
      </c>
      <c r="J309">
        <v>1.6899999999999999E-4</v>
      </c>
      <c r="K309" t="s">
        <v>57</v>
      </c>
      <c r="N309" t="s">
        <v>314</v>
      </c>
      <c r="O309">
        <v>3000</v>
      </c>
      <c r="P309" t="s">
        <v>315</v>
      </c>
      <c r="S309" t="s">
        <v>316</v>
      </c>
      <c r="T309">
        <v>25</v>
      </c>
      <c r="U309" t="s">
        <v>120</v>
      </c>
      <c r="V309">
        <v>75</v>
      </c>
      <c r="W309" t="s">
        <v>123</v>
      </c>
      <c r="X309" t="s">
        <v>280</v>
      </c>
      <c r="Y309">
        <v>300</v>
      </c>
      <c r="AA309" t="s">
        <v>184</v>
      </c>
      <c r="AB309">
        <v>7.1</v>
      </c>
      <c r="AC309" t="s">
        <v>85</v>
      </c>
      <c r="AD309" t="s">
        <v>106</v>
      </c>
      <c r="AI309" t="s">
        <v>317</v>
      </c>
      <c r="AT309" t="s">
        <v>79</v>
      </c>
      <c r="AV309" t="s">
        <v>88</v>
      </c>
      <c r="AW309">
        <v>3000</v>
      </c>
      <c r="AZ309">
        <v>0</v>
      </c>
      <c r="BA309">
        <v>7.1</v>
      </c>
    </row>
    <row r="310" spans="1:53" hidden="1" x14ac:dyDescent="0.3">
      <c r="A310" t="s">
        <v>313</v>
      </c>
      <c r="C310" t="s">
        <v>251</v>
      </c>
      <c r="D310" t="s">
        <v>81</v>
      </c>
      <c r="E310">
        <v>10000000</v>
      </c>
      <c r="H310">
        <v>1.69</v>
      </c>
      <c r="I310" t="s">
        <v>56</v>
      </c>
      <c r="J310">
        <v>1.6899999999999999E-4</v>
      </c>
      <c r="K310" t="s">
        <v>57</v>
      </c>
      <c r="N310" t="s">
        <v>314</v>
      </c>
      <c r="O310">
        <v>3000</v>
      </c>
      <c r="P310" t="s">
        <v>315</v>
      </c>
      <c r="S310" t="s">
        <v>316</v>
      </c>
      <c r="T310">
        <v>25</v>
      </c>
      <c r="U310" t="s">
        <v>120</v>
      </c>
      <c r="V310">
        <v>75</v>
      </c>
      <c r="W310" t="s">
        <v>123</v>
      </c>
      <c r="X310" t="s">
        <v>280</v>
      </c>
      <c r="Y310">
        <v>420</v>
      </c>
      <c r="AB310">
        <v>6.7</v>
      </c>
      <c r="AC310" t="s">
        <v>85</v>
      </c>
      <c r="AD310" t="s">
        <v>331</v>
      </c>
      <c r="AI310" t="s">
        <v>317</v>
      </c>
      <c r="AT310" t="s">
        <v>79</v>
      </c>
      <c r="AV310" t="s">
        <v>88</v>
      </c>
      <c r="AW310">
        <v>3000</v>
      </c>
    </row>
    <row r="311" spans="1:53" hidden="1" x14ac:dyDescent="0.3">
      <c r="A311" t="s">
        <v>313</v>
      </c>
      <c r="C311" t="s">
        <v>251</v>
      </c>
      <c r="D311" t="s">
        <v>81</v>
      </c>
      <c r="E311">
        <v>10000000</v>
      </c>
      <c r="H311">
        <v>1.69</v>
      </c>
      <c r="I311" t="s">
        <v>56</v>
      </c>
      <c r="J311">
        <v>1.6899999999999999E-4</v>
      </c>
      <c r="K311" t="s">
        <v>57</v>
      </c>
      <c r="N311" t="s">
        <v>314</v>
      </c>
      <c r="O311">
        <v>3000</v>
      </c>
      <c r="P311" t="s">
        <v>315</v>
      </c>
      <c r="S311" t="s">
        <v>316</v>
      </c>
      <c r="T311">
        <v>25</v>
      </c>
      <c r="U311" t="s">
        <v>120</v>
      </c>
      <c r="V311">
        <v>75</v>
      </c>
      <c r="W311" t="s">
        <v>123</v>
      </c>
      <c r="X311" t="s">
        <v>280</v>
      </c>
      <c r="Y311">
        <v>540</v>
      </c>
      <c r="AB311">
        <v>6.8</v>
      </c>
      <c r="AC311" t="s">
        <v>85</v>
      </c>
      <c r="AD311" t="s">
        <v>331</v>
      </c>
      <c r="AI311" t="s">
        <v>317</v>
      </c>
      <c r="AT311" t="s">
        <v>79</v>
      </c>
      <c r="AV311" t="s">
        <v>88</v>
      </c>
      <c r="AW311">
        <v>3000</v>
      </c>
    </row>
    <row r="312" spans="1:53" hidden="1" x14ac:dyDescent="0.3">
      <c r="A312" t="s">
        <v>313</v>
      </c>
      <c r="C312" t="s">
        <v>251</v>
      </c>
      <c r="D312" t="s">
        <v>81</v>
      </c>
      <c r="E312">
        <v>10000000</v>
      </c>
      <c r="H312">
        <v>1.69</v>
      </c>
      <c r="I312" t="s">
        <v>56</v>
      </c>
      <c r="J312">
        <v>1.6899999999999999E-4</v>
      </c>
      <c r="K312" t="s">
        <v>57</v>
      </c>
      <c r="N312" t="s">
        <v>314</v>
      </c>
      <c r="O312">
        <v>3000</v>
      </c>
      <c r="P312" t="s">
        <v>315</v>
      </c>
      <c r="S312" t="s">
        <v>316</v>
      </c>
      <c r="T312">
        <v>25</v>
      </c>
      <c r="U312" t="s">
        <v>120</v>
      </c>
      <c r="V312">
        <v>75</v>
      </c>
      <c r="W312" t="s">
        <v>123</v>
      </c>
      <c r="X312" t="s">
        <v>280</v>
      </c>
      <c r="Y312">
        <v>30</v>
      </c>
      <c r="AB312">
        <v>2.7</v>
      </c>
      <c r="AC312" t="s">
        <v>85</v>
      </c>
      <c r="AD312" t="s">
        <v>328</v>
      </c>
      <c r="AI312" t="s">
        <v>317</v>
      </c>
      <c r="AT312" t="s">
        <v>79</v>
      </c>
      <c r="AV312" t="s">
        <v>88</v>
      </c>
      <c r="AW312">
        <v>3000</v>
      </c>
    </row>
    <row r="313" spans="1:53" hidden="1" x14ac:dyDescent="0.3">
      <c r="A313" t="s">
        <v>313</v>
      </c>
      <c r="C313" t="s">
        <v>251</v>
      </c>
      <c r="D313" t="s">
        <v>81</v>
      </c>
      <c r="E313">
        <v>10000000</v>
      </c>
      <c r="H313">
        <v>1.69</v>
      </c>
      <c r="I313" t="s">
        <v>56</v>
      </c>
      <c r="J313">
        <v>1.6899999999999999E-4</v>
      </c>
      <c r="K313" t="s">
        <v>57</v>
      </c>
      <c r="N313" t="s">
        <v>314</v>
      </c>
      <c r="O313">
        <v>3000</v>
      </c>
      <c r="P313" t="s">
        <v>315</v>
      </c>
      <c r="S313" t="s">
        <v>316</v>
      </c>
      <c r="T313">
        <v>25</v>
      </c>
      <c r="U313" t="s">
        <v>120</v>
      </c>
      <c r="V313">
        <v>75</v>
      </c>
      <c r="W313" t="s">
        <v>123</v>
      </c>
      <c r="X313" t="s">
        <v>280</v>
      </c>
      <c r="Y313">
        <v>60</v>
      </c>
      <c r="AB313">
        <v>3.7</v>
      </c>
      <c r="AC313" t="s">
        <v>85</v>
      </c>
      <c r="AD313" t="s">
        <v>322</v>
      </c>
      <c r="AI313" t="s">
        <v>317</v>
      </c>
      <c r="AT313" t="s">
        <v>79</v>
      </c>
      <c r="AV313" t="s">
        <v>88</v>
      </c>
      <c r="AW313">
        <v>3000</v>
      </c>
    </row>
    <row r="314" spans="1:53" hidden="1" x14ac:dyDescent="0.3">
      <c r="A314" t="s">
        <v>313</v>
      </c>
      <c r="C314" t="s">
        <v>251</v>
      </c>
      <c r="D314" t="s">
        <v>81</v>
      </c>
      <c r="E314">
        <v>10000000</v>
      </c>
      <c r="H314">
        <v>1.69</v>
      </c>
      <c r="I314" t="s">
        <v>56</v>
      </c>
      <c r="J314">
        <v>1.6899999999999999E-4</v>
      </c>
      <c r="K314" t="s">
        <v>57</v>
      </c>
      <c r="N314" t="s">
        <v>314</v>
      </c>
      <c r="O314">
        <v>3000</v>
      </c>
      <c r="P314" t="s">
        <v>315</v>
      </c>
      <c r="S314" t="s">
        <v>316</v>
      </c>
      <c r="T314">
        <v>25</v>
      </c>
      <c r="U314" t="s">
        <v>120</v>
      </c>
      <c r="V314">
        <v>75</v>
      </c>
      <c r="W314" t="s">
        <v>123</v>
      </c>
      <c r="X314" t="s">
        <v>280</v>
      </c>
      <c r="Y314">
        <v>120</v>
      </c>
      <c r="AB314">
        <v>5.6</v>
      </c>
      <c r="AC314" t="s">
        <v>85</v>
      </c>
      <c r="AD314" t="s">
        <v>334</v>
      </c>
      <c r="AI314" t="s">
        <v>317</v>
      </c>
      <c r="AT314" t="s">
        <v>79</v>
      </c>
      <c r="AV314" t="s">
        <v>88</v>
      </c>
      <c r="AW314">
        <v>3000</v>
      </c>
    </row>
    <row r="315" spans="1:53" hidden="1" x14ac:dyDescent="0.3">
      <c r="A315" t="s">
        <v>313</v>
      </c>
      <c r="C315" t="s">
        <v>251</v>
      </c>
      <c r="D315" t="s">
        <v>81</v>
      </c>
      <c r="E315">
        <v>10000000</v>
      </c>
      <c r="H315">
        <v>1.69</v>
      </c>
      <c r="I315" t="s">
        <v>56</v>
      </c>
      <c r="J315">
        <v>1.6899999999999999E-4</v>
      </c>
      <c r="K315" t="s">
        <v>57</v>
      </c>
      <c r="N315" t="s">
        <v>314</v>
      </c>
      <c r="O315">
        <v>3000</v>
      </c>
      <c r="P315" t="s">
        <v>315</v>
      </c>
      <c r="S315" t="s">
        <v>316</v>
      </c>
      <c r="T315">
        <v>25</v>
      </c>
      <c r="U315" t="s">
        <v>120</v>
      </c>
      <c r="V315">
        <v>75</v>
      </c>
      <c r="W315" t="s">
        <v>123</v>
      </c>
      <c r="X315" t="s">
        <v>280</v>
      </c>
      <c r="Y315">
        <v>180</v>
      </c>
      <c r="AB315">
        <v>5.8</v>
      </c>
      <c r="AC315" t="s">
        <v>85</v>
      </c>
      <c r="AD315" t="s">
        <v>327</v>
      </c>
      <c r="AI315" t="s">
        <v>317</v>
      </c>
      <c r="AT315" t="s">
        <v>79</v>
      </c>
      <c r="AV315" t="s">
        <v>88</v>
      </c>
      <c r="AW315">
        <v>3000</v>
      </c>
    </row>
    <row r="316" spans="1:53" hidden="1" x14ac:dyDescent="0.3">
      <c r="A316" t="s">
        <v>313</v>
      </c>
      <c r="C316" t="s">
        <v>251</v>
      </c>
      <c r="D316" t="s">
        <v>81</v>
      </c>
      <c r="E316">
        <v>10000000</v>
      </c>
      <c r="H316">
        <v>1.69</v>
      </c>
      <c r="I316" t="s">
        <v>56</v>
      </c>
      <c r="J316">
        <v>1.6899999999999999E-4</v>
      </c>
      <c r="K316" t="s">
        <v>57</v>
      </c>
      <c r="N316" t="s">
        <v>314</v>
      </c>
      <c r="O316">
        <v>3000</v>
      </c>
      <c r="P316" t="s">
        <v>315</v>
      </c>
      <c r="S316" t="s">
        <v>316</v>
      </c>
      <c r="T316">
        <v>25</v>
      </c>
      <c r="U316" t="s">
        <v>120</v>
      </c>
      <c r="V316">
        <v>75</v>
      </c>
      <c r="W316" t="s">
        <v>123</v>
      </c>
      <c r="X316" t="s">
        <v>280</v>
      </c>
      <c r="Y316">
        <v>300</v>
      </c>
      <c r="AB316">
        <v>6.2</v>
      </c>
      <c r="AC316" t="s">
        <v>85</v>
      </c>
      <c r="AD316" t="s">
        <v>324</v>
      </c>
      <c r="AI316" t="s">
        <v>317</v>
      </c>
      <c r="AT316" t="s">
        <v>79</v>
      </c>
      <c r="AV316" t="s">
        <v>88</v>
      </c>
      <c r="AW316">
        <v>3000</v>
      </c>
    </row>
    <row r="317" spans="1:53" hidden="1" x14ac:dyDescent="0.3">
      <c r="A317" t="s">
        <v>313</v>
      </c>
      <c r="C317" t="s">
        <v>251</v>
      </c>
      <c r="D317" t="s">
        <v>81</v>
      </c>
      <c r="E317">
        <v>10000000</v>
      </c>
      <c r="H317">
        <v>1.69</v>
      </c>
      <c r="I317" t="s">
        <v>56</v>
      </c>
      <c r="J317">
        <v>1.6899999999999999E-4</v>
      </c>
      <c r="K317" t="s">
        <v>57</v>
      </c>
      <c r="N317" t="s">
        <v>314</v>
      </c>
      <c r="O317">
        <v>3000</v>
      </c>
      <c r="P317" t="s">
        <v>315</v>
      </c>
      <c r="S317" t="s">
        <v>316</v>
      </c>
      <c r="T317">
        <v>25</v>
      </c>
      <c r="U317" t="s">
        <v>120</v>
      </c>
      <c r="V317">
        <v>75</v>
      </c>
      <c r="W317" t="s">
        <v>123</v>
      </c>
      <c r="X317" t="s">
        <v>280</v>
      </c>
      <c r="Y317">
        <v>420</v>
      </c>
      <c r="AB317">
        <v>6.3</v>
      </c>
      <c r="AC317" t="s">
        <v>85</v>
      </c>
      <c r="AD317" t="s">
        <v>328</v>
      </c>
      <c r="AI317" t="s">
        <v>317</v>
      </c>
      <c r="AT317" t="s">
        <v>79</v>
      </c>
      <c r="AV317" t="s">
        <v>88</v>
      </c>
      <c r="AW317">
        <v>3000</v>
      </c>
    </row>
    <row r="318" spans="1:53" hidden="1" x14ac:dyDescent="0.3">
      <c r="A318" t="s">
        <v>313</v>
      </c>
      <c r="C318" t="s">
        <v>251</v>
      </c>
      <c r="D318" t="s">
        <v>81</v>
      </c>
      <c r="E318">
        <v>10000000</v>
      </c>
      <c r="H318">
        <v>1.69</v>
      </c>
      <c r="I318" t="s">
        <v>56</v>
      </c>
      <c r="J318">
        <v>1.6899999999999999E-4</v>
      </c>
      <c r="K318" t="s">
        <v>57</v>
      </c>
      <c r="N318" t="s">
        <v>314</v>
      </c>
      <c r="O318">
        <v>3000</v>
      </c>
      <c r="P318" t="s">
        <v>315</v>
      </c>
      <c r="S318" t="s">
        <v>316</v>
      </c>
      <c r="T318">
        <v>25</v>
      </c>
      <c r="U318" t="s">
        <v>120</v>
      </c>
      <c r="V318">
        <v>75</v>
      </c>
      <c r="W318" t="s">
        <v>123</v>
      </c>
      <c r="X318" t="s">
        <v>280</v>
      </c>
      <c r="Y318">
        <v>540</v>
      </c>
      <c r="AB318">
        <v>6.1</v>
      </c>
      <c r="AC318" t="s">
        <v>85</v>
      </c>
      <c r="AD318" t="s">
        <v>326</v>
      </c>
      <c r="AI318" t="s">
        <v>317</v>
      </c>
      <c r="AT318" t="s">
        <v>79</v>
      </c>
      <c r="AV318" t="s">
        <v>88</v>
      </c>
      <c r="AW318">
        <v>3000</v>
      </c>
    </row>
    <row r="319" spans="1:53" hidden="1" x14ac:dyDescent="0.3">
      <c r="A319" t="s">
        <v>313</v>
      </c>
      <c r="C319" t="s">
        <v>251</v>
      </c>
      <c r="D319" t="s">
        <v>81</v>
      </c>
      <c r="E319">
        <v>10000000</v>
      </c>
      <c r="H319">
        <v>1.69</v>
      </c>
      <c r="I319" t="s">
        <v>56</v>
      </c>
      <c r="J319">
        <v>1.6899999999999999E-4</v>
      </c>
      <c r="K319" t="s">
        <v>57</v>
      </c>
      <c r="N319" t="s">
        <v>314</v>
      </c>
      <c r="O319">
        <v>3000</v>
      </c>
      <c r="P319" t="s">
        <v>315</v>
      </c>
      <c r="S319" t="s">
        <v>316</v>
      </c>
      <c r="T319">
        <v>25</v>
      </c>
      <c r="U319" t="s">
        <v>120</v>
      </c>
      <c r="V319">
        <v>75</v>
      </c>
      <c r="W319" t="s">
        <v>74</v>
      </c>
      <c r="X319" t="s">
        <v>280</v>
      </c>
      <c r="Y319">
        <v>30</v>
      </c>
      <c r="AI319" t="s">
        <v>317</v>
      </c>
      <c r="AT319" t="s">
        <v>75</v>
      </c>
      <c r="AV319" t="s">
        <v>88</v>
      </c>
      <c r="AW319">
        <v>3000</v>
      </c>
    </row>
    <row r="320" spans="1:53" hidden="1" x14ac:dyDescent="0.3">
      <c r="A320" t="s">
        <v>313</v>
      </c>
      <c r="C320" t="s">
        <v>251</v>
      </c>
      <c r="D320" t="s">
        <v>81</v>
      </c>
      <c r="E320">
        <v>10000000</v>
      </c>
      <c r="H320">
        <v>1.69</v>
      </c>
      <c r="I320" t="s">
        <v>56</v>
      </c>
      <c r="J320">
        <v>1.6899999999999999E-4</v>
      </c>
      <c r="K320" t="s">
        <v>57</v>
      </c>
      <c r="N320" t="s">
        <v>314</v>
      </c>
      <c r="O320">
        <v>3000</v>
      </c>
      <c r="P320" t="s">
        <v>315</v>
      </c>
      <c r="S320" t="s">
        <v>316</v>
      </c>
      <c r="T320">
        <v>25</v>
      </c>
      <c r="U320" t="s">
        <v>120</v>
      </c>
      <c r="V320">
        <v>75</v>
      </c>
      <c r="W320" t="s">
        <v>74</v>
      </c>
      <c r="X320" t="s">
        <v>280</v>
      </c>
      <c r="Y320">
        <v>60</v>
      </c>
      <c r="AB320">
        <v>2.9</v>
      </c>
      <c r="AC320" t="s">
        <v>85</v>
      </c>
      <c r="AD320" t="s">
        <v>331</v>
      </c>
      <c r="AI320" t="s">
        <v>317</v>
      </c>
      <c r="AT320" t="s">
        <v>75</v>
      </c>
      <c r="AV320" t="s">
        <v>88</v>
      </c>
      <c r="AW320">
        <v>3000</v>
      </c>
    </row>
    <row r="321" spans="1:53" hidden="1" x14ac:dyDescent="0.3">
      <c r="A321" t="s">
        <v>313</v>
      </c>
      <c r="C321" t="s">
        <v>251</v>
      </c>
      <c r="D321" t="s">
        <v>81</v>
      </c>
      <c r="E321">
        <v>10000000</v>
      </c>
      <c r="H321">
        <v>1.69</v>
      </c>
      <c r="I321" t="s">
        <v>56</v>
      </c>
      <c r="J321">
        <v>1.6899999999999999E-4</v>
      </c>
      <c r="K321" t="s">
        <v>57</v>
      </c>
      <c r="N321" t="s">
        <v>314</v>
      </c>
      <c r="O321">
        <v>3000</v>
      </c>
      <c r="P321" t="s">
        <v>315</v>
      </c>
      <c r="S321" t="s">
        <v>316</v>
      </c>
      <c r="T321">
        <v>25</v>
      </c>
      <c r="U321" t="s">
        <v>120</v>
      </c>
      <c r="V321">
        <v>75</v>
      </c>
      <c r="W321" t="s">
        <v>74</v>
      </c>
      <c r="X321" t="s">
        <v>280</v>
      </c>
      <c r="Y321">
        <v>120</v>
      </c>
      <c r="AI321" t="s">
        <v>317</v>
      </c>
      <c r="AT321" t="s">
        <v>75</v>
      </c>
      <c r="AV321" t="s">
        <v>88</v>
      </c>
      <c r="AW321">
        <v>3000</v>
      </c>
    </row>
    <row r="322" spans="1:53" hidden="1" x14ac:dyDescent="0.3">
      <c r="A322" t="s">
        <v>313</v>
      </c>
      <c r="C322" t="s">
        <v>251</v>
      </c>
      <c r="D322" t="s">
        <v>81</v>
      </c>
      <c r="E322">
        <v>10000000</v>
      </c>
      <c r="H322">
        <v>1.69</v>
      </c>
      <c r="I322" t="s">
        <v>56</v>
      </c>
      <c r="J322">
        <v>1.6899999999999999E-4</v>
      </c>
      <c r="K322" t="s">
        <v>57</v>
      </c>
      <c r="N322" t="s">
        <v>314</v>
      </c>
      <c r="O322">
        <v>3000</v>
      </c>
      <c r="P322" t="s">
        <v>315</v>
      </c>
      <c r="S322" t="s">
        <v>316</v>
      </c>
      <c r="T322">
        <v>25</v>
      </c>
      <c r="U322" t="s">
        <v>120</v>
      </c>
      <c r="V322">
        <v>75</v>
      </c>
      <c r="W322" t="s">
        <v>74</v>
      </c>
      <c r="X322" t="s">
        <v>280</v>
      </c>
      <c r="Y322">
        <v>180</v>
      </c>
      <c r="AB322">
        <v>5</v>
      </c>
      <c r="AC322" t="s">
        <v>85</v>
      </c>
      <c r="AD322" t="s">
        <v>335</v>
      </c>
      <c r="AI322" t="s">
        <v>317</v>
      </c>
      <c r="AT322" t="s">
        <v>75</v>
      </c>
      <c r="AV322" t="s">
        <v>88</v>
      </c>
      <c r="AW322">
        <v>3000</v>
      </c>
    </row>
    <row r="323" spans="1:53" hidden="1" x14ac:dyDescent="0.3">
      <c r="A323" t="s">
        <v>313</v>
      </c>
      <c r="C323" t="s">
        <v>251</v>
      </c>
      <c r="D323" t="s">
        <v>81</v>
      </c>
      <c r="E323">
        <v>10000000</v>
      </c>
      <c r="H323">
        <v>1.69</v>
      </c>
      <c r="I323" t="s">
        <v>56</v>
      </c>
      <c r="J323">
        <v>1.6899999999999999E-4</v>
      </c>
      <c r="K323" t="s">
        <v>57</v>
      </c>
      <c r="N323" t="s">
        <v>314</v>
      </c>
      <c r="O323">
        <v>3000</v>
      </c>
      <c r="P323" t="s">
        <v>315</v>
      </c>
      <c r="S323" t="s">
        <v>316</v>
      </c>
      <c r="T323">
        <v>25</v>
      </c>
      <c r="U323" t="s">
        <v>120</v>
      </c>
      <c r="V323">
        <v>75</v>
      </c>
      <c r="W323" t="s">
        <v>74</v>
      </c>
      <c r="X323" t="s">
        <v>280</v>
      </c>
      <c r="Y323">
        <v>300</v>
      </c>
      <c r="AB323">
        <v>6.9</v>
      </c>
      <c r="AC323" t="s">
        <v>85</v>
      </c>
      <c r="AD323" t="s">
        <v>98</v>
      </c>
      <c r="AI323" t="s">
        <v>317</v>
      </c>
      <c r="AT323" t="s">
        <v>75</v>
      </c>
      <c r="AV323" t="s">
        <v>88</v>
      </c>
      <c r="AW323">
        <v>3000</v>
      </c>
    </row>
    <row r="324" spans="1:53" hidden="1" x14ac:dyDescent="0.3">
      <c r="A324" t="s">
        <v>313</v>
      </c>
      <c r="C324" t="s">
        <v>251</v>
      </c>
      <c r="D324" t="s">
        <v>81</v>
      </c>
      <c r="E324">
        <v>10000000</v>
      </c>
      <c r="H324">
        <v>1.69</v>
      </c>
      <c r="I324" t="s">
        <v>56</v>
      </c>
      <c r="J324">
        <v>1.6899999999999999E-4</v>
      </c>
      <c r="K324" t="s">
        <v>57</v>
      </c>
      <c r="N324" t="s">
        <v>314</v>
      </c>
      <c r="O324">
        <v>3000</v>
      </c>
      <c r="P324" t="s">
        <v>315</v>
      </c>
      <c r="S324" t="s">
        <v>316</v>
      </c>
      <c r="T324">
        <v>25</v>
      </c>
      <c r="U324" t="s">
        <v>120</v>
      </c>
      <c r="V324">
        <v>75</v>
      </c>
      <c r="W324" t="s">
        <v>74</v>
      </c>
      <c r="X324" t="s">
        <v>280</v>
      </c>
      <c r="Y324">
        <v>420</v>
      </c>
      <c r="AA324" t="s">
        <v>184</v>
      </c>
      <c r="AB324">
        <v>7</v>
      </c>
      <c r="AC324" t="s">
        <v>85</v>
      </c>
      <c r="AD324" t="s">
        <v>321</v>
      </c>
      <c r="AI324" t="s">
        <v>317</v>
      </c>
      <c r="AT324" t="s">
        <v>75</v>
      </c>
      <c r="AV324" t="s">
        <v>88</v>
      </c>
      <c r="AW324">
        <v>3000</v>
      </c>
      <c r="AZ324">
        <v>0</v>
      </c>
      <c r="BA324">
        <v>7</v>
      </c>
    </row>
    <row r="325" spans="1:53" hidden="1" x14ac:dyDescent="0.3">
      <c r="A325" t="s">
        <v>313</v>
      </c>
      <c r="C325" t="s">
        <v>251</v>
      </c>
      <c r="D325" t="s">
        <v>81</v>
      </c>
      <c r="E325">
        <v>10000000</v>
      </c>
      <c r="H325">
        <v>1.69</v>
      </c>
      <c r="I325" t="s">
        <v>56</v>
      </c>
      <c r="J325">
        <v>1.6899999999999999E-4</v>
      </c>
      <c r="K325" t="s">
        <v>57</v>
      </c>
      <c r="N325" t="s">
        <v>314</v>
      </c>
      <c r="O325">
        <v>3000</v>
      </c>
      <c r="P325" t="s">
        <v>315</v>
      </c>
      <c r="S325" t="s">
        <v>316</v>
      </c>
      <c r="T325">
        <v>25</v>
      </c>
      <c r="U325" t="s">
        <v>120</v>
      </c>
      <c r="V325">
        <v>75</v>
      </c>
      <c r="W325" t="s">
        <v>74</v>
      </c>
      <c r="X325" t="s">
        <v>280</v>
      </c>
      <c r="Y325">
        <v>540</v>
      </c>
      <c r="AA325" t="s">
        <v>184</v>
      </c>
      <c r="AB325">
        <v>7</v>
      </c>
      <c r="AC325" t="s">
        <v>85</v>
      </c>
      <c r="AD325" t="s">
        <v>321</v>
      </c>
      <c r="AI325" t="s">
        <v>317</v>
      </c>
      <c r="AT325" t="s">
        <v>75</v>
      </c>
      <c r="AV325" t="s">
        <v>88</v>
      </c>
      <c r="AW325">
        <v>3000</v>
      </c>
      <c r="AZ325">
        <v>0</v>
      </c>
      <c r="BA325">
        <v>7</v>
      </c>
    </row>
    <row r="326" spans="1:53" hidden="1" x14ac:dyDescent="0.3">
      <c r="A326" t="s">
        <v>313</v>
      </c>
      <c r="C326" t="s">
        <v>251</v>
      </c>
      <c r="D326" t="s">
        <v>81</v>
      </c>
      <c r="E326">
        <v>100000000</v>
      </c>
      <c r="H326">
        <v>1.69</v>
      </c>
      <c r="I326" t="s">
        <v>56</v>
      </c>
      <c r="J326">
        <v>1.6899999999999999E-4</v>
      </c>
      <c r="K326" t="s">
        <v>57</v>
      </c>
      <c r="N326" t="s">
        <v>314</v>
      </c>
      <c r="O326">
        <v>3000</v>
      </c>
      <c r="P326" t="s">
        <v>315</v>
      </c>
      <c r="S326" t="s">
        <v>316</v>
      </c>
      <c r="T326">
        <v>25</v>
      </c>
      <c r="U326" t="s">
        <v>120</v>
      </c>
      <c r="V326">
        <v>75</v>
      </c>
      <c r="W326" t="s">
        <v>74</v>
      </c>
      <c r="X326" t="s">
        <v>280</v>
      </c>
      <c r="Y326">
        <v>30</v>
      </c>
      <c r="AB326">
        <v>1.7</v>
      </c>
      <c r="AC326" t="s">
        <v>85</v>
      </c>
      <c r="AD326" t="s">
        <v>98</v>
      </c>
      <c r="AI326" t="s">
        <v>317</v>
      </c>
      <c r="AT326" t="s">
        <v>75</v>
      </c>
      <c r="AV326" t="s">
        <v>88</v>
      </c>
      <c r="AW326">
        <v>3000</v>
      </c>
    </row>
    <row r="327" spans="1:53" hidden="1" x14ac:dyDescent="0.3">
      <c r="A327" t="s">
        <v>313</v>
      </c>
      <c r="C327" t="s">
        <v>251</v>
      </c>
      <c r="D327" t="s">
        <v>81</v>
      </c>
      <c r="E327">
        <v>100000000</v>
      </c>
      <c r="H327">
        <v>1.69</v>
      </c>
      <c r="I327" t="s">
        <v>56</v>
      </c>
      <c r="J327">
        <v>1.6899999999999999E-4</v>
      </c>
      <c r="K327" t="s">
        <v>57</v>
      </c>
      <c r="N327" t="s">
        <v>314</v>
      </c>
      <c r="O327">
        <v>3000</v>
      </c>
      <c r="P327" t="s">
        <v>315</v>
      </c>
      <c r="S327" t="s">
        <v>316</v>
      </c>
      <c r="T327">
        <v>25</v>
      </c>
      <c r="U327" t="s">
        <v>120</v>
      </c>
      <c r="V327">
        <v>75</v>
      </c>
      <c r="W327" t="s">
        <v>74</v>
      </c>
      <c r="X327" t="s">
        <v>280</v>
      </c>
      <c r="Y327">
        <v>60</v>
      </c>
      <c r="AB327">
        <v>2</v>
      </c>
      <c r="AC327" t="s">
        <v>85</v>
      </c>
      <c r="AD327" t="s">
        <v>328</v>
      </c>
      <c r="AI327" t="s">
        <v>317</v>
      </c>
      <c r="AT327" t="s">
        <v>75</v>
      </c>
      <c r="AV327" t="s">
        <v>88</v>
      </c>
      <c r="AW327">
        <v>3000</v>
      </c>
    </row>
    <row r="328" spans="1:53" hidden="1" x14ac:dyDescent="0.3">
      <c r="A328" t="s">
        <v>313</v>
      </c>
      <c r="C328" t="s">
        <v>251</v>
      </c>
      <c r="D328" t="s">
        <v>81</v>
      </c>
      <c r="E328">
        <v>100000000</v>
      </c>
      <c r="H328">
        <v>1.69</v>
      </c>
      <c r="I328" t="s">
        <v>56</v>
      </c>
      <c r="J328">
        <v>1.6899999999999999E-4</v>
      </c>
      <c r="K328" t="s">
        <v>57</v>
      </c>
      <c r="N328" t="s">
        <v>314</v>
      </c>
      <c r="O328">
        <v>3000</v>
      </c>
      <c r="P328" t="s">
        <v>315</v>
      </c>
      <c r="S328" t="s">
        <v>316</v>
      </c>
      <c r="T328">
        <v>25</v>
      </c>
      <c r="U328" t="s">
        <v>120</v>
      </c>
      <c r="V328">
        <v>75</v>
      </c>
      <c r="W328" t="s">
        <v>74</v>
      </c>
      <c r="X328" t="s">
        <v>280</v>
      </c>
      <c r="Y328">
        <v>120</v>
      </c>
      <c r="AB328">
        <v>3.2</v>
      </c>
      <c r="AC328" t="s">
        <v>85</v>
      </c>
      <c r="AD328" t="s">
        <v>324</v>
      </c>
      <c r="AI328" t="s">
        <v>317</v>
      </c>
      <c r="AT328" t="s">
        <v>75</v>
      </c>
      <c r="AV328" t="s">
        <v>88</v>
      </c>
      <c r="AW328">
        <v>3000</v>
      </c>
    </row>
    <row r="329" spans="1:53" hidden="1" x14ac:dyDescent="0.3">
      <c r="A329" t="s">
        <v>313</v>
      </c>
      <c r="C329" t="s">
        <v>251</v>
      </c>
      <c r="D329" t="s">
        <v>81</v>
      </c>
      <c r="E329">
        <v>100000000</v>
      </c>
      <c r="H329">
        <v>1.69</v>
      </c>
      <c r="I329" t="s">
        <v>56</v>
      </c>
      <c r="J329">
        <v>1.6899999999999999E-4</v>
      </c>
      <c r="K329" t="s">
        <v>57</v>
      </c>
      <c r="N329" t="s">
        <v>314</v>
      </c>
      <c r="O329">
        <v>3000</v>
      </c>
      <c r="P329" t="s">
        <v>315</v>
      </c>
      <c r="S329" t="s">
        <v>316</v>
      </c>
      <c r="T329">
        <v>25</v>
      </c>
      <c r="U329" t="s">
        <v>120</v>
      </c>
      <c r="V329">
        <v>75</v>
      </c>
      <c r="W329" t="s">
        <v>74</v>
      </c>
      <c r="X329" t="s">
        <v>280</v>
      </c>
      <c r="Y329">
        <v>180</v>
      </c>
      <c r="AB329">
        <v>4.0999999999999899</v>
      </c>
      <c r="AC329" t="s">
        <v>85</v>
      </c>
      <c r="AD329" t="s">
        <v>335</v>
      </c>
      <c r="AI329" t="s">
        <v>317</v>
      </c>
      <c r="AT329" t="s">
        <v>75</v>
      </c>
      <c r="AV329" t="s">
        <v>88</v>
      </c>
      <c r="AW329">
        <v>3000</v>
      </c>
    </row>
    <row r="330" spans="1:53" hidden="1" x14ac:dyDescent="0.3">
      <c r="A330" t="s">
        <v>313</v>
      </c>
      <c r="C330" t="s">
        <v>251</v>
      </c>
      <c r="D330" t="s">
        <v>81</v>
      </c>
      <c r="E330">
        <v>100000000</v>
      </c>
      <c r="H330">
        <v>1.69</v>
      </c>
      <c r="I330" t="s">
        <v>56</v>
      </c>
      <c r="J330">
        <v>1.6899999999999999E-4</v>
      </c>
      <c r="K330" t="s">
        <v>57</v>
      </c>
      <c r="N330" t="s">
        <v>314</v>
      </c>
      <c r="O330">
        <v>3000</v>
      </c>
      <c r="P330" t="s">
        <v>315</v>
      </c>
      <c r="S330" t="s">
        <v>316</v>
      </c>
      <c r="T330">
        <v>25</v>
      </c>
      <c r="U330" t="s">
        <v>120</v>
      </c>
      <c r="V330">
        <v>75</v>
      </c>
      <c r="W330" t="s">
        <v>74</v>
      </c>
      <c r="X330" t="s">
        <v>280</v>
      </c>
      <c r="Y330">
        <v>300</v>
      </c>
      <c r="AB330">
        <v>4.9000000000000004</v>
      </c>
      <c r="AC330" t="s">
        <v>85</v>
      </c>
      <c r="AD330" t="s">
        <v>335</v>
      </c>
      <c r="AI330" t="s">
        <v>317</v>
      </c>
      <c r="AT330" t="s">
        <v>75</v>
      </c>
      <c r="AV330" t="s">
        <v>88</v>
      </c>
      <c r="AW330">
        <v>3000</v>
      </c>
    </row>
    <row r="331" spans="1:53" hidden="1" x14ac:dyDescent="0.3">
      <c r="A331" t="s">
        <v>313</v>
      </c>
      <c r="C331" t="s">
        <v>251</v>
      </c>
      <c r="D331" t="s">
        <v>81</v>
      </c>
      <c r="E331">
        <v>100000000</v>
      </c>
      <c r="H331">
        <v>1.69</v>
      </c>
      <c r="I331" t="s">
        <v>56</v>
      </c>
      <c r="J331">
        <v>1.6899999999999999E-4</v>
      </c>
      <c r="K331" t="s">
        <v>57</v>
      </c>
      <c r="N331" t="s">
        <v>314</v>
      </c>
      <c r="O331">
        <v>3000</v>
      </c>
      <c r="P331" t="s">
        <v>315</v>
      </c>
      <c r="S331" t="s">
        <v>316</v>
      </c>
      <c r="T331">
        <v>25</v>
      </c>
      <c r="U331" t="s">
        <v>120</v>
      </c>
      <c r="V331">
        <v>75</v>
      </c>
      <c r="W331" t="s">
        <v>74</v>
      </c>
      <c r="X331" t="s">
        <v>280</v>
      </c>
      <c r="Y331">
        <v>420</v>
      </c>
      <c r="AB331">
        <v>5.9</v>
      </c>
      <c r="AC331" t="s">
        <v>85</v>
      </c>
      <c r="AD331" t="s">
        <v>332</v>
      </c>
      <c r="AI331" t="s">
        <v>317</v>
      </c>
      <c r="AT331" t="s">
        <v>75</v>
      </c>
      <c r="AV331" t="s">
        <v>88</v>
      </c>
      <c r="AW331">
        <v>3000</v>
      </c>
    </row>
    <row r="332" spans="1:53" hidden="1" x14ac:dyDescent="0.3">
      <c r="A332" t="s">
        <v>313</v>
      </c>
      <c r="C332" t="s">
        <v>251</v>
      </c>
      <c r="D332" t="s">
        <v>81</v>
      </c>
      <c r="E332">
        <v>100000000</v>
      </c>
      <c r="H332">
        <v>1.69</v>
      </c>
      <c r="I332" t="s">
        <v>56</v>
      </c>
      <c r="J332">
        <v>1.6899999999999999E-4</v>
      </c>
      <c r="K332" t="s">
        <v>57</v>
      </c>
      <c r="N332" t="s">
        <v>314</v>
      </c>
      <c r="O332">
        <v>3000</v>
      </c>
      <c r="P332" t="s">
        <v>315</v>
      </c>
      <c r="S332" t="s">
        <v>316</v>
      </c>
      <c r="T332">
        <v>25</v>
      </c>
      <c r="U332" t="s">
        <v>120</v>
      </c>
      <c r="V332">
        <v>75</v>
      </c>
      <c r="W332" t="s">
        <v>74</v>
      </c>
      <c r="X332" t="s">
        <v>280</v>
      </c>
      <c r="Y332">
        <v>540</v>
      </c>
      <c r="AA332" t="s">
        <v>184</v>
      </c>
      <c r="AB332">
        <v>6.6</v>
      </c>
      <c r="AC332" t="s">
        <v>85</v>
      </c>
      <c r="AD332" t="s">
        <v>325</v>
      </c>
      <c r="AI332" t="s">
        <v>317</v>
      </c>
      <c r="AT332" t="s">
        <v>75</v>
      </c>
      <c r="AV332" t="s">
        <v>88</v>
      </c>
      <c r="AW332">
        <v>3000</v>
      </c>
      <c r="AZ332">
        <v>0</v>
      </c>
      <c r="BA332">
        <v>6.6</v>
      </c>
    </row>
    <row r="333" spans="1:53" hidden="1" x14ac:dyDescent="0.3">
      <c r="A333" t="s">
        <v>313</v>
      </c>
      <c r="C333" t="s">
        <v>251</v>
      </c>
      <c r="D333" t="s">
        <v>81</v>
      </c>
      <c r="E333">
        <v>100000000</v>
      </c>
      <c r="H333">
        <v>1.69</v>
      </c>
      <c r="I333" t="s">
        <v>56</v>
      </c>
      <c r="J333">
        <v>1.6899999999999999E-4</v>
      </c>
      <c r="K333" t="s">
        <v>57</v>
      </c>
      <c r="N333" t="s">
        <v>314</v>
      </c>
      <c r="O333">
        <v>500</v>
      </c>
      <c r="P333" t="s">
        <v>315</v>
      </c>
      <c r="S333" t="s">
        <v>316</v>
      </c>
      <c r="T333">
        <v>25</v>
      </c>
      <c r="U333" t="s">
        <v>120</v>
      </c>
      <c r="V333">
        <v>75</v>
      </c>
      <c r="W333" t="s">
        <v>72</v>
      </c>
      <c r="X333" t="s">
        <v>280</v>
      </c>
      <c r="Y333">
        <v>30</v>
      </c>
      <c r="AB333">
        <v>3.3</v>
      </c>
      <c r="AC333" t="s">
        <v>85</v>
      </c>
      <c r="AD333" t="s">
        <v>327</v>
      </c>
      <c r="AI333" t="s">
        <v>317</v>
      </c>
      <c r="AT333" t="s">
        <v>73</v>
      </c>
      <c r="AV333" t="s">
        <v>88</v>
      </c>
      <c r="AW333">
        <v>500</v>
      </c>
    </row>
    <row r="334" spans="1:53" hidden="1" x14ac:dyDescent="0.3">
      <c r="A334" t="s">
        <v>313</v>
      </c>
      <c r="C334" t="s">
        <v>251</v>
      </c>
      <c r="D334" t="s">
        <v>81</v>
      </c>
      <c r="E334">
        <v>100000000</v>
      </c>
      <c r="H334">
        <v>1.69</v>
      </c>
      <c r="I334" t="s">
        <v>56</v>
      </c>
      <c r="J334">
        <v>1.6899999999999999E-4</v>
      </c>
      <c r="K334" t="s">
        <v>57</v>
      </c>
      <c r="N334" t="s">
        <v>314</v>
      </c>
      <c r="O334">
        <v>500</v>
      </c>
      <c r="P334" t="s">
        <v>315</v>
      </c>
      <c r="S334" t="s">
        <v>316</v>
      </c>
      <c r="T334">
        <v>25</v>
      </c>
      <c r="U334" t="s">
        <v>120</v>
      </c>
      <c r="V334">
        <v>75</v>
      </c>
      <c r="W334" t="s">
        <v>72</v>
      </c>
      <c r="X334" t="s">
        <v>280</v>
      </c>
      <c r="Y334">
        <v>60</v>
      </c>
      <c r="AB334">
        <v>4.3</v>
      </c>
      <c r="AC334" t="s">
        <v>85</v>
      </c>
      <c r="AD334" t="s">
        <v>336</v>
      </c>
      <c r="AI334" t="s">
        <v>317</v>
      </c>
      <c r="AT334" t="s">
        <v>73</v>
      </c>
      <c r="AV334" t="s">
        <v>88</v>
      </c>
      <c r="AW334">
        <v>500</v>
      </c>
    </row>
    <row r="335" spans="1:53" hidden="1" x14ac:dyDescent="0.3">
      <c r="A335" t="s">
        <v>313</v>
      </c>
      <c r="C335" t="s">
        <v>251</v>
      </c>
      <c r="D335" t="s">
        <v>81</v>
      </c>
      <c r="E335">
        <v>100000000</v>
      </c>
      <c r="H335">
        <v>1.69</v>
      </c>
      <c r="I335" t="s">
        <v>56</v>
      </c>
      <c r="J335">
        <v>1.6899999999999999E-4</v>
      </c>
      <c r="K335" t="s">
        <v>57</v>
      </c>
      <c r="N335" t="s">
        <v>314</v>
      </c>
      <c r="O335">
        <v>500</v>
      </c>
      <c r="P335" t="s">
        <v>315</v>
      </c>
      <c r="S335" t="s">
        <v>316</v>
      </c>
      <c r="T335">
        <v>25</v>
      </c>
      <c r="U335" t="s">
        <v>120</v>
      </c>
      <c r="V335">
        <v>75</v>
      </c>
      <c r="W335" t="s">
        <v>72</v>
      </c>
      <c r="X335" t="s">
        <v>280</v>
      </c>
      <c r="Y335">
        <v>180</v>
      </c>
      <c r="AB335">
        <v>6.9</v>
      </c>
      <c r="AC335" t="s">
        <v>85</v>
      </c>
      <c r="AD335" t="s">
        <v>321</v>
      </c>
      <c r="AI335" t="s">
        <v>317</v>
      </c>
      <c r="AT335" t="s">
        <v>73</v>
      </c>
      <c r="AV335" t="s">
        <v>88</v>
      </c>
      <c r="AW335">
        <v>500</v>
      </c>
    </row>
    <row r="336" spans="1:53" hidden="1" x14ac:dyDescent="0.3">
      <c r="A336" t="s">
        <v>313</v>
      </c>
      <c r="C336" t="s">
        <v>251</v>
      </c>
      <c r="D336" t="s">
        <v>81</v>
      </c>
      <c r="E336">
        <v>100000000</v>
      </c>
      <c r="H336">
        <v>1.69</v>
      </c>
      <c r="I336" t="s">
        <v>56</v>
      </c>
      <c r="J336">
        <v>1.6899999999999999E-4</v>
      </c>
      <c r="K336" t="s">
        <v>57</v>
      </c>
      <c r="N336" t="s">
        <v>314</v>
      </c>
      <c r="O336">
        <v>500</v>
      </c>
      <c r="P336" t="s">
        <v>315</v>
      </c>
      <c r="S336" t="s">
        <v>316</v>
      </c>
      <c r="T336">
        <v>25</v>
      </c>
      <c r="U336" t="s">
        <v>120</v>
      </c>
      <c r="V336">
        <v>75</v>
      </c>
      <c r="W336" t="s">
        <v>72</v>
      </c>
      <c r="X336" t="s">
        <v>280</v>
      </c>
      <c r="Y336">
        <v>300</v>
      </c>
      <c r="AA336" t="s">
        <v>184</v>
      </c>
      <c r="AB336">
        <v>6.9</v>
      </c>
      <c r="AC336" t="s">
        <v>85</v>
      </c>
      <c r="AD336" t="s">
        <v>321</v>
      </c>
      <c r="AI336" t="s">
        <v>317</v>
      </c>
      <c r="AT336" t="s">
        <v>73</v>
      </c>
      <c r="AV336" t="s">
        <v>88</v>
      </c>
      <c r="AW336">
        <v>500</v>
      </c>
      <c r="AZ336">
        <v>0</v>
      </c>
      <c r="BA336">
        <v>6.9</v>
      </c>
    </row>
    <row r="337" spans="1:53" hidden="1" x14ac:dyDescent="0.3">
      <c r="A337" t="s">
        <v>313</v>
      </c>
      <c r="C337" t="s">
        <v>251</v>
      </c>
      <c r="D337" t="s">
        <v>81</v>
      </c>
      <c r="E337">
        <v>100000000</v>
      </c>
      <c r="H337">
        <v>1.69</v>
      </c>
      <c r="I337" t="s">
        <v>56</v>
      </c>
      <c r="J337">
        <v>1.6899999999999999E-4</v>
      </c>
      <c r="K337" t="s">
        <v>57</v>
      </c>
      <c r="N337" t="s">
        <v>314</v>
      </c>
      <c r="O337">
        <v>500</v>
      </c>
      <c r="P337" t="s">
        <v>315</v>
      </c>
      <c r="S337" t="s">
        <v>316</v>
      </c>
      <c r="T337">
        <v>25</v>
      </c>
      <c r="U337" t="s">
        <v>120</v>
      </c>
      <c r="V337">
        <v>75</v>
      </c>
      <c r="W337" t="s">
        <v>72</v>
      </c>
      <c r="X337" t="s">
        <v>280</v>
      </c>
      <c r="Y337">
        <v>600</v>
      </c>
      <c r="AA337" t="s">
        <v>184</v>
      </c>
      <c r="AB337">
        <v>6.9</v>
      </c>
      <c r="AC337" t="s">
        <v>85</v>
      </c>
      <c r="AD337" t="s">
        <v>321</v>
      </c>
      <c r="AI337" t="s">
        <v>317</v>
      </c>
      <c r="AT337" t="s">
        <v>73</v>
      </c>
      <c r="AV337" t="s">
        <v>88</v>
      </c>
      <c r="AW337">
        <v>500</v>
      </c>
      <c r="AZ337">
        <v>0</v>
      </c>
      <c r="BA337">
        <v>6.9</v>
      </c>
    </row>
    <row r="338" spans="1:53" hidden="1" x14ac:dyDescent="0.3">
      <c r="A338" t="s">
        <v>313</v>
      </c>
      <c r="C338" t="s">
        <v>251</v>
      </c>
      <c r="D338" t="s">
        <v>81</v>
      </c>
      <c r="E338">
        <v>100000000</v>
      </c>
      <c r="H338">
        <v>1.69</v>
      </c>
      <c r="I338" t="s">
        <v>56</v>
      </c>
      <c r="J338">
        <v>1.6899999999999999E-4</v>
      </c>
      <c r="K338" t="s">
        <v>57</v>
      </c>
      <c r="N338" t="s">
        <v>314</v>
      </c>
      <c r="O338">
        <v>500</v>
      </c>
      <c r="P338" t="s">
        <v>315</v>
      </c>
      <c r="S338" t="s">
        <v>316</v>
      </c>
      <c r="T338">
        <v>25</v>
      </c>
      <c r="U338" t="s">
        <v>120</v>
      </c>
      <c r="V338">
        <v>75</v>
      </c>
      <c r="W338" t="s">
        <v>72</v>
      </c>
      <c r="X338" t="s">
        <v>280</v>
      </c>
      <c r="Y338">
        <v>30</v>
      </c>
      <c r="AB338">
        <v>2.7</v>
      </c>
      <c r="AC338" t="s">
        <v>85</v>
      </c>
      <c r="AD338" t="s">
        <v>98</v>
      </c>
      <c r="AI338" t="s">
        <v>317</v>
      </c>
      <c r="AT338" t="s">
        <v>73</v>
      </c>
      <c r="AV338" t="s">
        <v>88</v>
      </c>
      <c r="AW338">
        <v>500</v>
      </c>
    </row>
    <row r="339" spans="1:53" hidden="1" x14ac:dyDescent="0.3">
      <c r="A339" t="s">
        <v>313</v>
      </c>
      <c r="C339" t="s">
        <v>251</v>
      </c>
      <c r="D339" t="s">
        <v>81</v>
      </c>
      <c r="E339">
        <v>100000000</v>
      </c>
      <c r="H339">
        <v>1.69</v>
      </c>
      <c r="I339" t="s">
        <v>56</v>
      </c>
      <c r="J339">
        <v>1.6899999999999999E-4</v>
      </c>
      <c r="K339" t="s">
        <v>57</v>
      </c>
      <c r="N339" t="s">
        <v>314</v>
      </c>
      <c r="O339">
        <v>500</v>
      </c>
      <c r="P339" t="s">
        <v>315</v>
      </c>
      <c r="S339" t="s">
        <v>316</v>
      </c>
      <c r="T339">
        <v>25</v>
      </c>
      <c r="U339" t="s">
        <v>120</v>
      </c>
      <c r="V339">
        <v>75</v>
      </c>
      <c r="W339" t="s">
        <v>72</v>
      </c>
      <c r="X339" t="s">
        <v>280</v>
      </c>
      <c r="Y339">
        <v>60</v>
      </c>
      <c r="AB339">
        <v>3.5</v>
      </c>
      <c r="AC339" t="s">
        <v>85</v>
      </c>
      <c r="AD339" t="s">
        <v>326</v>
      </c>
      <c r="AI339" t="s">
        <v>317</v>
      </c>
      <c r="AT339" t="s">
        <v>73</v>
      </c>
      <c r="AV339" t="s">
        <v>88</v>
      </c>
      <c r="AW339">
        <v>500</v>
      </c>
    </row>
    <row r="340" spans="1:53" hidden="1" x14ac:dyDescent="0.3">
      <c r="A340" t="s">
        <v>313</v>
      </c>
      <c r="C340" t="s">
        <v>251</v>
      </c>
      <c r="D340" t="s">
        <v>81</v>
      </c>
      <c r="E340">
        <v>100000000</v>
      </c>
      <c r="H340">
        <v>1.69</v>
      </c>
      <c r="I340" t="s">
        <v>56</v>
      </c>
      <c r="J340">
        <v>1.6899999999999999E-4</v>
      </c>
      <c r="K340" t="s">
        <v>57</v>
      </c>
      <c r="N340" t="s">
        <v>314</v>
      </c>
      <c r="O340">
        <v>500</v>
      </c>
      <c r="P340" t="s">
        <v>315</v>
      </c>
      <c r="S340" t="s">
        <v>316</v>
      </c>
      <c r="T340">
        <v>25</v>
      </c>
      <c r="U340" t="s">
        <v>120</v>
      </c>
      <c r="V340">
        <v>75</v>
      </c>
      <c r="W340" t="s">
        <v>72</v>
      </c>
      <c r="X340" t="s">
        <v>280</v>
      </c>
      <c r="Y340">
        <v>180</v>
      </c>
      <c r="AB340">
        <v>5.5</v>
      </c>
      <c r="AC340" t="s">
        <v>85</v>
      </c>
      <c r="AD340" t="s">
        <v>332</v>
      </c>
      <c r="AI340" t="s">
        <v>317</v>
      </c>
      <c r="AT340" t="s">
        <v>73</v>
      </c>
      <c r="AV340" t="s">
        <v>88</v>
      </c>
      <c r="AW340">
        <v>500</v>
      </c>
    </row>
    <row r="341" spans="1:53" hidden="1" x14ac:dyDescent="0.3">
      <c r="A341" t="s">
        <v>313</v>
      </c>
      <c r="C341" t="s">
        <v>251</v>
      </c>
      <c r="D341" t="s">
        <v>81</v>
      </c>
      <c r="E341">
        <v>100000000</v>
      </c>
      <c r="H341">
        <v>1.69</v>
      </c>
      <c r="I341" t="s">
        <v>56</v>
      </c>
      <c r="J341">
        <v>1.6899999999999999E-4</v>
      </c>
      <c r="K341" t="s">
        <v>57</v>
      </c>
      <c r="N341" t="s">
        <v>314</v>
      </c>
      <c r="O341">
        <v>500</v>
      </c>
      <c r="P341" t="s">
        <v>315</v>
      </c>
      <c r="S341" t="s">
        <v>316</v>
      </c>
      <c r="T341">
        <v>25</v>
      </c>
      <c r="U341" t="s">
        <v>120</v>
      </c>
      <c r="V341">
        <v>75</v>
      </c>
      <c r="W341" t="s">
        <v>72</v>
      </c>
      <c r="X341" t="s">
        <v>280</v>
      </c>
      <c r="Y341">
        <v>300</v>
      </c>
      <c r="AA341" t="s">
        <v>184</v>
      </c>
      <c r="AB341">
        <v>6.6</v>
      </c>
      <c r="AC341" t="s">
        <v>85</v>
      </c>
      <c r="AD341" t="s">
        <v>321</v>
      </c>
      <c r="AI341" t="s">
        <v>317</v>
      </c>
      <c r="AT341" t="s">
        <v>73</v>
      </c>
      <c r="AV341" t="s">
        <v>88</v>
      </c>
      <c r="AW341">
        <v>500</v>
      </c>
      <c r="AZ341">
        <v>0</v>
      </c>
      <c r="BA341">
        <v>6.6</v>
      </c>
    </row>
    <row r="342" spans="1:53" hidden="1" x14ac:dyDescent="0.3">
      <c r="A342" t="s">
        <v>313</v>
      </c>
      <c r="C342" t="s">
        <v>251</v>
      </c>
      <c r="D342" t="s">
        <v>81</v>
      </c>
      <c r="E342">
        <v>100000000</v>
      </c>
      <c r="H342">
        <v>1.69</v>
      </c>
      <c r="I342" t="s">
        <v>56</v>
      </c>
      <c r="J342">
        <v>1.6899999999999999E-4</v>
      </c>
      <c r="K342" t="s">
        <v>57</v>
      </c>
      <c r="N342" t="s">
        <v>314</v>
      </c>
      <c r="O342">
        <v>500</v>
      </c>
      <c r="P342" t="s">
        <v>315</v>
      </c>
      <c r="S342" t="s">
        <v>316</v>
      </c>
      <c r="T342">
        <v>25</v>
      </c>
      <c r="U342" t="s">
        <v>120</v>
      </c>
      <c r="V342">
        <v>75</v>
      </c>
      <c r="W342" t="s">
        <v>72</v>
      </c>
      <c r="X342" t="s">
        <v>280</v>
      </c>
      <c r="Y342">
        <v>600</v>
      </c>
      <c r="AA342" t="s">
        <v>184</v>
      </c>
      <c r="AB342">
        <v>6.6</v>
      </c>
      <c r="AC342" t="s">
        <v>85</v>
      </c>
      <c r="AD342" t="s">
        <v>321</v>
      </c>
      <c r="AI342" t="s">
        <v>317</v>
      </c>
      <c r="AT342" t="s">
        <v>73</v>
      </c>
      <c r="AV342" t="s">
        <v>88</v>
      </c>
      <c r="AW342">
        <v>500</v>
      </c>
      <c r="AZ342">
        <v>0</v>
      </c>
      <c r="BA342">
        <v>6.6</v>
      </c>
    </row>
    <row r="343" spans="1:53" hidden="1" x14ac:dyDescent="0.3">
      <c r="A343" t="s">
        <v>313</v>
      </c>
      <c r="C343" t="s">
        <v>251</v>
      </c>
      <c r="D343" t="s">
        <v>81</v>
      </c>
      <c r="E343">
        <v>100000000</v>
      </c>
      <c r="H343">
        <v>1.69</v>
      </c>
      <c r="I343" t="s">
        <v>56</v>
      </c>
      <c r="J343">
        <v>1.6899999999999999E-4</v>
      </c>
      <c r="K343" t="s">
        <v>57</v>
      </c>
      <c r="N343" t="s">
        <v>314</v>
      </c>
      <c r="O343">
        <v>500</v>
      </c>
      <c r="P343" t="s">
        <v>315</v>
      </c>
      <c r="S343" t="s">
        <v>316</v>
      </c>
      <c r="T343">
        <v>25</v>
      </c>
      <c r="U343" t="s">
        <v>120</v>
      </c>
      <c r="V343">
        <v>75</v>
      </c>
      <c r="W343" t="s">
        <v>323</v>
      </c>
      <c r="X343" t="s">
        <v>280</v>
      </c>
      <c r="Y343">
        <v>30</v>
      </c>
      <c r="AB343">
        <v>2.7</v>
      </c>
      <c r="AC343" t="s">
        <v>85</v>
      </c>
      <c r="AD343" t="s">
        <v>98</v>
      </c>
      <c r="AI343" t="s">
        <v>317</v>
      </c>
      <c r="AT343" t="s">
        <v>318</v>
      </c>
      <c r="AV343" t="s">
        <v>88</v>
      </c>
      <c r="AW343">
        <v>500</v>
      </c>
    </row>
    <row r="344" spans="1:53" hidden="1" x14ac:dyDescent="0.3">
      <c r="A344" t="s">
        <v>313</v>
      </c>
      <c r="C344" t="s">
        <v>251</v>
      </c>
      <c r="D344" t="s">
        <v>81</v>
      </c>
      <c r="E344">
        <v>100000000</v>
      </c>
      <c r="H344">
        <v>1.69</v>
      </c>
      <c r="I344" t="s">
        <v>56</v>
      </c>
      <c r="J344">
        <v>1.6899999999999999E-4</v>
      </c>
      <c r="K344" t="s">
        <v>57</v>
      </c>
      <c r="N344" t="s">
        <v>314</v>
      </c>
      <c r="O344">
        <v>500</v>
      </c>
      <c r="P344" t="s">
        <v>315</v>
      </c>
      <c r="S344" t="s">
        <v>316</v>
      </c>
      <c r="T344">
        <v>25</v>
      </c>
      <c r="U344" t="s">
        <v>120</v>
      </c>
      <c r="V344">
        <v>75</v>
      </c>
      <c r="W344" t="s">
        <v>323</v>
      </c>
      <c r="X344" t="s">
        <v>280</v>
      </c>
      <c r="Y344">
        <v>60</v>
      </c>
      <c r="AB344">
        <v>5.7</v>
      </c>
      <c r="AC344" t="s">
        <v>85</v>
      </c>
      <c r="AD344" t="s">
        <v>327</v>
      </c>
      <c r="AI344" t="s">
        <v>317</v>
      </c>
      <c r="AT344" t="s">
        <v>318</v>
      </c>
      <c r="AV344" t="s">
        <v>88</v>
      </c>
      <c r="AW344">
        <v>500</v>
      </c>
    </row>
    <row r="345" spans="1:53" hidden="1" x14ac:dyDescent="0.3">
      <c r="A345" t="s">
        <v>313</v>
      </c>
      <c r="C345" t="s">
        <v>251</v>
      </c>
      <c r="D345" t="s">
        <v>81</v>
      </c>
      <c r="E345">
        <v>100000000</v>
      </c>
      <c r="H345">
        <v>1.69</v>
      </c>
      <c r="I345" t="s">
        <v>56</v>
      </c>
      <c r="J345">
        <v>1.6899999999999999E-4</v>
      </c>
      <c r="K345" t="s">
        <v>57</v>
      </c>
      <c r="N345" t="s">
        <v>314</v>
      </c>
      <c r="O345">
        <v>500</v>
      </c>
      <c r="P345" t="s">
        <v>315</v>
      </c>
      <c r="S345" t="s">
        <v>316</v>
      </c>
      <c r="T345">
        <v>25</v>
      </c>
      <c r="U345" t="s">
        <v>120</v>
      </c>
      <c r="V345">
        <v>75</v>
      </c>
      <c r="W345" t="s">
        <v>323</v>
      </c>
      <c r="X345" t="s">
        <v>280</v>
      </c>
      <c r="Y345">
        <v>180</v>
      </c>
      <c r="AB345">
        <v>6.9</v>
      </c>
      <c r="AC345" t="s">
        <v>85</v>
      </c>
      <c r="AD345" t="s">
        <v>325</v>
      </c>
      <c r="AI345" t="s">
        <v>317</v>
      </c>
      <c r="AT345" t="s">
        <v>318</v>
      </c>
      <c r="AV345" t="s">
        <v>88</v>
      </c>
      <c r="AW345">
        <v>500</v>
      </c>
    </row>
    <row r="346" spans="1:53" hidden="1" x14ac:dyDescent="0.3">
      <c r="A346" t="s">
        <v>313</v>
      </c>
      <c r="C346" t="s">
        <v>251</v>
      </c>
      <c r="D346" t="s">
        <v>81</v>
      </c>
      <c r="E346">
        <v>100000000</v>
      </c>
      <c r="H346">
        <v>1.69</v>
      </c>
      <c r="I346" t="s">
        <v>56</v>
      </c>
      <c r="J346">
        <v>1.6899999999999999E-4</v>
      </c>
      <c r="K346" t="s">
        <v>57</v>
      </c>
      <c r="N346" t="s">
        <v>314</v>
      </c>
      <c r="O346">
        <v>500</v>
      </c>
      <c r="P346" t="s">
        <v>315</v>
      </c>
      <c r="S346" t="s">
        <v>316</v>
      </c>
      <c r="T346">
        <v>25</v>
      </c>
      <c r="U346" t="s">
        <v>120</v>
      </c>
      <c r="V346">
        <v>75</v>
      </c>
      <c r="W346" t="s">
        <v>323</v>
      </c>
      <c r="X346" t="s">
        <v>280</v>
      </c>
      <c r="Y346">
        <v>300</v>
      </c>
      <c r="AA346" t="s">
        <v>184</v>
      </c>
      <c r="AB346">
        <v>7.2</v>
      </c>
      <c r="AC346" t="s">
        <v>85</v>
      </c>
      <c r="AD346" t="s">
        <v>314</v>
      </c>
      <c r="AI346" t="s">
        <v>317</v>
      </c>
      <c r="AT346" t="s">
        <v>318</v>
      </c>
      <c r="AV346" t="s">
        <v>88</v>
      </c>
      <c r="AW346">
        <v>500</v>
      </c>
      <c r="AZ346">
        <v>0</v>
      </c>
      <c r="BA346">
        <v>7.2</v>
      </c>
    </row>
    <row r="347" spans="1:53" hidden="1" x14ac:dyDescent="0.3">
      <c r="A347" t="s">
        <v>313</v>
      </c>
      <c r="C347" t="s">
        <v>251</v>
      </c>
      <c r="D347" t="s">
        <v>81</v>
      </c>
      <c r="E347">
        <v>1800000</v>
      </c>
      <c r="H347">
        <v>1.69</v>
      </c>
      <c r="I347" t="s">
        <v>56</v>
      </c>
      <c r="J347">
        <v>1.6899999999999999E-4</v>
      </c>
      <c r="K347" t="s">
        <v>57</v>
      </c>
      <c r="N347" t="s">
        <v>314</v>
      </c>
      <c r="O347">
        <v>500</v>
      </c>
      <c r="P347" t="s">
        <v>315</v>
      </c>
      <c r="S347" t="s">
        <v>316</v>
      </c>
      <c r="T347">
        <v>25</v>
      </c>
      <c r="U347" t="s">
        <v>120</v>
      </c>
      <c r="V347">
        <v>75</v>
      </c>
      <c r="W347" t="s">
        <v>323</v>
      </c>
      <c r="X347" t="s">
        <v>280</v>
      </c>
      <c r="Y347">
        <v>600</v>
      </c>
      <c r="AA347" t="s">
        <v>184</v>
      </c>
      <c r="AB347">
        <v>7.2</v>
      </c>
      <c r="AC347" t="s">
        <v>85</v>
      </c>
      <c r="AD347" t="s">
        <v>314</v>
      </c>
      <c r="AI347" t="s">
        <v>317</v>
      </c>
      <c r="AT347" t="s">
        <v>318</v>
      </c>
      <c r="AV347" t="s">
        <v>88</v>
      </c>
      <c r="AW347">
        <v>500</v>
      </c>
      <c r="AZ347">
        <v>0</v>
      </c>
      <c r="BA347">
        <v>7.2</v>
      </c>
    </row>
    <row r="348" spans="1:53" hidden="1" x14ac:dyDescent="0.3">
      <c r="A348" t="s">
        <v>313</v>
      </c>
      <c r="C348" t="s">
        <v>251</v>
      </c>
      <c r="D348" t="s">
        <v>81</v>
      </c>
      <c r="E348">
        <v>2600000</v>
      </c>
      <c r="H348">
        <v>1.69</v>
      </c>
      <c r="I348" t="s">
        <v>56</v>
      </c>
      <c r="J348">
        <v>1.6899999999999999E-4</v>
      </c>
      <c r="K348" t="s">
        <v>57</v>
      </c>
      <c r="N348" t="s">
        <v>314</v>
      </c>
      <c r="O348">
        <v>500</v>
      </c>
      <c r="P348" t="s">
        <v>315</v>
      </c>
      <c r="S348" t="s">
        <v>316</v>
      </c>
      <c r="T348">
        <v>25</v>
      </c>
      <c r="U348" t="s">
        <v>120</v>
      </c>
      <c r="V348">
        <v>75</v>
      </c>
      <c r="W348" t="s">
        <v>323</v>
      </c>
      <c r="X348" t="s">
        <v>280</v>
      </c>
      <c r="Y348">
        <v>30</v>
      </c>
      <c r="AB348">
        <v>2.5</v>
      </c>
      <c r="AC348" t="s">
        <v>85</v>
      </c>
      <c r="AD348" t="s">
        <v>98</v>
      </c>
      <c r="AI348" t="s">
        <v>317</v>
      </c>
      <c r="AT348" t="s">
        <v>318</v>
      </c>
      <c r="AV348" t="s">
        <v>88</v>
      </c>
      <c r="AW348">
        <v>500</v>
      </c>
    </row>
    <row r="349" spans="1:53" hidden="1" x14ac:dyDescent="0.3">
      <c r="A349" t="s">
        <v>313</v>
      </c>
      <c r="C349" t="s">
        <v>251</v>
      </c>
      <c r="D349" t="s">
        <v>81</v>
      </c>
      <c r="E349">
        <v>1800000</v>
      </c>
      <c r="H349">
        <v>1.69</v>
      </c>
      <c r="I349" t="s">
        <v>56</v>
      </c>
      <c r="J349">
        <v>1.6899999999999999E-4</v>
      </c>
      <c r="K349" t="s">
        <v>57</v>
      </c>
      <c r="N349" t="s">
        <v>314</v>
      </c>
      <c r="O349">
        <v>500</v>
      </c>
      <c r="P349" t="s">
        <v>315</v>
      </c>
      <c r="S349" t="s">
        <v>316</v>
      </c>
      <c r="T349">
        <v>25</v>
      </c>
      <c r="U349" t="s">
        <v>120</v>
      </c>
      <c r="V349">
        <v>75</v>
      </c>
      <c r="W349" t="s">
        <v>323</v>
      </c>
      <c r="X349" t="s">
        <v>280</v>
      </c>
      <c r="Y349">
        <v>60</v>
      </c>
      <c r="AB349">
        <v>4.5</v>
      </c>
      <c r="AC349" t="s">
        <v>85</v>
      </c>
      <c r="AD349" t="s">
        <v>334</v>
      </c>
      <c r="AI349" t="s">
        <v>317</v>
      </c>
      <c r="AT349" t="s">
        <v>318</v>
      </c>
      <c r="AV349" t="s">
        <v>88</v>
      </c>
      <c r="AW349">
        <v>500</v>
      </c>
    </row>
    <row r="350" spans="1:53" hidden="1" x14ac:dyDescent="0.3">
      <c r="A350" t="s">
        <v>313</v>
      </c>
      <c r="C350" t="s">
        <v>251</v>
      </c>
      <c r="D350" t="s">
        <v>81</v>
      </c>
      <c r="E350">
        <v>2100000</v>
      </c>
      <c r="H350">
        <v>1.69</v>
      </c>
      <c r="I350" t="s">
        <v>56</v>
      </c>
      <c r="J350">
        <v>1.6899999999999999E-4</v>
      </c>
      <c r="K350" t="s">
        <v>57</v>
      </c>
      <c r="N350" t="s">
        <v>314</v>
      </c>
      <c r="O350">
        <v>500</v>
      </c>
      <c r="P350" t="s">
        <v>315</v>
      </c>
      <c r="S350" t="s">
        <v>316</v>
      </c>
      <c r="T350">
        <v>25</v>
      </c>
      <c r="U350" t="s">
        <v>120</v>
      </c>
      <c r="V350">
        <v>75</v>
      </c>
      <c r="W350" t="s">
        <v>323</v>
      </c>
      <c r="X350" t="s">
        <v>280</v>
      </c>
      <c r="Y350">
        <v>180</v>
      </c>
      <c r="AB350">
        <v>6.8</v>
      </c>
      <c r="AC350" t="s">
        <v>85</v>
      </c>
      <c r="AD350" t="s">
        <v>98</v>
      </c>
      <c r="AI350" t="s">
        <v>317</v>
      </c>
      <c r="AT350" t="s">
        <v>318</v>
      </c>
      <c r="AV350" t="s">
        <v>88</v>
      </c>
      <c r="AW350">
        <v>500</v>
      </c>
    </row>
    <row r="351" spans="1:53" hidden="1" x14ac:dyDescent="0.3">
      <c r="A351" t="s">
        <v>313</v>
      </c>
      <c r="C351" t="s">
        <v>251</v>
      </c>
      <c r="D351" t="s">
        <v>81</v>
      </c>
      <c r="E351">
        <v>2100000</v>
      </c>
      <c r="H351">
        <v>1.69</v>
      </c>
      <c r="I351" t="s">
        <v>56</v>
      </c>
      <c r="J351">
        <v>1.6899999999999999E-4</v>
      </c>
      <c r="K351" t="s">
        <v>57</v>
      </c>
      <c r="N351" t="s">
        <v>314</v>
      </c>
      <c r="O351">
        <v>500</v>
      </c>
      <c r="P351" t="s">
        <v>315</v>
      </c>
      <c r="S351" t="s">
        <v>316</v>
      </c>
      <c r="T351">
        <v>25</v>
      </c>
      <c r="U351" t="s">
        <v>120</v>
      </c>
      <c r="V351">
        <v>75</v>
      </c>
      <c r="W351" t="s">
        <v>323</v>
      </c>
      <c r="X351" t="s">
        <v>280</v>
      </c>
      <c r="Y351">
        <v>300</v>
      </c>
      <c r="AB351">
        <v>6.8</v>
      </c>
      <c r="AC351" t="s">
        <v>85</v>
      </c>
      <c r="AD351" t="s">
        <v>325</v>
      </c>
      <c r="AI351" t="s">
        <v>317</v>
      </c>
      <c r="AT351" t="s">
        <v>318</v>
      </c>
      <c r="AV351" t="s">
        <v>88</v>
      </c>
      <c r="AW351">
        <v>500</v>
      </c>
    </row>
    <row r="352" spans="1:53" hidden="1" x14ac:dyDescent="0.3">
      <c r="A352" t="s">
        <v>313</v>
      </c>
      <c r="C352" t="s">
        <v>251</v>
      </c>
      <c r="D352" t="s">
        <v>81</v>
      </c>
      <c r="E352">
        <v>2100000</v>
      </c>
      <c r="H352">
        <v>1.69</v>
      </c>
      <c r="I352" t="s">
        <v>56</v>
      </c>
      <c r="J352">
        <v>1.6899999999999999E-4</v>
      </c>
      <c r="K352" t="s">
        <v>57</v>
      </c>
      <c r="N352" t="s">
        <v>314</v>
      </c>
      <c r="O352">
        <v>500</v>
      </c>
      <c r="P352" t="s">
        <v>315</v>
      </c>
      <c r="S352" t="s">
        <v>316</v>
      </c>
      <c r="T352">
        <v>25</v>
      </c>
      <c r="U352" t="s">
        <v>120</v>
      </c>
      <c r="V352">
        <v>75</v>
      </c>
      <c r="W352" t="s">
        <v>323</v>
      </c>
      <c r="X352" t="s">
        <v>280</v>
      </c>
      <c r="Y352">
        <v>600</v>
      </c>
      <c r="AA352" t="s">
        <v>184</v>
      </c>
      <c r="AB352">
        <v>7</v>
      </c>
      <c r="AC352" t="s">
        <v>85</v>
      </c>
      <c r="AD352" t="s">
        <v>314</v>
      </c>
      <c r="AI352" t="s">
        <v>317</v>
      </c>
      <c r="AT352" t="s">
        <v>318</v>
      </c>
      <c r="AV352" t="s">
        <v>88</v>
      </c>
      <c r="AW352">
        <v>500</v>
      </c>
      <c r="AZ352">
        <v>0</v>
      </c>
      <c r="BA352">
        <v>7</v>
      </c>
    </row>
    <row r="353" spans="1:49" hidden="1" x14ac:dyDescent="0.3">
      <c r="A353" t="s">
        <v>313</v>
      </c>
      <c r="C353" t="s">
        <v>251</v>
      </c>
      <c r="D353" t="s">
        <v>81</v>
      </c>
      <c r="E353">
        <v>2100000</v>
      </c>
      <c r="H353">
        <v>1.69</v>
      </c>
      <c r="I353" t="s">
        <v>56</v>
      </c>
      <c r="J353">
        <v>1.6899999999999999E-4</v>
      </c>
      <c r="K353" t="s">
        <v>57</v>
      </c>
      <c r="N353" t="s">
        <v>314</v>
      </c>
      <c r="O353">
        <v>500</v>
      </c>
      <c r="P353" t="s">
        <v>315</v>
      </c>
      <c r="S353" t="s">
        <v>316</v>
      </c>
      <c r="T353">
        <v>25</v>
      </c>
      <c r="U353" t="s">
        <v>120</v>
      </c>
      <c r="V353">
        <v>75</v>
      </c>
      <c r="W353" t="s">
        <v>337</v>
      </c>
      <c r="X353" t="s">
        <v>280</v>
      </c>
      <c r="Y353">
        <v>30</v>
      </c>
      <c r="AB353">
        <v>2</v>
      </c>
      <c r="AC353" t="s">
        <v>85</v>
      </c>
      <c r="AD353" t="s">
        <v>324</v>
      </c>
      <c r="AI353" t="s">
        <v>317</v>
      </c>
      <c r="AT353" t="s">
        <v>77</v>
      </c>
      <c r="AV353" t="s">
        <v>88</v>
      </c>
      <c r="AW353">
        <v>500</v>
      </c>
    </row>
    <row r="354" spans="1:49" hidden="1" x14ac:dyDescent="0.3">
      <c r="A354" t="s">
        <v>313</v>
      </c>
      <c r="C354" t="s">
        <v>251</v>
      </c>
      <c r="D354" t="s">
        <v>81</v>
      </c>
      <c r="E354">
        <v>2100000</v>
      </c>
      <c r="H354">
        <v>1.69</v>
      </c>
      <c r="I354" t="s">
        <v>56</v>
      </c>
      <c r="J354">
        <v>1.6899999999999999E-4</v>
      </c>
      <c r="K354" t="s">
        <v>57</v>
      </c>
      <c r="N354" t="s">
        <v>314</v>
      </c>
      <c r="O354">
        <v>500</v>
      </c>
      <c r="P354" t="s">
        <v>315</v>
      </c>
      <c r="S354" t="s">
        <v>316</v>
      </c>
      <c r="T354">
        <v>25</v>
      </c>
      <c r="U354" t="s">
        <v>120</v>
      </c>
      <c r="V354">
        <v>75</v>
      </c>
      <c r="W354" t="s">
        <v>337</v>
      </c>
      <c r="X354" t="s">
        <v>280</v>
      </c>
      <c r="Y354">
        <v>60</v>
      </c>
      <c r="AB354">
        <v>2.4</v>
      </c>
      <c r="AC354" t="s">
        <v>85</v>
      </c>
      <c r="AD354" t="s">
        <v>322</v>
      </c>
      <c r="AI354" t="s">
        <v>317</v>
      </c>
      <c r="AT354" t="s">
        <v>77</v>
      </c>
      <c r="AV354" t="s">
        <v>88</v>
      </c>
      <c r="AW354">
        <v>500</v>
      </c>
    </row>
    <row r="355" spans="1:49" hidden="1" x14ac:dyDescent="0.3">
      <c r="A355" t="s">
        <v>313</v>
      </c>
      <c r="C355" t="s">
        <v>251</v>
      </c>
      <c r="D355" t="s">
        <v>81</v>
      </c>
      <c r="E355">
        <v>2100000</v>
      </c>
      <c r="H355">
        <v>1.69</v>
      </c>
      <c r="I355" t="s">
        <v>56</v>
      </c>
      <c r="J355">
        <v>1.6899999999999999E-4</v>
      </c>
      <c r="K355" t="s">
        <v>57</v>
      </c>
      <c r="N355" t="s">
        <v>314</v>
      </c>
      <c r="O355">
        <v>500</v>
      </c>
      <c r="P355" t="s">
        <v>315</v>
      </c>
      <c r="S355" t="s">
        <v>316</v>
      </c>
      <c r="T355">
        <v>25</v>
      </c>
      <c r="U355" t="s">
        <v>120</v>
      </c>
      <c r="V355">
        <v>75</v>
      </c>
      <c r="W355" t="s">
        <v>337</v>
      </c>
      <c r="X355" t="s">
        <v>280</v>
      </c>
      <c r="Y355">
        <v>180</v>
      </c>
      <c r="AB355">
        <v>4.0999999999999899</v>
      </c>
      <c r="AC355" t="s">
        <v>85</v>
      </c>
      <c r="AD355" t="s">
        <v>338</v>
      </c>
      <c r="AI355" t="s">
        <v>317</v>
      </c>
      <c r="AT355" t="s">
        <v>77</v>
      </c>
      <c r="AV355" t="s">
        <v>88</v>
      </c>
      <c r="AW355">
        <v>500</v>
      </c>
    </row>
    <row r="356" spans="1:49" hidden="1" x14ac:dyDescent="0.3">
      <c r="A356" t="s">
        <v>313</v>
      </c>
      <c r="C356" t="s">
        <v>251</v>
      </c>
      <c r="D356" t="s">
        <v>81</v>
      </c>
      <c r="E356">
        <v>2100000</v>
      </c>
      <c r="H356">
        <v>1.69</v>
      </c>
      <c r="I356" t="s">
        <v>56</v>
      </c>
      <c r="J356">
        <v>1.6899999999999999E-4</v>
      </c>
      <c r="K356" t="s">
        <v>57</v>
      </c>
      <c r="N356" t="s">
        <v>314</v>
      </c>
      <c r="O356">
        <v>500</v>
      </c>
      <c r="P356" t="s">
        <v>315</v>
      </c>
      <c r="S356" t="s">
        <v>316</v>
      </c>
      <c r="T356">
        <v>25</v>
      </c>
      <c r="U356" t="s">
        <v>120</v>
      </c>
      <c r="V356">
        <v>75</v>
      </c>
      <c r="W356" t="s">
        <v>337</v>
      </c>
      <c r="X356" t="s">
        <v>280</v>
      </c>
      <c r="Y356">
        <v>300</v>
      </c>
      <c r="AB356">
        <v>4.4000000000000004</v>
      </c>
      <c r="AC356" t="s">
        <v>85</v>
      </c>
      <c r="AD356" t="s">
        <v>339</v>
      </c>
      <c r="AI356" t="s">
        <v>317</v>
      </c>
      <c r="AT356" t="s">
        <v>77</v>
      </c>
      <c r="AV356" t="s">
        <v>88</v>
      </c>
      <c r="AW356">
        <v>500</v>
      </c>
    </row>
    <row r="357" spans="1:49" hidden="1" x14ac:dyDescent="0.3">
      <c r="A357" t="s">
        <v>313</v>
      </c>
      <c r="C357" t="s">
        <v>251</v>
      </c>
      <c r="D357" t="s">
        <v>81</v>
      </c>
      <c r="E357">
        <v>2100000</v>
      </c>
      <c r="H357">
        <v>1.69</v>
      </c>
      <c r="I357" t="s">
        <v>56</v>
      </c>
      <c r="J357">
        <v>1.6899999999999999E-4</v>
      </c>
      <c r="K357" t="s">
        <v>57</v>
      </c>
      <c r="N357" t="s">
        <v>314</v>
      </c>
      <c r="O357">
        <v>500</v>
      </c>
      <c r="P357" t="s">
        <v>315</v>
      </c>
      <c r="S357" t="s">
        <v>316</v>
      </c>
      <c r="T357">
        <v>25</v>
      </c>
      <c r="U357" t="s">
        <v>120</v>
      </c>
      <c r="V357">
        <v>75</v>
      </c>
      <c r="W357" t="s">
        <v>337</v>
      </c>
      <c r="X357" t="s">
        <v>280</v>
      </c>
      <c r="Y357">
        <v>600</v>
      </c>
      <c r="AB357">
        <v>4.2</v>
      </c>
      <c r="AC357" t="s">
        <v>85</v>
      </c>
      <c r="AD357" t="s">
        <v>330</v>
      </c>
      <c r="AI357" t="s">
        <v>317</v>
      </c>
      <c r="AT357" t="s">
        <v>77</v>
      </c>
      <c r="AV357" t="s">
        <v>88</v>
      </c>
      <c r="AW357">
        <v>500</v>
      </c>
    </row>
    <row r="358" spans="1:49" hidden="1" x14ac:dyDescent="0.3">
      <c r="A358" t="s">
        <v>313</v>
      </c>
      <c r="C358" t="s">
        <v>251</v>
      </c>
      <c r="D358" t="s">
        <v>81</v>
      </c>
      <c r="E358">
        <v>2100000</v>
      </c>
      <c r="H358">
        <v>1.69</v>
      </c>
      <c r="I358" t="s">
        <v>56</v>
      </c>
      <c r="J358">
        <v>1.6899999999999999E-4</v>
      </c>
      <c r="K358" t="s">
        <v>57</v>
      </c>
      <c r="N358" t="s">
        <v>314</v>
      </c>
      <c r="O358">
        <v>500</v>
      </c>
      <c r="P358" t="s">
        <v>315</v>
      </c>
      <c r="S358" t="s">
        <v>316</v>
      </c>
      <c r="T358">
        <v>25</v>
      </c>
      <c r="U358" t="s">
        <v>120</v>
      </c>
      <c r="V358">
        <v>75</v>
      </c>
      <c r="W358" t="s">
        <v>337</v>
      </c>
      <c r="X358" t="s">
        <v>280</v>
      </c>
      <c r="Y358">
        <v>30</v>
      </c>
      <c r="AB358">
        <v>1.5</v>
      </c>
      <c r="AC358" t="s">
        <v>85</v>
      </c>
      <c r="AD358" t="s">
        <v>334</v>
      </c>
      <c r="AI358" t="s">
        <v>317</v>
      </c>
      <c r="AT358" t="s">
        <v>77</v>
      </c>
      <c r="AV358" t="s">
        <v>88</v>
      </c>
      <c r="AW358">
        <v>500</v>
      </c>
    </row>
    <row r="359" spans="1:49" hidden="1" x14ac:dyDescent="0.3">
      <c r="A359" t="s">
        <v>313</v>
      </c>
      <c r="C359" t="s">
        <v>251</v>
      </c>
      <c r="D359" t="s">
        <v>81</v>
      </c>
      <c r="E359">
        <v>2100000</v>
      </c>
      <c r="H359">
        <v>1.69</v>
      </c>
      <c r="I359" t="s">
        <v>56</v>
      </c>
      <c r="J359">
        <v>1.6899999999999999E-4</v>
      </c>
      <c r="K359" t="s">
        <v>57</v>
      </c>
      <c r="N359" t="s">
        <v>314</v>
      </c>
      <c r="O359">
        <v>500</v>
      </c>
      <c r="P359" t="s">
        <v>315</v>
      </c>
      <c r="S359" t="s">
        <v>316</v>
      </c>
      <c r="T359">
        <v>25</v>
      </c>
      <c r="U359" t="s">
        <v>120</v>
      </c>
      <c r="V359">
        <v>75</v>
      </c>
      <c r="W359" t="s">
        <v>337</v>
      </c>
      <c r="X359" t="s">
        <v>280</v>
      </c>
      <c r="Y359">
        <v>60</v>
      </c>
      <c r="AB359">
        <v>1.9</v>
      </c>
      <c r="AC359" t="s">
        <v>85</v>
      </c>
      <c r="AD359" t="s">
        <v>331</v>
      </c>
      <c r="AI359" t="s">
        <v>317</v>
      </c>
      <c r="AT359" t="s">
        <v>77</v>
      </c>
      <c r="AV359" t="s">
        <v>88</v>
      </c>
      <c r="AW359">
        <v>500</v>
      </c>
    </row>
    <row r="360" spans="1:49" hidden="1" x14ac:dyDescent="0.3">
      <c r="A360" t="s">
        <v>313</v>
      </c>
      <c r="C360" t="s">
        <v>251</v>
      </c>
      <c r="D360" t="s">
        <v>81</v>
      </c>
      <c r="E360">
        <v>2100000</v>
      </c>
      <c r="H360">
        <v>1.69</v>
      </c>
      <c r="I360" t="s">
        <v>56</v>
      </c>
      <c r="J360">
        <v>1.6899999999999999E-4</v>
      </c>
      <c r="K360" t="s">
        <v>57</v>
      </c>
      <c r="N360" t="s">
        <v>314</v>
      </c>
      <c r="O360">
        <v>500</v>
      </c>
      <c r="P360" t="s">
        <v>315</v>
      </c>
      <c r="S360" t="s">
        <v>316</v>
      </c>
      <c r="T360">
        <v>25</v>
      </c>
      <c r="U360" t="s">
        <v>120</v>
      </c>
      <c r="V360">
        <v>75</v>
      </c>
      <c r="W360" t="s">
        <v>337</v>
      </c>
      <c r="X360" t="s">
        <v>280</v>
      </c>
      <c r="Y360">
        <v>180</v>
      </c>
      <c r="AB360">
        <v>4.2</v>
      </c>
      <c r="AC360" t="s">
        <v>85</v>
      </c>
      <c r="AD360" t="s">
        <v>338</v>
      </c>
      <c r="AI360" t="s">
        <v>317</v>
      </c>
      <c r="AT360" t="s">
        <v>77</v>
      </c>
      <c r="AV360" t="s">
        <v>88</v>
      </c>
      <c r="AW360">
        <v>500</v>
      </c>
    </row>
    <row r="361" spans="1:49" hidden="1" x14ac:dyDescent="0.3">
      <c r="A361" t="s">
        <v>313</v>
      </c>
      <c r="C361" t="s">
        <v>251</v>
      </c>
      <c r="D361" t="s">
        <v>81</v>
      </c>
      <c r="E361">
        <v>2100000</v>
      </c>
      <c r="H361">
        <v>1.69</v>
      </c>
      <c r="I361" t="s">
        <v>56</v>
      </c>
      <c r="J361">
        <v>1.6899999999999999E-4</v>
      </c>
      <c r="K361" t="s">
        <v>57</v>
      </c>
      <c r="N361" t="s">
        <v>314</v>
      </c>
      <c r="O361">
        <v>500</v>
      </c>
      <c r="P361" t="s">
        <v>315</v>
      </c>
      <c r="S361" t="s">
        <v>316</v>
      </c>
      <c r="T361">
        <v>25</v>
      </c>
      <c r="U361" t="s">
        <v>120</v>
      </c>
      <c r="V361">
        <v>75</v>
      </c>
      <c r="W361" t="s">
        <v>337</v>
      </c>
      <c r="X361" t="s">
        <v>280</v>
      </c>
      <c r="Y361">
        <v>300</v>
      </c>
      <c r="AB361">
        <v>4.0999999999999899</v>
      </c>
      <c r="AC361" t="s">
        <v>85</v>
      </c>
      <c r="AD361" t="s">
        <v>322</v>
      </c>
      <c r="AI361" t="s">
        <v>317</v>
      </c>
      <c r="AT361" t="s">
        <v>77</v>
      </c>
      <c r="AV361" t="s">
        <v>88</v>
      </c>
      <c r="AW361">
        <v>500</v>
      </c>
    </row>
    <row r="362" spans="1:49" hidden="1" x14ac:dyDescent="0.3">
      <c r="A362" t="s">
        <v>313</v>
      </c>
      <c r="C362" t="s">
        <v>251</v>
      </c>
      <c r="D362" t="s">
        <v>81</v>
      </c>
      <c r="E362">
        <v>2100000</v>
      </c>
      <c r="H362">
        <v>1.69</v>
      </c>
      <c r="I362" t="s">
        <v>56</v>
      </c>
      <c r="J362">
        <v>1.6899999999999999E-4</v>
      </c>
      <c r="K362" t="s">
        <v>57</v>
      </c>
      <c r="N362" t="s">
        <v>314</v>
      </c>
      <c r="O362">
        <v>500</v>
      </c>
      <c r="P362" t="s">
        <v>315</v>
      </c>
      <c r="S362" t="s">
        <v>316</v>
      </c>
      <c r="T362">
        <v>25</v>
      </c>
      <c r="U362" t="s">
        <v>120</v>
      </c>
      <c r="V362">
        <v>75</v>
      </c>
      <c r="W362" t="s">
        <v>337</v>
      </c>
      <c r="X362" t="s">
        <v>280</v>
      </c>
      <c r="Y362">
        <v>600</v>
      </c>
      <c r="AB362">
        <v>5.3</v>
      </c>
      <c r="AC362" t="s">
        <v>85</v>
      </c>
      <c r="AD362" t="s">
        <v>336</v>
      </c>
      <c r="AI362" t="s">
        <v>317</v>
      </c>
      <c r="AT362" t="s">
        <v>77</v>
      </c>
      <c r="AV362" t="s">
        <v>88</v>
      </c>
      <c r="AW362">
        <v>500</v>
      </c>
    </row>
    <row r="363" spans="1:49" hidden="1" x14ac:dyDescent="0.3">
      <c r="A363" t="s">
        <v>313</v>
      </c>
      <c r="C363" t="s">
        <v>251</v>
      </c>
      <c r="D363" t="s">
        <v>81</v>
      </c>
      <c r="E363">
        <v>2100000</v>
      </c>
      <c r="H363">
        <v>1.69</v>
      </c>
      <c r="I363" t="s">
        <v>56</v>
      </c>
      <c r="J363">
        <v>1.6899999999999999E-4</v>
      </c>
      <c r="K363" t="s">
        <v>57</v>
      </c>
      <c r="N363" t="s">
        <v>314</v>
      </c>
      <c r="O363">
        <v>500</v>
      </c>
      <c r="P363" t="s">
        <v>315</v>
      </c>
      <c r="S363" t="s">
        <v>316</v>
      </c>
      <c r="T363">
        <v>25</v>
      </c>
      <c r="U363" t="s">
        <v>120</v>
      </c>
      <c r="V363">
        <v>75</v>
      </c>
      <c r="W363" t="s">
        <v>320</v>
      </c>
      <c r="X363" t="s">
        <v>280</v>
      </c>
      <c r="Y363">
        <v>30</v>
      </c>
      <c r="AB363">
        <v>2.4</v>
      </c>
      <c r="AC363" t="s">
        <v>85</v>
      </c>
      <c r="AD363" t="s">
        <v>327</v>
      </c>
      <c r="AI363" t="s">
        <v>317</v>
      </c>
      <c r="AV363" t="s">
        <v>88</v>
      </c>
      <c r="AW363">
        <v>500</v>
      </c>
    </row>
    <row r="364" spans="1:49" hidden="1" x14ac:dyDescent="0.3">
      <c r="A364" t="s">
        <v>313</v>
      </c>
      <c r="C364" t="s">
        <v>251</v>
      </c>
      <c r="D364" t="s">
        <v>81</v>
      </c>
      <c r="E364">
        <v>2100000</v>
      </c>
      <c r="H364">
        <v>1.69</v>
      </c>
      <c r="I364" t="s">
        <v>56</v>
      </c>
      <c r="J364">
        <v>1.6899999999999999E-4</v>
      </c>
      <c r="K364" t="s">
        <v>57</v>
      </c>
      <c r="N364" t="s">
        <v>314</v>
      </c>
      <c r="O364">
        <v>500</v>
      </c>
      <c r="P364" t="s">
        <v>315</v>
      </c>
      <c r="S364" t="s">
        <v>316</v>
      </c>
      <c r="T364">
        <v>25</v>
      </c>
      <c r="U364" t="s">
        <v>120</v>
      </c>
      <c r="V364">
        <v>75</v>
      </c>
      <c r="W364" t="s">
        <v>320</v>
      </c>
      <c r="X364" t="s">
        <v>280</v>
      </c>
      <c r="Y364">
        <v>60</v>
      </c>
      <c r="AB364">
        <v>4.5999999999999899</v>
      </c>
      <c r="AC364" t="s">
        <v>85</v>
      </c>
      <c r="AD364" t="s">
        <v>335</v>
      </c>
      <c r="AI364" t="s">
        <v>317</v>
      </c>
      <c r="AV364" t="s">
        <v>88</v>
      </c>
      <c r="AW364">
        <v>500</v>
      </c>
    </row>
    <row r="365" spans="1:49" hidden="1" x14ac:dyDescent="0.3">
      <c r="A365" t="s">
        <v>313</v>
      </c>
      <c r="C365" t="s">
        <v>251</v>
      </c>
      <c r="D365" t="s">
        <v>81</v>
      </c>
      <c r="E365">
        <v>2100000</v>
      </c>
      <c r="H365">
        <v>1.69</v>
      </c>
      <c r="I365" t="s">
        <v>56</v>
      </c>
      <c r="J365">
        <v>1.6899999999999999E-4</v>
      </c>
      <c r="K365" t="s">
        <v>57</v>
      </c>
      <c r="N365" t="s">
        <v>314</v>
      </c>
      <c r="O365">
        <v>500</v>
      </c>
      <c r="P365" t="s">
        <v>315</v>
      </c>
      <c r="S365" t="s">
        <v>316</v>
      </c>
      <c r="T365">
        <v>25</v>
      </c>
      <c r="U365" t="s">
        <v>120</v>
      </c>
      <c r="V365">
        <v>75</v>
      </c>
      <c r="W365" t="s">
        <v>320</v>
      </c>
      <c r="X365" t="s">
        <v>280</v>
      </c>
      <c r="Y365">
        <v>180</v>
      </c>
      <c r="AB365">
        <v>5.9</v>
      </c>
      <c r="AC365" t="s">
        <v>85</v>
      </c>
      <c r="AD365" t="s">
        <v>322</v>
      </c>
      <c r="AI365" t="s">
        <v>317</v>
      </c>
      <c r="AV365" t="s">
        <v>88</v>
      </c>
      <c r="AW365">
        <v>500</v>
      </c>
    </row>
    <row r="366" spans="1:49" hidden="1" x14ac:dyDescent="0.3">
      <c r="A366" t="s">
        <v>313</v>
      </c>
      <c r="C366" t="s">
        <v>251</v>
      </c>
      <c r="D366" t="s">
        <v>81</v>
      </c>
      <c r="E366">
        <v>2100000</v>
      </c>
      <c r="H366">
        <v>1.69</v>
      </c>
      <c r="I366" t="s">
        <v>56</v>
      </c>
      <c r="J366">
        <v>1.6899999999999999E-4</v>
      </c>
      <c r="K366" t="s">
        <v>57</v>
      </c>
      <c r="N366" t="s">
        <v>314</v>
      </c>
      <c r="O366">
        <v>500</v>
      </c>
      <c r="P366" t="s">
        <v>315</v>
      </c>
      <c r="S366" t="s">
        <v>316</v>
      </c>
      <c r="T366">
        <v>25</v>
      </c>
      <c r="U366" t="s">
        <v>120</v>
      </c>
      <c r="V366">
        <v>75</v>
      </c>
      <c r="W366" t="s">
        <v>320</v>
      </c>
      <c r="X366" t="s">
        <v>280</v>
      </c>
      <c r="Y366">
        <v>300</v>
      </c>
      <c r="AB366">
        <v>5.9</v>
      </c>
      <c r="AC366" t="s">
        <v>85</v>
      </c>
      <c r="AD366" t="s">
        <v>327</v>
      </c>
      <c r="AI366" t="s">
        <v>317</v>
      </c>
      <c r="AV366" t="s">
        <v>88</v>
      </c>
      <c r="AW366">
        <v>500</v>
      </c>
    </row>
    <row r="367" spans="1:49" hidden="1" x14ac:dyDescent="0.3">
      <c r="A367" t="s">
        <v>313</v>
      </c>
      <c r="C367" t="s">
        <v>251</v>
      </c>
      <c r="D367" t="s">
        <v>81</v>
      </c>
      <c r="E367">
        <v>2100000</v>
      </c>
      <c r="H367">
        <v>1.69</v>
      </c>
      <c r="I367" t="s">
        <v>56</v>
      </c>
      <c r="J367">
        <v>1.6899999999999999E-4</v>
      </c>
      <c r="K367" t="s">
        <v>57</v>
      </c>
      <c r="N367" t="s">
        <v>314</v>
      </c>
      <c r="O367">
        <v>500</v>
      </c>
      <c r="P367" t="s">
        <v>315</v>
      </c>
      <c r="S367" t="s">
        <v>316</v>
      </c>
      <c r="T367">
        <v>25</v>
      </c>
      <c r="U367" t="s">
        <v>120</v>
      </c>
      <c r="V367">
        <v>75</v>
      </c>
      <c r="W367" t="s">
        <v>320</v>
      </c>
      <c r="X367" t="s">
        <v>280</v>
      </c>
      <c r="Y367">
        <v>600</v>
      </c>
      <c r="AB367">
        <v>6.7</v>
      </c>
      <c r="AC367" t="s">
        <v>85</v>
      </c>
      <c r="AD367" t="s">
        <v>324</v>
      </c>
      <c r="AI367" t="s">
        <v>317</v>
      </c>
      <c r="AV367" t="s">
        <v>88</v>
      </c>
      <c r="AW367">
        <v>500</v>
      </c>
    </row>
    <row r="368" spans="1:49" hidden="1" x14ac:dyDescent="0.3">
      <c r="A368" t="s">
        <v>313</v>
      </c>
      <c r="C368" t="s">
        <v>251</v>
      </c>
      <c r="D368" t="s">
        <v>81</v>
      </c>
      <c r="E368">
        <v>2100000</v>
      </c>
      <c r="H368">
        <v>1.69</v>
      </c>
      <c r="I368" t="s">
        <v>56</v>
      </c>
      <c r="J368">
        <v>1.6899999999999999E-4</v>
      </c>
      <c r="K368" t="s">
        <v>57</v>
      </c>
      <c r="N368" t="s">
        <v>314</v>
      </c>
      <c r="O368">
        <v>500</v>
      </c>
      <c r="P368" t="s">
        <v>315</v>
      </c>
      <c r="S368" t="s">
        <v>316</v>
      </c>
      <c r="T368">
        <v>25</v>
      </c>
      <c r="U368" t="s">
        <v>120</v>
      </c>
      <c r="V368">
        <v>75</v>
      </c>
      <c r="W368" t="s">
        <v>320</v>
      </c>
      <c r="X368" t="s">
        <v>280</v>
      </c>
      <c r="Y368">
        <v>30</v>
      </c>
      <c r="AB368">
        <v>2.4</v>
      </c>
      <c r="AC368" t="s">
        <v>85</v>
      </c>
      <c r="AD368" t="s">
        <v>98</v>
      </c>
      <c r="AI368" t="s">
        <v>317</v>
      </c>
      <c r="AV368" t="s">
        <v>88</v>
      </c>
      <c r="AW368">
        <v>500</v>
      </c>
    </row>
    <row r="369" spans="1:53" hidden="1" x14ac:dyDescent="0.3">
      <c r="A369" t="s">
        <v>313</v>
      </c>
      <c r="C369" t="s">
        <v>251</v>
      </c>
      <c r="D369" t="s">
        <v>81</v>
      </c>
      <c r="E369">
        <v>10000000</v>
      </c>
      <c r="H369">
        <v>1.69</v>
      </c>
      <c r="I369" t="s">
        <v>56</v>
      </c>
      <c r="J369">
        <v>1.6899999999999999E-4</v>
      </c>
      <c r="K369" t="s">
        <v>57</v>
      </c>
      <c r="N369" t="s">
        <v>314</v>
      </c>
      <c r="O369">
        <v>500</v>
      </c>
      <c r="P369" t="s">
        <v>315</v>
      </c>
      <c r="S369" t="s">
        <v>316</v>
      </c>
      <c r="T369">
        <v>25</v>
      </c>
      <c r="U369" t="s">
        <v>120</v>
      </c>
      <c r="V369">
        <v>75</v>
      </c>
      <c r="W369" t="s">
        <v>320</v>
      </c>
      <c r="X369" t="s">
        <v>280</v>
      </c>
      <c r="Y369">
        <v>60</v>
      </c>
      <c r="AB369">
        <v>3</v>
      </c>
      <c r="AC369" t="s">
        <v>85</v>
      </c>
      <c r="AD369" t="s">
        <v>328</v>
      </c>
      <c r="AI369" t="s">
        <v>317</v>
      </c>
      <c r="AV369" t="s">
        <v>88</v>
      </c>
      <c r="AW369">
        <v>500</v>
      </c>
    </row>
    <row r="370" spans="1:53" hidden="1" x14ac:dyDescent="0.3">
      <c r="A370" t="s">
        <v>313</v>
      </c>
      <c r="C370" t="s">
        <v>251</v>
      </c>
      <c r="D370" t="s">
        <v>81</v>
      </c>
      <c r="E370">
        <v>10000000</v>
      </c>
      <c r="H370">
        <v>1.69</v>
      </c>
      <c r="I370" t="s">
        <v>56</v>
      </c>
      <c r="J370">
        <v>1.6899999999999999E-4</v>
      </c>
      <c r="K370" t="s">
        <v>57</v>
      </c>
      <c r="N370" t="s">
        <v>314</v>
      </c>
      <c r="O370">
        <v>500</v>
      </c>
      <c r="P370" t="s">
        <v>315</v>
      </c>
      <c r="S370" t="s">
        <v>316</v>
      </c>
      <c r="T370">
        <v>25</v>
      </c>
      <c r="U370" t="s">
        <v>120</v>
      </c>
      <c r="V370">
        <v>75</v>
      </c>
      <c r="W370" t="s">
        <v>320</v>
      </c>
      <c r="X370" t="s">
        <v>280</v>
      </c>
      <c r="Y370">
        <v>180</v>
      </c>
      <c r="AB370">
        <v>4.9000000000000004</v>
      </c>
      <c r="AC370" t="s">
        <v>85</v>
      </c>
      <c r="AD370" t="s">
        <v>340</v>
      </c>
      <c r="AI370" t="s">
        <v>317</v>
      </c>
      <c r="AV370" t="s">
        <v>88</v>
      </c>
      <c r="AW370">
        <v>500</v>
      </c>
    </row>
    <row r="371" spans="1:53" hidden="1" x14ac:dyDescent="0.3">
      <c r="A371" t="s">
        <v>313</v>
      </c>
      <c r="C371" t="s">
        <v>251</v>
      </c>
      <c r="D371" t="s">
        <v>81</v>
      </c>
      <c r="E371">
        <v>10000000</v>
      </c>
      <c r="H371">
        <v>1.69</v>
      </c>
      <c r="I371" t="s">
        <v>56</v>
      </c>
      <c r="J371">
        <v>1.6899999999999999E-4</v>
      </c>
      <c r="K371" t="s">
        <v>57</v>
      </c>
      <c r="N371" t="s">
        <v>314</v>
      </c>
      <c r="O371">
        <v>500</v>
      </c>
      <c r="P371" t="s">
        <v>315</v>
      </c>
      <c r="S371" t="s">
        <v>316</v>
      </c>
      <c r="T371">
        <v>25</v>
      </c>
      <c r="U371" t="s">
        <v>120</v>
      </c>
      <c r="V371">
        <v>75</v>
      </c>
      <c r="W371" t="s">
        <v>320</v>
      </c>
      <c r="X371" t="s">
        <v>280</v>
      </c>
      <c r="Y371">
        <v>300</v>
      </c>
      <c r="AB371">
        <v>5.3</v>
      </c>
      <c r="AC371" t="s">
        <v>85</v>
      </c>
      <c r="AD371" t="s">
        <v>327</v>
      </c>
      <c r="AI371" t="s">
        <v>317</v>
      </c>
      <c r="AV371" t="s">
        <v>88</v>
      </c>
      <c r="AW371">
        <v>500</v>
      </c>
    </row>
    <row r="372" spans="1:53" hidden="1" x14ac:dyDescent="0.3">
      <c r="A372" t="s">
        <v>313</v>
      </c>
      <c r="C372" t="s">
        <v>251</v>
      </c>
      <c r="D372" t="s">
        <v>81</v>
      </c>
      <c r="E372">
        <v>10000000</v>
      </c>
      <c r="H372">
        <v>1.69</v>
      </c>
      <c r="I372" t="s">
        <v>56</v>
      </c>
      <c r="J372">
        <v>1.6899999999999999E-4</v>
      </c>
      <c r="K372" t="s">
        <v>57</v>
      </c>
      <c r="N372" t="s">
        <v>314</v>
      </c>
      <c r="O372">
        <v>500</v>
      </c>
      <c r="P372" t="s">
        <v>315</v>
      </c>
      <c r="S372" t="s">
        <v>316</v>
      </c>
      <c r="T372">
        <v>25</v>
      </c>
      <c r="U372" t="s">
        <v>120</v>
      </c>
      <c r="V372">
        <v>75</v>
      </c>
      <c r="W372" t="s">
        <v>320</v>
      </c>
      <c r="X372" t="s">
        <v>280</v>
      </c>
      <c r="Y372">
        <v>600</v>
      </c>
      <c r="AB372">
        <v>6.4</v>
      </c>
      <c r="AC372" t="s">
        <v>85</v>
      </c>
      <c r="AD372" t="s">
        <v>331</v>
      </c>
      <c r="AI372" t="s">
        <v>317</v>
      </c>
      <c r="AV372" t="s">
        <v>88</v>
      </c>
      <c r="AW372">
        <v>500</v>
      </c>
    </row>
    <row r="373" spans="1:53" hidden="1" x14ac:dyDescent="0.3">
      <c r="A373" t="s">
        <v>313</v>
      </c>
      <c r="C373" t="s">
        <v>251</v>
      </c>
      <c r="D373" t="s">
        <v>81</v>
      </c>
      <c r="E373">
        <v>10000000</v>
      </c>
      <c r="H373">
        <v>1.69</v>
      </c>
      <c r="I373" t="s">
        <v>56</v>
      </c>
      <c r="J373">
        <v>1.6899999999999999E-4</v>
      </c>
      <c r="K373" t="s">
        <v>57</v>
      </c>
      <c r="N373" t="s">
        <v>314</v>
      </c>
      <c r="O373">
        <v>500</v>
      </c>
      <c r="P373" t="s">
        <v>315</v>
      </c>
      <c r="S373" t="s">
        <v>316</v>
      </c>
      <c r="T373">
        <v>25</v>
      </c>
      <c r="U373" t="s">
        <v>120</v>
      </c>
      <c r="V373">
        <v>75</v>
      </c>
      <c r="W373" t="s">
        <v>123</v>
      </c>
      <c r="X373" t="s">
        <v>280</v>
      </c>
      <c r="Y373">
        <v>30</v>
      </c>
      <c r="AB373">
        <v>2.1</v>
      </c>
      <c r="AC373" t="s">
        <v>85</v>
      </c>
      <c r="AD373" t="s">
        <v>326</v>
      </c>
      <c r="AI373" t="s">
        <v>317</v>
      </c>
      <c r="AT373" t="s">
        <v>79</v>
      </c>
      <c r="AV373" t="s">
        <v>88</v>
      </c>
      <c r="AW373">
        <v>500</v>
      </c>
    </row>
    <row r="374" spans="1:53" hidden="1" x14ac:dyDescent="0.3">
      <c r="A374" t="s">
        <v>313</v>
      </c>
      <c r="C374" t="s">
        <v>251</v>
      </c>
      <c r="D374" t="s">
        <v>81</v>
      </c>
      <c r="E374">
        <v>10000000</v>
      </c>
      <c r="H374">
        <v>1.69</v>
      </c>
      <c r="I374" t="s">
        <v>56</v>
      </c>
      <c r="J374">
        <v>1.6899999999999999E-4</v>
      </c>
      <c r="K374" t="s">
        <v>57</v>
      </c>
      <c r="N374" t="s">
        <v>314</v>
      </c>
      <c r="O374">
        <v>500</v>
      </c>
      <c r="P374" t="s">
        <v>315</v>
      </c>
      <c r="S374" t="s">
        <v>316</v>
      </c>
      <c r="T374">
        <v>25</v>
      </c>
      <c r="U374" t="s">
        <v>120</v>
      </c>
      <c r="V374">
        <v>75</v>
      </c>
      <c r="W374" t="s">
        <v>123</v>
      </c>
      <c r="X374" t="s">
        <v>280</v>
      </c>
      <c r="Y374">
        <v>60</v>
      </c>
      <c r="AB374">
        <v>4.7</v>
      </c>
      <c r="AC374" t="s">
        <v>85</v>
      </c>
      <c r="AD374" t="s">
        <v>341</v>
      </c>
      <c r="AI374" t="s">
        <v>317</v>
      </c>
      <c r="AT374" t="s">
        <v>79</v>
      </c>
      <c r="AV374" t="s">
        <v>88</v>
      </c>
      <c r="AW374">
        <v>500</v>
      </c>
    </row>
    <row r="375" spans="1:53" hidden="1" x14ac:dyDescent="0.3">
      <c r="A375" t="s">
        <v>313</v>
      </c>
      <c r="C375" t="s">
        <v>251</v>
      </c>
      <c r="D375" t="s">
        <v>81</v>
      </c>
      <c r="E375">
        <v>10000000</v>
      </c>
      <c r="H375">
        <v>1.69</v>
      </c>
      <c r="I375" t="s">
        <v>56</v>
      </c>
      <c r="J375">
        <v>1.6899999999999999E-4</v>
      </c>
      <c r="K375" t="s">
        <v>57</v>
      </c>
      <c r="N375" t="s">
        <v>314</v>
      </c>
      <c r="O375">
        <v>500</v>
      </c>
      <c r="P375" t="s">
        <v>315</v>
      </c>
      <c r="S375" t="s">
        <v>316</v>
      </c>
      <c r="T375">
        <v>25</v>
      </c>
      <c r="U375" t="s">
        <v>120</v>
      </c>
      <c r="V375">
        <v>75</v>
      </c>
      <c r="W375" t="s">
        <v>123</v>
      </c>
      <c r="X375" t="s">
        <v>280</v>
      </c>
      <c r="Y375">
        <v>180</v>
      </c>
      <c r="AB375">
        <v>6.1</v>
      </c>
      <c r="AC375" t="s">
        <v>85</v>
      </c>
      <c r="AD375" t="s">
        <v>336</v>
      </c>
      <c r="AI375" t="s">
        <v>317</v>
      </c>
      <c r="AT375" t="s">
        <v>79</v>
      </c>
      <c r="AV375" t="s">
        <v>88</v>
      </c>
      <c r="AW375">
        <v>500</v>
      </c>
    </row>
    <row r="376" spans="1:53" hidden="1" x14ac:dyDescent="0.3">
      <c r="A376" t="s">
        <v>313</v>
      </c>
      <c r="C376" t="s">
        <v>251</v>
      </c>
      <c r="D376" t="s">
        <v>81</v>
      </c>
      <c r="E376">
        <v>10000000</v>
      </c>
      <c r="H376">
        <v>1.69</v>
      </c>
      <c r="I376" t="s">
        <v>56</v>
      </c>
      <c r="J376">
        <v>1.6899999999999999E-4</v>
      </c>
      <c r="K376" t="s">
        <v>57</v>
      </c>
      <c r="N376" t="s">
        <v>314</v>
      </c>
      <c r="O376">
        <v>500</v>
      </c>
      <c r="P376" t="s">
        <v>315</v>
      </c>
      <c r="S376" t="s">
        <v>316</v>
      </c>
      <c r="T376">
        <v>25</v>
      </c>
      <c r="U376" t="s">
        <v>120</v>
      </c>
      <c r="V376">
        <v>75</v>
      </c>
      <c r="W376" t="s">
        <v>123</v>
      </c>
      <c r="X376" t="s">
        <v>280</v>
      </c>
      <c r="Y376">
        <v>300</v>
      </c>
      <c r="AB376">
        <v>6.4</v>
      </c>
      <c r="AC376" t="s">
        <v>85</v>
      </c>
      <c r="AD376" t="s">
        <v>333</v>
      </c>
      <c r="AI376" t="s">
        <v>317</v>
      </c>
      <c r="AT376" t="s">
        <v>79</v>
      </c>
      <c r="AV376" t="s">
        <v>88</v>
      </c>
      <c r="AW376">
        <v>500</v>
      </c>
    </row>
    <row r="377" spans="1:53" hidden="1" x14ac:dyDescent="0.3">
      <c r="A377" t="s">
        <v>313</v>
      </c>
      <c r="C377" t="s">
        <v>251</v>
      </c>
      <c r="D377" t="s">
        <v>81</v>
      </c>
      <c r="E377">
        <v>10000000</v>
      </c>
      <c r="H377">
        <v>1.69</v>
      </c>
      <c r="I377" t="s">
        <v>56</v>
      </c>
      <c r="J377">
        <v>1.6899999999999999E-4</v>
      </c>
      <c r="K377" t="s">
        <v>57</v>
      </c>
      <c r="N377" t="s">
        <v>314</v>
      </c>
      <c r="O377">
        <v>500</v>
      </c>
      <c r="P377" t="s">
        <v>315</v>
      </c>
      <c r="S377" t="s">
        <v>316</v>
      </c>
      <c r="T377">
        <v>25</v>
      </c>
      <c r="U377" t="s">
        <v>120</v>
      </c>
      <c r="V377">
        <v>75</v>
      </c>
      <c r="W377" t="s">
        <v>123</v>
      </c>
      <c r="X377" t="s">
        <v>280</v>
      </c>
      <c r="Y377">
        <v>600</v>
      </c>
      <c r="AA377" t="s">
        <v>184</v>
      </c>
      <c r="AB377">
        <v>7.2</v>
      </c>
      <c r="AC377" t="s">
        <v>85</v>
      </c>
      <c r="AD377" t="s">
        <v>321</v>
      </c>
      <c r="AI377" t="s">
        <v>317</v>
      </c>
      <c r="AT377" t="s">
        <v>79</v>
      </c>
      <c r="AV377" t="s">
        <v>88</v>
      </c>
      <c r="AW377">
        <v>500</v>
      </c>
      <c r="AZ377">
        <v>0</v>
      </c>
      <c r="BA377">
        <v>7.2</v>
      </c>
    </row>
    <row r="378" spans="1:53" hidden="1" x14ac:dyDescent="0.3">
      <c r="A378" t="s">
        <v>313</v>
      </c>
      <c r="C378" t="s">
        <v>251</v>
      </c>
      <c r="D378" t="s">
        <v>81</v>
      </c>
      <c r="E378">
        <v>10000000</v>
      </c>
      <c r="H378">
        <v>1.69</v>
      </c>
      <c r="I378" t="s">
        <v>56</v>
      </c>
      <c r="J378">
        <v>1.6899999999999999E-4</v>
      </c>
      <c r="K378" t="s">
        <v>57</v>
      </c>
      <c r="N378" t="s">
        <v>314</v>
      </c>
      <c r="O378">
        <v>500</v>
      </c>
      <c r="P378" t="s">
        <v>315</v>
      </c>
      <c r="S378" t="s">
        <v>316</v>
      </c>
      <c r="T378">
        <v>25</v>
      </c>
      <c r="U378" t="s">
        <v>120</v>
      </c>
      <c r="V378">
        <v>75</v>
      </c>
      <c r="W378" t="s">
        <v>123</v>
      </c>
      <c r="X378" t="s">
        <v>280</v>
      </c>
      <c r="Y378">
        <v>30</v>
      </c>
      <c r="AB378">
        <v>1.2</v>
      </c>
      <c r="AC378" t="s">
        <v>85</v>
      </c>
      <c r="AD378" t="s">
        <v>98</v>
      </c>
      <c r="AI378" t="s">
        <v>317</v>
      </c>
      <c r="AT378" t="s">
        <v>79</v>
      </c>
      <c r="AV378" t="s">
        <v>88</v>
      </c>
      <c r="AW378">
        <v>500</v>
      </c>
    </row>
    <row r="379" spans="1:53" hidden="1" x14ac:dyDescent="0.3">
      <c r="A379" t="s">
        <v>313</v>
      </c>
      <c r="C379" t="s">
        <v>251</v>
      </c>
      <c r="D379" t="s">
        <v>81</v>
      </c>
      <c r="E379">
        <v>10000000</v>
      </c>
      <c r="H379">
        <v>1.69</v>
      </c>
      <c r="I379" t="s">
        <v>56</v>
      </c>
      <c r="J379">
        <v>1.6899999999999999E-4</v>
      </c>
      <c r="K379" t="s">
        <v>57</v>
      </c>
      <c r="N379" t="s">
        <v>314</v>
      </c>
      <c r="O379">
        <v>500</v>
      </c>
      <c r="P379" t="s">
        <v>315</v>
      </c>
      <c r="S379" t="s">
        <v>316</v>
      </c>
      <c r="T379">
        <v>25</v>
      </c>
      <c r="U379" t="s">
        <v>120</v>
      </c>
      <c r="V379">
        <v>75</v>
      </c>
      <c r="W379" t="s">
        <v>123</v>
      </c>
      <c r="X379" t="s">
        <v>280</v>
      </c>
      <c r="Y379">
        <v>60</v>
      </c>
      <c r="AB379">
        <v>2.2999999999999901</v>
      </c>
      <c r="AC379" t="s">
        <v>85</v>
      </c>
      <c r="AD379" t="s">
        <v>328</v>
      </c>
      <c r="AI379" t="s">
        <v>317</v>
      </c>
      <c r="AT379" t="s">
        <v>79</v>
      </c>
      <c r="AV379" t="s">
        <v>88</v>
      </c>
      <c r="AW379">
        <v>500</v>
      </c>
    </row>
    <row r="380" spans="1:53" hidden="1" x14ac:dyDescent="0.3">
      <c r="A380" t="s">
        <v>313</v>
      </c>
      <c r="C380" t="s">
        <v>251</v>
      </c>
      <c r="D380" t="s">
        <v>81</v>
      </c>
      <c r="E380">
        <v>10000000</v>
      </c>
      <c r="H380">
        <v>1.69</v>
      </c>
      <c r="I380" t="s">
        <v>56</v>
      </c>
      <c r="J380">
        <v>1.6899999999999999E-4</v>
      </c>
      <c r="K380" t="s">
        <v>57</v>
      </c>
      <c r="N380" t="s">
        <v>314</v>
      </c>
      <c r="O380">
        <v>500</v>
      </c>
      <c r="P380" t="s">
        <v>315</v>
      </c>
      <c r="S380" t="s">
        <v>316</v>
      </c>
      <c r="T380">
        <v>25</v>
      </c>
      <c r="U380" t="s">
        <v>120</v>
      </c>
      <c r="V380">
        <v>75</v>
      </c>
      <c r="W380" t="s">
        <v>123</v>
      </c>
      <c r="X380" t="s">
        <v>280</v>
      </c>
      <c r="Y380">
        <v>180</v>
      </c>
      <c r="AB380">
        <v>5.6</v>
      </c>
      <c r="AC380" t="s">
        <v>85</v>
      </c>
      <c r="AD380" t="s">
        <v>333</v>
      </c>
      <c r="AI380" t="s">
        <v>317</v>
      </c>
      <c r="AT380" t="s">
        <v>79</v>
      </c>
      <c r="AV380" t="s">
        <v>88</v>
      </c>
      <c r="AW380">
        <v>500</v>
      </c>
    </row>
    <row r="381" spans="1:53" hidden="1" x14ac:dyDescent="0.3">
      <c r="A381" t="s">
        <v>313</v>
      </c>
      <c r="C381" t="s">
        <v>251</v>
      </c>
      <c r="D381" t="s">
        <v>81</v>
      </c>
      <c r="E381">
        <v>10000000</v>
      </c>
      <c r="H381">
        <v>1.69</v>
      </c>
      <c r="I381" t="s">
        <v>56</v>
      </c>
      <c r="J381">
        <v>1.6899999999999999E-4</v>
      </c>
      <c r="K381" t="s">
        <v>57</v>
      </c>
      <c r="N381" t="s">
        <v>314</v>
      </c>
      <c r="O381">
        <v>500</v>
      </c>
      <c r="P381" t="s">
        <v>315</v>
      </c>
      <c r="S381" t="s">
        <v>316</v>
      </c>
      <c r="T381">
        <v>25</v>
      </c>
      <c r="U381" t="s">
        <v>120</v>
      </c>
      <c r="V381">
        <v>75</v>
      </c>
      <c r="W381" t="s">
        <v>123</v>
      </c>
      <c r="X381" t="s">
        <v>280</v>
      </c>
      <c r="Y381">
        <v>300</v>
      </c>
      <c r="AB381">
        <v>5.6</v>
      </c>
      <c r="AC381" t="s">
        <v>85</v>
      </c>
      <c r="AD381" t="s">
        <v>333</v>
      </c>
      <c r="AI381" t="s">
        <v>317</v>
      </c>
      <c r="AT381" t="s">
        <v>79</v>
      </c>
      <c r="AV381" t="s">
        <v>88</v>
      </c>
      <c r="AW381">
        <v>500</v>
      </c>
    </row>
    <row r="382" spans="1:53" hidden="1" x14ac:dyDescent="0.3">
      <c r="A382" t="s">
        <v>313</v>
      </c>
      <c r="C382" t="s">
        <v>251</v>
      </c>
      <c r="D382" t="s">
        <v>81</v>
      </c>
      <c r="E382">
        <v>10000000</v>
      </c>
      <c r="H382">
        <v>1.69</v>
      </c>
      <c r="I382" t="s">
        <v>56</v>
      </c>
      <c r="J382">
        <v>1.6899999999999999E-4</v>
      </c>
      <c r="K382" t="s">
        <v>57</v>
      </c>
      <c r="N382" t="s">
        <v>314</v>
      </c>
      <c r="O382">
        <v>500</v>
      </c>
      <c r="P382" t="s">
        <v>315</v>
      </c>
      <c r="S382" t="s">
        <v>316</v>
      </c>
      <c r="T382">
        <v>25</v>
      </c>
      <c r="U382" t="s">
        <v>120</v>
      </c>
      <c r="V382">
        <v>75</v>
      </c>
      <c r="W382" t="s">
        <v>123</v>
      </c>
      <c r="X382" t="s">
        <v>280</v>
      </c>
      <c r="Y382">
        <v>600</v>
      </c>
      <c r="AA382" t="s">
        <v>184</v>
      </c>
      <c r="AB382">
        <v>6.9</v>
      </c>
      <c r="AC382" t="s">
        <v>85</v>
      </c>
      <c r="AD382" t="s">
        <v>321</v>
      </c>
      <c r="AI382" t="s">
        <v>317</v>
      </c>
      <c r="AT382" t="s">
        <v>79</v>
      </c>
      <c r="AV382" t="s">
        <v>88</v>
      </c>
      <c r="AW382">
        <v>500</v>
      </c>
      <c r="AZ382">
        <v>0</v>
      </c>
      <c r="BA382">
        <v>6.9</v>
      </c>
    </row>
    <row r="383" spans="1:53" hidden="1" x14ac:dyDescent="0.3">
      <c r="A383" t="s">
        <v>313</v>
      </c>
      <c r="C383" t="s">
        <v>251</v>
      </c>
      <c r="D383" t="s">
        <v>81</v>
      </c>
      <c r="E383">
        <v>10000000</v>
      </c>
      <c r="H383">
        <v>1.69</v>
      </c>
      <c r="I383" t="s">
        <v>56</v>
      </c>
      <c r="J383">
        <v>1.6899999999999999E-4</v>
      </c>
      <c r="K383" t="s">
        <v>57</v>
      </c>
      <c r="N383" t="s">
        <v>314</v>
      </c>
      <c r="O383">
        <v>500</v>
      </c>
      <c r="P383" t="s">
        <v>315</v>
      </c>
      <c r="S383" t="s">
        <v>316</v>
      </c>
      <c r="T383">
        <v>25</v>
      </c>
      <c r="U383" t="s">
        <v>120</v>
      </c>
      <c r="V383">
        <v>75</v>
      </c>
      <c r="W383" t="s">
        <v>74</v>
      </c>
      <c r="X383" t="s">
        <v>280</v>
      </c>
      <c r="Y383">
        <v>30</v>
      </c>
      <c r="AB383">
        <v>1.4</v>
      </c>
      <c r="AC383" t="s">
        <v>85</v>
      </c>
      <c r="AD383" t="s">
        <v>325</v>
      </c>
      <c r="AI383" t="s">
        <v>317</v>
      </c>
      <c r="AT383" t="s">
        <v>75</v>
      </c>
      <c r="AV383" t="s">
        <v>88</v>
      </c>
      <c r="AW383">
        <v>500</v>
      </c>
    </row>
    <row r="384" spans="1:53" hidden="1" x14ac:dyDescent="0.3">
      <c r="A384" t="s">
        <v>313</v>
      </c>
      <c r="C384" t="s">
        <v>251</v>
      </c>
      <c r="D384" t="s">
        <v>81</v>
      </c>
      <c r="E384">
        <v>10000000</v>
      </c>
      <c r="H384">
        <v>1.69</v>
      </c>
      <c r="I384" t="s">
        <v>56</v>
      </c>
      <c r="J384">
        <v>1.6899999999999999E-4</v>
      </c>
      <c r="K384" t="s">
        <v>57</v>
      </c>
      <c r="N384" t="s">
        <v>314</v>
      </c>
      <c r="O384">
        <v>500</v>
      </c>
      <c r="P384" t="s">
        <v>315</v>
      </c>
      <c r="S384" t="s">
        <v>316</v>
      </c>
      <c r="T384">
        <v>25</v>
      </c>
      <c r="U384" t="s">
        <v>120</v>
      </c>
      <c r="V384">
        <v>75</v>
      </c>
      <c r="W384" t="s">
        <v>74</v>
      </c>
      <c r="X384" t="s">
        <v>280</v>
      </c>
      <c r="Y384">
        <v>60</v>
      </c>
      <c r="AB384">
        <v>2.2000000000000002</v>
      </c>
      <c r="AC384" t="s">
        <v>85</v>
      </c>
      <c r="AD384" t="s">
        <v>324</v>
      </c>
      <c r="AI384" t="s">
        <v>317</v>
      </c>
      <c r="AT384" t="s">
        <v>75</v>
      </c>
      <c r="AV384" t="s">
        <v>88</v>
      </c>
      <c r="AW384">
        <v>500</v>
      </c>
    </row>
    <row r="385" spans="1:49" hidden="1" x14ac:dyDescent="0.3">
      <c r="A385" t="s">
        <v>313</v>
      </c>
      <c r="C385" t="s">
        <v>251</v>
      </c>
      <c r="D385" t="s">
        <v>81</v>
      </c>
      <c r="E385">
        <v>10000000</v>
      </c>
      <c r="H385">
        <v>1.69</v>
      </c>
      <c r="I385" t="s">
        <v>56</v>
      </c>
      <c r="J385">
        <v>1.6899999999999999E-4</v>
      </c>
      <c r="K385" t="s">
        <v>57</v>
      </c>
      <c r="N385" t="s">
        <v>314</v>
      </c>
      <c r="O385">
        <v>500</v>
      </c>
      <c r="P385" t="s">
        <v>315</v>
      </c>
      <c r="S385" t="s">
        <v>316</v>
      </c>
      <c r="T385">
        <v>25</v>
      </c>
      <c r="U385" t="s">
        <v>120</v>
      </c>
      <c r="V385">
        <v>75</v>
      </c>
      <c r="W385" t="s">
        <v>74</v>
      </c>
      <c r="X385" t="s">
        <v>280</v>
      </c>
      <c r="Y385">
        <v>180</v>
      </c>
      <c r="AB385">
        <v>3.1</v>
      </c>
      <c r="AC385" t="s">
        <v>85</v>
      </c>
      <c r="AD385" t="s">
        <v>324</v>
      </c>
      <c r="AI385" t="s">
        <v>317</v>
      </c>
      <c r="AT385" t="s">
        <v>75</v>
      </c>
      <c r="AV385" t="s">
        <v>88</v>
      </c>
      <c r="AW385">
        <v>500</v>
      </c>
    </row>
    <row r="386" spans="1:49" hidden="1" x14ac:dyDescent="0.3">
      <c r="A386" t="s">
        <v>313</v>
      </c>
      <c r="C386" t="s">
        <v>251</v>
      </c>
      <c r="D386" t="s">
        <v>81</v>
      </c>
      <c r="E386">
        <v>10000000</v>
      </c>
      <c r="H386">
        <v>1.69</v>
      </c>
      <c r="I386" t="s">
        <v>56</v>
      </c>
      <c r="J386">
        <v>1.6899999999999999E-4</v>
      </c>
      <c r="K386" t="s">
        <v>57</v>
      </c>
      <c r="N386" t="s">
        <v>314</v>
      </c>
      <c r="O386">
        <v>500</v>
      </c>
      <c r="P386" t="s">
        <v>315</v>
      </c>
      <c r="S386" t="s">
        <v>316</v>
      </c>
      <c r="T386">
        <v>25</v>
      </c>
      <c r="U386" t="s">
        <v>120</v>
      </c>
      <c r="V386">
        <v>75</v>
      </c>
      <c r="W386" t="s">
        <v>74</v>
      </c>
      <c r="X386" t="s">
        <v>280</v>
      </c>
      <c r="Y386">
        <v>300</v>
      </c>
      <c r="AB386">
        <v>4.3</v>
      </c>
      <c r="AC386" t="s">
        <v>85</v>
      </c>
      <c r="AD386" t="s">
        <v>332</v>
      </c>
      <c r="AI386" t="s">
        <v>317</v>
      </c>
      <c r="AT386" t="s">
        <v>75</v>
      </c>
      <c r="AV386" t="s">
        <v>88</v>
      </c>
      <c r="AW386">
        <v>500</v>
      </c>
    </row>
    <row r="387" spans="1:49" hidden="1" x14ac:dyDescent="0.3">
      <c r="A387" t="s">
        <v>313</v>
      </c>
      <c r="C387" t="s">
        <v>251</v>
      </c>
      <c r="D387" t="s">
        <v>81</v>
      </c>
      <c r="E387">
        <v>10000000</v>
      </c>
      <c r="H387">
        <v>1.69</v>
      </c>
      <c r="I387" t="s">
        <v>56</v>
      </c>
      <c r="J387">
        <v>1.6899999999999999E-4</v>
      </c>
      <c r="K387" t="s">
        <v>57</v>
      </c>
      <c r="N387" t="s">
        <v>314</v>
      </c>
      <c r="O387">
        <v>500</v>
      </c>
      <c r="P387" t="s">
        <v>315</v>
      </c>
      <c r="S387" t="s">
        <v>316</v>
      </c>
      <c r="T387">
        <v>25</v>
      </c>
      <c r="U387" t="s">
        <v>120</v>
      </c>
      <c r="V387">
        <v>75</v>
      </c>
      <c r="W387" t="s">
        <v>74</v>
      </c>
      <c r="X387" t="s">
        <v>280</v>
      </c>
      <c r="Y387">
        <v>600</v>
      </c>
      <c r="AB387">
        <v>6.3</v>
      </c>
      <c r="AC387" t="s">
        <v>85</v>
      </c>
      <c r="AD387" t="s">
        <v>327</v>
      </c>
      <c r="AI387" t="s">
        <v>317</v>
      </c>
      <c r="AT387" t="s">
        <v>75</v>
      </c>
      <c r="AV387" t="s">
        <v>88</v>
      </c>
      <c r="AW387">
        <v>500</v>
      </c>
    </row>
    <row r="388" spans="1:49" hidden="1" x14ac:dyDescent="0.3">
      <c r="A388" t="s">
        <v>313</v>
      </c>
      <c r="C388" t="s">
        <v>251</v>
      </c>
      <c r="D388" t="s">
        <v>81</v>
      </c>
      <c r="E388">
        <v>10000000</v>
      </c>
      <c r="H388">
        <v>1.69</v>
      </c>
      <c r="I388" t="s">
        <v>56</v>
      </c>
      <c r="J388">
        <v>1.6899999999999999E-4</v>
      </c>
      <c r="K388" t="s">
        <v>57</v>
      </c>
      <c r="N388" t="s">
        <v>314</v>
      </c>
      <c r="O388">
        <v>500</v>
      </c>
      <c r="P388" t="s">
        <v>315</v>
      </c>
      <c r="S388" t="s">
        <v>316</v>
      </c>
      <c r="T388">
        <v>25</v>
      </c>
      <c r="U388" t="s">
        <v>120</v>
      </c>
      <c r="V388">
        <v>75</v>
      </c>
      <c r="W388" t="s">
        <v>74</v>
      </c>
      <c r="X388" t="s">
        <v>280</v>
      </c>
      <c r="Y388">
        <v>30</v>
      </c>
      <c r="AB388">
        <v>1</v>
      </c>
      <c r="AC388" t="s">
        <v>85</v>
      </c>
      <c r="AD388" t="s">
        <v>106</v>
      </c>
      <c r="AI388" t="s">
        <v>317</v>
      </c>
      <c r="AT388" t="s">
        <v>75</v>
      </c>
      <c r="AV388" t="s">
        <v>88</v>
      </c>
      <c r="AW388">
        <v>500</v>
      </c>
    </row>
    <row r="389" spans="1:49" hidden="1" x14ac:dyDescent="0.3">
      <c r="A389" t="s">
        <v>313</v>
      </c>
      <c r="C389" t="s">
        <v>251</v>
      </c>
      <c r="D389" t="s">
        <v>81</v>
      </c>
      <c r="E389">
        <v>10000000</v>
      </c>
      <c r="H389">
        <v>1.69</v>
      </c>
      <c r="I389" t="s">
        <v>56</v>
      </c>
      <c r="J389">
        <v>1.6899999999999999E-4</v>
      </c>
      <c r="K389" t="s">
        <v>57</v>
      </c>
      <c r="N389" t="s">
        <v>314</v>
      </c>
      <c r="O389">
        <v>500</v>
      </c>
      <c r="P389" t="s">
        <v>315</v>
      </c>
      <c r="S389" t="s">
        <v>316</v>
      </c>
      <c r="T389">
        <v>25</v>
      </c>
      <c r="U389" t="s">
        <v>120</v>
      </c>
      <c r="V389">
        <v>75</v>
      </c>
      <c r="W389" t="s">
        <v>74</v>
      </c>
      <c r="X389" t="s">
        <v>280</v>
      </c>
      <c r="Y389">
        <v>60</v>
      </c>
      <c r="AB389">
        <v>1.6</v>
      </c>
      <c r="AC389" t="s">
        <v>85</v>
      </c>
      <c r="AD389" t="s">
        <v>328</v>
      </c>
      <c r="AI389" t="s">
        <v>317</v>
      </c>
      <c r="AT389" t="s">
        <v>75</v>
      </c>
      <c r="AV389" t="s">
        <v>88</v>
      </c>
      <c r="AW389">
        <v>500</v>
      </c>
    </row>
    <row r="390" spans="1:49" hidden="1" x14ac:dyDescent="0.3">
      <c r="A390" t="s">
        <v>313</v>
      </c>
      <c r="C390" t="s">
        <v>251</v>
      </c>
      <c r="D390" t="s">
        <v>81</v>
      </c>
      <c r="E390">
        <v>10000000</v>
      </c>
      <c r="H390">
        <v>1.69</v>
      </c>
      <c r="I390" t="s">
        <v>56</v>
      </c>
      <c r="J390">
        <v>1.6899999999999999E-4</v>
      </c>
      <c r="K390" t="s">
        <v>57</v>
      </c>
      <c r="N390" t="s">
        <v>314</v>
      </c>
      <c r="O390">
        <v>500</v>
      </c>
      <c r="P390" t="s">
        <v>315</v>
      </c>
      <c r="S390" t="s">
        <v>316</v>
      </c>
      <c r="T390">
        <v>25</v>
      </c>
      <c r="U390" t="s">
        <v>120</v>
      </c>
      <c r="V390">
        <v>75</v>
      </c>
      <c r="W390" t="s">
        <v>74</v>
      </c>
      <c r="X390" t="s">
        <v>280</v>
      </c>
      <c r="Y390">
        <v>180</v>
      </c>
      <c r="AB390">
        <v>3.4</v>
      </c>
      <c r="AC390" t="s">
        <v>85</v>
      </c>
      <c r="AD390" t="s">
        <v>332</v>
      </c>
      <c r="AI390" t="s">
        <v>317</v>
      </c>
      <c r="AT390" t="s">
        <v>75</v>
      </c>
      <c r="AV390" t="s">
        <v>88</v>
      </c>
      <c r="AW390">
        <v>500</v>
      </c>
    </row>
    <row r="391" spans="1:49" hidden="1" x14ac:dyDescent="0.3">
      <c r="A391" t="s">
        <v>313</v>
      </c>
      <c r="C391" t="s">
        <v>251</v>
      </c>
      <c r="D391" t="s">
        <v>81</v>
      </c>
      <c r="E391">
        <v>10000000</v>
      </c>
      <c r="H391">
        <v>1.69</v>
      </c>
      <c r="I391" t="s">
        <v>56</v>
      </c>
      <c r="J391">
        <v>1.6899999999999999E-4</v>
      </c>
      <c r="K391" t="s">
        <v>57</v>
      </c>
      <c r="N391" t="s">
        <v>314</v>
      </c>
      <c r="O391">
        <v>500</v>
      </c>
      <c r="P391" t="s">
        <v>315</v>
      </c>
      <c r="S391" t="s">
        <v>316</v>
      </c>
      <c r="T391">
        <v>25</v>
      </c>
      <c r="U391" t="s">
        <v>120</v>
      </c>
      <c r="V391">
        <v>75</v>
      </c>
      <c r="W391" t="s">
        <v>74</v>
      </c>
      <c r="X391" t="s">
        <v>280</v>
      </c>
      <c r="Y391">
        <v>300</v>
      </c>
      <c r="AB391">
        <v>3.3</v>
      </c>
      <c r="AC391" t="s">
        <v>85</v>
      </c>
      <c r="AD391" t="s">
        <v>324</v>
      </c>
      <c r="AI391" t="s">
        <v>317</v>
      </c>
      <c r="AT391" t="s">
        <v>75</v>
      </c>
      <c r="AV391" t="s">
        <v>88</v>
      </c>
      <c r="AW391">
        <v>500</v>
      </c>
    </row>
    <row r="392" spans="1:49" hidden="1" x14ac:dyDescent="0.3">
      <c r="A392" t="s">
        <v>313</v>
      </c>
      <c r="C392" t="s">
        <v>251</v>
      </c>
      <c r="D392" t="s">
        <v>81</v>
      </c>
      <c r="E392">
        <v>10000000</v>
      </c>
      <c r="H392">
        <v>1.69</v>
      </c>
      <c r="I392" t="s">
        <v>56</v>
      </c>
      <c r="J392">
        <v>1.6899999999999999E-4</v>
      </c>
      <c r="K392" t="s">
        <v>57</v>
      </c>
      <c r="N392" t="s">
        <v>314</v>
      </c>
      <c r="O392">
        <v>500</v>
      </c>
      <c r="P392" t="s">
        <v>315</v>
      </c>
      <c r="S392" t="s">
        <v>316</v>
      </c>
      <c r="T392">
        <v>25</v>
      </c>
      <c r="U392" t="s">
        <v>120</v>
      </c>
      <c r="V392">
        <v>75</v>
      </c>
      <c r="W392" t="s">
        <v>74</v>
      </c>
      <c r="X392" t="s">
        <v>280</v>
      </c>
      <c r="Y392">
        <v>600</v>
      </c>
      <c r="AB392">
        <v>4.8</v>
      </c>
      <c r="AC392" t="s">
        <v>85</v>
      </c>
      <c r="AD392" t="s">
        <v>335</v>
      </c>
      <c r="AI392" t="s">
        <v>317</v>
      </c>
      <c r="AT392" t="s">
        <v>75</v>
      </c>
      <c r="AV392" t="s">
        <v>88</v>
      </c>
      <c r="AW392">
        <v>500</v>
      </c>
    </row>
    <row r="393" spans="1:49" hidden="1" x14ac:dyDescent="0.3">
      <c r="A393" t="s">
        <v>342</v>
      </c>
      <c r="C393" t="s">
        <v>251</v>
      </c>
      <c r="D393" t="s">
        <v>81</v>
      </c>
      <c r="E393">
        <v>10000000</v>
      </c>
      <c r="H393">
        <v>1.69</v>
      </c>
      <c r="I393" t="s">
        <v>56</v>
      </c>
      <c r="J393">
        <v>1.6899999999999999E-4</v>
      </c>
      <c r="K393" t="s">
        <v>57</v>
      </c>
      <c r="O393">
        <v>3600</v>
      </c>
      <c r="P393" t="s">
        <v>315</v>
      </c>
      <c r="T393">
        <v>25</v>
      </c>
      <c r="U393" t="s">
        <v>120</v>
      </c>
      <c r="V393">
        <v>75</v>
      </c>
      <c r="W393" t="s">
        <v>73</v>
      </c>
      <c r="X393" t="s">
        <v>280</v>
      </c>
      <c r="Y393">
        <v>180</v>
      </c>
      <c r="AB393">
        <v>5.6673876800752199</v>
      </c>
      <c r="AC393" t="s">
        <v>85</v>
      </c>
      <c r="AE393" t="s">
        <v>63</v>
      </c>
      <c r="AI393">
        <v>5</v>
      </c>
      <c r="AT393" t="s">
        <v>73</v>
      </c>
      <c r="AV393" t="s">
        <v>88</v>
      </c>
      <c r="AW393">
        <v>3600</v>
      </c>
    </row>
    <row r="394" spans="1:49" hidden="1" x14ac:dyDescent="0.3">
      <c r="A394" t="s">
        <v>342</v>
      </c>
      <c r="C394" t="s">
        <v>251</v>
      </c>
      <c r="D394" t="s">
        <v>81</v>
      </c>
      <c r="E394">
        <v>10000000</v>
      </c>
      <c r="H394">
        <v>1.69</v>
      </c>
      <c r="I394" t="s">
        <v>56</v>
      </c>
      <c r="J394">
        <v>1.6899999999999999E-4</v>
      </c>
      <c r="K394" t="s">
        <v>57</v>
      </c>
      <c r="O394">
        <v>3600</v>
      </c>
      <c r="P394" t="s">
        <v>315</v>
      </c>
      <c r="T394">
        <v>25</v>
      </c>
      <c r="U394" t="s">
        <v>120</v>
      </c>
      <c r="V394">
        <v>75</v>
      </c>
      <c r="W394" t="s">
        <v>318</v>
      </c>
      <c r="X394" t="s">
        <v>280</v>
      </c>
      <c r="Y394">
        <v>180</v>
      </c>
      <c r="AB394">
        <v>5.3587568930876701</v>
      </c>
      <c r="AC394" t="s">
        <v>85</v>
      </c>
      <c r="AE394" t="s">
        <v>63</v>
      </c>
      <c r="AI394">
        <v>5</v>
      </c>
      <c r="AT394" t="s">
        <v>318</v>
      </c>
      <c r="AV394" t="s">
        <v>88</v>
      </c>
      <c r="AW394">
        <v>3600</v>
      </c>
    </row>
    <row r="395" spans="1:49" hidden="1" x14ac:dyDescent="0.3">
      <c r="A395" t="s">
        <v>342</v>
      </c>
      <c r="C395" t="s">
        <v>251</v>
      </c>
      <c r="D395" t="s">
        <v>81</v>
      </c>
      <c r="E395">
        <v>10000000</v>
      </c>
      <c r="H395">
        <v>3.25</v>
      </c>
      <c r="I395" t="s">
        <v>56</v>
      </c>
      <c r="J395">
        <v>3.2499999999999999E-4</v>
      </c>
      <c r="K395" t="s">
        <v>57</v>
      </c>
      <c r="O395">
        <v>3600</v>
      </c>
      <c r="P395" t="s">
        <v>315</v>
      </c>
      <c r="T395">
        <v>25</v>
      </c>
      <c r="U395" t="s">
        <v>120</v>
      </c>
      <c r="V395">
        <v>75</v>
      </c>
      <c r="W395" t="s">
        <v>319</v>
      </c>
      <c r="X395" t="s">
        <v>280</v>
      </c>
      <c r="Y395">
        <v>180</v>
      </c>
      <c r="AB395">
        <v>4.5996580173556101</v>
      </c>
      <c r="AC395" t="s">
        <v>85</v>
      </c>
      <c r="AE395" t="s">
        <v>63</v>
      </c>
      <c r="AI395">
        <v>5</v>
      </c>
      <c r="AT395" t="s">
        <v>77</v>
      </c>
      <c r="AV395" t="s">
        <v>88</v>
      </c>
      <c r="AW395">
        <v>3600</v>
      </c>
    </row>
    <row r="396" spans="1:49" hidden="1" x14ac:dyDescent="0.3">
      <c r="A396" t="s">
        <v>342</v>
      </c>
      <c r="C396" t="s">
        <v>251</v>
      </c>
      <c r="D396" t="s">
        <v>81</v>
      </c>
      <c r="E396">
        <v>10000000</v>
      </c>
      <c r="H396">
        <v>1.69</v>
      </c>
      <c r="I396" t="s">
        <v>56</v>
      </c>
      <c r="J396">
        <v>1.6899999999999999E-4</v>
      </c>
      <c r="K396" t="s">
        <v>57</v>
      </c>
      <c r="O396">
        <v>3600</v>
      </c>
      <c r="P396" t="s">
        <v>315</v>
      </c>
      <c r="T396">
        <v>25</v>
      </c>
      <c r="U396" t="s">
        <v>120</v>
      </c>
      <c r="V396">
        <v>75</v>
      </c>
      <c r="W396" t="s">
        <v>320</v>
      </c>
      <c r="X396" t="s">
        <v>280</v>
      </c>
      <c r="Y396">
        <v>180</v>
      </c>
      <c r="AB396">
        <v>5.4166887530457801</v>
      </c>
      <c r="AC396" t="s">
        <v>85</v>
      </c>
      <c r="AE396" t="s">
        <v>63</v>
      </c>
      <c r="AI396">
        <v>5</v>
      </c>
      <c r="AV396" t="s">
        <v>88</v>
      </c>
      <c r="AW396">
        <v>3600</v>
      </c>
    </row>
    <row r="397" spans="1:49" hidden="1" x14ac:dyDescent="0.3">
      <c r="A397" t="s">
        <v>342</v>
      </c>
      <c r="C397" t="s">
        <v>251</v>
      </c>
      <c r="D397" t="s">
        <v>81</v>
      </c>
      <c r="E397">
        <v>4900000</v>
      </c>
      <c r="H397">
        <v>1.69</v>
      </c>
      <c r="I397" t="s">
        <v>56</v>
      </c>
      <c r="J397">
        <v>1.6899999999999999E-4</v>
      </c>
      <c r="K397" t="s">
        <v>57</v>
      </c>
      <c r="O397">
        <v>3600</v>
      </c>
      <c r="P397" t="s">
        <v>315</v>
      </c>
      <c r="T397">
        <v>25</v>
      </c>
      <c r="U397" t="s">
        <v>120</v>
      </c>
      <c r="V397">
        <v>75</v>
      </c>
      <c r="W397" t="s">
        <v>123</v>
      </c>
      <c r="X397" t="s">
        <v>280</v>
      </c>
      <c r="Y397">
        <v>180</v>
      </c>
      <c r="AB397">
        <v>5.9266447227803001</v>
      </c>
      <c r="AC397" t="s">
        <v>85</v>
      </c>
      <c r="AE397" t="s">
        <v>63</v>
      </c>
      <c r="AI397">
        <v>5</v>
      </c>
      <c r="AT397" t="s">
        <v>79</v>
      </c>
      <c r="AV397" t="s">
        <v>88</v>
      </c>
      <c r="AW397">
        <v>3600</v>
      </c>
    </row>
    <row r="398" spans="1:49" hidden="1" x14ac:dyDescent="0.3">
      <c r="A398" t="s">
        <v>342</v>
      </c>
      <c r="C398" t="s">
        <v>251</v>
      </c>
      <c r="D398" t="s">
        <v>81</v>
      </c>
      <c r="E398">
        <v>4900000</v>
      </c>
      <c r="H398">
        <v>1.69</v>
      </c>
      <c r="I398" t="s">
        <v>56</v>
      </c>
      <c r="J398">
        <v>1.6899999999999999E-4</v>
      </c>
      <c r="K398" t="s">
        <v>57</v>
      </c>
      <c r="O398">
        <v>3600</v>
      </c>
      <c r="P398" t="s">
        <v>315</v>
      </c>
      <c r="T398">
        <v>25</v>
      </c>
      <c r="U398" t="s">
        <v>120</v>
      </c>
      <c r="V398">
        <v>75</v>
      </c>
      <c r="W398" t="s">
        <v>75</v>
      </c>
      <c r="X398" t="s">
        <v>280</v>
      </c>
      <c r="Y398">
        <v>180</v>
      </c>
      <c r="AB398">
        <v>2.3430684392767001</v>
      </c>
      <c r="AC398" t="s">
        <v>85</v>
      </c>
      <c r="AE398" t="s">
        <v>63</v>
      </c>
      <c r="AI398">
        <v>5</v>
      </c>
      <c r="AT398" t="s">
        <v>75</v>
      </c>
      <c r="AV398" t="s">
        <v>88</v>
      </c>
      <c r="AW398">
        <v>3600</v>
      </c>
    </row>
    <row r="399" spans="1:49" hidden="1" x14ac:dyDescent="0.3">
      <c r="A399" t="s">
        <v>342</v>
      </c>
      <c r="C399" t="s">
        <v>251</v>
      </c>
      <c r="D399" t="s">
        <v>81</v>
      </c>
      <c r="E399">
        <v>4900000</v>
      </c>
      <c r="H399">
        <v>1.69</v>
      </c>
      <c r="I399" t="s">
        <v>56</v>
      </c>
      <c r="J399">
        <v>1.6899999999999999E-4</v>
      </c>
      <c r="K399" t="s">
        <v>57</v>
      </c>
      <c r="O399">
        <v>3600</v>
      </c>
      <c r="P399" t="s">
        <v>315</v>
      </c>
      <c r="T399">
        <v>25</v>
      </c>
      <c r="U399" t="s">
        <v>120</v>
      </c>
      <c r="V399">
        <v>75</v>
      </c>
      <c r="W399" t="s">
        <v>73</v>
      </c>
      <c r="X399" t="s">
        <v>280</v>
      </c>
      <c r="Y399">
        <v>180</v>
      </c>
      <c r="AB399">
        <v>6.5755054930962098</v>
      </c>
      <c r="AC399" t="s">
        <v>85</v>
      </c>
      <c r="AE399" t="s">
        <v>63</v>
      </c>
      <c r="AI399">
        <v>5</v>
      </c>
      <c r="AT399" t="s">
        <v>73</v>
      </c>
      <c r="AV399" t="s">
        <v>88</v>
      </c>
      <c r="AW399">
        <v>3600</v>
      </c>
    </row>
    <row r="400" spans="1:49" hidden="1" x14ac:dyDescent="0.3">
      <c r="A400" t="s">
        <v>342</v>
      </c>
      <c r="C400" t="s">
        <v>251</v>
      </c>
      <c r="D400" t="s">
        <v>81</v>
      </c>
      <c r="E400">
        <v>4900000</v>
      </c>
      <c r="H400">
        <v>1.69</v>
      </c>
      <c r="I400" t="s">
        <v>56</v>
      </c>
      <c r="J400">
        <v>1.6899999999999999E-4</v>
      </c>
      <c r="K400" t="s">
        <v>57</v>
      </c>
      <c r="O400">
        <v>3600</v>
      </c>
      <c r="P400" t="s">
        <v>315</v>
      </c>
      <c r="T400">
        <v>25</v>
      </c>
      <c r="U400" t="s">
        <v>120</v>
      </c>
      <c r="V400">
        <v>75</v>
      </c>
      <c r="W400" t="s">
        <v>318</v>
      </c>
      <c r="X400" t="s">
        <v>280</v>
      </c>
      <c r="Y400">
        <v>180</v>
      </c>
      <c r="AB400">
        <v>5.1205659812764299</v>
      </c>
      <c r="AC400" t="s">
        <v>85</v>
      </c>
      <c r="AE400" t="s">
        <v>63</v>
      </c>
      <c r="AI400">
        <v>5</v>
      </c>
      <c r="AT400" t="s">
        <v>318</v>
      </c>
      <c r="AV400" t="s">
        <v>88</v>
      </c>
      <c r="AW400">
        <v>3600</v>
      </c>
    </row>
    <row r="401" spans="1:51" hidden="1" x14ac:dyDescent="0.3">
      <c r="A401" t="s">
        <v>342</v>
      </c>
      <c r="C401" t="s">
        <v>251</v>
      </c>
      <c r="D401" t="s">
        <v>81</v>
      </c>
      <c r="E401">
        <v>4900000</v>
      </c>
      <c r="H401">
        <v>3.25</v>
      </c>
      <c r="I401" t="s">
        <v>56</v>
      </c>
      <c r="J401">
        <v>3.2499999999999999E-4</v>
      </c>
      <c r="K401" t="s">
        <v>57</v>
      </c>
      <c r="O401">
        <v>3600</v>
      </c>
      <c r="P401" t="s">
        <v>315</v>
      </c>
      <c r="T401">
        <v>25</v>
      </c>
      <c r="U401" t="s">
        <v>120</v>
      </c>
      <c r="V401">
        <v>75</v>
      </c>
      <c r="W401" t="s">
        <v>319</v>
      </c>
      <c r="X401" t="s">
        <v>280</v>
      </c>
      <c r="Y401">
        <v>180</v>
      </c>
      <c r="AB401">
        <v>4.4230496302312501</v>
      </c>
      <c r="AC401" t="s">
        <v>85</v>
      </c>
      <c r="AE401" t="s">
        <v>63</v>
      </c>
      <c r="AI401">
        <v>5</v>
      </c>
      <c r="AT401" t="s">
        <v>77</v>
      </c>
      <c r="AV401" t="s">
        <v>88</v>
      </c>
      <c r="AW401">
        <v>3600</v>
      </c>
    </row>
    <row r="402" spans="1:51" hidden="1" x14ac:dyDescent="0.3">
      <c r="A402" t="s">
        <v>342</v>
      </c>
      <c r="C402" t="s">
        <v>251</v>
      </c>
      <c r="D402" t="s">
        <v>81</v>
      </c>
      <c r="E402">
        <v>4900000</v>
      </c>
      <c r="H402">
        <v>1.69</v>
      </c>
      <c r="I402" t="s">
        <v>56</v>
      </c>
      <c r="J402">
        <v>1.6899999999999999E-4</v>
      </c>
      <c r="K402" t="s">
        <v>57</v>
      </c>
      <c r="O402">
        <v>3600</v>
      </c>
      <c r="P402" t="s">
        <v>315</v>
      </c>
      <c r="T402">
        <v>25</v>
      </c>
      <c r="U402" t="s">
        <v>120</v>
      </c>
      <c r="V402">
        <v>75</v>
      </c>
      <c r="W402" t="s">
        <v>320</v>
      </c>
      <c r="X402" t="s">
        <v>280</v>
      </c>
      <c r="Y402">
        <v>180</v>
      </c>
      <c r="AB402">
        <v>5.8743983242850302</v>
      </c>
      <c r="AC402" t="s">
        <v>85</v>
      </c>
      <c r="AE402" t="s">
        <v>63</v>
      </c>
      <c r="AI402">
        <v>5</v>
      </c>
      <c r="AV402" t="s">
        <v>88</v>
      </c>
      <c r="AW402">
        <v>3600</v>
      </c>
    </row>
    <row r="403" spans="1:51" hidden="1" x14ac:dyDescent="0.3">
      <c r="A403" t="s">
        <v>342</v>
      </c>
      <c r="C403" t="s">
        <v>251</v>
      </c>
      <c r="D403" t="s">
        <v>81</v>
      </c>
      <c r="E403">
        <v>4900000</v>
      </c>
      <c r="H403">
        <v>1.69</v>
      </c>
      <c r="I403" t="s">
        <v>56</v>
      </c>
      <c r="J403">
        <v>1.6899999999999999E-4</v>
      </c>
      <c r="K403" t="s">
        <v>57</v>
      </c>
      <c r="O403">
        <v>3600</v>
      </c>
      <c r="P403" t="s">
        <v>315</v>
      </c>
      <c r="T403">
        <v>25</v>
      </c>
      <c r="U403" t="s">
        <v>120</v>
      </c>
      <c r="V403">
        <v>75</v>
      </c>
      <c r="W403" t="s">
        <v>123</v>
      </c>
      <c r="X403" t="s">
        <v>280</v>
      </c>
      <c r="Y403">
        <v>180</v>
      </c>
      <c r="AB403">
        <v>6.9779763177018701</v>
      </c>
      <c r="AC403" t="s">
        <v>85</v>
      </c>
      <c r="AE403" t="s">
        <v>63</v>
      </c>
      <c r="AI403">
        <v>5</v>
      </c>
      <c r="AT403" t="s">
        <v>79</v>
      </c>
      <c r="AV403" t="s">
        <v>88</v>
      </c>
      <c r="AW403">
        <v>3600</v>
      </c>
    </row>
    <row r="404" spans="1:51" hidden="1" x14ac:dyDescent="0.3">
      <c r="A404" t="s">
        <v>342</v>
      </c>
      <c r="C404" t="s">
        <v>251</v>
      </c>
      <c r="D404" t="s">
        <v>81</v>
      </c>
      <c r="E404">
        <v>4900000</v>
      </c>
      <c r="H404">
        <v>1.69</v>
      </c>
      <c r="I404" t="s">
        <v>56</v>
      </c>
      <c r="J404">
        <v>1.6899999999999999E-4</v>
      </c>
      <c r="K404" t="s">
        <v>57</v>
      </c>
      <c r="O404">
        <v>3600</v>
      </c>
      <c r="P404" t="s">
        <v>315</v>
      </c>
      <c r="T404">
        <v>25</v>
      </c>
      <c r="U404" t="s">
        <v>120</v>
      </c>
      <c r="V404">
        <v>75</v>
      </c>
      <c r="W404" t="s">
        <v>75</v>
      </c>
      <c r="X404" t="s">
        <v>280</v>
      </c>
      <c r="Y404">
        <v>180</v>
      </c>
      <c r="AB404">
        <v>3.0055743171034002</v>
      </c>
      <c r="AC404" t="s">
        <v>85</v>
      </c>
      <c r="AE404" t="s">
        <v>63</v>
      </c>
      <c r="AI404">
        <v>5</v>
      </c>
      <c r="AT404" t="s">
        <v>75</v>
      </c>
      <c r="AV404" t="s">
        <v>88</v>
      </c>
      <c r="AW404">
        <v>3600</v>
      </c>
    </row>
    <row r="405" spans="1:51" hidden="1" x14ac:dyDescent="0.3">
      <c r="A405" t="s">
        <v>342</v>
      </c>
      <c r="C405" t="s">
        <v>251</v>
      </c>
      <c r="D405" t="s">
        <v>81</v>
      </c>
      <c r="E405">
        <v>4900000</v>
      </c>
      <c r="H405">
        <v>1.69</v>
      </c>
      <c r="I405" t="s">
        <v>56</v>
      </c>
      <c r="J405">
        <v>1.6899999999999999E-4</v>
      </c>
      <c r="K405" t="s">
        <v>57</v>
      </c>
      <c r="O405">
        <v>3600</v>
      </c>
      <c r="P405" t="s">
        <v>315</v>
      </c>
      <c r="T405">
        <v>25</v>
      </c>
      <c r="U405" t="s">
        <v>120</v>
      </c>
      <c r="V405">
        <v>75</v>
      </c>
      <c r="W405" t="s">
        <v>73</v>
      </c>
      <c r="X405" t="s">
        <v>280</v>
      </c>
      <c r="Y405">
        <v>180</v>
      </c>
      <c r="AB405">
        <v>3.75850895567048</v>
      </c>
      <c r="AC405" t="s">
        <v>85</v>
      </c>
      <c r="AE405" t="s">
        <v>63</v>
      </c>
      <c r="AI405">
        <v>5</v>
      </c>
      <c r="AT405" t="s">
        <v>73</v>
      </c>
      <c r="AV405" t="s">
        <v>88</v>
      </c>
      <c r="AW405">
        <v>3600</v>
      </c>
    </row>
    <row r="406" spans="1:51" hidden="1" x14ac:dyDescent="0.3">
      <c r="A406" t="s">
        <v>342</v>
      </c>
      <c r="C406" t="s">
        <v>251</v>
      </c>
      <c r="D406" t="s">
        <v>81</v>
      </c>
      <c r="E406">
        <v>4900000</v>
      </c>
      <c r="H406">
        <v>1.69</v>
      </c>
      <c r="I406" t="s">
        <v>56</v>
      </c>
      <c r="J406">
        <v>1.6899999999999999E-4</v>
      </c>
      <c r="K406" t="s">
        <v>57</v>
      </c>
      <c r="O406">
        <v>3600</v>
      </c>
      <c r="P406" t="s">
        <v>315</v>
      </c>
      <c r="T406">
        <v>25</v>
      </c>
      <c r="U406" t="s">
        <v>120</v>
      </c>
      <c r="V406">
        <v>75</v>
      </c>
      <c r="W406" t="s">
        <v>318</v>
      </c>
      <c r="X406" t="s">
        <v>280</v>
      </c>
      <c r="Y406">
        <v>180</v>
      </c>
      <c r="AB406">
        <v>3.8385243448894801</v>
      </c>
      <c r="AC406" t="s">
        <v>85</v>
      </c>
      <c r="AE406" t="s">
        <v>63</v>
      </c>
      <c r="AI406">
        <v>5</v>
      </c>
      <c r="AT406" t="s">
        <v>318</v>
      </c>
      <c r="AV406" t="s">
        <v>88</v>
      </c>
      <c r="AW406">
        <v>3600</v>
      </c>
    </row>
    <row r="407" spans="1:51" hidden="1" x14ac:dyDescent="0.3">
      <c r="A407" t="s">
        <v>342</v>
      </c>
      <c r="C407" t="s">
        <v>251</v>
      </c>
      <c r="D407" t="s">
        <v>81</v>
      </c>
      <c r="E407">
        <v>4900000</v>
      </c>
      <c r="H407">
        <v>3.25</v>
      </c>
      <c r="I407" t="s">
        <v>56</v>
      </c>
      <c r="J407">
        <v>3.2499999999999999E-4</v>
      </c>
      <c r="K407" t="s">
        <v>57</v>
      </c>
      <c r="O407">
        <v>3600</v>
      </c>
      <c r="P407" t="s">
        <v>315</v>
      </c>
      <c r="T407">
        <v>25</v>
      </c>
      <c r="U407" t="s">
        <v>120</v>
      </c>
      <c r="V407">
        <v>75</v>
      </c>
      <c r="W407" t="s">
        <v>319</v>
      </c>
      <c r="X407" t="s">
        <v>280</v>
      </c>
      <c r="Y407">
        <v>180</v>
      </c>
      <c r="AB407">
        <v>1.4421322617876999</v>
      </c>
      <c r="AC407" t="s">
        <v>85</v>
      </c>
      <c r="AE407" t="s">
        <v>63</v>
      </c>
      <c r="AI407">
        <v>5</v>
      </c>
      <c r="AT407" t="s">
        <v>77</v>
      </c>
      <c r="AV407" t="s">
        <v>88</v>
      </c>
      <c r="AW407">
        <v>3600</v>
      </c>
    </row>
    <row r="408" spans="1:51" hidden="1" x14ac:dyDescent="0.3">
      <c r="A408" t="s">
        <v>342</v>
      </c>
      <c r="C408" t="s">
        <v>251</v>
      </c>
      <c r="D408" t="s">
        <v>81</v>
      </c>
      <c r="E408">
        <v>4900000</v>
      </c>
      <c r="H408">
        <v>1.69</v>
      </c>
      <c r="I408" t="s">
        <v>56</v>
      </c>
      <c r="J408">
        <v>1.6899999999999999E-4</v>
      </c>
      <c r="K408" t="s">
        <v>57</v>
      </c>
      <c r="O408">
        <v>3600</v>
      </c>
      <c r="P408" t="s">
        <v>315</v>
      </c>
      <c r="T408">
        <v>25</v>
      </c>
      <c r="U408" t="s">
        <v>120</v>
      </c>
      <c r="V408">
        <v>75</v>
      </c>
      <c r="W408" t="s">
        <v>320</v>
      </c>
      <c r="X408" t="s">
        <v>280</v>
      </c>
      <c r="Y408">
        <v>180</v>
      </c>
      <c r="AB408">
        <v>0.764963878083186</v>
      </c>
      <c r="AC408" t="s">
        <v>85</v>
      </c>
      <c r="AE408" t="s">
        <v>63</v>
      </c>
      <c r="AI408">
        <v>5</v>
      </c>
      <c r="AV408" t="s">
        <v>88</v>
      </c>
      <c r="AW408">
        <v>3600</v>
      </c>
    </row>
    <row r="409" spans="1:51" hidden="1" x14ac:dyDescent="0.3">
      <c r="A409" t="s">
        <v>342</v>
      </c>
      <c r="C409" t="s">
        <v>251</v>
      </c>
      <c r="D409" t="s">
        <v>81</v>
      </c>
      <c r="E409">
        <v>1000000</v>
      </c>
      <c r="H409">
        <v>1.69</v>
      </c>
      <c r="I409" t="s">
        <v>56</v>
      </c>
      <c r="J409">
        <v>1.6899999999999999E-4</v>
      </c>
      <c r="K409" t="s">
        <v>57</v>
      </c>
      <c r="O409">
        <v>3600</v>
      </c>
      <c r="P409" t="s">
        <v>315</v>
      </c>
      <c r="T409">
        <v>25</v>
      </c>
      <c r="U409" t="s">
        <v>120</v>
      </c>
      <c r="V409">
        <v>75</v>
      </c>
      <c r="W409" t="s">
        <v>123</v>
      </c>
      <c r="X409" t="s">
        <v>280</v>
      </c>
      <c r="Y409">
        <v>180</v>
      </c>
      <c r="AB409">
        <v>0.90644209806352305</v>
      </c>
      <c r="AC409" t="s">
        <v>85</v>
      </c>
      <c r="AE409" t="s">
        <v>63</v>
      </c>
      <c r="AI409">
        <v>5</v>
      </c>
      <c r="AT409" t="s">
        <v>79</v>
      </c>
      <c r="AV409" t="s">
        <v>88</v>
      </c>
      <c r="AW409">
        <v>3600</v>
      </c>
    </row>
    <row r="410" spans="1:51" hidden="1" x14ac:dyDescent="0.3">
      <c r="A410" t="s">
        <v>342</v>
      </c>
      <c r="C410" t="s">
        <v>251</v>
      </c>
      <c r="D410" t="s">
        <v>81</v>
      </c>
      <c r="E410">
        <v>1000000</v>
      </c>
      <c r="H410">
        <v>1.69</v>
      </c>
      <c r="I410" t="s">
        <v>56</v>
      </c>
      <c r="J410">
        <v>1.6899999999999999E-4</v>
      </c>
      <c r="K410" t="s">
        <v>57</v>
      </c>
      <c r="O410">
        <v>3600</v>
      </c>
      <c r="P410" t="s">
        <v>315</v>
      </c>
      <c r="T410">
        <v>25</v>
      </c>
      <c r="U410" t="s">
        <v>120</v>
      </c>
      <c r="V410">
        <v>75</v>
      </c>
      <c r="W410" t="s">
        <v>75</v>
      </c>
      <c r="X410" t="s">
        <v>280</v>
      </c>
      <c r="Y410">
        <v>180</v>
      </c>
      <c r="AB410">
        <v>1.1709656734920499</v>
      </c>
      <c r="AC410" t="s">
        <v>85</v>
      </c>
      <c r="AE410" t="s">
        <v>63</v>
      </c>
      <c r="AI410">
        <v>5</v>
      </c>
      <c r="AT410" t="s">
        <v>75</v>
      </c>
      <c r="AV410" t="s">
        <v>88</v>
      </c>
      <c r="AW410">
        <v>3600</v>
      </c>
    </row>
    <row r="411" spans="1:51" hidden="1" x14ac:dyDescent="0.3">
      <c r="A411" t="s">
        <v>342</v>
      </c>
      <c r="C411" t="s">
        <v>251</v>
      </c>
      <c r="D411" t="s">
        <v>81</v>
      </c>
      <c r="E411">
        <v>1000000</v>
      </c>
      <c r="H411">
        <v>1.69</v>
      </c>
      <c r="I411" t="s">
        <v>56</v>
      </c>
      <c r="J411">
        <v>1.6899999999999999E-4</v>
      </c>
      <c r="K411" t="s">
        <v>57</v>
      </c>
      <c r="N411" t="s">
        <v>321</v>
      </c>
      <c r="O411">
        <v>290</v>
      </c>
      <c r="P411" t="s">
        <v>315</v>
      </c>
      <c r="T411">
        <v>25</v>
      </c>
      <c r="V411">
        <v>75</v>
      </c>
      <c r="W411" t="s">
        <v>73</v>
      </c>
      <c r="X411" t="s">
        <v>255</v>
      </c>
      <c r="Y411">
        <v>180</v>
      </c>
      <c r="AB411">
        <v>5.6329966329966199</v>
      </c>
      <c r="AC411" t="s">
        <v>85</v>
      </c>
      <c r="AE411" t="s">
        <v>63</v>
      </c>
      <c r="AI411">
        <v>5</v>
      </c>
      <c r="AT411" t="s">
        <v>73</v>
      </c>
      <c r="AV411" t="s">
        <v>88</v>
      </c>
      <c r="AY411">
        <v>290</v>
      </c>
    </row>
    <row r="412" spans="1:51" hidden="1" x14ac:dyDescent="0.3">
      <c r="A412" t="s">
        <v>342</v>
      </c>
      <c r="C412" t="s">
        <v>251</v>
      </c>
      <c r="D412" t="s">
        <v>81</v>
      </c>
      <c r="E412">
        <v>1000000</v>
      </c>
      <c r="H412">
        <v>1.69</v>
      </c>
      <c r="I412" t="s">
        <v>56</v>
      </c>
      <c r="J412">
        <v>1.6899999999999999E-4</v>
      </c>
      <c r="K412" t="s">
        <v>57</v>
      </c>
      <c r="N412" t="s">
        <v>321</v>
      </c>
      <c r="O412">
        <v>290</v>
      </c>
      <c r="P412" t="s">
        <v>315</v>
      </c>
      <c r="T412">
        <v>25</v>
      </c>
      <c r="V412">
        <v>75</v>
      </c>
      <c r="W412" t="s">
        <v>318</v>
      </c>
      <c r="X412" t="s">
        <v>255</v>
      </c>
      <c r="Y412">
        <v>180</v>
      </c>
      <c r="AB412">
        <v>6.2693602693602601</v>
      </c>
      <c r="AC412" t="s">
        <v>85</v>
      </c>
      <c r="AE412" t="s">
        <v>63</v>
      </c>
      <c r="AI412">
        <v>5</v>
      </c>
      <c r="AT412" t="s">
        <v>318</v>
      </c>
      <c r="AV412" t="s">
        <v>88</v>
      </c>
      <c r="AY412">
        <v>290</v>
      </c>
    </row>
    <row r="413" spans="1:51" hidden="1" x14ac:dyDescent="0.3">
      <c r="A413" t="s">
        <v>342</v>
      </c>
      <c r="C413" t="s">
        <v>251</v>
      </c>
      <c r="D413" t="s">
        <v>81</v>
      </c>
      <c r="E413">
        <v>1000000</v>
      </c>
      <c r="H413">
        <v>3.25</v>
      </c>
      <c r="I413" t="s">
        <v>56</v>
      </c>
      <c r="J413">
        <v>3.2499999999999999E-4</v>
      </c>
      <c r="K413" t="s">
        <v>57</v>
      </c>
      <c r="N413" t="s">
        <v>321</v>
      </c>
      <c r="O413">
        <v>290</v>
      </c>
      <c r="P413" t="s">
        <v>315</v>
      </c>
      <c r="T413">
        <v>25</v>
      </c>
      <c r="V413">
        <v>75</v>
      </c>
      <c r="W413" t="s">
        <v>319</v>
      </c>
      <c r="X413" t="s">
        <v>255</v>
      </c>
      <c r="Y413">
        <v>180</v>
      </c>
      <c r="AB413">
        <v>0.82491582491582405</v>
      </c>
      <c r="AC413" t="s">
        <v>85</v>
      </c>
      <c r="AE413" t="s">
        <v>63</v>
      </c>
      <c r="AI413">
        <v>5</v>
      </c>
      <c r="AT413" t="s">
        <v>77</v>
      </c>
      <c r="AV413" t="s">
        <v>88</v>
      </c>
      <c r="AY413">
        <v>290</v>
      </c>
    </row>
    <row r="414" spans="1:51" hidden="1" x14ac:dyDescent="0.3">
      <c r="A414" t="s">
        <v>342</v>
      </c>
      <c r="C414" t="s">
        <v>251</v>
      </c>
      <c r="D414" t="s">
        <v>81</v>
      </c>
      <c r="E414">
        <v>1000000</v>
      </c>
      <c r="H414">
        <v>1.69</v>
      </c>
      <c r="I414" t="s">
        <v>56</v>
      </c>
      <c r="J414">
        <v>1.6899999999999999E-4</v>
      </c>
      <c r="K414" t="s">
        <v>57</v>
      </c>
      <c r="N414" t="s">
        <v>321</v>
      </c>
      <c r="O414">
        <v>290</v>
      </c>
      <c r="P414" t="s">
        <v>315</v>
      </c>
      <c r="T414">
        <v>25</v>
      </c>
      <c r="V414">
        <v>75</v>
      </c>
      <c r="W414" t="s">
        <v>320</v>
      </c>
      <c r="X414" t="s">
        <v>255</v>
      </c>
      <c r="Y414">
        <v>180</v>
      </c>
      <c r="AB414">
        <v>5.4444444444444402</v>
      </c>
      <c r="AC414" t="s">
        <v>85</v>
      </c>
      <c r="AE414" t="s">
        <v>63</v>
      </c>
      <c r="AI414">
        <v>5</v>
      </c>
      <c r="AV414" t="s">
        <v>88</v>
      </c>
      <c r="AY414">
        <v>290</v>
      </c>
    </row>
    <row r="415" spans="1:51" hidden="1" x14ac:dyDescent="0.3">
      <c r="A415" t="s">
        <v>342</v>
      </c>
      <c r="C415" t="s">
        <v>251</v>
      </c>
      <c r="D415" t="s">
        <v>81</v>
      </c>
      <c r="E415">
        <v>1000000</v>
      </c>
      <c r="H415">
        <v>1.69</v>
      </c>
      <c r="I415" t="s">
        <v>56</v>
      </c>
      <c r="J415">
        <v>1.6899999999999999E-4</v>
      </c>
      <c r="K415" t="s">
        <v>57</v>
      </c>
      <c r="N415" t="s">
        <v>321</v>
      </c>
      <c r="O415">
        <v>290</v>
      </c>
      <c r="P415" t="s">
        <v>315</v>
      </c>
      <c r="T415">
        <v>25</v>
      </c>
      <c r="V415">
        <v>75</v>
      </c>
      <c r="W415" t="s">
        <v>123</v>
      </c>
      <c r="X415" t="s">
        <v>255</v>
      </c>
      <c r="Y415">
        <v>180</v>
      </c>
      <c r="AB415">
        <v>5.8922558922558901</v>
      </c>
      <c r="AC415" t="s">
        <v>85</v>
      </c>
      <c r="AE415" t="s">
        <v>63</v>
      </c>
      <c r="AI415">
        <v>5</v>
      </c>
      <c r="AT415" t="s">
        <v>79</v>
      </c>
      <c r="AV415" t="s">
        <v>88</v>
      </c>
      <c r="AY415">
        <v>290</v>
      </c>
    </row>
    <row r="416" spans="1:51" hidden="1" x14ac:dyDescent="0.3">
      <c r="A416" t="s">
        <v>342</v>
      </c>
      <c r="C416" t="s">
        <v>251</v>
      </c>
      <c r="D416" t="s">
        <v>81</v>
      </c>
      <c r="E416">
        <v>1000000</v>
      </c>
      <c r="H416">
        <v>1.69</v>
      </c>
      <c r="I416" t="s">
        <v>56</v>
      </c>
      <c r="J416">
        <v>1.6899999999999999E-4</v>
      </c>
      <c r="K416" t="s">
        <v>57</v>
      </c>
      <c r="N416" t="s">
        <v>321</v>
      </c>
      <c r="O416">
        <v>290</v>
      </c>
      <c r="P416" t="s">
        <v>315</v>
      </c>
      <c r="T416">
        <v>25</v>
      </c>
      <c r="V416">
        <v>75</v>
      </c>
      <c r="W416" t="s">
        <v>75</v>
      </c>
      <c r="X416" t="s">
        <v>255</v>
      </c>
      <c r="Y416">
        <v>180</v>
      </c>
      <c r="AB416">
        <v>5.4915824915824798</v>
      </c>
      <c r="AC416" t="s">
        <v>85</v>
      </c>
      <c r="AE416" t="s">
        <v>63</v>
      </c>
      <c r="AI416">
        <v>5</v>
      </c>
      <c r="AT416" t="s">
        <v>75</v>
      </c>
      <c r="AV416" t="s">
        <v>88</v>
      </c>
      <c r="AY416">
        <v>290</v>
      </c>
    </row>
    <row r="417" spans="1:51" hidden="1" x14ac:dyDescent="0.3">
      <c r="A417" t="s">
        <v>342</v>
      </c>
      <c r="C417" t="s">
        <v>251</v>
      </c>
      <c r="D417" t="s">
        <v>81</v>
      </c>
      <c r="E417">
        <v>1000000</v>
      </c>
      <c r="H417">
        <v>1.69</v>
      </c>
      <c r="I417" t="s">
        <v>56</v>
      </c>
      <c r="J417">
        <v>1.6899999999999999E-4</v>
      </c>
      <c r="K417" t="s">
        <v>57</v>
      </c>
      <c r="N417" t="s">
        <v>321</v>
      </c>
      <c r="O417">
        <v>290</v>
      </c>
      <c r="P417" t="s">
        <v>315</v>
      </c>
      <c r="T417">
        <v>25</v>
      </c>
      <c r="V417">
        <v>75</v>
      </c>
      <c r="W417" t="s">
        <v>73</v>
      </c>
      <c r="X417" t="s">
        <v>255</v>
      </c>
      <c r="Y417">
        <v>180</v>
      </c>
      <c r="AB417">
        <v>5.1144781144781</v>
      </c>
      <c r="AC417" t="s">
        <v>85</v>
      </c>
      <c r="AE417" t="s">
        <v>63</v>
      </c>
      <c r="AI417">
        <v>5</v>
      </c>
      <c r="AT417" t="s">
        <v>73</v>
      </c>
      <c r="AV417" t="s">
        <v>88</v>
      </c>
      <c r="AY417">
        <v>290</v>
      </c>
    </row>
    <row r="418" spans="1:51" hidden="1" x14ac:dyDescent="0.3">
      <c r="A418" t="s">
        <v>342</v>
      </c>
      <c r="C418" t="s">
        <v>251</v>
      </c>
      <c r="D418" t="s">
        <v>81</v>
      </c>
      <c r="E418">
        <v>1000000</v>
      </c>
      <c r="H418">
        <v>1.69</v>
      </c>
      <c r="I418" t="s">
        <v>56</v>
      </c>
      <c r="J418">
        <v>1.6899999999999999E-4</v>
      </c>
      <c r="K418" t="s">
        <v>57</v>
      </c>
      <c r="N418" t="s">
        <v>321</v>
      </c>
      <c r="O418">
        <v>290</v>
      </c>
      <c r="P418" t="s">
        <v>315</v>
      </c>
      <c r="T418">
        <v>25</v>
      </c>
      <c r="V418">
        <v>75</v>
      </c>
      <c r="W418" t="s">
        <v>318</v>
      </c>
      <c r="X418" t="s">
        <v>255</v>
      </c>
      <c r="Y418">
        <v>180</v>
      </c>
      <c r="AB418">
        <v>4.59595959595958</v>
      </c>
      <c r="AC418" t="s">
        <v>85</v>
      </c>
      <c r="AE418" t="s">
        <v>63</v>
      </c>
      <c r="AI418">
        <v>5</v>
      </c>
      <c r="AT418" t="s">
        <v>318</v>
      </c>
      <c r="AV418" t="s">
        <v>88</v>
      </c>
      <c r="AY418">
        <v>290</v>
      </c>
    </row>
    <row r="419" spans="1:51" hidden="1" x14ac:dyDescent="0.3">
      <c r="A419" t="s">
        <v>342</v>
      </c>
      <c r="C419" t="s">
        <v>251</v>
      </c>
      <c r="D419" t="s">
        <v>81</v>
      </c>
      <c r="E419">
        <v>1000000</v>
      </c>
      <c r="H419">
        <v>3.25</v>
      </c>
      <c r="I419" t="s">
        <v>56</v>
      </c>
      <c r="J419">
        <v>3.2499999999999999E-4</v>
      </c>
      <c r="K419" t="s">
        <v>57</v>
      </c>
      <c r="N419" t="s">
        <v>321</v>
      </c>
      <c r="O419">
        <v>290</v>
      </c>
      <c r="P419" t="s">
        <v>315</v>
      </c>
      <c r="T419">
        <v>25</v>
      </c>
      <c r="V419">
        <v>75</v>
      </c>
      <c r="W419" t="s">
        <v>319</v>
      </c>
      <c r="X419" t="s">
        <v>255</v>
      </c>
      <c r="Y419">
        <v>180</v>
      </c>
      <c r="AB419">
        <v>0.68350168350168305</v>
      </c>
      <c r="AC419" t="s">
        <v>85</v>
      </c>
      <c r="AE419" t="s">
        <v>63</v>
      </c>
      <c r="AI419">
        <v>5</v>
      </c>
      <c r="AT419" t="s">
        <v>77</v>
      </c>
      <c r="AV419" t="s">
        <v>88</v>
      </c>
      <c r="AY419">
        <v>290</v>
      </c>
    </row>
    <row r="420" spans="1:51" hidden="1" x14ac:dyDescent="0.3">
      <c r="A420" t="s">
        <v>342</v>
      </c>
      <c r="C420" t="s">
        <v>251</v>
      </c>
      <c r="D420" t="s">
        <v>81</v>
      </c>
      <c r="E420">
        <v>1000000</v>
      </c>
      <c r="H420">
        <v>1.69</v>
      </c>
      <c r="I420" t="s">
        <v>56</v>
      </c>
      <c r="J420">
        <v>1.6899999999999999E-4</v>
      </c>
      <c r="K420" t="s">
        <v>57</v>
      </c>
      <c r="N420" t="s">
        <v>321</v>
      </c>
      <c r="O420">
        <v>290</v>
      </c>
      <c r="P420" t="s">
        <v>315</v>
      </c>
      <c r="T420">
        <v>25</v>
      </c>
      <c r="V420">
        <v>75</v>
      </c>
      <c r="W420" t="s">
        <v>320</v>
      </c>
      <c r="X420" t="s">
        <v>255</v>
      </c>
      <c r="Y420">
        <v>180</v>
      </c>
      <c r="AB420">
        <v>6.43434343434342</v>
      </c>
      <c r="AC420" t="s">
        <v>85</v>
      </c>
      <c r="AE420" t="s">
        <v>63</v>
      </c>
      <c r="AI420">
        <v>5</v>
      </c>
      <c r="AV420" t="s">
        <v>88</v>
      </c>
      <c r="AY420">
        <v>290</v>
      </c>
    </row>
    <row r="421" spans="1:51" hidden="1" x14ac:dyDescent="0.3">
      <c r="A421" t="s">
        <v>342</v>
      </c>
      <c r="C421" t="s">
        <v>251</v>
      </c>
      <c r="D421" t="s">
        <v>81</v>
      </c>
      <c r="E421">
        <v>1000000</v>
      </c>
      <c r="H421">
        <v>1.69</v>
      </c>
      <c r="I421" t="s">
        <v>56</v>
      </c>
      <c r="J421">
        <v>1.6899999999999999E-4</v>
      </c>
      <c r="K421" t="s">
        <v>57</v>
      </c>
      <c r="N421" t="s">
        <v>321</v>
      </c>
      <c r="O421">
        <v>290</v>
      </c>
      <c r="P421" t="s">
        <v>315</v>
      </c>
      <c r="T421">
        <v>25</v>
      </c>
      <c r="V421">
        <v>75</v>
      </c>
      <c r="W421" t="s">
        <v>123</v>
      </c>
      <c r="X421" t="s">
        <v>255</v>
      </c>
      <c r="Y421">
        <v>180</v>
      </c>
      <c r="AB421">
        <v>6.5050505050504901</v>
      </c>
      <c r="AC421" t="s">
        <v>85</v>
      </c>
      <c r="AE421" t="s">
        <v>63</v>
      </c>
      <c r="AI421">
        <v>5</v>
      </c>
      <c r="AT421" t="s">
        <v>79</v>
      </c>
      <c r="AV421" t="s">
        <v>88</v>
      </c>
      <c r="AY421">
        <v>290</v>
      </c>
    </row>
    <row r="422" spans="1:51" hidden="1" x14ac:dyDescent="0.3">
      <c r="A422" t="s">
        <v>342</v>
      </c>
      <c r="C422" t="s">
        <v>251</v>
      </c>
      <c r="D422" t="s">
        <v>81</v>
      </c>
      <c r="E422">
        <v>1000000</v>
      </c>
      <c r="H422">
        <v>1.69</v>
      </c>
      <c r="I422" t="s">
        <v>56</v>
      </c>
      <c r="J422">
        <v>1.6899999999999999E-4</v>
      </c>
      <c r="K422" t="s">
        <v>57</v>
      </c>
      <c r="N422" t="s">
        <v>321</v>
      </c>
      <c r="O422">
        <v>290</v>
      </c>
      <c r="P422" t="s">
        <v>315</v>
      </c>
      <c r="T422">
        <v>25</v>
      </c>
      <c r="V422">
        <v>75</v>
      </c>
      <c r="W422" t="s">
        <v>75</v>
      </c>
      <c r="X422" t="s">
        <v>255</v>
      </c>
      <c r="Y422">
        <v>180</v>
      </c>
      <c r="AB422">
        <v>3.2525252525252402</v>
      </c>
      <c r="AC422" t="s">
        <v>85</v>
      </c>
      <c r="AE422" t="s">
        <v>63</v>
      </c>
      <c r="AI422">
        <v>5</v>
      </c>
      <c r="AT422" t="s">
        <v>75</v>
      </c>
      <c r="AV422" t="s">
        <v>88</v>
      </c>
      <c r="AY422">
        <v>290</v>
      </c>
    </row>
    <row r="423" spans="1:51" hidden="1" x14ac:dyDescent="0.3">
      <c r="A423" t="s">
        <v>342</v>
      </c>
      <c r="C423" t="s">
        <v>251</v>
      </c>
      <c r="D423" t="s">
        <v>81</v>
      </c>
      <c r="E423">
        <v>1000000</v>
      </c>
      <c r="H423">
        <v>1.69</v>
      </c>
      <c r="I423" t="s">
        <v>56</v>
      </c>
      <c r="J423">
        <v>1.6899999999999999E-4</v>
      </c>
      <c r="K423" t="s">
        <v>57</v>
      </c>
      <c r="N423" t="s">
        <v>321</v>
      </c>
      <c r="O423">
        <v>290</v>
      </c>
      <c r="P423" t="s">
        <v>315</v>
      </c>
      <c r="T423">
        <v>25</v>
      </c>
      <c r="V423">
        <v>75</v>
      </c>
      <c r="W423" t="s">
        <v>73</v>
      </c>
      <c r="X423" t="s">
        <v>255</v>
      </c>
      <c r="Y423">
        <v>180</v>
      </c>
      <c r="AB423">
        <v>0.16498316498316401</v>
      </c>
      <c r="AC423" t="s">
        <v>85</v>
      </c>
      <c r="AE423" t="s">
        <v>63</v>
      </c>
      <c r="AI423">
        <v>5</v>
      </c>
      <c r="AT423" t="s">
        <v>73</v>
      </c>
      <c r="AV423" t="s">
        <v>88</v>
      </c>
      <c r="AY423">
        <v>290</v>
      </c>
    </row>
    <row r="424" spans="1:51" hidden="1" x14ac:dyDescent="0.3">
      <c r="A424" t="s">
        <v>342</v>
      </c>
      <c r="C424" t="s">
        <v>251</v>
      </c>
      <c r="D424" t="s">
        <v>81</v>
      </c>
      <c r="E424">
        <v>1000000</v>
      </c>
      <c r="H424">
        <v>1.69</v>
      </c>
      <c r="I424" t="s">
        <v>56</v>
      </c>
      <c r="J424">
        <v>1.6899999999999999E-4</v>
      </c>
      <c r="K424" t="s">
        <v>57</v>
      </c>
      <c r="N424" t="s">
        <v>321</v>
      </c>
      <c r="O424">
        <v>290</v>
      </c>
      <c r="P424" t="s">
        <v>315</v>
      </c>
      <c r="T424">
        <v>25</v>
      </c>
      <c r="V424">
        <v>75</v>
      </c>
      <c r="W424" t="s">
        <v>318</v>
      </c>
      <c r="X424" t="s">
        <v>255</v>
      </c>
      <c r="Y424">
        <v>180</v>
      </c>
      <c r="AB424">
        <v>0.80134680134680103</v>
      </c>
      <c r="AC424" t="s">
        <v>85</v>
      </c>
      <c r="AE424" t="s">
        <v>63</v>
      </c>
      <c r="AI424">
        <v>5</v>
      </c>
      <c r="AT424" t="s">
        <v>318</v>
      </c>
      <c r="AV424" t="s">
        <v>88</v>
      </c>
      <c r="AY424">
        <v>290</v>
      </c>
    </row>
    <row r="425" spans="1:51" hidden="1" x14ac:dyDescent="0.3">
      <c r="A425" t="s">
        <v>342</v>
      </c>
      <c r="C425" t="s">
        <v>251</v>
      </c>
      <c r="D425" t="s">
        <v>81</v>
      </c>
      <c r="E425">
        <v>1000000</v>
      </c>
      <c r="H425">
        <v>3.25</v>
      </c>
      <c r="I425" t="s">
        <v>56</v>
      </c>
      <c r="J425">
        <v>3.2499999999999999E-4</v>
      </c>
      <c r="K425" t="s">
        <v>57</v>
      </c>
      <c r="N425" t="s">
        <v>321</v>
      </c>
      <c r="O425">
        <v>290</v>
      </c>
      <c r="P425" t="s">
        <v>315</v>
      </c>
      <c r="T425">
        <v>25</v>
      </c>
      <c r="V425">
        <v>75</v>
      </c>
      <c r="W425" t="s">
        <v>319</v>
      </c>
      <c r="X425" t="s">
        <v>255</v>
      </c>
      <c r="Y425">
        <v>180</v>
      </c>
      <c r="AB425">
        <v>0.21212121212120999</v>
      </c>
      <c r="AC425" t="s">
        <v>85</v>
      </c>
      <c r="AE425" t="s">
        <v>63</v>
      </c>
      <c r="AI425">
        <v>5</v>
      </c>
      <c r="AT425" t="s">
        <v>77</v>
      </c>
      <c r="AV425" t="s">
        <v>88</v>
      </c>
      <c r="AY425">
        <v>290</v>
      </c>
    </row>
    <row r="426" spans="1:51" hidden="1" x14ac:dyDescent="0.3">
      <c r="A426" t="s">
        <v>342</v>
      </c>
      <c r="C426" t="s">
        <v>251</v>
      </c>
      <c r="D426" t="s">
        <v>81</v>
      </c>
      <c r="E426">
        <v>1000000</v>
      </c>
      <c r="H426">
        <v>1.69</v>
      </c>
      <c r="I426" t="s">
        <v>56</v>
      </c>
      <c r="J426">
        <v>1.6899999999999999E-4</v>
      </c>
      <c r="K426" t="s">
        <v>57</v>
      </c>
      <c r="N426" t="s">
        <v>321</v>
      </c>
      <c r="O426">
        <v>290</v>
      </c>
      <c r="P426" t="s">
        <v>315</v>
      </c>
      <c r="T426">
        <v>25</v>
      </c>
      <c r="V426">
        <v>75</v>
      </c>
      <c r="W426" t="s">
        <v>320</v>
      </c>
      <c r="X426" t="s">
        <v>255</v>
      </c>
      <c r="Y426">
        <v>180</v>
      </c>
      <c r="AB426">
        <v>0.306397306397305</v>
      </c>
      <c r="AC426" t="s">
        <v>85</v>
      </c>
      <c r="AE426" t="s">
        <v>63</v>
      </c>
      <c r="AI426">
        <v>5</v>
      </c>
      <c r="AV426" t="s">
        <v>88</v>
      </c>
      <c r="AY426">
        <v>290</v>
      </c>
    </row>
    <row r="427" spans="1:51" hidden="1" x14ac:dyDescent="0.3">
      <c r="A427" t="s">
        <v>342</v>
      </c>
      <c r="C427" t="s">
        <v>251</v>
      </c>
      <c r="D427" t="s">
        <v>81</v>
      </c>
      <c r="E427">
        <v>1000000</v>
      </c>
      <c r="H427">
        <v>1.69</v>
      </c>
      <c r="I427" t="s">
        <v>56</v>
      </c>
      <c r="J427">
        <v>1.6899999999999999E-4</v>
      </c>
      <c r="K427" t="s">
        <v>57</v>
      </c>
      <c r="N427" t="s">
        <v>321</v>
      </c>
      <c r="O427">
        <v>290</v>
      </c>
      <c r="P427" t="s">
        <v>315</v>
      </c>
      <c r="T427">
        <v>25</v>
      </c>
      <c r="V427">
        <v>75</v>
      </c>
      <c r="W427" t="s">
        <v>123</v>
      </c>
      <c r="X427" t="s">
        <v>255</v>
      </c>
      <c r="Y427">
        <v>180</v>
      </c>
      <c r="AB427">
        <v>0.447811447811446</v>
      </c>
      <c r="AC427" t="s">
        <v>85</v>
      </c>
      <c r="AE427" t="s">
        <v>63</v>
      </c>
      <c r="AI427">
        <v>5</v>
      </c>
      <c r="AT427" t="s">
        <v>79</v>
      </c>
      <c r="AV427" t="s">
        <v>88</v>
      </c>
      <c r="AY427">
        <v>290</v>
      </c>
    </row>
    <row r="428" spans="1:51" hidden="1" x14ac:dyDescent="0.3">
      <c r="A428" t="s">
        <v>342</v>
      </c>
      <c r="C428" t="s">
        <v>251</v>
      </c>
      <c r="D428" t="s">
        <v>81</v>
      </c>
      <c r="E428">
        <v>1000000</v>
      </c>
      <c r="H428">
        <v>1.69</v>
      </c>
      <c r="I428" t="s">
        <v>56</v>
      </c>
      <c r="J428">
        <v>1.6899999999999999E-4</v>
      </c>
      <c r="K428" t="s">
        <v>57</v>
      </c>
      <c r="N428" t="s">
        <v>321</v>
      </c>
      <c r="O428">
        <v>290</v>
      </c>
      <c r="P428" t="s">
        <v>315</v>
      </c>
      <c r="T428">
        <v>25</v>
      </c>
      <c r="V428">
        <v>75</v>
      </c>
      <c r="W428" t="s">
        <v>75</v>
      </c>
      <c r="X428" t="s">
        <v>255</v>
      </c>
      <c r="Y428">
        <v>180</v>
      </c>
      <c r="AB428">
        <v>0.23569023569023501</v>
      </c>
      <c r="AC428" t="s">
        <v>85</v>
      </c>
      <c r="AE428" t="s">
        <v>63</v>
      </c>
      <c r="AI428">
        <v>5</v>
      </c>
      <c r="AT428" t="s">
        <v>75</v>
      </c>
      <c r="AV428" t="s">
        <v>88</v>
      </c>
      <c r="AY428">
        <v>290</v>
      </c>
    </row>
    <row r="429" spans="1:51" hidden="1" x14ac:dyDescent="0.3">
      <c r="A429" t="s">
        <v>342</v>
      </c>
      <c r="B429" t="s">
        <v>343</v>
      </c>
      <c r="C429" t="s">
        <v>251</v>
      </c>
      <c r="D429" t="s">
        <v>81</v>
      </c>
      <c r="E429">
        <v>1000000</v>
      </c>
      <c r="H429">
        <v>1.69</v>
      </c>
      <c r="I429" t="s">
        <v>56</v>
      </c>
      <c r="J429">
        <v>1.6899999999999999E-4</v>
      </c>
      <c r="K429" t="s">
        <v>57</v>
      </c>
      <c r="O429">
        <v>3600</v>
      </c>
      <c r="P429" t="s">
        <v>315</v>
      </c>
      <c r="T429">
        <v>25</v>
      </c>
      <c r="U429" t="s">
        <v>120</v>
      </c>
      <c r="V429">
        <v>75</v>
      </c>
      <c r="W429" t="s">
        <v>320</v>
      </c>
      <c r="X429" t="s">
        <v>280</v>
      </c>
      <c r="Y429">
        <v>180</v>
      </c>
      <c r="AB429">
        <v>6.2532565917111604</v>
      </c>
      <c r="AC429" t="s">
        <v>85</v>
      </c>
      <c r="AE429" t="s">
        <v>63</v>
      </c>
      <c r="AI429">
        <v>5</v>
      </c>
      <c r="AV429" t="s">
        <v>88</v>
      </c>
      <c r="AW429">
        <v>3600</v>
      </c>
    </row>
    <row r="430" spans="1:51" hidden="1" x14ac:dyDescent="0.3">
      <c r="A430" t="s">
        <v>342</v>
      </c>
      <c r="B430" t="s">
        <v>344</v>
      </c>
      <c r="C430" t="s">
        <v>251</v>
      </c>
      <c r="D430" t="s">
        <v>81</v>
      </c>
      <c r="E430">
        <v>1000000</v>
      </c>
      <c r="H430">
        <v>1.69</v>
      </c>
      <c r="I430" t="s">
        <v>56</v>
      </c>
      <c r="J430">
        <v>1.6899999999999999E-4</v>
      </c>
      <c r="K430" t="s">
        <v>57</v>
      </c>
      <c r="O430">
        <v>3600</v>
      </c>
      <c r="P430" t="s">
        <v>315</v>
      </c>
      <c r="T430">
        <v>25</v>
      </c>
      <c r="U430" t="s">
        <v>120</v>
      </c>
      <c r="V430">
        <v>75</v>
      </c>
      <c r="W430" t="s">
        <v>320</v>
      </c>
      <c r="X430" t="s">
        <v>280</v>
      </c>
      <c r="Y430">
        <v>180</v>
      </c>
      <c r="AB430">
        <v>6.8473143511760499</v>
      </c>
      <c r="AC430" t="s">
        <v>85</v>
      </c>
      <c r="AE430" t="s">
        <v>63</v>
      </c>
      <c r="AI430">
        <v>5</v>
      </c>
      <c r="AV430" t="s">
        <v>88</v>
      </c>
      <c r="AW430">
        <v>3600</v>
      </c>
    </row>
    <row r="431" spans="1:51" hidden="1" x14ac:dyDescent="0.3">
      <c r="A431" t="s">
        <v>342</v>
      </c>
      <c r="B431" t="s">
        <v>345</v>
      </c>
      <c r="C431" t="s">
        <v>251</v>
      </c>
      <c r="D431" t="s">
        <v>81</v>
      </c>
      <c r="E431">
        <v>1000000</v>
      </c>
      <c r="H431">
        <v>1.69</v>
      </c>
      <c r="I431" t="s">
        <v>56</v>
      </c>
      <c r="J431">
        <v>1.6899999999999999E-4</v>
      </c>
      <c r="K431" t="s">
        <v>57</v>
      </c>
      <c r="O431">
        <v>3600</v>
      </c>
      <c r="P431" t="s">
        <v>315</v>
      </c>
      <c r="T431">
        <v>25</v>
      </c>
      <c r="U431" t="s">
        <v>120</v>
      </c>
      <c r="V431">
        <v>75</v>
      </c>
      <c r="W431" t="s">
        <v>320</v>
      </c>
      <c r="X431" t="s">
        <v>280</v>
      </c>
      <c r="Y431">
        <v>180</v>
      </c>
      <c r="AB431">
        <v>5.9308124387945398</v>
      </c>
      <c r="AC431" t="s">
        <v>85</v>
      </c>
      <c r="AE431" t="s">
        <v>63</v>
      </c>
      <c r="AI431">
        <v>5</v>
      </c>
      <c r="AV431" t="s">
        <v>88</v>
      </c>
      <c r="AW431">
        <v>3600</v>
      </c>
    </row>
    <row r="432" spans="1:51" hidden="1" x14ac:dyDescent="0.3">
      <c r="A432" t="s">
        <v>342</v>
      </c>
      <c r="B432" t="s">
        <v>346</v>
      </c>
      <c r="C432" t="s">
        <v>251</v>
      </c>
      <c r="D432" t="s">
        <v>81</v>
      </c>
      <c r="E432">
        <v>1000000</v>
      </c>
      <c r="H432">
        <v>1.69</v>
      </c>
      <c r="I432" t="s">
        <v>56</v>
      </c>
      <c r="J432">
        <v>1.6899999999999999E-4</v>
      </c>
      <c r="K432" t="s">
        <v>57</v>
      </c>
      <c r="O432">
        <v>3600</v>
      </c>
      <c r="P432" t="s">
        <v>315</v>
      </c>
      <c r="T432">
        <v>25</v>
      </c>
      <c r="U432" t="s">
        <v>120</v>
      </c>
      <c r="V432">
        <v>75</v>
      </c>
      <c r="W432" t="s">
        <v>320</v>
      </c>
      <c r="X432" t="s">
        <v>280</v>
      </c>
      <c r="Y432">
        <v>180</v>
      </c>
      <c r="AB432">
        <v>5.78032556678553</v>
      </c>
      <c r="AC432" t="s">
        <v>85</v>
      </c>
      <c r="AE432" t="s">
        <v>63</v>
      </c>
      <c r="AI432">
        <v>5</v>
      </c>
      <c r="AV432" t="s">
        <v>88</v>
      </c>
      <c r="AW432">
        <v>3600</v>
      </c>
    </row>
    <row r="433" spans="1:49" hidden="1" x14ac:dyDescent="0.3">
      <c r="A433" t="s">
        <v>342</v>
      </c>
      <c r="B433" t="s">
        <v>343</v>
      </c>
      <c r="C433" t="s">
        <v>251</v>
      </c>
      <c r="D433" t="s">
        <v>81</v>
      </c>
      <c r="E433">
        <v>1000000</v>
      </c>
      <c r="H433">
        <v>3.25</v>
      </c>
      <c r="I433" t="s">
        <v>56</v>
      </c>
      <c r="J433">
        <v>3.2499999999999999E-4</v>
      </c>
      <c r="K433" t="s">
        <v>57</v>
      </c>
      <c r="O433">
        <v>3600</v>
      </c>
      <c r="P433" t="s">
        <v>315</v>
      </c>
      <c r="T433">
        <v>25</v>
      </c>
      <c r="U433" t="s">
        <v>120</v>
      </c>
      <c r="V433">
        <v>75</v>
      </c>
      <c r="W433" t="s">
        <v>319</v>
      </c>
      <c r="X433" t="s">
        <v>280</v>
      </c>
      <c r="Y433">
        <v>180</v>
      </c>
      <c r="AB433">
        <v>6.2015853365606599</v>
      </c>
      <c r="AC433" t="s">
        <v>85</v>
      </c>
      <c r="AE433" t="s">
        <v>63</v>
      </c>
      <c r="AI433">
        <v>5</v>
      </c>
      <c r="AT433" t="s">
        <v>77</v>
      </c>
      <c r="AV433" t="s">
        <v>88</v>
      </c>
      <c r="AW433">
        <v>3600</v>
      </c>
    </row>
    <row r="434" spans="1:49" hidden="1" x14ac:dyDescent="0.3">
      <c r="A434" t="s">
        <v>342</v>
      </c>
      <c r="B434" t="s">
        <v>344</v>
      </c>
      <c r="C434" t="s">
        <v>251</v>
      </c>
      <c r="D434" t="s">
        <v>81</v>
      </c>
      <c r="E434">
        <v>1000000</v>
      </c>
      <c r="H434">
        <v>3.25</v>
      </c>
      <c r="I434" t="s">
        <v>56</v>
      </c>
      <c r="J434">
        <v>3.2499999999999999E-4</v>
      </c>
      <c r="K434" t="s">
        <v>57</v>
      </c>
      <c r="O434">
        <v>3600</v>
      </c>
      <c r="P434" t="s">
        <v>315</v>
      </c>
      <c r="T434">
        <v>25</v>
      </c>
      <c r="U434" t="s">
        <v>120</v>
      </c>
      <c r="V434">
        <v>75</v>
      </c>
      <c r="W434" t="s">
        <v>319</v>
      </c>
      <c r="X434" t="s">
        <v>280</v>
      </c>
      <c r="Y434">
        <v>180</v>
      </c>
      <c r="AB434">
        <v>6.1999685889026299</v>
      </c>
      <c r="AC434" t="s">
        <v>85</v>
      </c>
      <c r="AE434" t="s">
        <v>63</v>
      </c>
      <c r="AI434">
        <v>5</v>
      </c>
      <c r="AT434" t="s">
        <v>77</v>
      </c>
      <c r="AV434" t="s">
        <v>88</v>
      </c>
      <c r="AW434">
        <v>3600</v>
      </c>
    </row>
    <row r="435" spans="1:49" hidden="1" x14ac:dyDescent="0.3">
      <c r="A435" t="s">
        <v>342</v>
      </c>
      <c r="B435" t="s">
        <v>345</v>
      </c>
      <c r="C435" t="s">
        <v>251</v>
      </c>
      <c r="D435" t="s">
        <v>81</v>
      </c>
      <c r="E435">
        <v>1000000</v>
      </c>
      <c r="H435">
        <v>3.25</v>
      </c>
      <c r="I435" t="s">
        <v>56</v>
      </c>
      <c r="J435">
        <v>3.2499999999999999E-4</v>
      </c>
      <c r="K435" t="s">
        <v>57</v>
      </c>
      <c r="O435">
        <v>3600</v>
      </c>
      <c r="P435" t="s">
        <v>315</v>
      </c>
      <c r="T435">
        <v>25</v>
      </c>
      <c r="U435" t="s">
        <v>120</v>
      </c>
      <c r="V435">
        <v>75</v>
      </c>
      <c r="W435" t="s">
        <v>319</v>
      </c>
      <c r="X435" t="s">
        <v>280</v>
      </c>
      <c r="Y435">
        <v>180</v>
      </c>
      <c r="AB435">
        <v>5.8367823950037803</v>
      </c>
      <c r="AC435" t="s">
        <v>85</v>
      </c>
      <c r="AE435" t="s">
        <v>63</v>
      </c>
      <c r="AI435">
        <v>5</v>
      </c>
      <c r="AT435" t="s">
        <v>77</v>
      </c>
      <c r="AV435" t="s">
        <v>88</v>
      </c>
      <c r="AW435">
        <v>3600</v>
      </c>
    </row>
    <row r="436" spans="1:49" hidden="1" x14ac:dyDescent="0.3">
      <c r="A436" t="s">
        <v>342</v>
      </c>
      <c r="B436" t="s">
        <v>346</v>
      </c>
      <c r="C436" t="s">
        <v>251</v>
      </c>
      <c r="D436" t="s">
        <v>81</v>
      </c>
      <c r="E436">
        <v>1000000</v>
      </c>
      <c r="H436">
        <v>3.25</v>
      </c>
      <c r="I436" t="s">
        <v>56</v>
      </c>
      <c r="J436">
        <v>3.2499999999999999E-4</v>
      </c>
      <c r="K436" t="s">
        <v>57</v>
      </c>
      <c r="O436">
        <v>3600</v>
      </c>
      <c r="P436" t="s">
        <v>315</v>
      </c>
      <c r="T436">
        <v>25</v>
      </c>
      <c r="U436" t="s">
        <v>120</v>
      </c>
      <c r="V436">
        <v>75</v>
      </c>
      <c r="W436" t="s">
        <v>319</v>
      </c>
      <c r="X436" t="s">
        <v>280</v>
      </c>
      <c r="Y436">
        <v>180</v>
      </c>
      <c r="AB436">
        <v>5.3668908556752299</v>
      </c>
      <c r="AC436" t="s">
        <v>85</v>
      </c>
      <c r="AE436" t="s">
        <v>63</v>
      </c>
      <c r="AI436">
        <v>5</v>
      </c>
      <c r="AT436" t="s">
        <v>77</v>
      </c>
      <c r="AV436" t="s">
        <v>88</v>
      </c>
      <c r="AW436">
        <v>3600</v>
      </c>
    </row>
    <row r="437" spans="1:49" hidden="1" x14ac:dyDescent="0.3">
      <c r="A437" t="s">
        <v>342</v>
      </c>
      <c r="B437" t="s">
        <v>343</v>
      </c>
      <c r="C437" t="s">
        <v>251</v>
      </c>
      <c r="D437" t="s">
        <v>81</v>
      </c>
      <c r="E437">
        <v>1000000</v>
      </c>
      <c r="H437">
        <v>1.69</v>
      </c>
      <c r="I437" t="s">
        <v>56</v>
      </c>
      <c r="J437">
        <v>1.6899999999999999E-4</v>
      </c>
      <c r="K437" t="s">
        <v>57</v>
      </c>
      <c r="O437">
        <v>3600</v>
      </c>
      <c r="P437" t="s">
        <v>315</v>
      </c>
      <c r="T437">
        <v>25</v>
      </c>
      <c r="U437" t="s">
        <v>120</v>
      </c>
      <c r="V437">
        <v>75</v>
      </c>
      <c r="W437" t="s">
        <v>73</v>
      </c>
      <c r="X437" t="s">
        <v>280</v>
      </c>
      <c r="Y437">
        <v>180</v>
      </c>
      <c r="AB437">
        <v>5.95842648879362</v>
      </c>
      <c r="AC437" t="s">
        <v>85</v>
      </c>
      <c r="AE437" t="s">
        <v>63</v>
      </c>
      <c r="AI437">
        <v>5</v>
      </c>
      <c r="AT437" t="s">
        <v>73</v>
      </c>
      <c r="AV437" t="s">
        <v>88</v>
      </c>
      <c r="AW437">
        <v>3600</v>
      </c>
    </row>
    <row r="438" spans="1:49" hidden="1" x14ac:dyDescent="0.3">
      <c r="A438" t="s">
        <v>342</v>
      </c>
      <c r="B438" t="s">
        <v>344</v>
      </c>
      <c r="C438" t="s">
        <v>251</v>
      </c>
      <c r="D438" t="s">
        <v>81</v>
      </c>
      <c r="E438">
        <v>1000000</v>
      </c>
      <c r="H438">
        <v>1.69</v>
      </c>
      <c r="I438" t="s">
        <v>56</v>
      </c>
      <c r="J438">
        <v>1.6899999999999999E-4</v>
      </c>
      <c r="K438" t="s">
        <v>57</v>
      </c>
      <c r="O438">
        <v>3600</v>
      </c>
      <c r="P438" t="s">
        <v>315</v>
      </c>
      <c r="T438">
        <v>25</v>
      </c>
      <c r="U438" t="s">
        <v>120</v>
      </c>
      <c r="V438">
        <v>75</v>
      </c>
      <c r="W438" t="s">
        <v>73</v>
      </c>
      <c r="X438" t="s">
        <v>280</v>
      </c>
      <c r="Y438">
        <v>180</v>
      </c>
      <c r="AB438">
        <v>6.4036141239075404</v>
      </c>
      <c r="AC438" t="s">
        <v>85</v>
      </c>
      <c r="AE438" t="s">
        <v>63</v>
      </c>
      <c r="AI438">
        <v>5</v>
      </c>
      <c r="AT438" t="s">
        <v>73</v>
      </c>
      <c r="AV438" t="s">
        <v>88</v>
      </c>
      <c r="AW438">
        <v>3600</v>
      </c>
    </row>
    <row r="439" spans="1:49" hidden="1" x14ac:dyDescent="0.3">
      <c r="A439" t="s">
        <v>342</v>
      </c>
      <c r="B439" t="s">
        <v>345</v>
      </c>
      <c r="C439" t="s">
        <v>251</v>
      </c>
      <c r="D439" t="s">
        <v>81</v>
      </c>
      <c r="E439">
        <v>1000000</v>
      </c>
      <c r="H439">
        <v>1.69</v>
      </c>
      <c r="I439" t="s">
        <v>56</v>
      </c>
      <c r="J439">
        <v>1.6899999999999999E-4</v>
      </c>
      <c r="K439" t="s">
        <v>57</v>
      </c>
      <c r="O439">
        <v>3600</v>
      </c>
      <c r="P439" t="s">
        <v>315</v>
      </c>
      <c r="T439">
        <v>25</v>
      </c>
      <c r="U439" t="s">
        <v>120</v>
      </c>
      <c r="V439">
        <v>75</v>
      </c>
      <c r="W439" t="s">
        <v>73</v>
      </c>
      <c r="X439" t="s">
        <v>280</v>
      </c>
      <c r="Y439">
        <v>180</v>
      </c>
      <c r="AB439">
        <v>6.06138097965668</v>
      </c>
      <c r="AC439" t="s">
        <v>85</v>
      </c>
      <c r="AE439" t="s">
        <v>63</v>
      </c>
      <c r="AI439">
        <v>5</v>
      </c>
      <c r="AT439" t="s">
        <v>73</v>
      </c>
      <c r="AV439" t="s">
        <v>88</v>
      </c>
      <c r="AW439">
        <v>3600</v>
      </c>
    </row>
    <row r="440" spans="1:49" hidden="1" x14ac:dyDescent="0.3">
      <c r="A440" t="s">
        <v>342</v>
      </c>
      <c r="B440" t="s">
        <v>346</v>
      </c>
      <c r="C440" t="s">
        <v>251</v>
      </c>
      <c r="D440" t="s">
        <v>81</v>
      </c>
      <c r="E440">
        <v>1000000</v>
      </c>
      <c r="H440">
        <v>1.69</v>
      </c>
      <c r="I440" t="s">
        <v>56</v>
      </c>
      <c r="J440">
        <v>1.6899999999999999E-4</v>
      </c>
      <c r="K440" t="s">
        <v>57</v>
      </c>
      <c r="O440">
        <v>3600</v>
      </c>
      <c r="P440" t="s">
        <v>315</v>
      </c>
      <c r="T440">
        <v>25</v>
      </c>
      <c r="U440" t="s">
        <v>120</v>
      </c>
      <c r="V440">
        <v>75</v>
      </c>
      <c r="W440" t="s">
        <v>73</v>
      </c>
      <c r="X440" t="s">
        <v>280</v>
      </c>
      <c r="Y440">
        <v>180</v>
      </c>
      <c r="AB440">
        <v>5.7193418451248101</v>
      </c>
      <c r="AC440" t="s">
        <v>85</v>
      </c>
      <c r="AE440" t="s">
        <v>63</v>
      </c>
      <c r="AI440">
        <v>5</v>
      </c>
      <c r="AT440" t="s">
        <v>73</v>
      </c>
      <c r="AV440" t="s">
        <v>88</v>
      </c>
      <c r="AW440">
        <v>3600</v>
      </c>
    </row>
    <row r="441" spans="1:49" hidden="1" x14ac:dyDescent="0.3">
      <c r="A441" t="s">
        <v>342</v>
      </c>
      <c r="B441" t="s">
        <v>343</v>
      </c>
      <c r="C441" t="s">
        <v>251</v>
      </c>
      <c r="D441" t="s">
        <v>81</v>
      </c>
      <c r="E441">
        <v>1000000</v>
      </c>
      <c r="H441">
        <v>1.69</v>
      </c>
      <c r="I441" t="s">
        <v>56</v>
      </c>
      <c r="J441">
        <v>1.6899999999999999E-4</v>
      </c>
      <c r="K441" t="s">
        <v>57</v>
      </c>
      <c r="O441">
        <v>3600</v>
      </c>
      <c r="P441" t="s">
        <v>315</v>
      </c>
      <c r="T441">
        <v>25</v>
      </c>
      <c r="U441" t="s">
        <v>120</v>
      </c>
      <c r="V441">
        <v>75</v>
      </c>
      <c r="W441" t="s">
        <v>75</v>
      </c>
      <c r="X441" t="s">
        <v>280</v>
      </c>
      <c r="Y441">
        <v>180</v>
      </c>
      <c r="AB441">
        <v>2.84295375177842</v>
      </c>
      <c r="AC441" t="s">
        <v>85</v>
      </c>
      <c r="AE441" t="s">
        <v>63</v>
      </c>
      <c r="AI441">
        <v>5</v>
      </c>
      <c r="AT441" t="s">
        <v>75</v>
      </c>
      <c r="AV441" t="s">
        <v>88</v>
      </c>
      <c r="AW441">
        <v>3600</v>
      </c>
    </row>
    <row r="442" spans="1:49" hidden="1" x14ac:dyDescent="0.3">
      <c r="A442" t="s">
        <v>342</v>
      </c>
      <c r="B442" t="s">
        <v>344</v>
      </c>
      <c r="C442" t="s">
        <v>251</v>
      </c>
      <c r="D442" t="s">
        <v>81</v>
      </c>
      <c r="E442">
        <v>1000000</v>
      </c>
      <c r="H442">
        <v>1.69</v>
      </c>
      <c r="I442" t="s">
        <v>56</v>
      </c>
      <c r="J442">
        <v>1.6899999999999999E-4</v>
      </c>
      <c r="K442" t="s">
        <v>57</v>
      </c>
      <c r="O442">
        <v>3600</v>
      </c>
      <c r="P442" t="s">
        <v>315</v>
      </c>
      <c r="T442">
        <v>25</v>
      </c>
      <c r="U442" t="s">
        <v>120</v>
      </c>
      <c r="V442">
        <v>75</v>
      </c>
      <c r="W442" t="s">
        <v>75</v>
      </c>
      <c r="X442" t="s">
        <v>280</v>
      </c>
      <c r="Y442">
        <v>180</v>
      </c>
      <c r="AB442">
        <v>2.3945326213484601</v>
      </c>
      <c r="AC442" t="s">
        <v>85</v>
      </c>
      <c r="AE442" t="s">
        <v>63</v>
      </c>
      <c r="AI442">
        <v>5</v>
      </c>
      <c r="AT442" t="s">
        <v>75</v>
      </c>
      <c r="AV442" t="s">
        <v>88</v>
      </c>
      <c r="AW442">
        <v>3600</v>
      </c>
    </row>
    <row r="443" spans="1:49" hidden="1" x14ac:dyDescent="0.3">
      <c r="A443" t="s">
        <v>342</v>
      </c>
      <c r="B443" t="s">
        <v>345</v>
      </c>
      <c r="C443" t="s">
        <v>251</v>
      </c>
      <c r="D443" t="s">
        <v>81</v>
      </c>
      <c r="E443">
        <v>1000000</v>
      </c>
      <c r="H443">
        <v>1.69</v>
      </c>
      <c r="I443" t="s">
        <v>56</v>
      </c>
      <c r="J443">
        <v>1.6899999999999999E-4</v>
      </c>
      <c r="K443" t="s">
        <v>57</v>
      </c>
      <c r="O443">
        <v>3600</v>
      </c>
      <c r="P443" t="s">
        <v>315</v>
      </c>
      <c r="T443">
        <v>25</v>
      </c>
      <c r="U443" t="s">
        <v>120</v>
      </c>
      <c r="V443">
        <v>75</v>
      </c>
      <c r="W443" t="s">
        <v>75</v>
      </c>
      <c r="X443" t="s">
        <v>280</v>
      </c>
      <c r="Y443">
        <v>180</v>
      </c>
      <c r="AB443">
        <v>1.43547791060771</v>
      </c>
      <c r="AC443" t="s">
        <v>85</v>
      </c>
      <c r="AE443" t="s">
        <v>63</v>
      </c>
      <c r="AI443">
        <v>5</v>
      </c>
      <c r="AT443" t="s">
        <v>75</v>
      </c>
      <c r="AV443" t="s">
        <v>88</v>
      </c>
      <c r="AW443">
        <v>3600</v>
      </c>
    </row>
    <row r="444" spans="1:49" hidden="1" x14ac:dyDescent="0.3">
      <c r="A444" t="s">
        <v>342</v>
      </c>
      <c r="B444" t="s">
        <v>346</v>
      </c>
      <c r="C444" t="s">
        <v>251</v>
      </c>
      <c r="D444" t="s">
        <v>81</v>
      </c>
      <c r="E444">
        <v>1000000</v>
      </c>
      <c r="H444">
        <v>1.69</v>
      </c>
      <c r="I444" t="s">
        <v>56</v>
      </c>
      <c r="J444">
        <v>1.6899999999999999E-4</v>
      </c>
      <c r="K444" t="s">
        <v>57</v>
      </c>
      <c r="O444">
        <v>3600</v>
      </c>
      <c r="P444" t="s">
        <v>315</v>
      </c>
      <c r="T444">
        <v>25</v>
      </c>
      <c r="U444" t="s">
        <v>120</v>
      </c>
      <c r="V444">
        <v>75</v>
      </c>
      <c r="W444" t="s">
        <v>75</v>
      </c>
      <c r="X444" t="s">
        <v>280</v>
      </c>
      <c r="Y444">
        <v>180</v>
      </c>
      <c r="AB444">
        <v>1.2210325012472001</v>
      </c>
      <c r="AC444" t="s">
        <v>85</v>
      </c>
      <c r="AE444" t="s">
        <v>63</v>
      </c>
      <c r="AI444">
        <v>5</v>
      </c>
      <c r="AT444" t="s">
        <v>75</v>
      </c>
      <c r="AV444" t="s">
        <v>88</v>
      </c>
      <c r="AW444">
        <v>3600</v>
      </c>
    </row>
    <row r="445" spans="1:49" hidden="1" x14ac:dyDescent="0.3">
      <c r="A445" t="s">
        <v>342</v>
      </c>
      <c r="B445" t="s">
        <v>343</v>
      </c>
      <c r="C445" t="s">
        <v>251</v>
      </c>
      <c r="D445" t="s">
        <v>81</v>
      </c>
      <c r="E445">
        <v>1000000</v>
      </c>
      <c r="H445">
        <v>1.69</v>
      </c>
      <c r="I445" t="s">
        <v>56</v>
      </c>
      <c r="J445">
        <v>1.6899999999999999E-4</v>
      </c>
      <c r="K445" t="s">
        <v>57</v>
      </c>
      <c r="O445">
        <v>3600</v>
      </c>
      <c r="P445" t="s">
        <v>315</v>
      </c>
      <c r="T445">
        <v>25</v>
      </c>
      <c r="U445" t="s">
        <v>120</v>
      </c>
      <c r="V445">
        <v>75</v>
      </c>
      <c r="W445" t="s">
        <v>318</v>
      </c>
      <c r="X445" t="s">
        <v>280</v>
      </c>
      <c r="Y445">
        <v>180</v>
      </c>
      <c r="AB445">
        <v>5.91897784593779</v>
      </c>
      <c r="AC445" t="s">
        <v>85</v>
      </c>
      <c r="AE445" t="s">
        <v>63</v>
      </c>
      <c r="AI445">
        <v>5</v>
      </c>
      <c r="AT445" t="s">
        <v>318</v>
      </c>
      <c r="AV445" t="s">
        <v>88</v>
      </c>
      <c r="AW445">
        <v>3600</v>
      </c>
    </row>
    <row r="446" spans="1:49" hidden="1" x14ac:dyDescent="0.3">
      <c r="A446" t="s">
        <v>342</v>
      </c>
      <c r="B446" t="s">
        <v>344</v>
      </c>
      <c r="C446" t="s">
        <v>251</v>
      </c>
      <c r="D446" t="s">
        <v>81</v>
      </c>
      <c r="E446">
        <v>1000000</v>
      </c>
      <c r="H446">
        <v>1.69</v>
      </c>
      <c r="I446" t="s">
        <v>56</v>
      </c>
      <c r="J446">
        <v>1.6899999999999999E-4</v>
      </c>
      <c r="K446" t="s">
        <v>57</v>
      </c>
      <c r="O446">
        <v>3600</v>
      </c>
      <c r="P446" t="s">
        <v>315</v>
      </c>
      <c r="T446">
        <v>25</v>
      </c>
      <c r="U446" t="s">
        <v>120</v>
      </c>
      <c r="V446">
        <v>75</v>
      </c>
      <c r="W446" t="s">
        <v>318</v>
      </c>
      <c r="X446" t="s">
        <v>280</v>
      </c>
      <c r="Y446">
        <v>180</v>
      </c>
      <c r="AB446">
        <v>6.6406940004803898</v>
      </c>
      <c r="AC446" t="s">
        <v>85</v>
      </c>
      <c r="AE446" t="s">
        <v>63</v>
      </c>
      <c r="AI446">
        <v>5</v>
      </c>
      <c r="AT446" t="s">
        <v>318</v>
      </c>
      <c r="AV446" t="s">
        <v>88</v>
      </c>
      <c r="AW446">
        <v>3600</v>
      </c>
    </row>
    <row r="447" spans="1:49" hidden="1" x14ac:dyDescent="0.3">
      <c r="A447" t="s">
        <v>342</v>
      </c>
      <c r="B447" t="s">
        <v>345</v>
      </c>
      <c r="C447" t="s">
        <v>251</v>
      </c>
      <c r="D447" t="s">
        <v>81</v>
      </c>
      <c r="E447">
        <v>1000000</v>
      </c>
      <c r="H447">
        <v>1.69</v>
      </c>
      <c r="I447" t="s">
        <v>56</v>
      </c>
      <c r="J447">
        <v>1.6899999999999999E-4</v>
      </c>
      <c r="K447" t="s">
        <v>57</v>
      </c>
      <c r="O447">
        <v>3600</v>
      </c>
      <c r="P447" t="s">
        <v>315</v>
      </c>
      <c r="T447">
        <v>25</v>
      </c>
      <c r="U447" t="s">
        <v>120</v>
      </c>
      <c r="V447">
        <v>75</v>
      </c>
      <c r="W447" t="s">
        <v>318</v>
      </c>
      <c r="X447" t="s">
        <v>280</v>
      </c>
      <c r="Y447">
        <v>180</v>
      </c>
      <c r="AB447">
        <v>6.2136139391363701</v>
      </c>
      <c r="AC447" t="s">
        <v>85</v>
      </c>
      <c r="AE447" t="s">
        <v>63</v>
      </c>
      <c r="AI447">
        <v>5</v>
      </c>
      <c r="AT447" t="s">
        <v>318</v>
      </c>
      <c r="AV447" t="s">
        <v>88</v>
      </c>
      <c r="AW447">
        <v>3600</v>
      </c>
    </row>
    <row r="448" spans="1:49" hidden="1" x14ac:dyDescent="0.3">
      <c r="A448" t="s">
        <v>342</v>
      </c>
      <c r="B448" t="s">
        <v>346</v>
      </c>
      <c r="C448" t="s">
        <v>251</v>
      </c>
      <c r="D448" t="s">
        <v>81</v>
      </c>
      <c r="E448">
        <v>1000000</v>
      </c>
      <c r="H448">
        <v>1.69</v>
      </c>
      <c r="I448" t="s">
        <v>56</v>
      </c>
      <c r="J448">
        <v>1.6899999999999999E-4</v>
      </c>
      <c r="K448" t="s">
        <v>57</v>
      </c>
      <c r="O448">
        <v>3600</v>
      </c>
      <c r="P448" t="s">
        <v>315</v>
      </c>
      <c r="T448">
        <v>25</v>
      </c>
      <c r="U448" t="s">
        <v>120</v>
      </c>
      <c r="V448">
        <v>75</v>
      </c>
      <c r="W448" t="s">
        <v>318</v>
      </c>
      <c r="X448" t="s">
        <v>280</v>
      </c>
      <c r="Y448">
        <v>180</v>
      </c>
      <c r="AB448">
        <v>6.6799486336172604</v>
      </c>
      <c r="AC448" t="s">
        <v>85</v>
      </c>
      <c r="AE448" t="s">
        <v>63</v>
      </c>
      <c r="AI448">
        <v>5</v>
      </c>
      <c r="AT448" t="s">
        <v>318</v>
      </c>
      <c r="AV448" t="s">
        <v>88</v>
      </c>
      <c r="AW448">
        <v>3600</v>
      </c>
    </row>
    <row r="449" spans="1:53" hidden="1" x14ac:dyDescent="0.3">
      <c r="A449" t="s">
        <v>342</v>
      </c>
      <c r="B449" t="s">
        <v>343</v>
      </c>
      <c r="C449" t="s">
        <v>251</v>
      </c>
      <c r="D449" t="s">
        <v>81</v>
      </c>
      <c r="E449">
        <v>1000000</v>
      </c>
      <c r="H449">
        <v>1.69</v>
      </c>
      <c r="I449" t="s">
        <v>56</v>
      </c>
      <c r="J449">
        <v>1.6899999999999999E-4</v>
      </c>
      <c r="K449" t="s">
        <v>57</v>
      </c>
      <c r="O449">
        <v>3600</v>
      </c>
      <c r="P449" t="s">
        <v>315</v>
      </c>
      <c r="T449">
        <v>25</v>
      </c>
      <c r="U449" t="s">
        <v>120</v>
      </c>
      <c r="V449">
        <v>75</v>
      </c>
      <c r="W449" t="s">
        <v>123</v>
      </c>
      <c r="X449" t="s">
        <v>280</v>
      </c>
      <c r="Y449">
        <v>180</v>
      </c>
      <c r="AB449">
        <v>6.3991519003713799</v>
      </c>
      <c r="AC449" t="s">
        <v>85</v>
      </c>
      <c r="AE449" t="s">
        <v>63</v>
      </c>
      <c r="AI449">
        <v>5</v>
      </c>
      <c r="AT449" t="s">
        <v>79</v>
      </c>
      <c r="AV449" t="s">
        <v>88</v>
      </c>
      <c r="AW449">
        <v>3600</v>
      </c>
    </row>
    <row r="450" spans="1:53" hidden="1" x14ac:dyDescent="0.3">
      <c r="A450" t="s">
        <v>342</v>
      </c>
      <c r="B450" t="s">
        <v>344</v>
      </c>
      <c r="C450" t="s">
        <v>251</v>
      </c>
      <c r="D450" t="s">
        <v>81</v>
      </c>
      <c r="E450">
        <v>1000000</v>
      </c>
      <c r="H450">
        <v>1.69</v>
      </c>
      <c r="I450" t="s">
        <v>56</v>
      </c>
      <c r="J450">
        <v>1.6899999999999999E-4</v>
      </c>
      <c r="K450" t="s">
        <v>57</v>
      </c>
      <c r="O450">
        <v>3600</v>
      </c>
      <c r="P450" t="s">
        <v>315</v>
      </c>
      <c r="T450">
        <v>25</v>
      </c>
      <c r="U450" t="s">
        <v>120</v>
      </c>
      <c r="V450">
        <v>75</v>
      </c>
      <c r="W450" t="s">
        <v>123</v>
      </c>
      <c r="X450" t="s">
        <v>280</v>
      </c>
      <c r="Y450">
        <v>180</v>
      </c>
      <c r="AB450">
        <v>6.1422830324642801</v>
      </c>
      <c r="AC450" t="s">
        <v>85</v>
      </c>
      <c r="AE450" t="s">
        <v>63</v>
      </c>
      <c r="AI450">
        <v>5</v>
      </c>
      <c r="AT450" t="s">
        <v>79</v>
      </c>
      <c r="AV450" t="s">
        <v>88</v>
      </c>
      <c r="AW450">
        <v>3600</v>
      </c>
    </row>
    <row r="451" spans="1:53" hidden="1" x14ac:dyDescent="0.3">
      <c r="A451" t="s">
        <v>342</v>
      </c>
      <c r="B451" t="s">
        <v>345</v>
      </c>
      <c r="C451" t="s">
        <v>251</v>
      </c>
      <c r="D451" t="s">
        <v>81</v>
      </c>
      <c r="E451">
        <v>1000000</v>
      </c>
      <c r="H451">
        <v>1.69</v>
      </c>
      <c r="I451" t="s">
        <v>56</v>
      </c>
      <c r="J451">
        <v>1.6899999999999999E-4</v>
      </c>
      <c r="K451" t="s">
        <v>57</v>
      </c>
      <c r="O451">
        <v>3600</v>
      </c>
      <c r="P451" t="s">
        <v>315</v>
      </c>
      <c r="T451">
        <v>25</v>
      </c>
      <c r="U451" t="s">
        <v>120</v>
      </c>
      <c r="V451">
        <v>75</v>
      </c>
      <c r="W451" t="s">
        <v>123</v>
      </c>
      <c r="X451" t="s">
        <v>280</v>
      </c>
      <c r="Y451">
        <v>180</v>
      </c>
      <c r="AB451">
        <v>5.9278376231037804</v>
      </c>
      <c r="AC451" t="s">
        <v>85</v>
      </c>
      <c r="AE451" t="s">
        <v>63</v>
      </c>
      <c r="AI451">
        <v>5</v>
      </c>
      <c r="AT451" t="s">
        <v>79</v>
      </c>
      <c r="AV451" t="s">
        <v>88</v>
      </c>
      <c r="AW451">
        <v>3600</v>
      </c>
    </row>
    <row r="452" spans="1:53" hidden="1" x14ac:dyDescent="0.3">
      <c r="A452" t="s">
        <v>342</v>
      </c>
      <c r="B452" t="s">
        <v>346</v>
      </c>
      <c r="C452" t="s">
        <v>251</v>
      </c>
      <c r="D452" t="s">
        <v>81</v>
      </c>
      <c r="E452">
        <v>1000000</v>
      </c>
      <c r="H452">
        <v>1.69</v>
      </c>
      <c r="I452" t="s">
        <v>56</v>
      </c>
      <c r="J452">
        <v>1.6899999999999999E-4</v>
      </c>
      <c r="K452" t="s">
        <v>57</v>
      </c>
      <c r="O452">
        <v>3600</v>
      </c>
      <c r="P452" t="s">
        <v>315</v>
      </c>
      <c r="T452">
        <v>25</v>
      </c>
      <c r="U452" t="s">
        <v>120</v>
      </c>
      <c r="V452">
        <v>75</v>
      </c>
      <c r="W452" t="s">
        <v>123</v>
      </c>
      <c r="X452" t="s">
        <v>280</v>
      </c>
      <c r="Y452">
        <v>180</v>
      </c>
      <c r="AB452">
        <v>5.7136508933685501</v>
      </c>
      <c r="AC452" t="s">
        <v>85</v>
      </c>
      <c r="AE452" t="s">
        <v>63</v>
      </c>
      <c r="AI452">
        <v>5</v>
      </c>
      <c r="AT452" t="s">
        <v>79</v>
      </c>
      <c r="AV452" t="s">
        <v>88</v>
      </c>
      <c r="AW452">
        <v>3600</v>
      </c>
    </row>
    <row r="453" spans="1:53" hidden="1" x14ac:dyDescent="0.3">
      <c r="A453" t="s">
        <v>347</v>
      </c>
      <c r="B453" t="s">
        <v>348</v>
      </c>
      <c r="C453" t="s">
        <v>251</v>
      </c>
      <c r="D453" t="s">
        <v>81</v>
      </c>
      <c r="E453">
        <v>1000000</v>
      </c>
      <c r="O453">
        <v>0</v>
      </c>
      <c r="T453">
        <v>25</v>
      </c>
      <c r="V453">
        <v>50</v>
      </c>
      <c r="W453" t="s">
        <v>349</v>
      </c>
      <c r="X453" t="s">
        <v>255</v>
      </c>
      <c r="AB453">
        <v>0</v>
      </c>
      <c r="AC453" t="s">
        <v>297</v>
      </c>
      <c r="AI453">
        <v>10</v>
      </c>
      <c r="AZ453">
        <v>0</v>
      </c>
    </row>
    <row r="454" spans="1:53" hidden="1" x14ac:dyDescent="0.3">
      <c r="A454" t="s">
        <v>347</v>
      </c>
      <c r="B454" t="s">
        <v>348</v>
      </c>
      <c r="C454" t="s">
        <v>251</v>
      </c>
      <c r="D454" t="s">
        <v>81</v>
      </c>
      <c r="E454">
        <v>1000000</v>
      </c>
      <c r="O454">
        <v>0</v>
      </c>
      <c r="T454">
        <v>25</v>
      </c>
      <c r="V454">
        <v>50</v>
      </c>
      <c r="W454" t="s">
        <v>349</v>
      </c>
      <c r="X454" t="s">
        <v>255</v>
      </c>
      <c r="AB454">
        <v>0</v>
      </c>
      <c r="AC454" t="s">
        <v>297</v>
      </c>
      <c r="AI454">
        <v>5</v>
      </c>
      <c r="AZ454">
        <v>0</v>
      </c>
    </row>
    <row r="455" spans="1:53" hidden="1" x14ac:dyDescent="0.3">
      <c r="A455" t="s">
        <v>347</v>
      </c>
      <c r="B455" t="s">
        <v>348</v>
      </c>
      <c r="C455" t="s">
        <v>251</v>
      </c>
      <c r="D455" t="s">
        <v>81</v>
      </c>
      <c r="E455">
        <v>1000000</v>
      </c>
      <c r="O455">
        <v>0</v>
      </c>
      <c r="T455">
        <v>25</v>
      </c>
      <c r="V455">
        <v>50</v>
      </c>
      <c r="W455" t="s">
        <v>350</v>
      </c>
      <c r="X455" t="s">
        <v>255</v>
      </c>
      <c r="AA455" t="s">
        <v>184</v>
      </c>
      <c r="AB455">
        <v>8.14</v>
      </c>
      <c r="AC455" t="s">
        <v>85</v>
      </c>
      <c r="AI455">
        <v>15</v>
      </c>
      <c r="AT455" t="s">
        <v>65</v>
      </c>
      <c r="AZ455">
        <v>0</v>
      </c>
      <c r="BA455">
        <v>8.14</v>
      </c>
    </row>
    <row r="456" spans="1:53" hidden="1" x14ac:dyDescent="0.3">
      <c r="A456" t="s">
        <v>347</v>
      </c>
      <c r="B456" t="s">
        <v>348</v>
      </c>
      <c r="C456" t="s">
        <v>251</v>
      </c>
      <c r="D456" t="s">
        <v>81</v>
      </c>
      <c r="E456">
        <v>1000000</v>
      </c>
      <c r="O456">
        <v>0</v>
      </c>
      <c r="T456">
        <v>25</v>
      </c>
      <c r="V456">
        <v>50</v>
      </c>
      <c r="W456" t="s">
        <v>351</v>
      </c>
      <c r="X456" t="s">
        <v>255</v>
      </c>
      <c r="AB456">
        <v>4.21</v>
      </c>
      <c r="AC456" t="s">
        <v>85</v>
      </c>
      <c r="AI456">
        <v>12</v>
      </c>
    </row>
    <row r="457" spans="1:53" hidden="1" x14ac:dyDescent="0.3">
      <c r="A457" t="s">
        <v>352</v>
      </c>
      <c r="C457" t="s">
        <v>251</v>
      </c>
      <c r="D457" t="s">
        <v>81</v>
      </c>
      <c r="E457">
        <v>1000000</v>
      </c>
      <c r="H457">
        <v>14.25</v>
      </c>
      <c r="I457" t="s">
        <v>56</v>
      </c>
      <c r="J457">
        <v>1.4250000000000001E-3</v>
      </c>
      <c r="K457" t="s">
        <v>57</v>
      </c>
      <c r="T457">
        <v>25</v>
      </c>
      <c r="W457" t="s">
        <v>353</v>
      </c>
      <c r="X457" t="s">
        <v>354</v>
      </c>
      <c r="Y457">
        <v>20</v>
      </c>
      <c r="AB457">
        <v>3</v>
      </c>
      <c r="AC457" t="s">
        <v>85</v>
      </c>
      <c r="AD457" t="s">
        <v>339</v>
      </c>
      <c r="AE457" t="s">
        <v>63</v>
      </c>
      <c r="AI457">
        <v>3</v>
      </c>
      <c r="AJ457" t="s">
        <v>201</v>
      </c>
      <c r="AT457" t="s">
        <v>73</v>
      </c>
      <c r="AV457" t="s">
        <v>88</v>
      </c>
    </row>
    <row r="458" spans="1:53" hidden="1" x14ac:dyDescent="0.3">
      <c r="A458" t="s">
        <v>352</v>
      </c>
      <c r="C458" t="s">
        <v>251</v>
      </c>
      <c r="D458" t="s">
        <v>81</v>
      </c>
      <c r="E458">
        <v>1000000</v>
      </c>
      <c r="H458">
        <v>14.25</v>
      </c>
      <c r="I458" t="s">
        <v>56</v>
      </c>
      <c r="J458">
        <v>1.4250000000000001E-3</v>
      </c>
      <c r="K458" t="s">
        <v>57</v>
      </c>
      <c r="T458">
        <v>25</v>
      </c>
      <c r="W458" t="s">
        <v>355</v>
      </c>
      <c r="X458" t="s">
        <v>354</v>
      </c>
      <c r="Y458">
        <v>20</v>
      </c>
      <c r="AB458">
        <v>3.7</v>
      </c>
      <c r="AC458" t="s">
        <v>85</v>
      </c>
      <c r="AD458" t="s">
        <v>356</v>
      </c>
      <c r="AE458" t="s">
        <v>63</v>
      </c>
      <c r="AI458">
        <v>3</v>
      </c>
      <c r="AJ458" t="s">
        <v>201</v>
      </c>
      <c r="AT458" t="s">
        <v>212</v>
      </c>
      <c r="AV458" t="s">
        <v>88</v>
      </c>
    </row>
    <row r="459" spans="1:53" hidden="1" x14ac:dyDescent="0.3">
      <c r="A459" t="s">
        <v>352</v>
      </c>
      <c r="C459" t="s">
        <v>251</v>
      </c>
      <c r="D459" t="s">
        <v>81</v>
      </c>
      <c r="E459">
        <v>250000000</v>
      </c>
      <c r="H459">
        <v>14.25</v>
      </c>
      <c r="I459" t="s">
        <v>56</v>
      </c>
      <c r="J459">
        <v>1.4250000000000001E-3</v>
      </c>
      <c r="K459" t="s">
        <v>57</v>
      </c>
      <c r="T459">
        <v>25</v>
      </c>
      <c r="W459" t="s">
        <v>357</v>
      </c>
      <c r="X459" t="s">
        <v>354</v>
      </c>
      <c r="Y459">
        <v>20</v>
      </c>
      <c r="AB459">
        <v>6.4</v>
      </c>
      <c r="AC459" t="s">
        <v>85</v>
      </c>
      <c r="AD459" t="s">
        <v>339</v>
      </c>
      <c r="AE459" t="s">
        <v>63</v>
      </c>
      <c r="AI459">
        <v>3</v>
      </c>
      <c r="AJ459" t="s">
        <v>201</v>
      </c>
      <c r="AT459" t="s">
        <v>358</v>
      </c>
      <c r="AV459" t="s">
        <v>88</v>
      </c>
    </row>
    <row r="460" spans="1:53" hidden="1" x14ac:dyDescent="0.3">
      <c r="A460" t="s">
        <v>352</v>
      </c>
      <c r="C460" t="s">
        <v>251</v>
      </c>
      <c r="D460" t="s">
        <v>81</v>
      </c>
      <c r="E460">
        <v>250000000</v>
      </c>
      <c r="H460">
        <v>14.25</v>
      </c>
      <c r="I460" t="s">
        <v>56</v>
      </c>
      <c r="J460">
        <v>1.4250000000000001E-3</v>
      </c>
      <c r="K460" t="s">
        <v>57</v>
      </c>
      <c r="T460">
        <v>25</v>
      </c>
      <c r="W460" t="s">
        <v>147</v>
      </c>
      <c r="X460" t="s">
        <v>354</v>
      </c>
      <c r="Y460">
        <v>20</v>
      </c>
      <c r="AA460" t="s">
        <v>184</v>
      </c>
      <c r="AB460">
        <v>7.9</v>
      </c>
      <c r="AC460" t="s">
        <v>85</v>
      </c>
      <c r="AD460" t="s">
        <v>194</v>
      </c>
      <c r="AI460">
        <v>3</v>
      </c>
      <c r="AJ460" t="s">
        <v>201</v>
      </c>
      <c r="AT460" t="s">
        <v>150</v>
      </c>
      <c r="AV460" t="s">
        <v>88</v>
      </c>
      <c r="AZ460">
        <v>0</v>
      </c>
      <c r="BA460">
        <v>7.9</v>
      </c>
    </row>
    <row r="461" spans="1:53" hidden="1" x14ac:dyDescent="0.3">
      <c r="A461" t="s">
        <v>352</v>
      </c>
      <c r="C461" t="s">
        <v>251</v>
      </c>
      <c r="D461" t="s">
        <v>81</v>
      </c>
      <c r="E461">
        <v>250000000</v>
      </c>
      <c r="H461">
        <v>14.25</v>
      </c>
      <c r="I461" t="s">
        <v>56</v>
      </c>
      <c r="J461">
        <v>1.4250000000000001E-3</v>
      </c>
      <c r="K461" t="s">
        <v>57</v>
      </c>
      <c r="T461">
        <v>25</v>
      </c>
      <c r="W461" t="s">
        <v>359</v>
      </c>
      <c r="X461" t="s">
        <v>354</v>
      </c>
      <c r="Y461">
        <v>20</v>
      </c>
      <c r="AA461" t="s">
        <v>184</v>
      </c>
      <c r="AB461">
        <v>7.9</v>
      </c>
      <c r="AC461" t="s">
        <v>85</v>
      </c>
      <c r="AD461" t="s">
        <v>194</v>
      </c>
      <c r="AI461">
        <v>3</v>
      </c>
      <c r="AJ461" t="s">
        <v>201</v>
      </c>
      <c r="AT461" t="s">
        <v>360</v>
      </c>
      <c r="AV461" t="s">
        <v>88</v>
      </c>
      <c r="AZ461">
        <v>0</v>
      </c>
      <c r="BA461">
        <v>7.9</v>
      </c>
    </row>
    <row r="462" spans="1:53" hidden="1" x14ac:dyDescent="0.3">
      <c r="A462" t="s">
        <v>352</v>
      </c>
      <c r="C462" t="s">
        <v>251</v>
      </c>
      <c r="D462" t="s">
        <v>81</v>
      </c>
      <c r="E462">
        <v>250000000</v>
      </c>
      <c r="H462">
        <v>14.25</v>
      </c>
      <c r="I462" t="s">
        <v>56</v>
      </c>
      <c r="J462">
        <v>1.4250000000000001E-3</v>
      </c>
      <c r="K462" t="s">
        <v>57</v>
      </c>
      <c r="T462">
        <v>25</v>
      </c>
      <c r="W462" t="s">
        <v>361</v>
      </c>
      <c r="X462" t="s">
        <v>354</v>
      </c>
      <c r="Y462">
        <v>20</v>
      </c>
      <c r="AA462" t="s">
        <v>184</v>
      </c>
      <c r="AB462">
        <v>7.5</v>
      </c>
      <c r="AC462" t="s">
        <v>85</v>
      </c>
      <c r="AD462" t="s">
        <v>194</v>
      </c>
      <c r="AI462">
        <v>3</v>
      </c>
      <c r="AJ462" t="s">
        <v>201</v>
      </c>
      <c r="AT462" t="s">
        <v>65</v>
      </c>
      <c r="AV462" t="s">
        <v>88</v>
      </c>
      <c r="AZ462">
        <v>0</v>
      </c>
      <c r="BA462">
        <v>7.5</v>
      </c>
    </row>
    <row r="463" spans="1:53" hidden="1" x14ac:dyDescent="0.3">
      <c r="A463" t="s">
        <v>352</v>
      </c>
      <c r="C463" t="s">
        <v>251</v>
      </c>
      <c r="D463" t="s">
        <v>81</v>
      </c>
      <c r="E463">
        <v>250000000</v>
      </c>
      <c r="H463">
        <v>14.25</v>
      </c>
      <c r="I463" t="s">
        <v>56</v>
      </c>
      <c r="J463">
        <v>1.4250000000000001E-3</v>
      </c>
      <c r="K463" t="s">
        <v>57</v>
      </c>
      <c r="T463">
        <v>25</v>
      </c>
      <c r="W463" t="s">
        <v>362</v>
      </c>
      <c r="X463" t="s">
        <v>354</v>
      </c>
      <c r="Y463">
        <v>20</v>
      </c>
      <c r="AA463" t="s">
        <v>184</v>
      </c>
      <c r="AB463">
        <v>6.9</v>
      </c>
      <c r="AC463" t="s">
        <v>85</v>
      </c>
      <c r="AD463" t="s">
        <v>194</v>
      </c>
      <c r="AI463">
        <v>3</v>
      </c>
      <c r="AJ463" t="s">
        <v>201</v>
      </c>
      <c r="AT463" t="s">
        <v>79</v>
      </c>
      <c r="AV463" t="s">
        <v>88</v>
      </c>
      <c r="AZ463">
        <v>0</v>
      </c>
      <c r="BA463">
        <v>6.9</v>
      </c>
    </row>
    <row r="464" spans="1:53" hidden="1" x14ac:dyDescent="0.3">
      <c r="A464" t="s">
        <v>352</v>
      </c>
      <c r="C464" t="s">
        <v>251</v>
      </c>
      <c r="D464" t="s">
        <v>81</v>
      </c>
      <c r="E464">
        <v>250000000</v>
      </c>
      <c r="H464">
        <v>14.25</v>
      </c>
      <c r="I464" t="s">
        <v>56</v>
      </c>
      <c r="J464">
        <v>1.4250000000000001E-3</v>
      </c>
      <c r="K464" t="s">
        <v>57</v>
      </c>
      <c r="T464">
        <v>25</v>
      </c>
      <c r="W464" t="s">
        <v>353</v>
      </c>
      <c r="X464" t="s">
        <v>354</v>
      </c>
      <c r="Y464">
        <v>20</v>
      </c>
      <c r="AB464">
        <v>1.6</v>
      </c>
      <c r="AC464" t="s">
        <v>85</v>
      </c>
      <c r="AD464" t="s">
        <v>103</v>
      </c>
      <c r="AE464" t="s">
        <v>63</v>
      </c>
      <c r="AI464">
        <v>3</v>
      </c>
      <c r="AJ464" t="s">
        <v>201</v>
      </c>
      <c r="AT464" t="s">
        <v>73</v>
      </c>
      <c r="AV464" t="s">
        <v>88</v>
      </c>
    </row>
    <row r="465" spans="1:53" hidden="1" x14ac:dyDescent="0.3">
      <c r="A465" t="s">
        <v>352</v>
      </c>
      <c r="C465" t="s">
        <v>251</v>
      </c>
      <c r="D465" t="s">
        <v>81</v>
      </c>
      <c r="E465">
        <v>250000000</v>
      </c>
      <c r="H465">
        <v>14.25</v>
      </c>
      <c r="I465" t="s">
        <v>56</v>
      </c>
      <c r="J465">
        <v>1.4250000000000001E-3</v>
      </c>
      <c r="K465" t="s">
        <v>57</v>
      </c>
      <c r="T465">
        <v>25</v>
      </c>
      <c r="W465" t="s">
        <v>355</v>
      </c>
      <c r="X465" t="s">
        <v>354</v>
      </c>
      <c r="Y465">
        <v>20</v>
      </c>
      <c r="AB465">
        <v>2.2000000000000002</v>
      </c>
      <c r="AC465" t="s">
        <v>85</v>
      </c>
      <c r="AD465" t="s">
        <v>98</v>
      </c>
      <c r="AE465" t="s">
        <v>63</v>
      </c>
      <c r="AI465">
        <v>3</v>
      </c>
      <c r="AJ465" t="s">
        <v>201</v>
      </c>
      <c r="AT465" t="s">
        <v>212</v>
      </c>
      <c r="AV465" t="s">
        <v>88</v>
      </c>
    </row>
    <row r="466" spans="1:53" hidden="1" x14ac:dyDescent="0.3">
      <c r="A466" t="s">
        <v>352</v>
      </c>
      <c r="C466" t="s">
        <v>251</v>
      </c>
      <c r="D466" t="s">
        <v>81</v>
      </c>
      <c r="E466">
        <v>250000000</v>
      </c>
      <c r="H466">
        <v>14.25</v>
      </c>
      <c r="I466" t="s">
        <v>56</v>
      </c>
      <c r="J466">
        <v>1.4250000000000001E-3</v>
      </c>
      <c r="K466" t="s">
        <v>57</v>
      </c>
      <c r="T466">
        <v>25</v>
      </c>
      <c r="W466" t="s">
        <v>357</v>
      </c>
      <c r="X466" t="s">
        <v>354</v>
      </c>
      <c r="Y466">
        <v>20</v>
      </c>
      <c r="AB466">
        <v>6.1</v>
      </c>
      <c r="AC466" t="s">
        <v>85</v>
      </c>
      <c r="AD466" t="s">
        <v>363</v>
      </c>
      <c r="AE466" t="s">
        <v>63</v>
      </c>
      <c r="AI466">
        <v>3</v>
      </c>
      <c r="AJ466" t="s">
        <v>201</v>
      </c>
      <c r="AT466" t="s">
        <v>358</v>
      </c>
      <c r="AV466" t="s">
        <v>88</v>
      </c>
    </row>
    <row r="467" spans="1:53" hidden="1" x14ac:dyDescent="0.3">
      <c r="A467" t="s">
        <v>352</v>
      </c>
      <c r="C467" t="s">
        <v>251</v>
      </c>
      <c r="D467" t="s">
        <v>81</v>
      </c>
      <c r="E467">
        <v>250000000</v>
      </c>
      <c r="H467">
        <v>14.25</v>
      </c>
      <c r="I467" t="s">
        <v>56</v>
      </c>
      <c r="J467">
        <v>1.4250000000000001E-3</v>
      </c>
      <c r="K467" t="s">
        <v>57</v>
      </c>
      <c r="T467">
        <v>25</v>
      </c>
      <c r="W467" t="s">
        <v>147</v>
      </c>
      <c r="X467" t="s">
        <v>354</v>
      </c>
      <c r="Y467">
        <v>20</v>
      </c>
      <c r="AA467" t="s">
        <v>184</v>
      </c>
      <c r="AB467">
        <v>7.6</v>
      </c>
      <c r="AC467" t="s">
        <v>85</v>
      </c>
      <c r="AD467" t="s">
        <v>194</v>
      </c>
      <c r="AI467">
        <v>3</v>
      </c>
      <c r="AJ467" t="s">
        <v>201</v>
      </c>
      <c r="AT467" t="s">
        <v>150</v>
      </c>
      <c r="AV467" t="s">
        <v>88</v>
      </c>
      <c r="AZ467">
        <v>0</v>
      </c>
      <c r="BA467">
        <v>7.6</v>
      </c>
    </row>
    <row r="468" spans="1:53" hidden="1" x14ac:dyDescent="0.3">
      <c r="A468" t="s">
        <v>352</v>
      </c>
      <c r="C468" t="s">
        <v>251</v>
      </c>
      <c r="D468" t="s">
        <v>81</v>
      </c>
      <c r="E468">
        <v>250000000</v>
      </c>
      <c r="H468">
        <v>14.25</v>
      </c>
      <c r="I468" t="s">
        <v>56</v>
      </c>
      <c r="J468">
        <v>1.4250000000000001E-3</v>
      </c>
      <c r="K468" t="s">
        <v>57</v>
      </c>
      <c r="T468">
        <v>25</v>
      </c>
      <c r="W468" t="s">
        <v>359</v>
      </c>
      <c r="X468" t="s">
        <v>354</v>
      </c>
      <c r="Y468">
        <v>20</v>
      </c>
      <c r="AA468" t="s">
        <v>184</v>
      </c>
      <c r="AB468">
        <v>7.7</v>
      </c>
      <c r="AC468" t="s">
        <v>85</v>
      </c>
      <c r="AD468" t="s">
        <v>194</v>
      </c>
      <c r="AI468">
        <v>3</v>
      </c>
      <c r="AJ468" t="s">
        <v>201</v>
      </c>
      <c r="AT468" t="s">
        <v>360</v>
      </c>
      <c r="AV468" t="s">
        <v>88</v>
      </c>
      <c r="AZ468">
        <v>0</v>
      </c>
      <c r="BA468">
        <v>7.7</v>
      </c>
    </row>
    <row r="469" spans="1:53" hidden="1" x14ac:dyDescent="0.3">
      <c r="A469" t="s">
        <v>352</v>
      </c>
      <c r="C469" t="s">
        <v>251</v>
      </c>
      <c r="D469" t="s">
        <v>81</v>
      </c>
      <c r="E469">
        <v>250000000</v>
      </c>
      <c r="H469">
        <v>14.25</v>
      </c>
      <c r="I469" t="s">
        <v>56</v>
      </c>
      <c r="J469">
        <v>1.4250000000000001E-3</v>
      </c>
      <c r="K469" t="s">
        <v>57</v>
      </c>
      <c r="T469">
        <v>25</v>
      </c>
      <c r="W469" t="s">
        <v>361</v>
      </c>
      <c r="X469" t="s">
        <v>354</v>
      </c>
      <c r="Y469">
        <v>20</v>
      </c>
      <c r="AB469">
        <v>6.4</v>
      </c>
      <c r="AC469" t="s">
        <v>85</v>
      </c>
      <c r="AD469" t="s">
        <v>364</v>
      </c>
      <c r="AE469" t="s">
        <v>63</v>
      </c>
      <c r="AI469">
        <v>3</v>
      </c>
      <c r="AJ469" t="s">
        <v>201</v>
      </c>
      <c r="AT469" t="s">
        <v>65</v>
      </c>
      <c r="AV469" t="s">
        <v>88</v>
      </c>
    </row>
    <row r="470" spans="1:53" hidden="1" x14ac:dyDescent="0.3">
      <c r="A470" t="s">
        <v>352</v>
      </c>
      <c r="C470" t="s">
        <v>251</v>
      </c>
      <c r="D470" t="s">
        <v>81</v>
      </c>
      <c r="E470">
        <v>250000000</v>
      </c>
      <c r="H470">
        <v>14.25</v>
      </c>
      <c r="I470" t="s">
        <v>56</v>
      </c>
      <c r="J470">
        <v>1.4250000000000001E-3</v>
      </c>
      <c r="K470" t="s">
        <v>57</v>
      </c>
      <c r="T470">
        <v>25</v>
      </c>
      <c r="W470" t="s">
        <v>362</v>
      </c>
      <c r="X470" t="s">
        <v>354</v>
      </c>
      <c r="Y470">
        <v>20</v>
      </c>
      <c r="AA470" t="s">
        <v>184</v>
      </c>
      <c r="AB470">
        <v>7.5</v>
      </c>
      <c r="AC470" t="s">
        <v>85</v>
      </c>
      <c r="AD470" t="s">
        <v>194</v>
      </c>
      <c r="AI470">
        <v>3</v>
      </c>
      <c r="AJ470" t="s">
        <v>201</v>
      </c>
      <c r="AT470" t="s">
        <v>79</v>
      </c>
      <c r="AV470" t="s">
        <v>88</v>
      </c>
      <c r="AZ470">
        <v>0</v>
      </c>
      <c r="BA470">
        <v>7.5</v>
      </c>
    </row>
    <row r="471" spans="1:53" hidden="1" x14ac:dyDescent="0.3">
      <c r="A471" t="s">
        <v>352</v>
      </c>
      <c r="C471" t="s">
        <v>251</v>
      </c>
      <c r="D471" t="s">
        <v>81</v>
      </c>
      <c r="E471">
        <v>250000000</v>
      </c>
      <c r="H471">
        <v>14.25</v>
      </c>
      <c r="I471" t="s">
        <v>56</v>
      </c>
      <c r="J471">
        <v>1.4250000000000001E-3</v>
      </c>
      <c r="K471" t="s">
        <v>57</v>
      </c>
      <c r="T471">
        <v>25</v>
      </c>
      <c r="W471" t="s">
        <v>353</v>
      </c>
      <c r="X471" t="s">
        <v>354</v>
      </c>
      <c r="Y471">
        <v>20</v>
      </c>
      <c r="AB471">
        <v>0.81</v>
      </c>
      <c r="AC471" t="s">
        <v>85</v>
      </c>
      <c r="AD471" t="s">
        <v>314</v>
      </c>
      <c r="AE471" t="s">
        <v>63</v>
      </c>
      <c r="AI471">
        <v>3</v>
      </c>
      <c r="AJ471" t="s">
        <v>201</v>
      </c>
      <c r="AT471" t="s">
        <v>73</v>
      </c>
      <c r="AV471" t="s">
        <v>88</v>
      </c>
    </row>
    <row r="472" spans="1:53" hidden="1" x14ac:dyDescent="0.3">
      <c r="A472" t="s">
        <v>352</v>
      </c>
      <c r="C472" t="s">
        <v>251</v>
      </c>
      <c r="D472" t="s">
        <v>81</v>
      </c>
      <c r="E472">
        <v>250000000</v>
      </c>
      <c r="H472">
        <v>14.25</v>
      </c>
      <c r="I472" t="s">
        <v>56</v>
      </c>
      <c r="J472">
        <v>1.4250000000000001E-3</v>
      </c>
      <c r="K472" t="s">
        <v>57</v>
      </c>
      <c r="T472">
        <v>25</v>
      </c>
      <c r="W472" t="s">
        <v>355</v>
      </c>
      <c r="X472" t="s">
        <v>354</v>
      </c>
      <c r="Y472">
        <v>20</v>
      </c>
      <c r="AB472">
        <v>4.0999999999999899</v>
      </c>
      <c r="AC472" t="s">
        <v>85</v>
      </c>
      <c r="AD472" t="s">
        <v>86</v>
      </c>
      <c r="AE472" t="s">
        <v>63</v>
      </c>
      <c r="AI472">
        <v>3</v>
      </c>
      <c r="AJ472" t="s">
        <v>201</v>
      </c>
      <c r="AT472" t="s">
        <v>212</v>
      </c>
      <c r="AV472" t="s">
        <v>88</v>
      </c>
    </row>
    <row r="473" spans="1:53" hidden="1" x14ac:dyDescent="0.3">
      <c r="A473" t="s">
        <v>352</v>
      </c>
      <c r="C473" t="s">
        <v>251</v>
      </c>
      <c r="D473" t="s">
        <v>81</v>
      </c>
      <c r="E473">
        <v>250000000</v>
      </c>
      <c r="H473">
        <v>14.25</v>
      </c>
      <c r="I473" t="s">
        <v>56</v>
      </c>
      <c r="J473">
        <v>1.4250000000000001E-3</v>
      </c>
      <c r="K473" t="s">
        <v>57</v>
      </c>
      <c r="T473">
        <v>25</v>
      </c>
      <c r="W473" t="s">
        <v>357</v>
      </c>
      <c r="X473" t="s">
        <v>354</v>
      </c>
      <c r="Y473">
        <v>20</v>
      </c>
      <c r="AB473">
        <v>4.0999999999999899</v>
      </c>
      <c r="AC473" t="s">
        <v>85</v>
      </c>
      <c r="AD473" t="s">
        <v>334</v>
      </c>
      <c r="AE473" t="s">
        <v>63</v>
      </c>
      <c r="AI473">
        <v>3</v>
      </c>
      <c r="AJ473" t="s">
        <v>201</v>
      </c>
      <c r="AT473" t="s">
        <v>358</v>
      </c>
      <c r="AV473" t="s">
        <v>88</v>
      </c>
    </row>
    <row r="474" spans="1:53" hidden="1" x14ac:dyDescent="0.3">
      <c r="A474" t="s">
        <v>352</v>
      </c>
      <c r="C474" t="s">
        <v>251</v>
      </c>
      <c r="D474" t="s">
        <v>81</v>
      </c>
      <c r="E474">
        <v>250000000</v>
      </c>
      <c r="H474">
        <v>14.25</v>
      </c>
      <c r="I474" t="s">
        <v>56</v>
      </c>
      <c r="J474">
        <v>1.4250000000000001E-3</v>
      </c>
      <c r="K474" t="s">
        <v>57</v>
      </c>
      <c r="T474">
        <v>25</v>
      </c>
      <c r="W474" t="s">
        <v>147</v>
      </c>
      <c r="X474" t="s">
        <v>354</v>
      </c>
      <c r="Y474">
        <v>20</v>
      </c>
      <c r="AB474">
        <v>4.7</v>
      </c>
      <c r="AC474" t="s">
        <v>85</v>
      </c>
      <c r="AD474" t="s">
        <v>225</v>
      </c>
      <c r="AE474" t="s">
        <v>63</v>
      </c>
      <c r="AI474">
        <v>3</v>
      </c>
      <c r="AJ474" t="s">
        <v>201</v>
      </c>
      <c r="AT474" t="s">
        <v>150</v>
      </c>
      <c r="AV474" t="s">
        <v>88</v>
      </c>
    </row>
    <row r="475" spans="1:53" hidden="1" x14ac:dyDescent="0.3">
      <c r="A475" t="s">
        <v>352</v>
      </c>
      <c r="C475" t="s">
        <v>251</v>
      </c>
      <c r="D475" t="s">
        <v>81</v>
      </c>
      <c r="E475">
        <v>250000000</v>
      </c>
      <c r="H475">
        <v>14.25</v>
      </c>
      <c r="I475" t="s">
        <v>56</v>
      </c>
      <c r="J475">
        <v>1.4250000000000001E-3</v>
      </c>
      <c r="K475" t="s">
        <v>57</v>
      </c>
      <c r="T475">
        <v>25</v>
      </c>
      <c r="W475" t="s">
        <v>359</v>
      </c>
      <c r="X475" t="s">
        <v>354</v>
      </c>
      <c r="Y475">
        <v>20</v>
      </c>
      <c r="AB475">
        <v>3.8</v>
      </c>
      <c r="AC475" t="s">
        <v>85</v>
      </c>
      <c r="AD475" t="s">
        <v>333</v>
      </c>
      <c r="AE475" t="s">
        <v>63</v>
      </c>
      <c r="AI475">
        <v>3</v>
      </c>
      <c r="AJ475" t="s">
        <v>201</v>
      </c>
      <c r="AT475" t="s">
        <v>360</v>
      </c>
      <c r="AV475" t="s">
        <v>88</v>
      </c>
    </row>
    <row r="476" spans="1:53" hidden="1" x14ac:dyDescent="0.3">
      <c r="A476" t="s">
        <v>352</v>
      </c>
      <c r="C476" t="s">
        <v>251</v>
      </c>
      <c r="D476" t="s">
        <v>81</v>
      </c>
      <c r="E476">
        <v>250000000</v>
      </c>
      <c r="H476">
        <v>14.25</v>
      </c>
      <c r="I476" t="s">
        <v>56</v>
      </c>
      <c r="J476">
        <v>1.4250000000000001E-3</v>
      </c>
      <c r="K476" t="s">
        <v>57</v>
      </c>
      <c r="T476">
        <v>25</v>
      </c>
      <c r="W476" t="s">
        <v>361</v>
      </c>
      <c r="X476" t="s">
        <v>354</v>
      </c>
      <c r="Y476">
        <v>20</v>
      </c>
      <c r="AB476">
        <v>2</v>
      </c>
      <c r="AC476" t="s">
        <v>85</v>
      </c>
      <c r="AD476" t="s">
        <v>365</v>
      </c>
      <c r="AE476" t="s">
        <v>63</v>
      </c>
      <c r="AI476">
        <v>3</v>
      </c>
      <c r="AJ476" t="s">
        <v>201</v>
      </c>
      <c r="AT476" t="s">
        <v>65</v>
      </c>
      <c r="AV476" t="s">
        <v>88</v>
      </c>
    </row>
    <row r="477" spans="1:53" hidden="1" x14ac:dyDescent="0.3">
      <c r="A477" t="s">
        <v>352</v>
      </c>
      <c r="C477" t="s">
        <v>251</v>
      </c>
      <c r="D477" t="s">
        <v>81</v>
      </c>
      <c r="E477">
        <v>250000000</v>
      </c>
      <c r="H477">
        <v>14.25</v>
      </c>
      <c r="I477" t="s">
        <v>56</v>
      </c>
      <c r="J477">
        <v>1.4250000000000001E-3</v>
      </c>
      <c r="K477" t="s">
        <v>57</v>
      </c>
      <c r="T477">
        <v>25</v>
      </c>
      <c r="W477" t="s">
        <v>362</v>
      </c>
      <c r="X477" t="s">
        <v>354</v>
      </c>
      <c r="Y477">
        <v>20</v>
      </c>
      <c r="AB477">
        <v>6</v>
      </c>
      <c r="AC477" t="s">
        <v>85</v>
      </c>
      <c r="AD477" t="s">
        <v>363</v>
      </c>
      <c r="AE477" t="s">
        <v>63</v>
      </c>
      <c r="AI477">
        <v>3</v>
      </c>
      <c r="AJ477" t="s">
        <v>201</v>
      </c>
      <c r="AT477" t="s">
        <v>79</v>
      </c>
      <c r="AV477" t="s">
        <v>88</v>
      </c>
    </row>
    <row r="478" spans="1:53" hidden="1" x14ac:dyDescent="0.3">
      <c r="A478" t="s">
        <v>352</v>
      </c>
      <c r="C478" t="s">
        <v>251</v>
      </c>
      <c r="D478" t="s">
        <v>81</v>
      </c>
      <c r="E478">
        <v>250000000</v>
      </c>
      <c r="T478">
        <v>25</v>
      </c>
      <c r="W478" t="s">
        <v>366</v>
      </c>
      <c r="X478" t="s">
        <v>354</v>
      </c>
      <c r="Y478">
        <v>20</v>
      </c>
      <c r="AB478">
        <v>0</v>
      </c>
      <c r="AC478" t="s">
        <v>297</v>
      </c>
      <c r="AE478" t="s">
        <v>63</v>
      </c>
      <c r="AI478">
        <v>3</v>
      </c>
      <c r="AJ478" t="s">
        <v>201</v>
      </c>
      <c r="AZ478">
        <v>0</v>
      </c>
    </row>
    <row r="479" spans="1:53" hidden="1" x14ac:dyDescent="0.3">
      <c r="A479" t="s">
        <v>352</v>
      </c>
      <c r="C479" t="s">
        <v>251</v>
      </c>
      <c r="D479" t="s">
        <v>81</v>
      </c>
      <c r="E479">
        <v>100000000</v>
      </c>
      <c r="T479">
        <v>25</v>
      </c>
      <c r="W479" t="s">
        <v>366</v>
      </c>
      <c r="X479" t="s">
        <v>354</v>
      </c>
      <c r="Y479">
        <v>20</v>
      </c>
      <c r="AB479">
        <v>0</v>
      </c>
      <c r="AC479" t="s">
        <v>297</v>
      </c>
      <c r="AE479" t="s">
        <v>63</v>
      </c>
      <c r="AI479">
        <v>3</v>
      </c>
      <c r="AJ479" t="s">
        <v>201</v>
      </c>
      <c r="AZ479">
        <v>0</v>
      </c>
    </row>
    <row r="480" spans="1:53" hidden="1" x14ac:dyDescent="0.3">
      <c r="A480" t="s">
        <v>352</v>
      </c>
      <c r="C480" t="s">
        <v>251</v>
      </c>
      <c r="D480" t="s">
        <v>81</v>
      </c>
      <c r="E480">
        <v>100000000</v>
      </c>
      <c r="T480">
        <v>25</v>
      </c>
      <c r="W480" t="s">
        <v>367</v>
      </c>
      <c r="X480" t="s">
        <v>354</v>
      </c>
      <c r="Y480">
        <v>20</v>
      </c>
      <c r="AB480">
        <v>0</v>
      </c>
      <c r="AC480" t="s">
        <v>297</v>
      </c>
      <c r="AE480" t="s">
        <v>63</v>
      </c>
      <c r="AI480">
        <v>3</v>
      </c>
      <c r="AJ480" t="s">
        <v>201</v>
      </c>
      <c r="AZ480">
        <v>0</v>
      </c>
    </row>
    <row r="481" spans="1:53" hidden="1" x14ac:dyDescent="0.3">
      <c r="A481" t="s">
        <v>368</v>
      </c>
      <c r="C481" t="s">
        <v>251</v>
      </c>
      <c r="E481">
        <v>100000000</v>
      </c>
      <c r="H481">
        <v>1</v>
      </c>
      <c r="I481" t="s">
        <v>369</v>
      </c>
      <c r="J481">
        <v>9.2902999999999999E-2</v>
      </c>
      <c r="K481" t="s">
        <v>57</v>
      </c>
      <c r="L481" t="s">
        <v>58</v>
      </c>
      <c r="O481">
        <v>1400</v>
      </c>
      <c r="P481" t="s">
        <v>277</v>
      </c>
      <c r="T481">
        <v>24</v>
      </c>
      <c r="V481">
        <v>85</v>
      </c>
      <c r="W481" t="s">
        <v>370</v>
      </c>
      <c r="X481" t="s">
        <v>280</v>
      </c>
      <c r="Y481">
        <v>240</v>
      </c>
      <c r="AB481">
        <v>1.1100000000000001</v>
      </c>
      <c r="AC481" t="s">
        <v>210</v>
      </c>
      <c r="AD481">
        <v>0</v>
      </c>
      <c r="AE481" t="s">
        <v>371</v>
      </c>
      <c r="AH481">
        <v>5.81</v>
      </c>
      <c r="AI481">
        <v>3</v>
      </c>
      <c r="AT481" t="s">
        <v>203</v>
      </c>
      <c r="AV481" t="s">
        <v>372</v>
      </c>
      <c r="AW481">
        <v>1400</v>
      </c>
      <c r="BA481">
        <v>5.81</v>
      </c>
    </row>
    <row r="482" spans="1:53" hidden="1" x14ac:dyDescent="0.3">
      <c r="A482" t="s">
        <v>368</v>
      </c>
      <c r="C482" t="s">
        <v>251</v>
      </c>
      <c r="E482">
        <v>100000000</v>
      </c>
      <c r="H482">
        <v>1</v>
      </c>
      <c r="I482" t="s">
        <v>369</v>
      </c>
      <c r="J482">
        <v>9.2902999999999999E-2</v>
      </c>
      <c r="K482" t="s">
        <v>57</v>
      </c>
      <c r="L482" t="s">
        <v>58</v>
      </c>
      <c r="O482">
        <v>1400</v>
      </c>
      <c r="P482" t="s">
        <v>277</v>
      </c>
      <c r="T482">
        <v>24</v>
      </c>
      <c r="V482">
        <v>85</v>
      </c>
      <c r="W482" t="s">
        <v>370</v>
      </c>
      <c r="X482" t="s">
        <v>280</v>
      </c>
      <c r="Y482">
        <v>240</v>
      </c>
      <c r="AB482">
        <v>1.1399999999999999</v>
      </c>
      <c r="AC482" t="s">
        <v>210</v>
      </c>
      <c r="AD482">
        <v>0</v>
      </c>
      <c r="AE482" t="s">
        <v>371</v>
      </c>
      <c r="AH482">
        <v>6.04</v>
      </c>
      <c r="AI482">
        <v>3</v>
      </c>
      <c r="AT482" t="s">
        <v>203</v>
      </c>
      <c r="AV482" t="s">
        <v>372</v>
      </c>
      <c r="AW482">
        <v>1400</v>
      </c>
      <c r="BA482">
        <v>6.04</v>
      </c>
    </row>
    <row r="483" spans="1:53" hidden="1" x14ac:dyDescent="0.3">
      <c r="A483" t="s">
        <v>368</v>
      </c>
      <c r="C483" t="s">
        <v>251</v>
      </c>
      <c r="E483">
        <v>100000000</v>
      </c>
      <c r="H483">
        <v>1</v>
      </c>
      <c r="I483" t="s">
        <v>369</v>
      </c>
      <c r="J483">
        <v>9.2902999999999999E-2</v>
      </c>
      <c r="K483" t="s">
        <v>57</v>
      </c>
      <c r="L483" t="s">
        <v>58</v>
      </c>
      <c r="O483">
        <v>1400</v>
      </c>
      <c r="P483" t="s">
        <v>277</v>
      </c>
      <c r="T483">
        <v>24</v>
      </c>
      <c r="V483">
        <v>85</v>
      </c>
      <c r="W483" t="s">
        <v>370</v>
      </c>
      <c r="X483" t="s">
        <v>280</v>
      </c>
      <c r="Y483">
        <v>240</v>
      </c>
      <c r="AB483">
        <v>0</v>
      </c>
      <c r="AC483" t="s">
        <v>210</v>
      </c>
      <c r="AD483">
        <v>0</v>
      </c>
      <c r="AE483" t="s">
        <v>371</v>
      </c>
      <c r="AH483">
        <v>5.74</v>
      </c>
      <c r="AI483">
        <v>3</v>
      </c>
      <c r="AT483" t="s">
        <v>203</v>
      </c>
      <c r="AV483" t="s">
        <v>372</v>
      </c>
      <c r="AW483">
        <v>1400</v>
      </c>
      <c r="BA483">
        <v>5.74</v>
      </c>
    </row>
    <row r="484" spans="1:53" hidden="1" x14ac:dyDescent="0.3">
      <c r="A484" t="s">
        <v>368</v>
      </c>
      <c r="C484" t="s">
        <v>251</v>
      </c>
      <c r="E484">
        <v>100000000</v>
      </c>
      <c r="H484">
        <v>1</v>
      </c>
      <c r="I484" t="s">
        <v>369</v>
      </c>
      <c r="J484">
        <v>9.2902999999999999E-2</v>
      </c>
      <c r="K484" t="s">
        <v>57</v>
      </c>
      <c r="L484" t="s">
        <v>58</v>
      </c>
      <c r="O484">
        <v>1400</v>
      </c>
      <c r="P484" t="s">
        <v>277</v>
      </c>
      <c r="T484">
        <v>24</v>
      </c>
      <c r="V484">
        <v>85</v>
      </c>
      <c r="W484" t="s">
        <v>373</v>
      </c>
      <c r="X484" t="s">
        <v>280</v>
      </c>
      <c r="Y484">
        <v>240</v>
      </c>
      <c r="AB484">
        <v>0</v>
      </c>
      <c r="AC484" t="s">
        <v>210</v>
      </c>
      <c r="AD484">
        <v>0</v>
      </c>
      <c r="AE484" t="s">
        <v>371</v>
      </c>
      <c r="AH484">
        <v>6.05</v>
      </c>
      <c r="AI484">
        <v>3</v>
      </c>
      <c r="AT484" t="s">
        <v>360</v>
      </c>
      <c r="AV484" t="s">
        <v>372</v>
      </c>
      <c r="AW484">
        <v>1400</v>
      </c>
      <c r="BA484">
        <v>6.05</v>
      </c>
    </row>
    <row r="485" spans="1:53" hidden="1" x14ac:dyDescent="0.3">
      <c r="A485" t="s">
        <v>368</v>
      </c>
      <c r="C485" t="s">
        <v>251</v>
      </c>
      <c r="E485">
        <v>100000000</v>
      </c>
      <c r="H485">
        <v>1</v>
      </c>
      <c r="I485" t="s">
        <v>369</v>
      </c>
      <c r="J485">
        <v>9.2902999999999999E-2</v>
      </c>
      <c r="K485" t="s">
        <v>57</v>
      </c>
      <c r="L485" t="s">
        <v>58</v>
      </c>
      <c r="O485">
        <v>1400</v>
      </c>
      <c r="P485" t="s">
        <v>277</v>
      </c>
      <c r="T485">
        <v>24</v>
      </c>
      <c r="V485">
        <v>85</v>
      </c>
      <c r="W485" t="s">
        <v>373</v>
      </c>
      <c r="X485" t="s">
        <v>280</v>
      </c>
      <c r="Y485">
        <v>240</v>
      </c>
      <c r="AB485">
        <v>0</v>
      </c>
      <c r="AC485" t="s">
        <v>210</v>
      </c>
      <c r="AD485">
        <v>0</v>
      </c>
      <c r="AE485" t="s">
        <v>371</v>
      </c>
      <c r="AH485">
        <v>6.08</v>
      </c>
      <c r="AI485">
        <v>3</v>
      </c>
      <c r="AT485" t="s">
        <v>360</v>
      </c>
      <c r="AV485" t="s">
        <v>372</v>
      </c>
      <c r="AW485">
        <v>1400</v>
      </c>
      <c r="BA485">
        <v>6.08</v>
      </c>
    </row>
    <row r="486" spans="1:53" hidden="1" x14ac:dyDescent="0.3">
      <c r="A486" t="s">
        <v>368</v>
      </c>
      <c r="C486" t="s">
        <v>251</v>
      </c>
      <c r="E486">
        <v>100000000</v>
      </c>
      <c r="H486">
        <v>1</v>
      </c>
      <c r="I486" t="s">
        <v>369</v>
      </c>
      <c r="J486">
        <v>9.2902999999999999E-2</v>
      </c>
      <c r="K486" t="s">
        <v>57</v>
      </c>
      <c r="L486" t="s">
        <v>58</v>
      </c>
      <c r="O486">
        <v>1400</v>
      </c>
      <c r="P486" t="s">
        <v>277</v>
      </c>
      <c r="T486">
        <v>24</v>
      </c>
      <c r="V486">
        <v>85</v>
      </c>
      <c r="W486" t="s">
        <v>373</v>
      </c>
      <c r="X486" t="s">
        <v>280</v>
      </c>
      <c r="Y486">
        <v>240</v>
      </c>
      <c r="AB486">
        <v>0</v>
      </c>
      <c r="AC486" t="s">
        <v>210</v>
      </c>
      <c r="AD486">
        <v>0</v>
      </c>
      <c r="AE486" t="s">
        <v>371</v>
      </c>
      <c r="AH486">
        <v>5.86</v>
      </c>
      <c r="AI486">
        <v>3</v>
      </c>
      <c r="AT486" t="s">
        <v>360</v>
      </c>
      <c r="AV486" t="s">
        <v>372</v>
      </c>
      <c r="AW486">
        <v>1400</v>
      </c>
      <c r="BA486">
        <v>5.86</v>
      </c>
    </row>
    <row r="487" spans="1:53" hidden="1" x14ac:dyDescent="0.3">
      <c r="A487" t="s">
        <v>368</v>
      </c>
      <c r="C487" t="s">
        <v>251</v>
      </c>
      <c r="E487">
        <v>100000000</v>
      </c>
      <c r="H487">
        <v>1</v>
      </c>
      <c r="I487" t="s">
        <v>369</v>
      </c>
      <c r="J487">
        <v>9.2902999999999999E-2</v>
      </c>
      <c r="K487" t="s">
        <v>57</v>
      </c>
      <c r="L487" t="s">
        <v>58</v>
      </c>
      <c r="O487">
        <v>1400</v>
      </c>
      <c r="P487" t="s">
        <v>277</v>
      </c>
      <c r="T487">
        <v>24</v>
      </c>
      <c r="V487">
        <v>85</v>
      </c>
      <c r="W487" t="s">
        <v>374</v>
      </c>
      <c r="X487" t="s">
        <v>280</v>
      </c>
      <c r="Y487">
        <v>240</v>
      </c>
      <c r="AB487">
        <v>0</v>
      </c>
      <c r="AC487" t="s">
        <v>210</v>
      </c>
      <c r="AD487">
        <v>0</v>
      </c>
      <c r="AE487" t="s">
        <v>371</v>
      </c>
      <c r="AH487">
        <v>5.81</v>
      </c>
      <c r="AI487">
        <v>3</v>
      </c>
      <c r="AV487" t="s">
        <v>372</v>
      </c>
      <c r="AW487">
        <v>1400</v>
      </c>
      <c r="BA487">
        <v>5.81</v>
      </c>
    </row>
    <row r="488" spans="1:53" hidden="1" x14ac:dyDescent="0.3">
      <c r="A488" t="s">
        <v>368</v>
      </c>
      <c r="C488" t="s">
        <v>251</v>
      </c>
      <c r="E488">
        <v>100000000</v>
      </c>
      <c r="H488">
        <v>1</v>
      </c>
      <c r="I488" t="s">
        <v>369</v>
      </c>
      <c r="J488">
        <v>9.2902999999999999E-2</v>
      </c>
      <c r="K488" t="s">
        <v>57</v>
      </c>
      <c r="L488" t="s">
        <v>58</v>
      </c>
      <c r="O488">
        <v>1400</v>
      </c>
      <c r="P488" t="s">
        <v>277</v>
      </c>
      <c r="T488">
        <v>24</v>
      </c>
      <c r="V488">
        <v>85</v>
      </c>
      <c r="W488" t="s">
        <v>374</v>
      </c>
      <c r="X488" t="s">
        <v>280</v>
      </c>
      <c r="Y488">
        <v>240</v>
      </c>
      <c r="AB488">
        <v>0</v>
      </c>
      <c r="AC488" t="s">
        <v>210</v>
      </c>
      <c r="AD488">
        <v>0</v>
      </c>
      <c r="AE488" t="s">
        <v>371</v>
      </c>
      <c r="AH488">
        <v>5.88</v>
      </c>
      <c r="AI488">
        <v>3</v>
      </c>
      <c r="AV488" t="s">
        <v>372</v>
      </c>
      <c r="AW488">
        <v>1400</v>
      </c>
      <c r="BA488">
        <v>5.88</v>
      </c>
    </row>
    <row r="489" spans="1:53" hidden="1" x14ac:dyDescent="0.3">
      <c r="A489" t="s">
        <v>368</v>
      </c>
      <c r="C489" t="s">
        <v>251</v>
      </c>
      <c r="E489">
        <v>100000000</v>
      </c>
      <c r="H489">
        <v>1</v>
      </c>
      <c r="I489" t="s">
        <v>369</v>
      </c>
      <c r="J489">
        <v>9.2902999999999999E-2</v>
      </c>
      <c r="K489" t="s">
        <v>57</v>
      </c>
      <c r="L489" t="s">
        <v>58</v>
      </c>
      <c r="O489">
        <v>1400</v>
      </c>
      <c r="P489" t="s">
        <v>277</v>
      </c>
      <c r="T489">
        <v>24</v>
      </c>
      <c r="V489">
        <v>85</v>
      </c>
      <c r="W489" t="s">
        <v>374</v>
      </c>
      <c r="X489" t="s">
        <v>280</v>
      </c>
      <c r="Y489">
        <v>240</v>
      </c>
      <c r="AB489">
        <v>0</v>
      </c>
      <c r="AC489" t="s">
        <v>210</v>
      </c>
      <c r="AD489">
        <v>0</v>
      </c>
      <c r="AE489" t="s">
        <v>371</v>
      </c>
      <c r="AH489">
        <v>5.68</v>
      </c>
      <c r="AI489">
        <v>3</v>
      </c>
      <c r="AV489" t="s">
        <v>372</v>
      </c>
      <c r="AW489">
        <v>1400</v>
      </c>
      <c r="BA489">
        <v>5.68</v>
      </c>
    </row>
    <row r="490" spans="1:53" hidden="1" x14ac:dyDescent="0.3">
      <c r="A490" t="s">
        <v>368</v>
      </c>
      <c r="C490" t="s">
        <v>251</v>
      </c>
      <c r="E490">
        <v>100000000</v>
      </c>
      <c r="H490">
        <v>1</v>
      </c>
      <c r="I490" t="s">
        <v>369</v>
      </c>
      <c r="J490">
        <v>9.2902999999999999E-2</v>
      </c>
      <c r="K490" t="s">
        <v>57</v>
      </c>
      <c r="L490" t="s">
        <v>58</v>
      </c>
      <c r="O490">
        <v>1400</v>
      </c>
      <c r="P490" t="s">
        <v>277</v>
      </c>
      <c r="T490">
        <v>24</v>
      </c>
      <c r="V490">
        <v>85</v>
      </c>
      <c r="W490" t="s">
        <v>370</v>
      </c>
      <c r="X490" t="s">
        <v>280</v>
      </c>
      <c r="Y490">
        <v>240</v>
      </c>
      <c r="AB490">
        <v>5.2</v>
      </c>
      <c r="AC490" t="s">
        <v>210</v>
      </c>
      <c r="AD490">
        <v>0.14000000000000001</v>
      </c>
      <c r="AE490" t="s">
        <v>371</v>
      </c>
      <c r="AH490">
        <v>5.6</v>
      </c>
      <c r="AI490">
        <v>3</v>
      </c>
      <c r="AT490" t="s">
        <v>203</v>
      </c>
      <c r="AV490" t="s">
        <v>372</v>
      </c>
      <c r="AW490">
        <v>1400</v>
      </c>
      <c r="BA490">
        <v>5.6</v>
      </c>
    </row>
    <row r="491" spans="1:53" hidden="1" x14ac:dyDescent="0.3">
      <c r="A491" t="s">
        <v>368</v>
      </c>
      <c r="C491" t="s">
        <v>251</v>
      </c>
      <c r="E491">
        <v>100000000</v>
      </c>
      <c r="H491">
        <v>1</v>
      </c>
      <c r="I491" t="s">
        <v>369</v>
      </c>
      <c r="J491">
        <v>9.2902999999999999E-2</v>
      </c>
      <c r="K491" t="s">
        <v>57</v>
      </c>
      <c r="L491" t="s">
        <v>58</v>
      </c>
      <c r="O491">
        <v>1400</v>
      </c>
      <c r="P491" t="s">
        <v>277</v>
      </c>
      <c r="T491">
        <v>24</v>
      </c>
      <c r="V491">
        <v>85</v>
      </c>
      <c r="W491" t="s">
        <v>370</v>
      </c>
      <c r="X491" t="s">
        <v>280</v>
      </c>
      <c r="Y491">
        <v>240</v>
      </c>
      <c r="AB491">
        <v>5.58</v>
      </c>
      <c r="AC491" t="s">
        <v>210</v>
      </c>
      <c r="AD491">
        <v>0.18</v>
      </c>
      <c r="AE491" t="s">
        <v>371</v>
      </c>
      <c r="AH491">
        <v>5.3</v>
      </c>
      <c r="AI491">
        <v>3</v>
      </c>
      <c r="AT491" t="s">
        <v>203</v>
      </c>
      <c r="AV491" t="s">
        <v>372</v>
      </c>
      <c r="AW491">
        <v>1400</v>
      </c>
      <c r="BA491">
        <v>5.3</v>
      </c>
    </row>
    <row r="492" spans="1:53" hidden="1" x14ac:dyDescent="0.3">
      <c r="A492" t="s">
        <v>368</v>
      </c>
      <c r="C492" t="s">
        <v>251</v>
      </c>
      <c r="E492">
        <v>100000000</v>
      </c>
      <c r="H492">
        <v>1</v>
      </c>
      <c r="I492" t="s">
        <v>369</v>
      </c>
      <c r="J492">
        <v>9.2902999999999999E-2</v>
      </c>
      <c r="K492" t="s">
        <v>57</v>
      </c>
      <c r="L492" t="s">
        <v>58</v>
      </c>
      <c r="O492">
        <v>1400</v>
      </c>
      <c r="P492" t="s">
        <v>277</v>
      </c>
      <c r="T492">
        <v>24</v>
      </c>
      <c r="V492">
        <v>85</v>
      </c>
      <c r="W492" t="s">
        <v>370</v>
      </c>
      <c r="X492" t="s">
        <v>280</v>
      </c>
      <c r="Y492">
        <v>240</v>
      </c>
      <c r="AB492">
        <v>5.7</v>
      </c>
      <c r="AC492" t="s">
        <v>210</v>
      </c>
      <c r="AD492">
        <v>0.08</v>
      </c>
      <c r="AE492" t="s">
        <v>371</v>
      </c>
      <c r="AH492">
        <v>5.9</v>
      </c>
      <c r="AI492">
        <v>3</v>
      </c>
      <c r="AT492" t="s">
        <v>203</v>
      </c>
      <c r="AV492" t="s">
        <v>372</v>
      </c>
      <c r="AW492">
        <v>1400</v>
      </c>
      <c r="BA492">
        <v>5.9</v>
      </c>
    </row>
    <row r="493" spans="1:53" hidden="1" x14ac:dyDescent="0.3">
      <c r="A493" t="s">
        <v>368</v>
      </c>
      <c r="C493" t="s">
        <v>251</v>
      </c>
      <c r="E493">
        <v>100000000</v>
      </c>
      <c r="H493">
        <v>1</v>
      </c>
      <c r="I493" t="s">
        <v>369</v>
      </c>
      <c r="J493">
        <v>9.2902999999999999E-2</v>
      </c>
      <c r="K493" t="s">
        <v>57</v>
      </c>
      <c r="L493" t="s">
        <v>58</v>
      </c>
      <c r="O493">
        <v>1400</v>
      </c>
      <c r="P493" t="s">
        <v>277</v>
      </c>
      <c r="T493">
        <v>24</v>
      </c>
      <c r="V493">
        <v>85</v>
      </c>
      <c r="W493" t="s">
        <v>373</v>
      </c>
      <c r="X493" t="s">
        <v>280</v>
      </c>
      <c r="Y493">
        <v>240</v>
      </c>
      <c r="AB493">
        <v>5.16</v>
      </c>
      <c r="AC493" t="s">
        <v>210</v>
      </c>
      <c r="AD493">
        <v>0.18</v>
      </c>
      <c r="AE493" t="s">
        <v>371</v>
      </c>
      <c r="AH493">
        <v>5.58</v>
      </c>
      <c r="AI493">
        <v>3</v>
      </c>
      <c r="AT493" t="s">
        <v>360</v>
      </c>
      <c r="AV493" t="s">
        <v>372</v>
      </c>
      <c r="AW493">
        <v>1400</v>
      </c>
      <c r="BA493">
        <v>5.58</v>
      </c>
    </row>
    <row r="494" spans="1:53" hidden="1" x14ac:dyDescent="0.3">
      <c r="A494" t="s">
        <v>368</v>
      </c>
      <c r="C494" t="s">
        <v>251</v>
      </c>
      <c r="E494">
        <v>100000000</v>
      </c>
      <c r="H494">
        <v>1</v>
      </c>
      <c r="I494" t="s">
        <v>369</v>
      </c>
      <c r="J494">
        <v>9.2902999999999999E-2</v>
      </c>
      <c r="K494" t="s">
        <v>57</v>
      </c>
      <c r="L494" t="s">
        <v>58</v>
      </c>
      <c r="O494">
        <v>1400</v>
      </c>
      <c r="P494" t="s">
        <v>277</v>
      </c>
      <c r="T494">
        <v>24</v>
      </c>
      <c r="V494">
        <v>85</v>
      </c>
      <c r="W494" t="s">
        <v>373</v>
      </c>
      <c r="X494" t="s">
        <v>280</v>
      </c>
      <c r="Y494">
        <v>240</v>
      </c>
      <c r="AB494">
        <v>5.72</v>
      </c>
      <c r="AC494" t="s">
        <v>210</v>
      </c>
      <c r="AD494">
        <v>0.02</v>
      </c>
      <c r="AE494" t="s">
        <v>371</v>
      </c>
      <c r="AH494">
        <v>5.92</v>
      </c>
      <c r="AI494">
        <v>3</v>
      </c>
      <c r="AT494" t="s">
        <v>360</v>
      </c>
      <c r="AV494" t="s">
        <v>372</v>
      </c>
      <c r="AW494">
        <v>1400</v>
      </c>
      <c r="BA494">
        <v>5.92</v>
      </c>
    </row>
    <row r="495" spans="1:53" hidden="1" x14ac:dyDescent="0.3">
      <c r="A495" t="s">
        <v>368</v>
      </c>
      <c r="C495" t="s">
        <v>251</v>
      </c>
      <c r="E495">
        <v>100000000</v>
      </c>
      <c r="H495">
        <v>1</v>
      </c>
      <c r="I495" t="s">
        <v>369</v>
      </c>
      <c r="J495">
        <v>9.2902999999999999E-2</v>
      </c>
      <c r="K495" t="s">
        <v>57</v>
      </c>
      <c r="L495" t="s">
        <v>58</v>
      </c>
      <c r="O495">
        <v>1400</v>
      </c>
      <c r="P495" t="s">
        <v>277</v>
      </c>
      <c r="T495">
        <v>24</v>
      </c>
      <c r="V495">
        <v>85</v>
      </c>
      <c r="W495" t="s">
        <v>373</v>
      </c>
      <c r="X495" t="s">
        <v>280</v>
      </c>
      <c r="Y495">
        <v>240</v>
      </c>
      <c r="AB495">
        <v>5.8</v>
      </c>
      <c r="AC495" t="s">
        <v>210</v>
      </c>
      <c r="AD495">
        <v>0.08</v>
      </c>
      <c r="AE495" t="s">
        <v>371</v>
      </c>
      <c r="AH495">
        <v>6.24</v>
      </c>
      <c r="AI495">
        <v>3</v>
      </c>
      <c r="AT495" t="s">
        <v>360</v>
      </c>
      <c r="AV495" t="s">
        <v>372</v>
      </c>
      <c r="AW495">
        <v>1400</v>
      </c>
      <c r="BA495">
        <v>6.24</v>
      </c>
    </row>
    <row r="496" spans="1:53" hidden="1" x14ac:dyDescent="0.3">
      <c r="A496" t="s">
        <v>368</v>
      </c>
      <c r="C496" t="s">
        <v>251</v>
      </c>
      <c r="E496">
        <v>100000000</v>
      </c>
      <c r="H496">
        <v>1</v>
      </c>
      <c r="I496" t="s">
        <v>369</v>
      </c>
      <c r="J496">
        <v>9.2902999999999999E-2</v>
      </c>
      <c r="K496" t="s">
        <v>57</v>
      </c>
      <c r="L496" t="s">
        <v>58</v>
      </c>
      <c r="O496">
        <v>1400</v>
      </c>
      <c r="P496" t="s">
        <v>277</v>
      </c>
      <c r="T496">
        <v>24</v>
      </c>
      <c r="V496">
        <v>85</v>
      </c>
      <c r="W496" t="s">
        <v>374</v>
      </c>
      <c r="X496" t="s">
        <v>280</v>
      </c>
      <c r="Y496">
        <v>240</v>
      </c>
      <c r="AB496">
        <v>5.14</v>
      </c>
      <c r="AC496" t="s">
        <v>210</v>
      </c>
      <c r="AD496">
        <v>0.3</v>
      </c>
      <c r="AE496" t="s">
        <v>371</v>
      </c>
      <c r="AH496">
        <v>5.6</v>
      </c>
      <c r="AI496">
        <v>3</v>
      </c>
      <c r="AV496" t="s">
        <v>372</v>
      </c>
      <c r="AW496">
        <v>1400</v>
      </c>
      <c r="BA496">
        <v>5.6</v>
      </c>
    </row>
    <row r="497" spans="1:53" hidden="1" x14ac:dyDescent="0.3">
      <c r="A497" t="s">
        <v>368</v>
      </c>
      <c r="C497" t="s">
        <v>251</v>
      </c>
      <c r="E497">
        <v>100000000</v>
      </c>
      <c r="H497">
        <v>1</v>
      </c>
      <c r="I497" t="s">
        <v>369</v>
      </c>
      <c r="J497">
        <v>9.2902999999999999E-2</v>
      </c>
      <c r="K497" t="s">
        <v>57</v>
      </c>
      <c r="L497" t="s">
        <v>58</v>
      </c>
      <c r="O497">
        <v>1400</v>
      </c>
      <c r="P497" t="s">
        <v>277</v>
      </c>
      <c r="T497">
        <v>24</v>
      </c>
      <c r="V497">
        <v>85</v>
      </c>
      <c r="W497" t="s">
        <v>374</v>
      </c>
      <c r="X497" t="s">
        <v>280</v>
      </c>
      <c r="Y497">
        <v>240</v>
      </c>
      <c r="AB497">
        <v>5.64</v>
      </c>
      <c r="AC497" t="s">
        <v>210</v>
      </c>
      <c r="AD497">
        <v>0.02</v>
      </c>
      <c r="AE497" t="s">
        <v>371</v>
      </c>
      <c r="AH497">
        <v>5.76</v>
      </c>
      <c r="AI497">
        <v>3</v>
      </c>
      <c r="AV497" t="s">
        <v>372</v>
      </c>
      <c r="AW497">
        <v>1400</v>
      </c>
      <c r="BA497">
        <v>5.76</v>
      </c>
    </row>
    <row r="498" spans="1:53" hidden="1" x14ac:dyDescent="0.3">
      <c r="A498" t="s">
        <v>368</v>
      </c>
      <c r="C498" t="s">
        <v>251</v>
      </c>
      <c r="E498">
        <v>100000000</v>
      </c>
      <c r="H498">
        <v>1</v>
      </c>
      <c r="I498" t="s">
        <v>369</v>
      </c>
      <c r="J498">
        <v>9.2902999999999999E-2</v>
      </c>
      <c r="K498" t="s">
        <v>57</v>
      </c>
      <c r="L498" t="s">
        <v>58</v>
      </c>
      <c r="O498">
        <v>1400</v>
      </c>
      <c r="P498" t="s">
        <v>277</v>
      </c>
      <c r="T498">
        <v>24</v>
      </c>
      <c r="V498">
        <v>85</v>
      </c>
      <c r="W498" t="s">
        <v>374</v>
      </c>
      <c r="X498" t="s">
        <v>280</v>
      </c>
      <c r="Y498">
        <v>240</v>
      </c>
      <c r="AB498">
        <v>5.82</v>
      </c>
      <c r="AC498" t="s">
        <v>210</v>
      </c>
      <c r="AD498">
        <v>0.06</v>
      </c>
      <c r="AE498" t="s">
        <v>371</v>
      </c>
      <c r="AH498">
        <v>6.04</v>
      </c>
      <c r="AI498">
        <v>3</v>
      </c>
      <c r="AV498" t="s">
        <v>372</v>
      </c>
      <c r="AW498">
        <v>1400</v>
      </c>
      <c r="BA498">
        <v>6.04</v>
      </c>
    </row>
    <row r="499" spans="1:53" hidden="1" x14ac:dyDescent="0.3">
      <c r="A499" t="s">
        <v>375</v>
      </c>
      <c r="C499" t="s">
        <v>251</v>
      </c>
      <c r="D499" t="s">
        <v>81</v>
      </c>
      <c r="E499">
        <v>100000000</v>
      </c>
      <c r="O499">
        <v>1100</v>
      </c>
      <c r="P499" t="s">
        <v>277</v>
      </c>
      <c r="T499">
        <v>23</v>
      </c>
      <c r="V499">
        <v>45</v>
      </c>
      <c r="W499" t="s">
        <v>376</v>
      </c>
      <c r="X499" t="s">
        <v>377</v>
      </c>
      <c r="Y499">
        <v>5</v>
      </c>
      <c r="AB499">
        <v>7</v>
      </c>
      <c r="AC499" t="s">
        <v>297</v>
      </c>
      <c r="AI499">
        <v>10</v>
      </c>
      <c r="AJ499" t="s">
        <v>378</v>
      </c>
      <c r="AY499">
        <v>1100</v>
      </c>
      <c r="AZ499">
        <v>7</v>
      </c>
    </row>
    <row r="500" spans="1:53" hidden="1" x14ac:dyDescent="0.3">
      <c r="A500" t="s">
        <v>375</v>
      </c>
      <c r="C500" t="s">
        <v>251</v>
      </c>
      <c r="D500" t="s">
        <v>81</v>
      </c>
      <c r="E500">
        <v>100000000</v>
      </c>
      <c r="O500">
        <v>1100</v>
      </c>
      <c r="P500" t="s">
        <v>277</v>
      </c>
      <c r="T500">
        <v>23</v>
      </c>
      <c r="V500">
        <v>45</v>
      </c>
      <c r="W500" t="s">
        <v>376</v>
      </c>
      <c r="X500" t="s">
        <v>377</v>
      </c>
      <c r="Y500">
        <v>10</v>
      </c>
      <c r="AB500">
        <v>10</v>
      </c>
      <c r="AC500" t="s">
        <v>297</v>
      </c>
      <c r="AI500">
        <v>10</v>
      </c>
      <c r="AJ500" t="s">
        <v>378</v>
      </c>
      <c r="AY500">
        <v>1100</v>
      </c>
      <c r="AZ500">
        <v>10</v>
      </c>
    </row>
    <row r="501" spans="1:53" hidden="1" x14ac:dyDescent="0.3">
      <c r="A501" t="s">
        <v>375</v>
      </c>
      <c r="C501" t="s">
        <v>251</v>
      </c>
      <c r="D501" t="s">
        <v>81</v>
      </c>
      <c r="E501">
        <v>100000000</v>
      </c>
      <c r="O501">
        <v>1100</v>
      </c>
      <c r="P501" t="s">
        <v>277</v>
      </c>
      <c r="T501">
        <v>23</v>
      </c>
      <c r="V501">
        <v>45</v>
      </c>
      <c r="W501" t="s">
        <v>376</v>
      </c>
      <c r="X501" t="s">
        <v>377</v>
      </c>
      <c r="Y501">
        <v>20</v>
      </c>
      <c r="AB501">
        <v>9</v>
      </c>
      <c r="AC501" t="s">
        <v>297</v>
      </c>
      <c r="AI501">
        <v>10</v>
      </c>
      <c r="AJ501" t="s">
        <v>378</v>
      </c>
      <c r="AY501">
        <v>1100</v>
      </c>
      <c r="AZ501">
        <v>9</v>
      </c>
    </row>
    <row r="502" spans="1:53" hidden="1" x14ac:dyDescent="0.3">
      <c r="A502" t="s">
        <v>375</v>
      </c>
      <c r="C502" t="s">
        <v>251</v>
      </c>
      <c r="D502" t="s">
        <v>81</v>
      </c>
      <c r="E502">
        <v>100000000</v>
      </c>
      <c r="O502">
        <v>1100</v>
      </c>
      <c r="P502" t="s">
        <v>277</v>
      </c>
      <c r="T502">
        <v>23</v>
      </c>
      <c r="V502">
        <v>45</v>
      </c>
      <c r="W502" t="s">
        <v>366</v>
      </c>
      <c r="X502" t="s">
        <v>377</v>
      </c>
      <c r="Y502">
        <v>30</v>
      </c>
      <c r="AB502">
        <v>0</v>
      </c>
      <c r="AC502" t="s">
        <v>297</v>
      </c>
      <c r="AI502">
        <v>10</v>
      </c>
      <c r="AJ502" t="s">
        <v>378</v>
      </c>
      <c r="AY502">
        <v>1100</v>
      </c>
      <c r="AZ502">
        <v>0</v>
      </c>
    </row>
    <row r="503" spans="1:53" hidden="1" x14ac:dyDescent="0.3">
      <c r="A503" t="s">
        <v>375</v>
      </c>
      <c r="C503" t="s">
        <v>251</v>
      </c>
      <c r="D503" t="s">
        <v>81</v>
      </c>
      <c r="E503">
        <v>100000000</v>
      </c>
      <c r="O503">
        <v>1100</v>
      </c>
      <c r="P503" t="s">
        <v>277</v>
      </c>
      <c r="T503">
        <v>23</v>
      </c>
      <c r="V503">
        <v>45</v>
      </c>
      <c r="W503" t="s">
        <v>366</v>
      </c>
      <c r="X503" t="s">
        <v>377</v>
      </c>
      <c r="Y503">
        <v>20</v>
      </c>
      <c r="AB503">
        <v>0</v>
      </c>
      <c r="AC503" t="s">
        <v>297</v>
      </c>
      <c r="AI503">
        <v>10</v>
      </c>
      <c r="AJ503" t="s">
        <v>378</v>
      </c>
      <c r="AY503">
        <v>1100</v>
      </c>
      <c r="AZ503">
        <v>0</v>
      </c>
    </row>
    <row r="504" spans="1:53" hidden="1" x14ac:dyDescent="0.3">
      <c r="A504" t="s">
        <v>375</v>
      </c>
      <c r="C504" t="s">
        <v>251</v>
      </c>
      <c r="D504" t="s">
        <v>81</v>
      </c>
      <c r="E504">
        <v>100000000</v>
      </c>
      <c r="O504">
        <v>1100</v>
      </c>
      <c r="P504" t="s">
        <v>277</v>
      </c>
      <c r="T504">
        <v>23</v>
      </c>
      <c r="V504">
        <v>45</v>
      </c>
      <c r="W504" t="s">
        <v>366</v>
      </c>
      <c r="X504" t="s">
        <v>377</v>
      </c>
      <c r="Y504">
        <v>10</v>
      </c>
      <c r="AB504">
        <v>0</v>
      </c>
      <c r="AC504" t="s">
        <v>297</v>
      </c>
      <c r="AI504">
        <v>10</v>
      </c>
      <c r="AJ504" t="s">
        <v>378</v>
      </c>
      <c r="AY504">
        <v>1100</v>
      </c>
      <c r="AZ504">
        <v>0</v>
      </c>
    </row>
    <row r="505" spans="1:53" hidden="1" x14ac:dyDescent="0.3">
      <c r="A505" t="s">
        <v>375</v>
      </c>
      <c r="C505" t="s">
        <v>251</v>
      </c>
      <c r="D505" t="s">
        <v>81</v>
      </c>
      <c r="E505">
        <v>100000000</v>
      </c>
      <c r="O505">
        <v>1100</v>
      </c>
      <c r="P505" t="s">
        <v>277</v>
      </c>
      <c r="T505">
        <v>23</v>
      </c>
      <c r="V505">
        <v>45</v>
      </c>
      <c r="W505" t="s">
        <v>366</v>
      </c>
      <c r="X505" t="s">
        <v>377</v>
      </c>
      <c r="Y505">
        <v>5</v>
      </c>
      <c r="AB505">
        <v>0</v>
      </c>
      <c r="AC505" t="s">
        <v>297</v>
      </c>
      <c r="AI505">
        <v>10</v>
      </c>
      <c r="AJ505" t="s">
        <v>378</v>
      </c>
      <c r="AY505">
        <v>1100</v>
      </c>
      <c r="AZ505">
        <v>0</v>
      </c>
    </row>
    <row r="506" spans="1:53" hidden="1" x14ac:dyDescent="0.3">
      <c r="A506" t="s">
        <v>375</v>
      </c>
      <c r="C506" t="s">
        <v>251</v>
      </c>
      <c r="D506" t="s">
        <v>81</v>
      </c>
      <c r="E506">
        <v>100000000</v>
      </c>
      <c r="O506">
        <v>1100</v>
      </c>
      <c r="P506" t="s">
        <v>277</v>
      </c>
      <c r="T506">
        <v>23</v>
      </c>
      <c r="V506">
        <v>45</v>
      </c>
      <c r="W506" t="s">
        <v>379</v>
      </c>
      <c r="X506" t="s">
        <v>377</v>
      </c>
      <c r="Y506">
        <v>10</v>
      </c>
      <c r="AB506">
        <v>5</v>
      </c>
      <c r="AC506" t="s">
        <v>297</v>
      </c>
      <c r="AI506">
        <v>5</v>
      </c>
      <c r="AJ506" t="s">
        <v>378</v>
      </c>
      <c r="AY506">
        <v>1100</v>
      </c>
      <c r="AZ506">
        <v>5</v>
      </c>
    </row>
    <row r="507" spans="1:53" hidden="1" x14ac:dyDescent="0.3">
      <c r="A507" t="s">
        <v>375</v>
      </c>
      <c r="C507" t="s">
        <v>251</v>
      </c>
      <c r="D507" t="s">
        <v>81</v>
      </c>
      <c r="E507">
        <v>100000000</v>
      </c>
      <c r="O507">
        <v>1100</v>
      </c>
      <c r="P507" t="s">
        <v>277</v>
      </c>
      <c r="T507">
        <v>23</v>
      </c>
      <c r="V507">
        <v>45</v>
      </c>
      <c r="W507" t="s">
        <v>379</v>
      </c>
      <c r="X507" t="s">
        <v>377</v>
      </c>
      <c r="Y507">
        <v>20</v>
      </c>
      <c r="AB507">
        <v>5</v>
      </c>
      <c r="AC507" t="s">
        <v>297</v>
      </c>
      <c r="AI507">
        <v>5</v>
      </c>
      <c r="AJ507" t="s">
        <v>378</v>
      </c>
      <c r="AY507">
        <v>1100</v>
      </c>
      <c r="AZ507">
        <v>5</v>
      </c>
    </row>
    <row r="508" spans="1:53" hidden="1" x14ac:dyDescent="0.3">
      <c r="A508" t="s">
        <v>375</v>
      </c>
      <c r="C508" t="s">
        <v>251</v>
      </c>
      <c r="D508" t="s">
        <v>81</v>
      </c>
      <c r="E508">
        <v>100000000</v>
      </c>
      <c r="O508">
        <v>1100</v>
      </c>
      <c r="P508" t="s">
        <v>277</v>
      </c>
      <c r="T508">
        <v>23</v>
      </c>
      <c r="V508">
        <v>45</v>
      </c>
      <c r="W508" t="s">
        <v>379</v>
      </c>
      <c r="X508" t="s">
        <v>377</v>
      </c>
      <c r="Y508">
        <v>30</v>
      </c>
      <c r="AB508">
        <v>4</v>
      </c>
      <c r="AC508" t="s">
        <v>297</v>
      </c>
      <c r="AI508">
        <v>5</v>
      </c>
      <c r="AJ508" t="s">
        <v>378</v>
      </c>
      <c r="AY508">
        <v>1100</v>
      </c>
      <c r="AZ508">
        <v>4</v>
      </c>
    </row>
    <row r="509" spans="1:53" hidden="1" x14ac:dyDescent="0.3">
      <c r="A509" t="s">
        <v>375</v>
      </c>
      <c r="C509" t="s">
        <v>251</v>
      </c>
      <c r="D509" t="s">
        <v>81</v>
      </c>
      <c r="E509">
        <v>100000000</v>
      </c>
      <c r="O509">
        <v>1100</v>
      </c>
      <c r="P509" t="s">
        <v>277</v>
      </c>
      <c r="T509">
        <v>23</v>
      </c>
      <c r="V509">
        <v>45</v>
      </c>
      <c r="W509" t="s">
        <v>379</v>
      </c>
      <c r="X509" t="s">
        <v>377</v>
      </c>
      <c r="Y509">
        <v>40</v>
      </c>
      <c r="AB509">
        <v>4</v>
      </c>
      <c r="AC509" t="s">
        <v>297</v>
      </c>
      <c r="AI509">
        <v>5</v>
      </c>
      <c r="AJ509" t="s">
        <v>378</v>
      </c>
      <c r="AY509">
        <v>1100</v>
      </c>
      <c r="AZ509">
        <v>4</v>
      </c>
    </row>
    <row r="510" spans="1:53" hidden="1" x14ac:dyDescent="0.3">
      <c r="A510" t="s">
        <v>375</v>
      </c>
      <c r="C510" t="s">
        <v>251</v>
      </c>
      <c r="D510" t="s">
        <v>81</v>
      </c>
      <c r="E510">
        <v>100000000</v>
      </c>
      <c r="O510">
        <v>1100</v>
      </c>
      <c r="P510" t="s">
        <v>277</v>
      </c>
      <c r="T510">
        <v>23</v>
      </c>
      <c r="V510">
        <v>45</v>
      </c>
      <c r="W510" t="s">
        <v>379</v>
      </c>
      <c r="X510" t="s">
        <v>377</v>
      </c>
      <c r="Y510">
        <v>50</v>
      </c>
      <c r="AB510">
        <v>3</v>
      </c>
      <c r="AC510" t="s">
        <v>297</v>
      </c>
      <c r="AI510">
        <v>5</v>
      </c>
      <c r="AJ510" t="s">
        <v>378</v>
      </c>
      <c r="AY510">
        <v>1100</v>
      </c>
      <c r="AZ510">
        <v>3</v>
      </c>
    </row>
    <row r="511" spans="1:53" hidden="1" x14ac:dyDescent="0.3">
      <c r="A511" t="s">
        <v>375</v>
      </c>
      <c r="C511" t="s">
        <v>251</v>
      </c>
      <c r="D511" t="s">
        <v>81</v>
      </c>
      <c r="E511">
        <v>100000000</v>
      </c>
      <c r="O511">
        <v>1100</v>
      </c>
      <c r="P511" t="s">
        <v>277</v>
      </c>
      <c r="T511">
        <v>23</v>
      </c>
      <c r="V511">
        <v>45</v>
      </c>
      <c r="W511" t="s">
        <v>379</v>
      </c>
      <c r="X511" t="s">
        <v>377</v>
      </c>
      <c r="Y511">
        <v>60</v>
      </c>
      <c r="AB511">
        <v>1</v>
      </c>
      <c r="AC511" t="s">
        <v>297</v>
      </c>
      <c r="AI511">
        <v>5</v>
      </c>
      <c r="AJ511" t="s">
        <v>378</v>
      </c>
      <c r="AY511">
        <v>1100</v>
      </c>
      <c r="AZ511">
        <v>1</v>
      </c>
    </row>
    <row r="512" spans="1:53" hidden="1" x14ac:dyDescent="0.3">
      <c r="A512" t="s">
        <v>375</v>
      </c>
      <c r="C512" t="s">
        <v>251</v>
      </c>
      <c r="D512" t="s">
        <v>81</v>
      </c>
      <c r="E512">
        <v>100000000</v>
      </c>
      <c r="O512">
        <v>1100</v>
      </c>
      <c r="P512" t="s">
        <v>277</v>
      </c>
      <c r="T512">
        <v>23</v>
      </c>
      <c r="V512">
        <v>45</v>
      </c>
      <c r="W512" t="s">
        <v>379</v>
      </c>
      <c r="X512" t="s">
        <v>377</v>
      </c>
      <c r="Y512">
        <v>70</v>
      </c>
      <c r="AB512">
        <v>0</v>
      </c>
      <c r="AC512" t="s">
        <v>297</v>
      </c>
      <c r="AI512">
        <v>5</v>
      </c>
      <c r="AJ512" t="s">
        <v>378</v>
      </c>
      <c r="AY512">
        <v>1100</v>
      </c>
      <c r="AZ512">
        <v>0</v>
      </c>
    </row>
    <row r="513" spans="1:52" hidden="1" x14ac:dyDescent="0.3">
      <c r="A513" t="s">
        <v>375</v>
      </c>
      <c r="C513" t="s">
        <v>251</v>
      </c>
      <c r="D513" t="s">
        <v>81</v>
      </c>
      <c r="E513">
        <v>100000000</v>
      </c>
      <c r="O513">
        <v>1100</v>
      </c>
      <c r="P513" t="s">
        <v>277</v>
      </c>
      <c r="T513">
        <v>23</v>
      </c>
      <c r="V513">
        <v>45</v>
      </c>
      <c r="W513" t="s">
        <v>379</v>
      </c>
      <c r="X513" t="s">
        <v>377</v>
      </c>
      <c r="Y513">
        <v>80</v>
      </c>
      <c r="AB513">
        <v>0</v>
      </c>
      <c r="AC513" t="s">
        <v>297</v>
      </c>
      <c r="AI513">
        <v>5</v>
      </c>
      <c r="AJ513" t="s">
        <v>378</v>
      </c>
      <c r="AY513">
        <v>1100</v>
      </c>
      <c r="AZ513">
        <v>0</v>
      </c>
    </row>
    <row r="514" spans="1:52" hidden="1" x14ac:dyDescent="0.3">
      <c r="A514" t="s">
        <v>375</v>
      </c>
      <c r="C514" t="s">
        <v>251</v>
      </c>
      <c r="D514" t="s">
        <v>81</v>
      </c>
      <c r="E514">
        <v>100000000</v>
      </c>
      <c r="O514">
        <v>1100</v>
      </c>
      <c r="P514" t="s">
        <v>277</v>
      </c>
      <c r="T514">
        <v>23</v>
      </c>
      <c r="V514">
        <v>45</v>
      </c>
      <c r="W514" t="s">
        <v>379</v>
      </c>
      <c r="X514" t="s">
        <v>377</v>
      </c>
      <c r="Y514">
        <v>90</v>
      </c>
      <c r="AB514">
        <v>0</v>
      </c>
      <c r="AC514" t="s">
        <v>297</v>
      </c>
      <c r="AI514">
        <v>5</v>
      </c>
      <c r="AJ514" t="s">
        <v>378</v>
      </c>
      <c r="AY514">
        <v>1100</v>
      </c>
      <c r="AZ514">
        <v>0</v>
      </c>
    </row>
    <row r="515" spans="1:52" hidden="1" x14ac:dyDescent="0.3">
      <c r="A515" t="s">
        <v>375</v>
      </c>
      <c r="C515" t="s">
        <v>251</v>
      </c>
      <c r="D515" t="s">
        <v>81</v>
      </c>
      <c r="E515">
        <v>100000000</v>
      </c>
      <c r="O515">
        <v>1100</v>
      </c>
      <c r="P515" t="s">
        <v>277</v>
      </c>
      <c r="T515">
        <v>23</v>
      </c>
      <c r="V515">
        <v>45</v>
      </c>
      <c r="W515" t="s">
        <v>379</v>
      </c>
      <c r="X515" t="s">
        <v>377</v>
      </c>
      <c r="Y515">
        <v>100</v>
      </c>
      <c r="AB515">
        <v>0</v>
      </c>
      <c r="AC515" t="s">
        <v>297</v>
      </c>
      <c r="AI515">
        <v>5</v>
      </c>
      <c r="AJ515" t="s">
        <v>378</v>
      </c>
      <c r="AY515">
        <v>1100</v>
      </c>
      <c r="AZ515">
        <v>0</v>
      </c>
    </row>
    <row r="516" spans="1:52" hidden="1" x14ac:dyDescent="0.3">
      <c r="A516" t="s">
        <v>375</v>
      </c>
      <c r="C516" t="s">
        <v>251</v>
      </c>
      <c r="D516" t="s">
        <v>81</v>
      </c>
      <c r="E516">
        <v>100000000</v>
      </c>
      <c r="O516">
        <v>1100</v>
      </c>
      <c r="P516" t="s">
        <v>277</v>
      </c>
      <c r="T516">
        <v>23</v>
      </c>
      <c r="V516">
        <v>45</v>
      </c>
      <c r="W516" t="s">
        <v>379</v>
      </c>
      <c r="X516" t="s">
        <v>377</v>
      </c>
      <c r="Y516">
        <v>110</v>
      </c>
      <c r="AB516">
        <v>0</v>
      </c>
      <c r="AC516" t="s">
        <v>297</v>
      </c>
      <c r="AI516">
        <v>5</v>
      </c>
      <c r="AJ516" t="s">
        <v>378</v>
      </c>
      <c r="AY516">
        <v>1100</v>
      </c>
      <c r="AZ516">
        <v>0</v>
      </c>
    </row>
    <row r="517" spans="1:52" hidden="1" x14ac:dyDescent="0.3">
      <c r="A517" t="s">
        <v>375</v>
      </c>
      <c r="C517" t="s">
        <v>251</v>
      </c>
      <c r="D517" t="s">
        <v>81</v>
      </c>
      <c r="E517">
        <v>100000000</v>
      </c>
      <c r="O517">
        <v>1100</v>
      </c>
      <c r="P517" t="s">
        <v>277</v>
      </c>
      <c r="T517">
        <v>23</v>
      </c>
      <c r="V517">
        <v>45</v>
      </c>
      <c r="W517" t="s">
        <v>379</v>
      </c>
      <c r="X517" t="s">
        <v>377</v>
      </c>
      <c r="Y517">
        <v>120</v>
      </c>
      <c r="AB517">
        <v>0</v>
      </c>
      <c r="AC517" t="s">
        <v>297</v>
      </c>
      <c r="AI517">
        <v>5</v>
      </c>
      <c r="AJ517" t="s">
        <v>378</v>
      </c>
      <c r="AY517">
        <v>1100</v>
      </c>
      <c r="AZ517">
        <v>0</v>
      </c>
    </row>
    <row r="518" spans="1:52" hidden="1" x14ac:dyDescent="0.3">
      <c r="A518" t="s">
        <v>380</v>
      </c>
      <c r="C518" t="s">
        <v>251</v>
      </c>
      <c r="D518" t="s">
        <v>81</v>
      </c>
      <c r="E518">
        <v>100000000</v>
      </c>
      <c r="H518">
        <v>12</v>
      </c>
      <c r="I518" t="s">
        <v>56</v>
      </c>
      <c r="J518">
        <v>1.1999999999999999E-3</v>
      </c>
      <c r="K518" t="s">
        <v>57</v>
      </c>
      <c r="O518">
        <v>5</v>
      </c>
      <c r="P518" t="s">
        <v>262</v>
      </c>
      <c r="S518">
        <v>1</v>
      </c>
      <c r="T518">
        <v>22</v>
      </c>
      <c r="V518">
        <v>88.5</v>
      </c>
      <c r="W518" t="s">
        <v>381</v>
      </c>
      <c r="X518" t="s">
        <v>280</v>
      </c>
      <c r="Y518">
        <v>720</v>
      </c>
      <c r="AB518">
        <v>2.5</v>
      </c>
      <c r="AC518" t="s">
        <v>85</v>
      </c>
      <c r="AT518" t="s">
        <v>382</v>
      </c>
      <c r="AV518" t="s">
        <v>88</v>
      </c>
      <c r="AW518">
        <v>1811.594202898551</v>
      </c>
    </row>
    <row r="519" spans="1:52" hidden="1" x14ac:dyDescent="0.3">
      <c r="A519" t="s">
        <v>380</v>
      </c>
      <c r="C519" t="s">
        <v>251</v>
      </c>
      <c r="D519" t="s">
        <v>81</v>
      </c>
      <c r="E519">
        <v>100000000</v>
      </c>
      <c r="H519">
        <v>30</v>
      </c>
      <c r="I519" t="s">
        <v>56</v>
      </c>
      <c r="J519">
        <v>3.0000000000000001E-3</v>
      </c>
      <c r="K519" t="s">
        <v>57</v>
      </c>
      <c r="O519">
        <v>5</v>
      </c>
      <c r="P519" t="s">
        <v>262</v>
      </c>
      <c r="S519">
        <v>1</v>
      </c>
      <c r="T519">
        <v>22</v>
      </c>
      <c r="V519">
        <v>88.5</v>
      </c>
      <c r="W519" t="s">
        <v>75</v>
      </c>
      <c r="X519" t="s">
        <v>280</v>
      </c>
      <c r="Y519">
        <v>720</v>
      </c>
      <c r="AB519">
        <v>3.6</v>
      </c>
      <c r="AC519" t="s">
        <v>85</v>
      </c>
      <c r="AT519" t="s">
        <v>75</v>
      </c>
      <c r="AV519" t="s">
        <v>88</v>
      </c>
      <c r="AW519">
        <v>1811.594202898551</v>
      </c>
    </row>
    <row r="520" spans="1:52" hidden="1" x14ac:dyDescent="0.3">
      <c r="A520" t="s">
        <v>380</v>
      </c>
      <c r="C520" t="s">
        <v>251</v>
      </c>
      <c r="D520" t="s">
        <v>81</v>
      </c>
      <c r="E520">
        <v>100000000</v>
      </c>
      <c r="H520">
        <v>20</v>
      </c>
      <c r="I520" t="s">
        <v>56</v>
      </c>
      <c r="J520">
        <v>2E-3</v>
      </c>
      <c r="K520" t="s">
        <v>57</v>
      </c>
      <c r="O520">
        <v>5</v>
      </c>
      <c r="P520" t="s">
        <v>262</v>
      </c>
      <c r="S520">
        <v>1</v>
      </c>
      <c r="T520">
        <v>22</v>
      </c>
      <c r="V520">
        <v>88.5</v>
      </c>
      <c r="W520" t="s">
        <v>383</v>
      </c>
      <c r="X520" t="s">
        <v>280</v>
      </c>
      <c r="Y520">
        <v>720</v>
      </c>
      <c r="AB520">
        <v>4</v>
      </c>
      <c r="AC520" t="s">
        <v>85</v>
      </c>
      <c r="AV520" t="s">
        <v>88</v>
      </c>
      <c r="AW520">
        <v>1811.594202898551</v>
      </c>
    </row>
    <row r="521" spans="1:52" hidden="1" x14ac:dyDescent="0.3">
      <c r="A521" t="s">
        <v>380</v>
      </c>
      <c r="C521" t="s">
        <v>251</v>
      </c>
      <c r="D521" t="s">
        <v>81</v>
      </c>
      <c r="E521">
        <v>100000000</v>
      </c>
      <c r="H521">
        <v>30</v>
      </c>
      <c r="I521" t="s">
        <v>56</v>
      </c>
      <c r="J521">
        <v>3.0000000000000001E-3</v>
      </c>
      <c r="K521" t="s">
        <v>57</v>
      </c>
      <c r="O521">
        <v>5</v>
      </c>
      <c r="P521" t="s">
        <v>262</v>
      </c>
      <c r="S521">
        <v>1</v>
      </c>
      <c r="T521">
        <v>22</v>
      </c>
      <c r="V521">
        <v>88.5</v>
      </c>
      <c r="W521" t="s">
        <v>384</v>
      </c>
      <c r="X521" t="s">
        <v>280</v>
      </c>
      <c r="Y521">
        <v>720</v>
      </c>
      <c r="AB521">
        <v>4.9000000000000004</v>
      </c>
      <c r="AC521" t="s">
        <v>85</v>
      </c>
      <c r="AV521" t="s">
        <v>88</v>
      </c>
      <c r="AW521">
        <v>1811.594202898551</v>
      </c>
    </row>
    <row r="522" spans="1:52" hidden="1" x14ac:dyDescent="0.3">
      <c r="A522" t="s">
        <v>380</v>
      </c>
      <c r="C522" t="s">
        <v>251</v>
      </c>
      <c r="D522" t="s">
        <v>81</v>
      </c>
      <c r="E522">
        <v>100000000</v>
      </c>
      <c r="H522">
        <v>12</v>
      </c>
      <c r="I522" t="s">
        <v>56</v>
      </c>
      <c r="J522">
        <v>1.1999999999999999E-3</v>
      </c>
      <c r="K522" t="s">
        <v>57</v>
      </c>
      <c r="O522">
        <v>10</v>
      </c>
      <c r="P522" t="s">
        <v>262</v>
      </c>
      <c r="S522">
        <v>1</v>
      </c>
      <c r="T522">
        <v>22</v>
      </c>
      <c r="V522">
        <v>88.5</v>
      </c>
      <c r="W522" t="s">
        <v>381</v>
      </c>
      <c r="X522" t="s">
        <v>280</v>
      </c>
      <c r="Y522">
        <v>720</v>
      </c>
      <c r="AB522">
        <v>3.6</v>
      </c>
      <c r="AC522" t="s">
        <v>85</v>
      </c>
      <c r="AT522" t="s">
        <v>382</v>
      </c>
      <c r="AV522" t="s">
        <v>88</v>
      </c>
      <c r="AW522">
        <v>3623.188405797102</v>
      </c>
    </row>
    <row r="523" spans="1:52" hidden="1" x14ac:dyDescent="0.3">
      <c r="A523" t="s">
        <v>380</v>
      </c>
      <c r="C523" t="s">
        <v>251</v>
      </c>
      <c r="D523" t="s">
        <v>81</v>
      </c>
      <c r="E523">
        <v>100000000</v>
      </c>
      <c r="H523">
        <v>30</v>
      </c>
      <c r="I523" t="s">
        <v>56</v>
      </c>
      <c r="J523">
        <v>3.0000000000000001E-3</v>
      </c>
      <c r="K523" t="s">
        <v>57</v>
      </c>
      <c r="O523">
        <v>10</v>
      </c>
      <c r="P523" t="s">
        <v>262</v>
      </c>
      <c r="S523">
        <v>1</v>
      </c>
      <c r="T523">
        <v>22</v>
      </c>
      <c r="V523">
        <v>88.5</v>
      </c>
      <c r="W523" t="s">
        <v>75</v>
      </c>
      <c r="X523" t="s">
        <v>280</v>
      </c>
      <c r="Y523">
        <v>720</v>
      </c>
      <c r="AB523">
        <v>5</v>
      </c>
      <c r="AC523" t="s">
        <v>85</v>
      </c>
      <c r="AT523" t="s">
        <v>75</v>
      </c>
      <c r="AV523" t="s">
        <v>88</v>
      </c>
      <c r="AW523">
        <v>3623.188405797102</v>
      </c>
    </row>
    <row r="524" spans="1:52" hidden="1" x14ac:dyDescent="0.3">
      <c r="A524" t="s">
        <v>380</v>
      </c>
      <c r="C524" t="s">
        <v>251</v>
      </c>
      <c r="D524" t="s">
        <v>81</v>
      </c>
      <c r="E524">
        <v>1000000</v>
      </c>
      <c r="H524">
        <v>20</v>
      </c>
      <c r="I524" t="s">
        <v>56</v>
      </c>
      <c r="J524">
        <v>2E-3</v>
      </c>
      <c r="K524" t="s">
        <v>57</v>
      </c>
      <c r="O524">
        <v>10</v>
      </c>
      <c r="P524" t="s">
        <v>262</v>
      </c>
      <c r="S524">
        <v>1</v>
      </c>
      <c r="T524">
        <v>22</v>
      </c>
      <c r="V524">
        <v>88.5</v>
      </c>
      <c r="W524" t="s">
        <v>383</v>
      </c>
      <c r="X524" t="s">
        <v>280</v>
      </c>
      <c r="Y524">
        <v>720</v>
      </c>
      <c r="AB524">
        <v>5.7</v>
      </c>
      <c r="AC524" t="s">
        <v>85</v>
      </c>
      <c r="AV524" t="s">
        <v>88</v>
      </c>
      <c r="AW524">
        <v>3623.188405797102</v>
      </c>
    </row>
    <row r="525" spans="1:52" hidden="1" x14ac:dyDescent="0.3">
      <c r="A525" t="s">
        <v>380</v>
      </c>
      <c r="C525" t="s">
        <v>251</v>
      </c>
      <c r="D525" t="s">
        <v>81</v>
      </c>
      <c r="E525">
        <v>1000000</v>
      </c>
      <c r="H525">
        <v>30</v>
      </c>
      <c r="I525" t="s">
        <v>56</v>
      </c>
      <c r="J525">
        <v>3.0000000000000001E-3</v>
      </c>
      <c r="K525" t="s">
        <v>57</v>
      </c>
      <c r="O525">
        <v>10</v>
      </c>
      <c r="P525" t="s">
        <v>262</v>
      </c>
      <c r="S525">
        <v>1</v>
      </c>
      <c r="T525">
        <v>22</v>
      </c>
      <c r="V525">
        <v>88.5</v>
      </c>
      <c r="W525" t="s">
        <v>384</v>
      </c>
      <c r="X525" t="s">
        <v>280</v>
      </c>
      <c r="Y525">
        <v>720</v>
      </c>
      <c r="AB525">
        <v>5.8</v>
      </c>
      <c r="AC525" t="s">
        <v>85</v>
      </c>
      <c r="AV525" t="s">
        <v>88</v>
      </c>
      <c r="AW525">
        <v>3623.188405797102</v>
      </c>
    </row>
    <row r="526" spans="1:52" hidden="1" x14ac:dyDescent="0.3">
      <c r="A526" t="s">
        <v>380</v>
      </c>
      <c r="C526" t="s">
        <v>251</v>
      </c>
      <c r="D526" t="s">
        <v>81</v>
      </c>
      <c r="E526">
        <v>1000000</v>
      </c>
      <c r="H526">
        <v>12</v>
      </c>
      <c r="I526" t="s">
        <v>56</v>
      </c>
      <c r="J526">
        <v>1.1999999999999999E-3</v>
      </c>
      <c r="K526" t="s">
        <v>57</v>
      </c>
      <c r="O526">
        <v>15</v>
      </c>
      <c r="P526" t="s">
        <v>262</v>
      </c>
      <c r="S526">
        <v>1</v>
      </c>
      <c r="T526">
        <v>22</v>
      </c>
      <c r="V526">
        <v>88.5</v>
      </c>
      <c r="W526" t="s">
        <v>381</v>
      </c>
      <c r="X526" t="s">
        <v>280</v>
      </c>
      <c r="Y526">
        <v>720</v>
      </c>
      <c r="AB526">
        <v>5</v>
      </c>
      <c r="AC526" t="s">
        <v>85</v>
      </c>
      <c r="AT526" t="s">
        <v>382</v>
      </c>
      <c r="AV526" t="s">
        <v>88</v>
      </c>
      <c r="AW526">
        <v>5434.7826086956529</v>
      </c>
    </row>
    <row r="527" spans="1:52" hidden="1" x14ac:dyDescent="0.3">
      <c r="A527" t="s">
        <v>380</v>
      </c>
      <c r="C527" t="s">
        <v>251</v>
      </c>
      <c r="D527" t="s">
        <v>81</v>
      </c>
      <c r="E527">
        <v>1000000</v>
      </c>
      <c r="H527">
        <v>30</v>
      </c>
      <c r="I527" t="s">
        <v>56</v>
      </c>
      <c r="J527">
        <v>3.0000000000000001E-3</v>
      </c>
      <c r="K527" t="s">
        <v>57</v>
      </c>
      <c r="O527">
        <v>15</v>
      </c>
      <c r="P527" t="s">
        <v>262</v>
      </c>
      <c r="S527">
        <v>1</v>
      </c>
      <c r="T527">
        <v>22</v>
      </c>
      <c r="V527">
        <v>88.5</v>
      </c>
      <c r="W527" t="s">
        <v>75</v>
      </c>
      <c r="X527" t="s">
        <v>280</v>
      </c>
      <c r="Y527">
        <v>720</v>
      </c>
      <c r="AB527">
        <v>5.75</v>
      </c>
      <c r="AC527" t="s">
        <v>85</v>
      </c>
      <c r="AT527" t="s">
        <v>75</v>
      </c>
      <c r="AV527" t="s">
        <v>88</v>
      </c>
      <c r="AW527">
        <v>5434.7826086956529</v>
      </c>
    </row>
    <row r="528" spans="1:52" hidden="1" x14ac:dyDescent="0.3">
      <c r="A528" t="s">
        <v>380</v>
      </c>
      <c r="C528" t="s">
        <v>251</v>
      </c>
      <c r="D528" t="s">
        <v>81</v>
      </c>
      <c r="E528">
        <v>1000000</v>
      </c>
      <c r="H528">
        <v>20</v>
      </c>
      <c r="I528" t="s">
        <v>56</v>
      </c>
      <c r="J528">
        <v>2E-3</v>
      </c>
      <c r="K528" t="s">
        <v>57</v>
      </c>
      <c r="O528">
        <v>15</v>
      </c>
      <c r="P528" t="s">
        <v>262</v>
      </c>
      <c r="S528">
        <v>1</v>
      </c>
      <c r="T528">
        <v>22</v>
      </c>
      <c r="V528">
        <v>88.5</v>
      </c>
      <c r="W528" t="s">
        <v>383</v>
      </c>
      <c r="X528" t="s">
        <v>280</v>
      </c>
      <c r="Y528">
        <v>720</v>
      </c>
      <c r="AB528">
        <v>5.7</v>
      </c>
      <c r="AC528" t="s">
        <v>85</v>
      </c>
      <c r="AV528" t="s">
        <v>88</v>
      </c>
      <c r="AW528">
        <v>5434.7826086956529</v>
      </c>
    </row>
    <row r="529" spans="1:53" hidden="1" x14ac:dyDescent="0.3">
      <c r="A529" t="s">
        <v>380</v>
      </c>
      <c r="C529" t="s">
        <v>251</v>
      </c>
      <c r="D529" t="s">
        <v>81</v>
      </c>
      <c r="E529">
        <v>1000000</v>
      </c>
      <c r="H529">
        <v>30</v>
      </c>
      <c r="I529" t="s">
        <v>56</v>
      </c>
      <c r="J529">
        <v>3.0000000000000001E-3</v>
      </c>
      <c r="K529" t="s">
        <v>57</v>
      </c>
      <c r="O529">
        <v>15</v>
      </c>
      <c r="P529" t="s">
        <v>262</v>
      </c>
      <c r="S529">
        <v>1</v>
      </c>
      <c r="T529">
        <v>22</v>
      </c>
      <c r="V529">
        <v>88.5</v>
      </c>
      <c r="W529" t="s">
        <v>384</v>
      </c>
      <c r="X529" t="s">
        <v>280</v>
      </c>
      <c r="Y529">
        <v>720</v>
      </c>
      <c r="AA529" t="s">
        <v>184</v>
      </c>
      <c r="AB529">
        <v>6</v>
      </c>
      <c r="AC529" t="s">
        <v>85</v>
      </c>
      <c r="AV529" t="s">
        <v>88</v>
      </c>
      <c r="AW529">
        <v>5434.7826086956529</v>
      </c>
      <c r="AZ529">
        <v>0</v>
      </c>
      <c r="BA529">
        <v>6</v>
      </c>
    </row>
    <row r="530" spans="1:53" hidden="1" x14ac:dyDescent="0.3">
      <c r="A530" t="s">
        <v>380</v>
      </c>
      <c r="C530" t="s">
        <v>251</v>
      </c>
      <c r="D530" t="s">
        <v>81</v>
      </c>
      <c r="E530">
        <v>1000000</v>
      </c>
      <c r="H530">
        <v>12</v>
      </c>
      <c r="I530" t="s">
        <v>56</v>
      </c>
      <c r="J530">
        <v>1.1999999999999999E-3</v>
      </c>
      <c r="K530" t="s">
        <v>57</v>
      </c>
      <c r="O530">
        <v>15</v>
      </c>
      <c r="P530" t="s">
        <v>262</v>
      </c>
      <c r="S530">
        <v>1</v>
      </c>
      <c r="T530">
        <v>22</v>
      </c>
      <c r="V530">
        <v>88.5</v>
      </c>
      <c r="W530" t="s">
        <v>381</v>
      </c>
      <c r="X530" t="s">
        <v>280</v>
      </c>
      <c r="Y530">
        <v>720</v>
      </c>
      <c r="AB530">
        <v>3</v>
      </c>
      <c r="AC530" t="s">
        <v>297</v>
      </c>
      <c r="AT530" t="s">
        <v>382</v>
      </c>
      <c r="AV530" t="s">
        <v>88</v>
      </c>
      <c r="AW530">
        <v>5434.7826086956529</v>
      </c>
      <c r="AZ530">
        <v>3</v>
      </c>
    </row>
    <row r="531" spans="1:53" hidden="1" x14ac:dyDescent="0.3">
      <c r="A531" t="s">
        <v>380</v>
      </c>
      <c r="C531" t="s">
        <v>251</v>
      </c>
      <c r="D531" t="s">
        <v>81</v>
      </c>
      <c r="E531">
        <v>1000000</v>
      </c>
      <c r="H531">
        <v>30</v>
      </c>
      <c r="I531" t="s">
        <v>56</v>
      </c>
      <c r="J531">
        <v>3.0000000000000001E-3</v>
      </c>
      <c r="K531" t="s">
        <v>57</v>
      </c>
      <c r="O531">
        <v>15</v>
      </c>
      <c r="P531" t="s">
        <v>262</v>
      </c>
      <c r="S531">
        <v>1</v>
      </c>
      <c r="T531">
        <v>22</v>
      </c>
      <c r="V531">
        <v>88.5</v>
      </c>
      <c r="W531" t="s">
        <v>75</v>
      </c>
      <c r="X531" t="s">
        <v>280</v>
      </c>
      <c r="Y531">
        <v>720</v>
      </c>
      <c r="AB531">
        <v>3</v>
      </c>
      <c r="AC531" t="s">
        <v>297</v>
      </c>
      <c r="AT531" t="s">
        <v>75</v>
      </c>
      <c r="AV531" t="s">
        <v>88</v>
      </c>
      <c r="AW531">
        <v>5434.7826086956529</v>
      </c>
      <c r="AZ531">
        <v>3</v>
      </c>
    </row>
    <row r="532" spans="1:53" hidden="1" x14ac:dyDescent="0.3">
      <c r="A532" t="s">
        <v>380</v>
      </c>
      <c r="C532" t="s">
        <v>251</v>
      </c>
      <c r="D532" t="s">
        <v>81</v>
      </c>
      <c r="E532">
        <v>5000000</v>
      </c>
      <c r="H532">
        <v>20</v>
      </c>
      <c r="I532" t="s">
        <v>56</v>
      </c>
      <c r="J532">
        <v>2E-3</v>
      </c>
      <c r="K532" t="s">
        <v>57</v>
      </c>
      <c r="O532">
        <v>15</v>
      </c>
      <c r="P532" t="s">
        <v>262</v>
      </c>
      <c r="S532">
        <v>1</v>
      </c>
      <c r="T532">
        <v>22</v>
      </c>
      <c r="V532">
        <v>88.5</v>
      </c>
      <c r="W532" t="s">
        <v>383</v>
      </c>
      <c r="X532" t="s">
        <v>280</v>
      </c>
      <c r="Y532">
        <v>720</v>
      </c>
      <c r="AB532">
        <v>3</v>
      </c>
      <c r="AC532" t="s">
        <v>297</v>
      </c>
      <c r="AV532" t="s">
        <v>88</v>
      </c>
      <c r="AW532">
        <v>5434.7826086956529</v>
      </c>
      <c r="AZ532">
        <v>3</v>
      </c>
    </row>
    <row r="533" spans="1:53" hidden="1" x14ac:dyDescent="0.3">
      <c r="A533" t="s">
        <v>380</v>
      </c>
      <c r="C533" t="s">
        <v>251</v>
      </c>
      <c r="D533" t="s">
        <v>81</v>
      </c>
      <c r="E533">
        <v>5000000</v>
      </c>
      <c r="H533">
        <v>30</v>
      </c>
      <c r="I533" t="s">
        <v>56</v>
      </c>
      <c r="J533">
        <v>3.0000000000000001E-3</v>
      </c>
      <c r="K533" t="s">
        <v>57</v>
      </c>
      <c r="O533">
        <v>15</v>
      </c>
      <c r="P533" t="s">
        <v>262</v>
      </c>
      <c r="S533">
        <v>1</v>
      </c>
      <c r="T533">
        <v>22</v>
      </c>
      <c r="V533">
        <v>88.5</v>
      </c>
      <c r="W533" t="s">
        <v>384</v>
      </c>
      <c r="X533" t="s">
        <v>280</v>
      </c>
      <c r="Y533">
        <v>720</v>
      </c>
      <c r="AB533">
        <v>3</v>
      </c>
      <c r="AC533" t="s">
        <v>297</v>
      </c>
      <c r="AV533" t="s">
        <v>88</v>
      </c>
      <c r="AW533">
        <v>5434.7826086956529</v>
      </c>
      <c r="AZ533">
        <v>3</v>
      </c>
    </row>
    <row r="534" spans="1:53" hidden="1" x14ac:dyDescent="0.3">
      <c r="A534" t="s">
        <v>380</v>
      </c>
      <c r="C534" t="s">
        <v>251</v>
      </c>
      <c r="D534" t="s">
        <v>81</v>
      </c>
      <c r="E534">
        <v>5000000</v>
      </c>
      <c r="H534">
        <v>12</v>
      </c>
      <c r="I534" t="s">
        <v>56</v>
      </c>
      <c r="J534">
        <v>1.1999999999999999E-3</v>
      </c>
      <c r="K534" t="s">
        <v>57</v>
      </c>
      <c r="O534">
        <v>20</v>
      </c>
      <c r="P534" t="s">
        <v>262</v>
      </c>
      <c r="S534">
        <v>1</v>
      </c>
      <c r="T534">
        <v>22</v>
      </c>
      <c r="V534">
        <v>88.5</v>
      </c>
      <c r="W534" t="s">
        <v>381</v>
      </c>
      <c r="X534" t="s">
        <v>280</v>
      </c>
      <c r="Y534">
        <v>720</v>
      </c>
      <c r="AB534">
        <v>3</v>
      </c>
      <c r="AC534" t="s">
        <v>297</v>
      </c>
      <c r="AT534" t="s">
        <v>382</v>
      </c>
      <c r="AV534" t="s">
        <v>88</v>
      </c>
      <c r="AW534">
        <v>7246.376811594203</v>
      </c>
      <c r="AZ534">
        <v>3</v>
      </c>
    </row>
    <row r="535" spans="1:53" hidden="1" x14ac:dyDescent="0.3">
      <c r="A535" t="s">
        <v>380</v>
      </c>
      <c r="C535" t="s">
        <v>251</v>
      </c>
      <c r="D535" t="s">
        <v>81</v>
      </c>
      <c r="E535">
        <v>100000000</v>
      </c>
      <c r="H535">
        <v>30</v>
      </c>
      <c r="I535" t="s">
        <v>56</v>
      </c>
      <c r="J535">
        <v>3.0000000000000001E-3</v>
      </c>
      <c r="K535" t="s">
        <v>57</v>
      </c>
      <c r="O535">
        <v>20</v>
      </c>
      <c r="P535" t="s">
        <v>262</v>
      </c>
      <c r="S535">
        <v>1</v>
      </c>
      <c r="T535">
        <v>22</v>
      </c>
      <c r="V535">
        <v>88.5</v>
      </c>
      <c r="W535" t="s">
        <v>75</v>
      </c>
      <c r="X535" t="s">
        <v>280</v>
      </c>
      <c r="Y535">
        <v>720</v>
      </c>
      <c r="AB535">
        <v>3</v>
      </c>
      <c r="AC535" t="s">
        <v>297</v>
      </c>
      <c r="AT535" t="s">
        <v>75</v>
      </c>
      <c r="AV535" t="s">
        <v>88</v>
      </c>
      <c r="AW535">
        <v>7246.376811594203</v>
      </c>
      <c r="AZ535">
        <v>3</v>
      </c>
    </row>
    <row r="536" spans="1:53" hidden="1" x14ac:dyDescent="0.3">
      <c r="A536" t="s">
        <v>380</v>
      </c>
      <c r="C536" t="s">
        <v>251</v>
      </c>
      <c r="D536" t="s">
        <v>81</v>
      </c>
      <c r="E536">
        <v>100000000</v>
      </c>
      <c r="H536">
        <v>20</v>
      </c>
      <c r="I536" t="s">
        <v>56</v>
      </c>
      <c r="J536">
        <v>2E-3</v>
      </c>
      <c r="K536" t="s">
        <v>57</v>
      </c>
      <c r="O536">
        <v>20</v>
      </c>
      <c r="P536" t="s">
        <v>262</v>
      </c>
      <c r="S536">
        <v>1</v>
      </c>
      <c r="T536">
        <v>22</v>
      </c>
      <c r="V536">
        <v>88.5</v>
      </c>
      <c r="W536" t="s">
        <v>383</v>
      </c>
      <c r="X536" t="s">
        <v>280</v>
      </c>
      <c r="Y536">
        <v>720</v>
      </c>
      <c r="AB536">
        <v>3</v>
      </c>
      <c r="AC536" t="s">
        <v>297</v>
      </c>
      <c r="AV536" t="s">
        <v>88</v>
      </c>
      <c r="AW536">
        <v>7246.376811594203</v>
      </c>
      <c r="AZ536">
        <v>3</v>
      </c>
    </row>
    <row r="537" spans="1:53" hidden="1" x14ac:dyDescent="0.3">
      <c r="A537" t="s">
        <v>380</v>
      </c>
      <c r="C537" t="s">
        <v>251</v>
      </c>
      <c r="D537" t="s">
        <v>81</v>
      </c>
      <c r="E537">
        <v>100000000</v>
      </c>
      <c r="H537">
        <v>30</v>
      </c>
      <c r="I537" t="s">
        <v>56</v>
      </c>
      <c r="J537">
        <v>3.0000000000000001E-3</v>
      </c>
      <c r="K537" t="s">
        <v>57</v>
      </c>
      <c r="O537">
        <v>20</v>
      </c>
      <c r="P537" t="s">
        <v>262</v>
      </c>
      <c r="S537">
        <v>1</v>
      </c>
      <c r="T537">
        <v>22</v>
      </c>
      <c r="V537">
        <v>88.5</v>
      </c>
      <c r="W537" t="s">
        <v>384</v>
      </c>
      <c r="X537" t="s">
        <v>280</v>
      </c>
      <c r="Y537">
        <v>720</v>
      </c>
      <c r="AB537">
        <v>0</v>
      </c>
      <c r="AC537" t="s">
        <v>297</v>
      </c>
      <c r="AV537" t="s">
        <v>88</v>
      </c>
      <c r="AW537">
        <v>7246.376811594203</v>
      </c>
      <c r="AZ537">
        <v>0</v>
      </c>
    </row>
    <row r="538" spans="1:53" hidden="1" x14ac:dyDescent="0.3">
      <c r="A538" t="s">
        <v>380</v>
      </c>
      <c r="C538" t="s">
        <v>251</v>
      </c>
      <c r="D538" t="s">
        <v>81</v>
      </c>
      <c r="E538">
        <v>100000000</v>
      </c>
      <c r="H538">
        <v>12</v>
      </c>
      <c r="I538" t="s">
        <v>56</v>
      </c>
      <c r="J538">
        <v>1.1999999999999999E-3</v>
      </c>
      <c r="K538" t="s">
        <v>57</v>
      </c>
      <c r="O538">
        <v>25</v>
      </c>
      <c r="P538" t="s">
        <v>262</v>
      </c>
      <c r="S538">
        <v>1</v>
      </c>
      <c r="T538">
        <v>22</v>
      </c>
      <c r="V538">
        <v>88.5</v>
      </c>
      <c r="W538" t="s">
        <v>381</v>
      </c>
      <c r="X538" t="s">
        <v>280</v>
      </c>
      <c r="Y538">
        <v>720</v>
      </c>
      <c r="AB538">
        <v>2</v>
      </c>
      <c r="AC538" t="s">
        <v>297</v>
      </c>
      <c r="AT538" t="s">
        <v>382</v>
      </c>
      <c r="AV538" t="s">
        <v>88</v>
      </c>
      <c r="AW538">
        <v>9057.971014492754</v>
      </c>
      <c r="AZ538">
        <v>2</v>
      </c>
    </row>
    <row r="539" spans="1:53" hidden="1" x14ac:dyDescent="0.3">
      <c r="A539" t="s">
        <v>380</v>
      </c>
      <c r="C539" t="s">
        <v>251</v>
      </c>
      <c r="D539" t="s">
        <v>81</v>
      </c>
      <c r="E539">
        <v>100000000</v>
      </c>
      <c r="H539">
        <v>30</v>
      </c>
      <c r="I539" t="s">
        <v>56</v>
      </c>
      <c r="J539">
        <v>3.0000000000000001E-3</v>
      </c>
      <c r="K539" t="s">
        <v>57</v>
      </c>
      <c r="O539">
        <v>25</v>
      </c>
      <c r="P539" t="s">
        <v>262</v>
      </c>
      <c r="S539">
        <v>1</v>
      </c>
      <c r="T539">
        <v>22</v>
      </c>
      <c r="V539">
        <v>88.5</v>
      </c>
      <c r="W539" t="s">
        <v>75</v>
      </c>
      <c r="X539" t="s">
        <v>280</v>
      </c>
      <c r="Y539">
        <v>720</v>
      </c>
      <c r="AB539">
        <v>1</v>
      </c>
      <c r="AC539" t="s">
        <v>297</v>
      </c>
      <c r="AT539" t="s">
        <v>75</v>
      </c>
      <c r="AV539" t="s">
        <v>88</v>
      </c>
      <c r="AW539">
        <v>9057.971014492754</v>
      </c>
      <c r="AZ539">
        <v>1</v>
      </c>
    </row>
    <row r="540" spans="1:53" hidden="1" x14ac:dyDescent="0.3">
      <c r="A540" t="s">
        <v>380</v>
      </c>
      <c r="C540" t="s">
        <v>251</v>
      </c>
      <c r="D540" t="s">
        <v>81</v>
      </c>
      <c r="E540">
        <v>100000000</v>
      </c>
      <c r="H540">
        <v>20</v>
      </c>
      <c r="I540" t="s">
        <v>56</v>
      </c>
      <c r="J540">
        <v>2E-3</v>
      </c>
      <c r="K540" t="s">
        <v>57</v>
      </c>
      <c r="O540">
        <v>25</v>
      </c>
      <c r="P540" t="s">
        <v>262</v>
      </c>
      <c r="S540">
        <v>1</v>
      </c>
      <c r="T540">
        <v>22</v>
      </c>
      <c r="V540">
        <v>88.5</v>
      </c>
      <c r="W540" t="s">
        <v>383</v>
      </c>
      <c r="X540" t="s">
        <v>280</v>
      </c>
      <c r="Y540">
        <v>720</v>
      </c>
      <c r="AB540">
        <v>0</v>
      </c>
      <c r="AC540" t="s">
        <v>297</v>
      </c>
      <c r="AV540" t="s">
        <v>88</v>
      </c>
      <c r="AW540">
        <v>9057.971014492754</v>
      </c>
      <c r="AZ540">
        <v>0</v>
      </c>
    </row>
    <row r="541" spans="1:53" hidden="1" x14ac:dyDescent="0.3">
      <c r="A541" t="s">
        <v>380</v>
      </c>
      <c r="C541" t="s">
        <v>251</v>
      </c>
      <c r="D541" t="s">
        <v>81</v>
      </c>
      <c r="E541">
        <v>100000000</v>
      </c>
      <c r="H541">
        <v>30</v>
      </c>
      <c r="I541" t="s">
        <v>56</v>
      </c>
      <c r="J541">
        <v>3.0000000000000001E-3</v>
      </c>
      <c r="K541" t="s">
        <v>57</v>
      </c>
      <c r="O541">
        <v>25</v>
      </c>
      <c r="P541" t="s">
        <v>262</v>
      </c>
      <c r="S541">
        <v>1</v>
      </c>
      <c r="T541">
        <v>22</v>
      </c>
      <c r="V541">
        <v>88.5</v>
      </c>
      <c r="W541" t="s">
        <v>384</v>
      </c>
      <c r="X541" t="s">
        <v>280</v>
      </c>
      <c r="Y541">
        <v>720</v>
      </c>
      <c r="AB541">
        <v>0</v>
      </c>
      <c r="AC541" t="s">
        <v>297</v>
      </c>
      <c r="AV541" t="s">
        <v>88</v>
      </c>
      <c r="AW541">
        <v>9057.971014492754</v>
      </c>
      <c r="AZ541">
        <v>0</v>
      </c>
    </row>
    <row r="542" spans="1:53" hidden="1" x14ac:dyDescent="0.3">
      <c r="A542" t="s">
        <v>380</v>
      </c>
      <c r="C542" t="s">
        <v>251</v>
      </c>
      <c r="D542" t="s">
        <v>81</v>
      </c>
      <c r="E542">
        <v>100000000</v>
      </c>
      <c r="H542">
        <v>12</v>
      </c>
      <c r="I542" t="s">
        <v>56</v>
      </c>
      <c r="J542">
        <v>1.1999999999999999E-3</v>
      </c>
      <c r="K542" t="s">
        <v>57</v>
      </c>
      <c r="O542">
        <v>30</v>
      </c>
      <c r="P542" t="s">
        <v>262</v>
      </c>
      <c r="S542">
        <v>1</v>
      </c>
      <c r="T542">
        <v>22</v>
      </c>
      <c r="V542">
        <v>88.5</v>
      </c>
      <c r="W542" t="s">
        <v>381</v>
      </c>
      <c r="X542" t="s">
        <v>280</v>
      </c>
      <c r="Y542">
        <v>720</v>
      </c>
      <c r="AB542">
        <v>0</v>
      </c>
      <c r="AC542" t="s">
        <v>297</v>
      </c>
      <c r="AT542" t="s">
        <v>382</v>
      </c>
      <c r="AV542" t="s">
        <v>88</v>
      </c>
      <c r="AW542">
        <v>10869.565217391309</v>
      </c>
      <c r="AZ542">
        <v>0</v>
      </c>
    </row>
    <row r="543" spans="1:53" hidden="1" x14ac:dyDescent="0.3">
      <c r="A543" t="s">
        <v>380</v>
      </c>
      <c r="C543" t="s">
        <v>251</v>
      </c>
      <c r="D543" t="s">
        <v>81</v>
      </c>
      <c r="E543">
        <v>100000000</v>
      </c>
      <c r="H543">
        <v>30</v>
      </c>
      <c r="I543" t="s">
        <v>56</v>
      </c>
      <c r="J543">
        <v>3.0000000000000001E-3</v>
      </c>
      <c r="K543" t="s">
        <v>57</v>
      </c>
      <c r="O543">
        <v>30</v>
      </c>
      <c r="P543" t="s">
        <v>262</v>
      </c>
      <c r="S543">
        <v>1</v>
      </c>
      <c r="T543">
        <v>22</v>
      </c>
      <c r="V543">
        <v>88.5</v>
      </c>
      <c r="W543" t="s">
        <v>75</v>
      </c>
      <c r="X543" t="s">
        <v>280</v>
      </c>
      <c r="Y543">
        <v>720</v>
      </c>
      <c r="AB543">
        <v>0</v>
      </c>
      <c r="AC543" t="s">
        <v>297</v>
      </c>
      <c r="AT543" t="s">
        <v>75</v>
      </c>
      <c r="AV543" t="s">
        <v>88</v>
      </c>
      <c r="AW543">
        <v>10869.565217391309</v>
      </c>
      <c r="AZ543">
        <v>0</v>
      </c>
    </row>
    <row r="544" spans="1:53" hidden="1" x14ac:dyDescent="0.3">
      <c r="A544" t="s">
        <v>380</v>
      </c>
      <c r="C544" t="s">
        <v>251</v>
      </c>
      <c r="D544" t="s">
        <v>81</v>
      </c>
      <c r="E544">
        <v>100000000</v>
      </c>
      <c r="H544">
        <v>20</v>
      </c>
      <c r="I544" t="s">
        <v>56</v>
      </c>
      <c r="J544">
        <v>2E-3</v>
      </c>
      <c r="K544" t="s">
        <v>57</v>
      </c>
      <c r="O544">
        <v>30</v>
      </c>
      <c r="P544" t="s">
        <v>262</v>
      </c>
      <c r="S544">
        <v>1</v>
      </c>
      <c r="T544">
        <v>22</v>
      </c>
      <c r="V544">
        <v>88.5</v>
      </c>
      <c r="W544" t="s">
        <v>383</v>
      </c>
      <c r="X544" t="s">
        <v>280</v>
      </c>
      <c r="Y544">
        <v>720</v>
      </c>
      <c r="AB544">
        <v>0</v>
      </c>
      <c r="AC544" t="s">
        <v>297</v>
      </c>
      <c r="AV544" t="s">
        <v>88</v>
      </c>
      <c r="AW544">
        <v>10869.565217391309</v>
      </c>
      <c r="AZ544">
        <v>0</v>
      </c>
    </row>
    <row r="545" spans="1:52" hidden="1" x14ac:dyDescent="0.3">
      <c r="A545" t="s">
        <v>380</v>
      </c>
      <c r="C545" t="s">
        <v>251</v>
      </c>
      <c r="D545" t="s">
        <v>81</v>
      </c>
      <c r="E545">
        <v>100000000</v>
      </c>
      <c r="H545">
        <v>30</v>
      </c>
      <c r="I545" t="s">
        <v>56</v>
      </c>
      <c r="J545">
        <v>3.0000000000000001E-3</v>
      </c>
      <c r="K545" t="s">
        <v>57</v>
      </c>
      <c r="O545">
        <v>30</v>
      </c>
      <c r="P545" t="s">
        <v>262</v>
      </c>
      <c r="S545">
        <v>1</v>
      </c>
      <c r="T545">
        <v>22</v>
      </c>
      <c r="V545">
        <v>88.5</v>
      </c>
      <c r="W545" t="s">
        <v>384</v>
      </c>
      <c r="X545" t="s">
        <v>280</v>
      </c>
      <c r="Y545">
        <v>720</v>
      </c>
      <c r="AB545">
        <v>0</v>
      </c>
      <c r="AC545" t="s">
        <v>297</v>
      </c>
      <c r="AV545" t="s">
        <v>88</v>
      </c>
      <c r="AW545">
        <v>10869.565217391309</v>
      </c>
      <c r="AZ545">
        <v>0</v>
      </c>
    </row>
    <row r="546" spans="1:52" hidden="1" x14ac:dyDescent="0.3">
      <c r="A546" t="s">
        <v>385</v>
      </c>
      <c r="B546" t="s">
        <v>386</v>
      </c>
      <c r="C546" t="s">
        <v>251</v>
      </c>
      <c r="D546" t="s">
        <v>81</v>
      </c>
      <c r="E546">
        <v>100000000</v>
      </c>
      <c r="H546">
        <v>1.1299999999999999</v>
      </c>
      <c r="I546" t="s">
        <v>56</v>
      </c>
      <c r="J546">
        <v>1.13E-4</v>
      </c>
      <c r="K546" t="s">
        <v>57</v>
      </c>
      <c r="N546" t="s">
        <v>387</v>
      </c>
      <c r="O546">
        <v>800</v>
      </c>
      <c r="P546" t="s">
        <v>315</v>
      </c>
      <c r="T546">
        <v>27.8</v>
      </c>
      <c r="V546">
        <v>80</v>
      </c>
      <c r="W546" t="s">
        <v>388</v>
      </c>
      <c r="X546" t="s">
        <v>280</v>
      </c>
      <c r="Y546">
        <v>180</v>
      </c>
      <c r="AB546">
        <v>4.6793478260869401</v>
      </c>
      <c r="AC546" t="s">
        <v>85</v>
      </c>
      <c r="AE546" t="s">
        <v>63</v>
      </c>
      <c r="AI546">
        <v>5</v>
      </c>
      <c r="AT546" t="s">
        <v>65</v>
      </c>
      <c r="AV546" t="s">
        <v>88</v>
      </c>
      <c r="AW546">
        <v>800</v>
      </c>
    </row>
    <row r="547" spans="1:52" hidden="1" x14ac:dyDescent="0.3">
      <c r="A547" t="s">
        <v>385</v>
      </c>
      <c r="B547" t="s">
        <v>386</v>
      </c>
      <c r="C547" t="s">
        <v>251</v>
      </c>
      <c r="D547" t="s">
        <v>81</v>
      </c>
      <c r="E547">
        <v>100000000</v>
      </c>
      <c r="H547">
        <v>1.1299999999999999</v>
      </c>
      <c r="I547" t="s">
        <v>56</v>
      </c>
      <c r="J547">
        <v>1.13E-4</v>
      </c>
      <c r="K547" t="s">
        <v>57</v>
      </c>
      <c r="N547" t="s">
        <v>387</v>
      </c>
      <c r="O547">
        <v>800</v>
      </c>
      <c r="P547" t="s">
        <v>315</v>
      </c>
      <c r="T547">
        <v>27.8</v>
      </c>
      <c r="V547">
        <v>80</v>
      </c>
      <c r="W547" t="s">
        <v>389</v>
      </c>
      <c r="X547" t="s">
        <v>280</v>
      </c>
      <c r="Y547">
        <v>180</v>
      </c>
      <c r="AB547">
        <v>3.4239130434782501</v>
      </c>
      <c r="AC547" t="s">
        <v>85</v>
      </c>
      <c r="AE547" t="s">
        <v>63</v>
      </c>
      <c r="AI547">
        <v>5</v>
      </c>
      <c r="AT547" t="s">
        <v>65</v>
      </c>
      <c r="AV547" t="s">
        <v>88</v>
      </c>
      <c r="AW547">
        <v>800</v>
      </c>
    </row>
    <row r="548" spans="1:52" hidden="1" x14ac:dyDescent="0.3">
      <c r="A548" t="s">
        <v>385</v>
      </c>
      <c r="B548" t="s">
        <v>386</v>
      </c>
      <c r="C548" t="s">
        <v>251</v>
      </c>
      <c r="D548" t="s">
        <v>81</v>
      </c>
      <c r="E548">
        <v>100000000</v>
      </c>
      <c r="H548">
        <v>0.79</v>
      </c>
      <c r="I548" t="s">
        <v>56</v>
      </c>
      <c r="J548">
        <v>7.9000000000000009E-5</v>
      </c>
      <c r="K548" t="s">
        <v>57</v>
      </c>
      <c r="N548" t="s">
        <v>387</v>
      </c>
      <c r="O548">
        <v>800</v>
      </c>
      <c r="P548" t="s">
        <v>315</v>
      </c>
      <c r="T548">
        <v>27.8</v>
      </c>
      <c r="V548">
        <v>80</v>
      </c>
      <c r="W548" t="s">
        <v>390</v>
      </c>
      <c r="X548" t="s">
        <v>280</v>
      </c>
      <c r="Y548">
        <v>180</v>
      </c>
      <c r="AB548">
        <v>5.8016304347826004</v>
      </c>
      <c r="AC548" t="s">
        <v>85</v>
      </c>
      <c r="AE548" t="s">
        <v>63</v>
      </c>
      <c r="AI548">
        <v>5</v>
      </c>
      <c r="AV548" t="s">
        <v>88</v>
      </c>
      <c r="AW548">
        <v>800</v>
      </c>
    </row>
    <row r="549" spans="1:52" hidden="1" x14ac:dyDescent="0.3">
      <c r="A549" t="s">
        <v>385</v>
      </c>
      <c r="B549" t="s">
        <v>386</v>
      </c>
      <c r="C549" t="s">
        <v>251</v>
      </c>
      <c r="D549" t="s">
        <v>81</v>
      </c>
      <c r="E549">
        <v>100000000</v>
      </c>
      <c r="H549">
        <v>0.79</v>
      </c>
      <c r="I549" t="s">
        <v>56</v>
      </c>
      <c r="J549">
        <v>7.9000000000000009E-5</v>
      </c>
      <c r="K549" t="s">
        <v>57</v>
      </c>
      <c r="N549" t="s">
        <v>387</v>
      </c>
      <c r="O549">
        <v>800</v>
      </c>
      <c r="P549" t="s">
        <v>315</v>
      </c>
      <c r="T549">
        <v>27.8</v>
      </c>
      <c r="V549">
        <v>80</v>
      </c>
      <c r="W549" t="s">
        <v>391</v>
      </c>
      <c r="X549" t="s">
        <v>280</v>
      </c>
      <c r="Y549">
        <v>180</v>
      </c>
      <c r="AB549">
        <v>5.13586956521738</v>
      </c>
      <c r="AC549" t="s">
        <v>85</v>
      </c>
      <c r="AE549" t="s">
        <v>63</v>
      </c>
      <c r="AI549">
        <v>5</v>
      </c>
      <c r="AV549" t="s">
        <v>88</v>
      </c>
      <c r="AW549">
        <v>800</v>
      </c>
    </row>
    <row r="550" spans="1:52" hidden="1" x14ac:dyDescent="0.3">
      <c r="A550" t="s">
        <v>385</v>
      </c>
      <c r="B550" t="s">
        <v>386</v>
      </c>
      <c r="C550" t="s">
        <v>251</v>
      </c>
      <c r="D550" t="s">
        <v>81</v>
      </c>
      <c r="E550">
        <v>100000000</v>
      </c>
      <c r="H550">
        <v>0.79</v>
      </c>
      <c r="I550" t="s">
        <v>56</v>
      </c>
      <c r="J550">
        <v>7.9000000000000009E-5</v>
      </c>
      <c r="K550" t="s">
        <v>57</v>
      </c>
      <c r="N550" t="s">
        <v>387</v>
      </c>
      <c r="O550">
        <v>800</v>
      </c>
      <c r="P550" t="s">
        <v>315</v>
      </c>
      <c r="T550">
        <v>27.8</v>
      </c>
      <c r="V550">
        <v>80</v>
      </c>
      <c r="W550" t="s">
        <v>150</v>
      </c>
      <c r="X550" t="s">
        <v>280</v>
      </c>
      <c r="Y550">
        <v>180</v>
      </c>
      <c r="AB550">
        <v>6.6385869565217304</v>
      </c>
      <c r="AC550" t="s">
        <v>85</v>
      </c>
      <c r="AE550" t="s">
        <v>63</v>
      </c>
      <c r="AI550">
        <v>5</v>
      </c>
      <c r="AT550" t="s">
        <v>150</v>
      </c>
      <c r="AV550" t="s">
        <v>88</v>
      </c>
      <c r="AW550">
        <v>800</v>
      </c>
    </row>
    <row r="551" spans="1:52" hidden="1" x14ac:dyDescent="0.3">
      <c r="A551" t="s">
        <v>385</v>
      </c>
      <c r="B551" t="s">
        <v>386</v>
      </c>
      <c r="C551" t="s">
        <v>251</v>
      </c>
      <c r="D551" t="s">
        <v>81</v>
      </c>
      <c r="E551">
        <v>100000000</v>
      </c>
      <c r="H551">
        <v>0.79</v>
      </c>
      <c r="I551" t="s">
        <v>56</v>
      </c>
      <c r="J551">
        <v>7.9000000000000009E-5</v>
      </c>
      <c r="K551" t="s">
        <v>57</v>
      </c>
      <c r="N551" t="s">
        <v>387</v>
      </c>
      <c r="O551">
        <v>800</v>
      </c>
      <c r="P551" t="s">
        <v>315</v>
      </c>
      <c r="T551">
        <v>27.8</v>
      </c>
      <c r="V551">
        <v>80</v>
      </c>
      <c r="W551" t="s">
        <v>392</v>
      </c>
      <c r="X551" t="s">
        <v>280</v>
      </c>
      <c r="Y551">
        <v>180</v>
      </c>
      <c r="AB551">
        <v>5.8967391304347698</v>
      </c>
      <c r="AC551" t="s">
        <v>85</v>
      </c>
      <c r="AE551" t="s">
        <v>63</v>
      </c>
      <c r="AI551">
        <v>5</v>
      </c>
      <c r="AT551" t="s">
        <v>150</v>
      </c>
      <c r="AV551" t="s">
        <v>88</v>
      </c>
      <c r="AW551">
        <v>800</v>
      </c>
    </row>
    <row r="552" spans="1:52" hidden="1" x14ac:dyDescent="0.3">
      <c r="A552" t="s">
        <v>385</v>
      </c>
      <c r="B552" t="s">
        <v>386</v>
      </c>
      <c r="C552" t="s">
        <v>251</v>
      </c>
      <c r="D552" t="s">
        <v>81</v>
      </c>
      <c r="E552">
        <v>100000000</v>
      </c>
      <c r="H552">
        <v>1.1299999999999999</v>
      </c>
      <c r="I552" t="s">
        <v>56</v>
      </c>
      <c r="J552">
        <v>1.13E-4</v>
      </c>
      <c r="K552" t="s">
        <v>57</v>
      </c>
      <c r="N552" t="s">
        <v>387</v>
      </c>
      <c r="O552">
        <v>800</v>
      </c>
      <c r="P552" t="s">
        <v>315</v>
      </c>
      <c r="T552">
        <v>27.8</v>
      </c>
      <c r="V552">
        <v>80</v>
      </c>
      <c r="W552" t="s">
        <v>393</v>
      </c>
      <c r="X552" t="s">
        <v>280</v>
      </c>
      <c r="Y552">
        <v>180</v>
      </c>
      <c r="AB552">
        <v>4.75543478260869</v>
      </c>
      <c r="AC552" t="s">
        <v>85</v>
      </c>
      <c r="AE552" t="s">
        <v>63</v>
      </c>
      <c r="AI552">
        <v>5</v>
      </c>
      <c r="AV552" t="s">
        <v>88</v>
      </c>
      <c r="AW552">
        <v>800</v>
      </c>
    </row>
    <row r="553" spans="1:52" hidden="1" x14ac:dyDescent="0.3">
      <c r="A553" t="s">
        <v>385</v>
      </c>
      <c r="B553" t="s">
        <v>386</v>
      </c>
      <c r="C553" t="s">
        <v>251</v>
      </c>
      <c r="D553" t="s">
        <v>81</v>
      </c>
      <c r="E553">
        <v>100000000</v>
      </c>
      <c r="H553">
        <v>1.1299999999999999</v>
      </c>
      <c r="I553" t="s">
        <v>56</v>
      </c>
      <c r="J553">
        <v>1.13E-4</v>
      </c>
      <c r="K553" t="s">
        <v>57</v>
      </c>
      <c r="N553" t="s">
        <v>387</v>
      </c>
      <c r="O553">
        <v>800</v>
      </c>
      <c r="P553" t="s">
        <v>315</v>
      </c>
      <c r="T553">
        <v>27.8</v>
      </c>
      <c r="V553">
        <v>80</v>
      </c>
      <c r="W553" t="s">
        <v>394</v>
      </c>
      <c r="X553" t="s">
        <v>280</v>
      </c>
      <c r="Y553">
        <v>180</v>
      </c>
      <c r="AB553">
        <v>2.9673913043478102</v>
      </c>
      <c r="AC553" t="s">
        <v>85</v>
      </c>
      <c r="AE553" t="s">
        <v>63</v>
      </c>
      <c r="AI553">
        <v>5</v>
      </c>
      <c r="AT553" t="s">
        <v>65</v>
      </c>
      <c r="AV553" t="s">
        <v>88</v>
      </c>
      <c r="AW553">
        <v>800</v>
      </c>
    </row>
    <row r="554" spans="1:52" hidden="1" x14ac:dyDescent="0.3">
      <c r="A554" t="s">
        <v>385</v>
      </c>
      <c r="B554" t="s">
        <v>386</v>
      </c>
      <c r="C554" t="s">
        <v>251</v>
      </c>
      <c r="D554" t="s">
        <v>81</v>
      </c>
      <c r="E554">
        <v>100000000</v>
      </c>
      <c r="H554">
        <v>1.1299999999999999</v>
      </c>
      <c r="I554" t="s">
        <v>56</v>
      </c>
      <c r="J554">
        <v>1.13E-4</v>
      </c>
      <c r="K554" t="s">
        <v>57</v>
      </c>
      <c r="N554" t="s">
        <v>387</v>
      </c>
      <c r="O554">
        <v>800</v>
      </c>
      <c r="P554" t="s">
        <v>315</v>
      </c>
      <c r="T554">
        <v>27.8</v>
      </c>
      <c r="V554">
        <v>80</v>
      </c>
      <c r="W554" t="s">
        <v>395</v>
      </c>
      <c r="X554" t="s">
        <v>280</v>
      </c>
      <c r="Y554">
        <v>180</v>
      </c>
      <c r="AB554">
        <v>5.1739130434782501</v>
      </c>
      <c r="AC554" t="s">
        <v>85</v>
      </c>
      <c r="AE554" t="s">
        <v>63</v>
      </c>
      <c r="AI554">
        <v>5</v>
      </c>
      <c r="AV554" t="s">
        <v>88</v>
      </c>
      <c r="AW554">
        <v>800</v>
      </c>
    </row>
    <row r="555" spans="1:52" hidden="1" x14ac:dyDescent="0.3">
      <c r="A555" t="s">
        <v>385</v>
      </c>
      <c r="B555" t="s">
        <v>386</v>
      </c>
      <c r="C555" t="s">
        <v>251</v>
      </c>
      <c r="D555" t="s">
        <v>81</v>
      </c>
      <c r="E555">
        <v>100000000</v>
      </c>
      <c r="H555">
        <v>1.1299999999999999</v>
      </c>
      <c r="I555" t="s">
        <v>56</v>
      </c>
      <c r="J555">
        <v>1.13E-4</v>
      </c>
      <c r="K555" t="s">
        <v>57</v>
      </c>
      <c r="N555" t="s">
        <v>387</v>
      </c>
      <c r="O555">
        <v>800</v>
      </c>
      <c r="P555" t="s">
        <v>315</v>
      </c>
      <c r="T555">
        <v>27.8</v>
      </c>
      <c r="V555">
        <v>80</v>
      </c>
      <c r="W555" t="s">
        <v>396</v>
      </c>
      <c r="X555" t="s">
        <v>280</v>
      </c>
      <c r="Y555">
        <v>180</v>
      </c>
      <c r="AB555">
        <v>4.0516304347826004</v>
      </c>
      <c r="AC555" t="s">
        <v>85</v>
      </c>
      <c r="AE555" t="s">
        <v>63</v>
      </c>
      <c r="AI555">
        <v>5</v>
      </c>
      <c r="AV555" t="s">
        <v>88</v>
      </c>
      <c r="AW555">
        <v>800</v>
      </c>
    </row>
    <row r="556" spans="1:52" hidden="1" x14ac:dyDescent="0.3">
      <c r="A556" t="s">
        <v>385</v>
      </c>
      <c r="B556" t="s">
        <v>386</v>
      </c>
      <c r="C556" t="s">
        <v>251</v>
      </c>
      <c r="D556" t="s">
        <v>81</v>
      </c>
      <c r="E556">
        <v>100000000</v>
      </c>
      <c r="H556">
        <v>0.79</v>
      </c>
      <c r="I556" t="s">
        <v>56</v>
      </c>
      <c r="J556">
        <v>7.9000000000000009E-5</v>
      </c>
      <c r="K556" t="s">
        <v>57</v>
      </c>
      <c r="N556" t="s">
        <v>387</v>
      </c>
      <c r="O556">
        <v>800</v>
      </c>
      <c r="P556" t="s">
        <v>315</v>
      </c>
      <c r="T556">
        <v>27.8</v>
      </c>
      <c r="V556">
        <v>80</v>
      </c>
      <c r="W556" t="s">
        <v>397</v>
      </c>
      <c r="X556" t="s">
        <v>280</v>
      </c>
      <c r="Y556">
        <v>180</v>
      </c>
      <c r="AB556">
        <v>1.8070652173913</v>
      </c>
      <c r="AC556" t="s">
        <v>85</v>
      </c>
      <c r="AE556" t="s">
        <v>63</v>
      </c>
      <c r="AI556">
        <v>5</v>
      </c>
      <c r="AT556" t="s">
        <v>382</v>
      </c>
      <c r="AV556" t="s">
        <v>88</v>
      </c>
      <c r="AW556">
        <v>800</v>
      </c>
    </row>
    <row r="557" spans="1:52" hidden="1" x14ac:dyDescent="0.3">
      <c r="A557" t="s">
        <v>385</v>
      </c>
      <c r="B557" t="s">
        <v>386</v>
      </c>
      <c r="C557" t="s">
        <v>251</v>
      </c>
      <c r="D557" t="s">
        <v>81</v>
      </c>
      <c r="E557">
        <v>100000000</v>
      </c>
      <c r="H557">
        <v>0.79</v>
      </c>
      <c r="I557" t="s">
        <v>56</v>
      </c>
      <c r="J557">
        <v>7.9000000000000009E-5</v>
      </c>
      <c r="K557" t="s">
        <v>57</v>
      </c>
      <c r="N557" t="s">
        <v>387</v>
      </c>
      <c r="O557">
        <v>800</v>
      </c>
      <c r="P557" t="s">
        <v>315</v>
      </c>
      <c r="T557">
        <v>27.8</v>
      </c>
      <c r="V557">
        <v>80</v>
      </c>
      <c r="W557" t="s">
        <v>398</v>
      </c>
      <c r="X557" t="s">
        <v>280</v>
      </c>
      <c r="Y557">
        <v>180</v>
      </c>
      <c r="AB557">
        <v>2.7581521739130301</v>
      </c>
      <c r="AC557" t="s">
        <v>85</v>
      </c>
      <c r="AE557" t="s">
        <v>63</v>
      </c>
      <c r="AI557">
        <v>5</v>
      </c>
      <c r="AT557" t="s">
        <v>382</v>
      </c>
      <c r="AV557" t="s">
        <v>88</v>
      </c>
      <c r="AW557">
        <v>800</v>
      </c>
    </row>
    <row r="558" spans="1:52" hidden="1" x14ac:dyDescent="0.3">
      <c r="A558" t="s">
        <v>399</v>
      </c>
      <c r="C558" t="s">
        <v>251</v>
      </c>
      <c r="D558" t="s">
        <v>81</v>
      </c>
      <c r="E558">
        <v>100000000</v>
      </c>
      <c r="O558">
        <v>50</v>
      </c>
      <c r="P558" t="s">
        <v>400</v>
      </c>
      <c r="W558" t="s">
        <v>401</v>
      </c>
      <c r="X558" t="s">
        <v>402</v>
      </c>
      <c r="Y558">
        <v>480</v>
      </c>
      <c r="AB558">
        <v>6</v>
      </c>
      <c r="AC558" t="s">
        <v>297</v>
      </c>
      <c r="AZ558">
        <v>6</v>
      </c>
    </row>
    <row r="559" spans="1:52" hidden="1" x14ac:dyDescent="0.3">
      <c r="A559" t="s">
        <v>399</v>
      </c>
      <c r="C559" t="s">
        <v>251</v>
      </c>
      <c r="D559" t="s">
        <v>81</v>
      </c>
      <c r="E559">
        <v>100000000</v>
      </c>
      <c r="O559">
        <v>50</v>
      </c>
      <c r="P559" t="s">
        <v>400</v>
      </c>
      <c r="W559" t="s">
        <v>403</v>
      </c>
      <c r="X559" t="s">
        <v>402</v>
      </c>
      <c r="Y559">
        <v>480</v>
      </c>
      <c r="AB559">
        <v>2</v>
      </c>
      <c r="AC559" t="s">
        <v>297</v>
      </c>
      <c r="AZ559">
        <v>2</v>
      </c>
    </row>
    <row r="560" spans="1:52" hidden="1" x14ac:dyDescent="0.3">
      <c r="A560" t="s">
        <v>399</v>
      </c>
      <c r="B560" t="s">
        <v>404</v>
      </c>
      <c r="C560" t="s">
        <v>251</v>
      </c>
      <c r="D560" t="s">
        <v>81</v>
      </c>
      <c r="E560">
        <v>100000000</v>
      </c>
      <c r="O560">
        <v>50</v>
      </c>
      <c r="P560" t="s">
        <v>400</v>
      </c>
      <c r="W560" t="s">
        <v>405</v>
      </c>
      <c r="X560" t="s">
        <v>402</v>
      </c>
      <c r="Y560">
        <v>480</v>
      </c>
      <c r="AB560">
        <v>3</v>
      </c>
      <c r="AC560" t="s">
        <v>297</v>
      </c>
      <c r="AZ560">
        <v>3</v>
      </c>
    </row>
    <row r="561" spans="1:52" hidden="1" x14ac:dyDescent="0.3">
      <c r="A561" t="s">
        <v>399</v>
      </c>
      <c r="B561" t="s">
        <v>404</v>
      </c>
      <c r="C561" t="s">
        <v>251</v>
      </c>
      <c r="D561" t="s">
        <v>81</v>
      </c>
      <c r="E561">
        <v>100000000</v>
      </c>
      <c r="O561">
        <v>50</v>
      </c>
      <c r="P561" t="s">
        <v>400</v>
      </c>
      <c r="W561" t="s">
        <v>406</v>
      </c>
      <c r="X561" t="s">
        <v>402</v>
      </c>
      <c r="Y561">
        <v>480</v>
      </c>
      <c r="AB561">
        <v>0</v>
      </c>
      <c r="AC561" t="s">
        <v>297</v>
      </c>
      <c r="AZ561">
        <v>0</v>
      </c>
    </row>
    <row r="562" spans="1:52" hidden="1" x14ac:dyDescent="0.3">
      <c r="A562" t="s">
        <v>399</v>
      </c>
      <c r="C562" t="s">
        <v>251</v>
      </c>
      <c r="D562" t="s">
        <v>81</v>
      </c>
      <c r="E562">
        <v>100000000</v>
      </c>
      <c r="O562">
        <v>50</v>
      </c>
      <c r="P562" t="s">
        <v>400</v>
      </c>
      <c r="W562" t="s">
        <v>407</v>
      </c>
      <c r="X562" t="s">
        <v>402</v>
      </c>
      <c r="Y562">
        <v>480</v>
      </c>
      <c r="AB562">
        <v>1</v>
      </c>
      <c r="AC562" t="s">
        <v>297</v>
      </c>
      <c r="AZ562">
        <v>1</v>
      </c>
    </row>
    <row r="563" spans="1:52" hidden="1" x14ac:dyDescent="0.3">
      <c r="A563" t="s">
        <v>399</v>
      </c>
      <c r="C563" t="s">
        <v>251</v>
      </c>
      <c r="D563" t="s">
        <v>81</v>
      </c>
      <c r="E563">
        <v>100000000</v>
      </c>
      <c r="O563">
        <v>50</v>
      </c>
      <c r="P563" t="s">
        <v>59</v>
      </c>
      <c r="W563" t="s">
        <v>401</v>
      </c>
      <c r="X563" t="s">
        <v>402</v>
      </c>
      <c r="Y563">
        <v>480</v>
      </c>
      <c r="AB563">
        <v>6</v>
      </c>
      <c r="AC563" t="s">
        <v>297</v>
      </c>
      <c r="AZ563">
        <v>6</v>
      </c>
    </row>
    <row r="564" spans="1:52" hidden="1" x14ac:dyDescent="0.3">
      <c r="A564" t="s">
        <v>399</v>
      </c>
      <c r="C564" t="s">
        <v>251</v>
      </c>
      <c r="D564" t="s">
        <v>81</v>
      </c>
      <c r="E564">
        <v>100000000</v>
      </c>
      <c r="O564">
        <v>50</v>
      </c>
      <c r="P564" t="s">
        <v>59</v>
      </c>
      <c r="W564" t="s">
        <v>403</v>
      </c>
      <c r="X564" t="s">
        <v>402</v>
      </c>
      <c r="Y564">
        <v>480</v>
      </c>
      <c r="AB564">
        <v>2</v>
      </c>
      <c r="AC564" t="s">
        <v>297</v>
      </c>
      <c r="AZ564">
        <v>2</v>
      </c>
    </row>
    <row r="565" spans="1:52" hidden="1" x14ac:dyDescent="0.3">
      <c r="A565" t="s">
        <v>399</v>
      </c>
      <c r="B565" t="s">
        <v>404</v>
      </c>
      <c r="C565" t="s">
        <v>251</v>
      </c>
      <c r="D565" t="s">
        <v>81</v>
      </c>
      <c r="E565">
        <v>100000000</v>
      </c>
      <c r="O565">
        <v>50</v>
      </c>
      <c r="P565" t="s">
        <v>59</v>
      </c>
      <c r="W565" t="s">
        <v>405</v>
      </c>
      <c r="X565" t="s">
        <v>402</v>
      </c>
      <c r="Y565">
        <v>480</v>
      </c>
      <c r="AB565">
        <v>3</v>
      </c>
      <c r="AC565" t="s">
        <v>297</v>
      </c>
      <c r="AZ565">
        <v>3</v>
      </c>
    </row>
    <row r="566" spans="1:52" hidden="1" x14ac:dyDescent="0.3">
      <c r="A566" t="s">
        <v>399</v>
      </c>
      <c r="B566" t="s">
        <v>404</v>
      </c>
      <c r="C566" t="s">
        <v>251</v>
      </c>
      <c r="D566" t="s">
        <v>81</v>
      </c>
      <c r="E566">
        <v>100000000</v>
      </c>
      <c r="O566">
        <v>50</v>
      </c>
      <c r="P566" t="s">
        <v>59</v>
      </c>
      <c r="W566" t="s">
        <v>406</v>
      </c>
      <c r="X566" t="s">
        <v>402</v>
      </c>
      <c r="Y566">
        <v>480</v>
      </c>
      <c r="AB566">
        <v>0</v>
      </c>
      <c r="AC566" t="s">
        <v>297</v>
      </c>
      <c r="AZ566">
        <v>0</v>
      </c>
    </row>
    <row r="567" spans="1:52" hidden="1" x14ac:dyDescent="0.3">
      <c r="A567" t="s">
        <v>399</v>
      </c>
      <c r="C567" t="s">
        <v>251</v>
      </c>
      <c r="D567" t="s">
        <v>81</v>
      </c>
      <c r="E567">
        <v>100000000</v>
      </c>
      <c r="O567">
        <v>50</v>
      </c>
      <c r="P567" t="s">
        <v>59</v>
      </c>
      <c r="W567" t="s">
        <v>407</v>
      </c>
      <c r="X567" t="s">
        <v>402</v>
      </c>
      <c r="Y567">
        <v>480</v>
      </c>
      <c r="AB567">
        <v>0</v>
      </c>
      <c r="AC567" t="s">
        <v>297</v>
      </c>
      <c r="AZ567">
        <v>0</v>
      </c>
    </row>
    <row r="568" spans="1:52" hidden="1" x14ac:dyDescent="0.3">
      <c r="A568" t="s">
        <v>399</v>
      </c>
      <c r="C568" t="s">
        <v>251</v>
      </c>
      <c r="D568" t="s">
        <v>81</v>
      </c>
      <c r="E568">
        <v>100000000</v>
      </c>
      <c r="O568">
        <v>50</v>
      </c>
      <c r="P568" t="s">
        <v>400</v>
      </c>
      <c r="W568" t="s">
        <v>401</v>
      </c>
      <c r="X568" t="s">
        <v>402</v>
      </c>
      <c r="Y568">
        <v>480</v>
      </c>
      <c r="AB568">
        <v>0</v>
      </c>
      <c r="AC568" t="s">
        <v>297</v>
      </c>
      <c r="AZ568">
        <v>0</v>
      </c>
    </row>
    <row r="569" spans="1:52" hidden="1" x14ac:dyDescent="0.3">
      <c r="A569" t="s">
        <v>399</v>
      </c>
      <c r="C569" t="s">
        <v>251</v>
      </c>
      <c r="D569" t="s">
        <v>81</v>
      </c>
      <c r="E569">
        <v>100000000</v>
      </c>
      <c r="O569">
        <v>50</v>
      </c>
      <c r="P569" t="s">
        <v>400</v>
      </c>
      <c r="W569" t="s">
        <v>403</v>
      </c>
      <c r="X569" t="s">
        <v>402</v>
      </c>
      <c r="Y569">
        <v>480</v>
      </c>
      <c r="AB569">
        <v>0</v>
      </c>
      <c r="AC569" t="s">
        <v>297</v>
      </c>
      <c r="AZ569">
        <v>0</v>
      </c>
    </row>
    <row r="570" spans="1:52" hidden="1" x14ac:dyDescent="0.3">
      <c r="A570" t="s">
        <v>399</v>
      </c>
      <c r="B570" t="s">
        <v>404</v>
      </c>
      <c r="C570" t="s">
        <v>251</v>
      </c>
      <c r="D570" t="s">
        <v>81</v>
      </c>
      <c r="E570">
        <v>100000000</v>
      </c>
      <c r="O570">
        <v>50</v>
      </c>
      <c r="P570" t="s">
        <v>400</v>
      </c>
      <c r="W570" t="s">
        <v>405</v>
      </c>
      <c r="X570" t="s">
        <v>402</v>
      </c>
      <c r="Y570">
        <v>480</v>
      </c>
      <c r="AB570">
        <v>4</v>
      </c>
      <c r="AC570" t="s">
        <v>297</v>
      </c>
      <c r="AZ570">
        <v>4</v>
      </c>
    </row>
    <row r="571" spans="1:52" hidden="1" x14ac:dyDescent="0.3">
      <c r="A571" t="s">
        <v>399</v>
      </c>
      <c r="B571" t="s">
        <v>404</v>
      </c>
      <c r="C571" t="s">
        <v>251</v>
      </c>
      <c r="D571" t="s">
        <v>81</v>
      </c>
      <c r="E571">
        <v>100000000</v>
      </c>
      <c r="O571">
        <v>50</v>
      </c>
      <c r="P571" t="s">
        <v>400</v>
      </c>
      <c r="W571" t="s">
        <v>406</v>
      </c>
      <c r="X571" t="s">
        <v>402</v>
      </c>
      <c r="Y571">
        <v>480</v>
      </c>
      <c r="AB571">
        <v>3</v>
      </c>
      <c r="AC571" t="s">
        <v>297</v>
      </c>
      <c r="AZ571">
        <v>3</v>
      </c>
    </row>
    <row r="572" spans="1:52" hidden="1" x14ac:dyDescent="0.3">
      <c r="A572" t="s">
        <v>399</v>
      </c>
      <c r="C572" t="s">
        <v>251</v>
      </c>
      <c r="D572" t="s">
        <v>81</v>
      </c>
      <c r="E572">
        <v>100000000</v>
      </c>
      <c r="O572">
        <v>50</v>
      </c>
      <c r="P572" t="s">
        <v>400</v>
      </c>
      <c r="W572" t="s">
        <v>407</v>
      </c>
      <c r="X572" t="s">
        <v>402</v>
      </c>
      <c r="Y572">
        <v>480</v>
      </c>
      <c r="AB572">
        <v>0</v>
      </c>
      <c r="AC572" t="s">
        <v>297</v>
      </c>
      <c r="AZ572">
        <v>0</v>
      </c>
    </row>
    <row r="573" spans="1:52" hidden="1" x14ac:dyDescent="0.3">
      <c r="A573" t="s">
        <v>399</v>
      </c>
      <c r="C573" t="s">
        <v>251</v>
      </c>
      <c r="D573" t="s">
        <v>81</v>
      </c>
      <c r="E573">
        <v>100000000</v>
      </c>
      <c r="O573">
        <v>0</v>
      </c>
      <c r="W573" t="s">
        <v>401</v>
      </c>
      <c r="X573" t="s">
        <v>402</v>
      </c>
      <c r="Y573">
        <v>480</v>
      </c>
      <c r="AB573">
        <v>0</v>
      </c>
      <c r="AC573" t="s">
        <v>297</v>
      </c>
      <c r="AZ573">
        <v>0</v>
      </c>
    </row>
    <row r="574" spans="1:52" hidden="1" x14ac:dyDescent="0.3">
      <c r="A574" t="s">
        <v>399</v>
      </c>
      <c r="C574" t="s">
        <v>251</v>
      </c>
      <c r="D574" t="s">
        <v>81</v>
      </c>
      <c r="E574">
        <v>100000000</v>
      </c>
      <c r="O574">
        <v>0</v>
      </c>
      <c r="W574" t="s">
        <v>403</v>
      </c>
      <c r="X574" t="s">
        <v>402</v>
      </c>
      <c r="Y574">
        <v>480</v>
      </c>
      <c r="AB574">
        <v>0</v>
      </c>
      <c r="AC574" t="s">
        <v>297</v>
      </c>
      <c r="AZ574">
        <v>0</v>
      </c>
    </row>
    <row r="575" spans="1:52" hidden="1" x14ac:dyDescent="0.3">
      <c r="A575" t="s">
        <v>399</v>
      </c>
      <c r="B575" t="s">
        <v>404</v>
      </c>
      <c r="C575" t="s">
        <v>251</v>
      </c>
      <c r="D575" t="s">
        <v>81</v>
      </c>
      <c r="E575">
        <v>100000000</v>
      </c>
      <c r="O575">
        <v>0</v>
      </c>
      <c r="W575" t="s">
        <v>405</v>
      </c>
      <c r="X575" t="s">
        <v>402</v>
      </c>
      <c r="Y575">
        <v>480</v>
      </c>
      <c r="AB575">
        <v>4</v>
      </c>
      <c r="AC575" t="s">
        <v>297</v>
      </c>
      <c r="AZ575">
        <v>4</v>
      </c>
    </row>
    <row r="576" spans="1:52" hidden="1" x14ac:dyDescent="0.3">
      <c r="A576" t="s">
        <v>399</v>
      </c>
      <c r="B576" t="s">
        <v>404</v>
      </c>
      <c r="C576" t="s">
        <v>251</v>
      </c>
      <c r="D576" t="s">
        <v>81</v>
      </c>
      <c r="E576">
        <v>400000</v>
      </c>
      <c r="O576">
        <v>0</v>
      </c>
      <c r="W576" t="s">
        <v>406</v>
      </c>
      <c r="X576" t="s">
        <v>402</v>
      </c>
      <c r="Y576">
        <v>480</v>
      </c>
      <c r="AB576">
        <v>2</v>
      </c>
      <c r="AC576" t="s">
        <v>297</v>
      </c>
      <c r="AZ576">
        <v>2</v>
      </c>
    </row>
    <row r="577" spans="1:52" hidden="1" x14ac:dyDescent="0.3">
      <c r="A577" t="s">
        <v>399</v>
      </c>
      <c r="C577" t="s">
        <v>251</v>
      </c>
      <c r="D577" t="s">
        <v>81</v>
      </c>
      <c r="E577">
        <v>100000000</v>
      </c>
      <c r="O577">
        <v>0</v>
      </c>
      <c r="W577" t="s">
        <v>407</v>
      </c>
      <c r="X577" t="s">
        <v>402</v>
      </c>
      <c r="Y577">
        <v>480</v>
      </c>
      <c r="AB577">
        <v>0</v>
      </c>
      <c r="AC577" t="s">
        <v>297</v>
      </c>
      <c r="AZ577">
        <v>0</v>
      </c>
    </row>
    <row r="578" spans="1:52" hidden="1" x14ac:dyDescent="0.3">
      <c r="A578" t="s">
        <v>399</v>
      </c>
      <c r="C578" t="s">
        <v>251</v>
      </c>
      <c r="D578" t="s">
        <v>81</v>
      </c>
      <c r="E578">
        <v>100000000</v>
      </c>
      <c r="O578">
        <v>50</v>
      </c>
      <c r="P578" t="s">
        <v>400</v>
      </c>
      <c r="W578" t="s">
        <v>401</v>
      </c>
      <c r="X578" t="s">
        <v>402</v>
      </c>
      <c r="Y578">
        <v>240</v>
      </c>
      <c r="AB578">
        <v>6</v>
      </c>
      <c r="AC578" t="s">
        <v>297</v>
      </c>
      <c r="AZ578">
        <v>6</v>
      </c>
    </row>
    <row r="579" spans="1:52" hidden="1" x14ac:dyDescent="0.3">
      <c r="A579" t="s">
        <v>399</v>
      </c>
      <c r="C579" t="s">
        <v>251</v>
      </c>
      <c r="D579" t="s">
        <v>81</v>
      </c>
      <c r="E579">
        <v>100000000</v>
      </c>
      <c r="O579">
        <v>50</v>
      </c>
      <c r="P579" t="s">
        <v>400</v>
      </c>
      <c r="W579" t="s">
        <v>403</v>
      </c>
      <c r="X579" t="s">
        <v>402</v>
      </c>
      <c r="Y579">
        <v>240</v>
      </c>
      <c r="AB579">
        <v>1</v>
      </c>
      <c r="AC579" t="s">
        <v>297</v>
      </c>
      <c r="AZ579">
        <v>1</v>
      </c>
    </row>
    <row r="580" spans="1:52" hidden="1" x14ac:dyDescent="0.3">
      <c r="A580" t="s">
        <v>399</v>
      </c>
      <c r="B580" t="s">
        <v>404</v>
      </c>
      <c r="C580" t="s">
        <v>251</v>
      </c>
      <c r="D580" t="s">
        <v>81</v>
      </c>
      <c r="E580">
        <v>100000000</v>
      </c>
      <c r="O580">
        <v>50</v>
      </c>
      <c r="P580" t="s">
        <v>400</v>
      </c>
      <c r="W580" t="s">
        <v>405</v>
      </c>
      <c r="X580" t="s">
        <v>402</v>
      </c>
      <c r="Y580">
        <v>240</v>
      </c>
      <c r="AB580">
        <v>0</v>
      </c>
      <c r="AC580" t="s">
        <v>297</v>
      </c>
      <c r="AZ580">
        <v>0</v>
      </c>
    </row>
    <row r="581" spans="1:52" hidden="1" x14ac:dyDescent="0.3">
      <c r="A581" t="s">
        <v>399</v>
      </c>
      <c r="B581" t="s">
        <v>404</v>
      </c>
      <c r="C581" t="s">
        <v>251</v>
      </c>
      <c r="D581" t="s">
        <v>81</v>
      </c>
      <c r="E581">
        <v>100000000</v>
      </c>
      <c r="O581">
        <v>50</v>
      </c>
      <c r="P581" t="s">
        <v>400</v>
      </c>
      <c r="W581" t="s">
        <v>406</v>
      </c>
      <c r="X581" t="s">
        <v>402</v>
      </c>
      <c r="Y581">
        <v>240</v>
      </c>
      <c r="AB581">
        <v>1</v>
      </c>
      <c r="AC581" t="s">
        <v>297</v>
      </c>
      <c r="AZ581">
        <v>1</v>
      </c>
    </row>
    <row r="582" spans="1:52" hidden="1" x14ac:dyDescent="0.3">
      <c r="A582" t="s">
        <v>399</v>
      </c>
      <c r="C582" t="s">
        <v>251</v>
      </c>
      <c r="D582" t="s">
        <v>81</v>
      </c>
      <c r="E582">
        <v>100000000</v>
      </c>
      <c r="O582">
        <v>50</v>
      </c>
      <c r="P582" t="s">
        <v>400</v>
      </c>
      <c r="W582" t="s">
        <v>407</v>
      </c>
      <c r="X582" t="s">
        <v>402</v>
      </c>
      <c r="Y582">
        <v>240</v>
      </c>
      <c r="AB582">
        <v>0</v>
      </c>
      <c r="AC582" t="s">
        <v>297</v>
      </c>
      <c r="AZ582">
        <v>0</v>
      </c>
    </row>
    <row r="583" spans="1:52" hidden="1" x14ac:dyDescent="0.3">
      <c r="A583" t="s">
        <v>399</v>
      </c>
      <c r="C583" t="s">
        <v>251</v>
      </c>
      <c r="D583" t="s">
        <v>81</v>
      </c>
      <c r="E583">
        <v>100000000</v>
      </c>
      <c r="O583">
        <v>50</v>
      </c>
      <c r="P583" t="s">
        <v>400</v>
      </c>
      <c r="W583" t="s">
        <v>401</v>
      </c>
      <c r="X583" t="s">
        <v>402</v>
      </c>
      <c r="Y583">
        <v>360</v>
      </c>
      <c r="AB583">
        <v>5</v>
      </c>
      <c r="AC583" t="s">
        <v>297</v>
      </c>
      <c r="AZ583">
        <v>5</v>
      </c>
    </row>
    <row r="584" spans="1:52" hidden="1" x14ac:dyDescent="0.3">
      <c r="A584" t="s">
        <v>399</v>
      </c>
      <c r="C584" t="s">
        <v>251</v>
      </c>
      <c r="D584" t="s">
        <v>81</v>
      </c>
      <c r="E584">
        <v>100000000</v>
      </c>
      <c r="O584">
        <v>50</v>
      </c>
      <c r="P584" t="s">
        <v>400</v>
      </c>
      <c r="W584" t="s">
        <v>403</v>
      </c>
      <c r="X584" t="s">
        <v>402</v>
      </c>
      <c r="Y584">
        <v>360</v>
      </c>
      <c r="AB584">
        <v>0</v>
      </c>
      <c r="AC584" t="s">
        <v>297</v>
      </c>
      <c r="AZ584">
        <v>0</v>
      </c>
    </row>
    <row r="585" spans="1:52" hidden="1" x14ac:dyDescent="0.3">
      <c r="A585" t="s">
        <v>399</v>
      </c>
      <c r="B585" t="s">
        <v>404</v>
      </c>
      <c r="C585" t="s">
        <v>251</v>
      </c>
      <c r="D585" t="s">
        <v>81</v>
      </c>
      <c r="E585">
        <v>10000000</v>
      </c>
      <c r="O585">
        <v>50</v>
      </c>
      <c r="P585" t="s">
        <v>400</v>
      </c>
      <c r="W585" t="s">
        <v>405</v>
      </c>
      <c r="X585" t="s">
        <v>402</v>
      </c>
      <c r="Y585">
        <v>360</v>
      </c>
      <c r="AB585">
        <v>0</v>
      </c>
      <c r="AC585" t="s">
        <v>297</v>
      </c>
      <c r="AZ585">
        <v>0</v>
      </c>
    </row>
    <row r="586" spans="1:52" hidden="1" x14ac:dyDescent="0.3">
      <c r="A586" t="s">
        <v>399</v>
      </c>
      <c r="B586" t="s">
        <v>404</v>
      </c>
      <c r="C586" t="s">
        <v>251</v>
      </c>
      <c r="D586" t="s">
        <v>81</v>
      </c>
      <c r="E586">
        <v>10000000</v>
      </c>
      <c r="O586">
        <v>50</v>
      </c>
      <c r="P586" t="s">
        <v>400</v>
      </c>
      <c r="W586" t="s">
        <v>406</v>
      </c>
      <c r="X586" t="s">
        <v>402</v>
      </c>
      <c r="Y586">
        <v>360</v>
      </c>
      <c r="AB586">
        <v>0</v>
      </c>
      <c r="AC586" t="s">
        <v>297</v>
      </c>
      <c r="AZ586">
        <v>0</v>
      </c>
    </row>
    <row r="587" spans="1:52" hidden="1" x14ac:dyDescent="0.3">
      <c r="A587" t="s">
        <v>399</v>
      </c>
      <c r="C587" t="s">
        <v>251</v>
      </c>
      <c r="D587" t="s">
        <v>81</v>
      </c>
      <c r="E587">
        <v>10000000</v>
      </c>
      <c r="O587">
        <v>50</v>
      </c>
      <c r="P587" t="s">
        <v>400</v>
      </c>
      <c r="W587" t="s">
        <v>407</v>
      </c>
      <c r="X587" t="s">
        <v>402</v>
      </c>
      <c r="Y587">
        <v>360</v>
      </c>
      <c r="AB587">
        <v>0</v>
      </c>
      <c r="AC587" t="s">
        <v>297</v>
      </c>
      <c r="AZ587">
        <v>0</v>
      </c>
    </row>
    <row r="588" spans="1:52" hidden="1" x14ac:dyDescent="0.3">
      <c r="A588" t="s">
        <v>399</v>
      </c>
      <c r="C588" t="s">
        <v>251</v>
      </c>
      <c r="D588" t="s">
        <v>81</v>
      </c>
      <c r="E588">
        <v>10000000</v>
      </c>
      <c r="O588">
        <v>50</v>
      </c>
      <c r="P588" t="s">
        <v>400</v>
      </c>
      <c r="W588" t="s">
        <v>401</v>
      </c>
      <c r="X588" t="s">
        <v>402</v>
      </c>
      <c r="Y588">
        <v>480</v>
      </c>
      <c r="AB588">
        <v>0</v>
      </c>
      <c r="AC588" t="s">
        <v>297</v>
      </c>
      <c r="AZ588">
        <v>0</v>
      </c>
    </row>
    <row r="589" spans="1:52" hidden="1" x14ac:dyDescent="0.3">
      <c r="A589" t="s">
        <v>399</v>
      </c>
      <c r="C589" t="s">
        <v>251</v>
      </c>
      <c r="D589" t="s">
        <v>81</v>
      </c>
      <c r="E589">
        <v>10000000</v>
      </c>
      <c r="O589">
        <v>50</v>
      </c>
      <c r="P589" t="s">
        <v>400</v>
      </c>
      <c r="W589" t="s">
        <v>403</v>
      </c>
      <c r="X589" t="s">
        <v>402</v>
      </c>
      <c r="Y589">
        <v>480</v>
      </c>
      <c r="AB589">
        <v>0</v>
      </c>
      <c r="AC589" t="s">
        <v>297</v>
      </c>
      <c r="AZ589">
        <v>0</v>
      </c>
    </row>
    <row r="590" spans="1:52" hidden="1" x14ac:dyDescent="0.3">
      <c r="A590" t="s">
        <v>399</v>
      </c>
      <c r="B590" t="s">
        <v>404</v>
      </c>
      <c r="C590" t="s">
        <v>251</v>
      </c>
      <c r="D590" t="s">
        <v>81</v>
      </c>
      <c r="E590">
        <v>10000000</v>
      </c>
      <c r="O590">
        <v>50</v>
      </c>
      <c r="P590" t="s">
        <v>400</v>
      </c>
      <c r="W590" t="s">
        <v>405</v>
      </c>
      <c r="X590" t="s">
        <v>402</v>
      </c>
      <c r="Y590">
        <v>480</v>
      </c>
      <c r="AB590">
        <v>0</v>
      </c>
      <c r="AC590" t="s">
        <v>297</v>
      </c>
      <c r="AZ590">
        <v>0</v>
      </c>
    </row>
    <row r="591" spans="1:52" hidden="1" x14ac:dyDescent="0.3">
      <c r="A591" t="s">
        <v>399</v>
      </c>
      <c r="B591" t="s">
        <v>404</v>
      </c>
      <c r="C591" t="s">
        <v>251</v>
      </c>
      <c r="D591" t="s">
        <v>81</v>
      </c>
      <c r="E591">
        <v>10000000</v>
      </c>
      <c r="O591">
        <v>50</v>
      </c>
      <c r="P591" t="s">
        <v>400</v>
      </c>
      <c r="W591" t="s">
        <v>406</v>
      </c>
      <c r="X591" t="s">
        <v>402</v>
      </c>
      <c r="Y591">
        <v>480</v>
      </c>
      <c r="AB591">
        <v>0</v>
      </c>
      <c r="AC591" t="s">
        <v>297</v>
      </c>
      <c r="AZ591">
        <v>0</v>
      </c>
    </row>
    <row r="592" spans="1:52" hidden="1" x14ac:dyDescent="0.3">
      <c r="A592" t="s">
        <v>399</v>
      </c>
      <c r="C592" t="s">
        <v>251</v>
      </c>
      <c r="D592" t="s">
        <v>81</v>
      </c>
      <c r="E592">
        <v>10000000</v>
      </c>
      <c r="O592">
        <v>50</v>
      </c>
      <c r="P592" t="s">
        <v>400</v>
      </c>
      <c r="W592" t="s">
        <v>407</v>
      </c>
      <c r="X592" t="s">
        <v>402</v>
      </c>
      <c r="Y592">
        <v>480</v>
      </c>
      <c r="AB592">
        <v>0</v>
      </c>
      <c r="AC592" t="s">
        <v>297</v>
      </c>
      <c r="AZ592">
        <v>0</v>
      </c>
    </row>
    <row r="593" spans="1:53" hidden="1" x14ac:dyDescent="0.3">
      <c r="A593" t="s">
        <v>399</v>
      </c>
      <c r="C593" t="s">
        <v>251</v>
      </c>
      <c r="D593" t="s">
        <v>81</v>
      </c>
      <c r="E593">
        <v>10000000</v>
      </c>
      <c r="O593">
        <v>50</v>
      </c>
      <c r="P593" t="s">
        <v>59</v>
      </c>
      <c r="W593" t="s">
        <v>401</v>
      </c>
      <c r="X593" t="s">
        <v>402</v>
      </c>
      <c r="Y593">
        <v>480</v>
      </c>
      <c r="AB593">
        <v>1</v>
      </c>
      <c r="AC593" t="s">
        <v>297</v>
      </c>
      <c r="AZ593">
        <v>1</v>
      </c>
    </row>
    <row r="594" spans="1:53" hidden="1" x14ac:dyDescent="0.3">
      <c r="A594" t="s">
        <v>399</v>
      </c>
      <c r="C594" t="s">
        <v>251</v>
      </c>
      <c r="D594" t="s">
        <v>81</v>
      </c>
      <c r="E594">
        <v>10000000</v>
      </c>
      <c r="O594">
        <v>50</v>
      </c>
      <c r="P594" t="s">
        <v>59</v>
      </c>
      <c r="W594" t="s">
        <v>403</v>
      </c>
      <c r="X594" t="s">
        <v>402</v>
      </c>
      <c r="Y594">
        <v>480</v>
      </c>
      <c r="AB594">
        <v>0</v>
      </c>
      <c r="AC594" t="s">
        <v>297</v>
      </c>
      <c r="AZ594">
        <v>0</v>
      </c>
    </row>
    <row r="595" spans="1:53" hidden="1" x14ac:dyDescent="0.3">
      <c r="A595" t="s">
        <v>399</v>
      </c>
      <c r="B595" t="s">
        <v>404</v>
      </c>
      <c r="C595" t="s">
        <v>251</v>
      </c>
      <c r="D595" t="s">
        <v>81</v>
      </c>
      <c r="E595">
        <v>10000000</v>
      </c>
      <c r="O595">
        <v>50</v>
      </c>
      <c r="P595" t="s">
        <v>59</v>
      </c>
      <c r="W595" t="s">
        <v>405</v>
      </c>
      <c r="X595" t="s">
        <v>402</v>
      </c>
      <c r="Y595">
        <v>480</v>
      </c>
      <c r="AB595">
        <v>1</v>
      </c>
      <c r="AC595" t="s">
        <v>297</v>
      </c>
      <c r="AZ595">
        <v>1</v>
      </c>
    </row>
    <row r="596" spans="1:53" hidden="1" x14ac:dyDescent="0.3">
      <c r="A596" t="s">
        <v>399</v>
      </c>
      <c r="B596" t="s">
        <v>404</v>
      </c>
      <c r="C596" t="s">
        <v>251</v>
      </c>
      <c r="D596" t="s">
        <v>81</v>
      </c>
      <c r="E596">
        <v>10000000</v>
      </c>
      <c r="O596">
        <v>50</v>
      </c>
      <c r="P596" t="s">
        <v>59</v>
      </c>
      <c r="W596" t="s">
        <v>406</v>
      </c>
      <c r="X596" t="s">
        <v>402</v>
      </c>
      <c r="Y596">
        <v>480</v>
      </c>
      <c r="AB596">
        <v>0</v>
      </c>
      <c r="AC596" t="s">
        <v>297</v>
      </c>
      <c r="AZ596">
        <v>0</v>
      </c>
    </row>
    <row r="597" spans="1:53" hidden="1" x14ac:dyDescent="0.3">
      <c r="A597" t="s">
        <v>399</v>
      </c>
      <c r="C597" t="s">
        <v>251</v>
      </c>
      <c r="D597" t="s">
        <v>81</v>
      </c>
      <c r="E597">
        <v>10000000</v>
      </c>
      <c r="O597">
        <v>50</v>
      </c>
      <c r="P597" t="s">
        <v>59</v>
      </c>
      <c r="W597" t="s">
        <v>407</v>
      </c>
      <c r="X597" t="s">
        <v>402</v>
      </c>
      <c r="Y597">
        <v>480</v>
      </c>
      <c r="AB597">
        <v>0</v>
      </c>
      <c r="AC597" t="s">
        <v>297</v>
      </c>
      <c r="AZ597">
        <v>0</v>
      </c>
    </row>
    <row r="598" spans="1:53" hidden="1" x14ac:dyDescent="0.3">
      <c r="A598" t="s">
        <v>399</v>
      </c>
      <c r="C598" t="s">
        <v>251</v>
      </c>
      <c r="D598" t="s">
        <v>81</v>
      </c>
      <c r="E598">
        <v>10000000</v>
      </c>
      <c r="O598">
        <v>50</v>
      </c>
      <c r="P598" t="s">
        <v>400</v>
      </c>
      <c r="W598" t="s">
        <v>401</v>
      </c>
      <c r="X598" t="s">
        <v>402</v>
      </c>
      <c r="Y598">
        <v>480</v>
      </c>
      <c r="AB598">
        <v>0</v>
      </c>
      <c r="AC598" t="s">
        <v>297</v>
      </c>
      <c r="AZ598">
        <v>0</v>
      </c>
    </row>
    <row r="599" spans="1:53" hidden="1" x14ac:dyDescent="0.3">
      <c r="A599" t="s">
        <v>399</v>
      </c>
      <c r="C599" t="s">
        <v>251</v>
      </c>
      <c r="D599" t="s">
        <v>81</v>
      </c>
      <c r="E599">
        <v>10000000</v>
      </c>
      <c r="O599">
        <v>50</v>
      </c>
      <c r="P599" t="s">
        <v>400</v>
      </c>
      <c r="W599" t="s">
        <v>403</v>
      </c>
      <c r="X599" t="s">
        <v>402</v>
      </c>
      <c r="Y599">
        <v>480</v>
      </c>
      <c r="AB599">
        <v>0</v>
      </c>
      <c r="AC599" t="s">
        <v>297</v>
      </c>
      <c r="AZ599">
        <v>0</v>
      </c>
    </row>
    <row r="600" spans="1:53" hidden="1" x14ac:dyDescent="0.3">
      <c r="A600" t="s">
        <v>399</v>
      </c>
      <c r="B600" t="s">
        <v>404</v>
      </c>
      <c r="C600" t="s">
        <v>251</v>
      </c>
      <c r="D600" t="s">
        <v>81</v>
      </c>
      <c r="E600">
        <v>10000000</v>
      </c>
      <c r="O600">
        <v>50</v>
      </c>
      <c r="P600" t="s">
        <v>400</v>
      </c>
      <c r="W600" t="s">
        <v>405</v>
      </c>
      <c r="X600" t="s">
        <v>402</v>
      </c>
      <c r="Y600">
        <v>480</v>
      </c>
      <c r="AB600">
        <v>6</v>
      </c>
      <c r="AC600" t="s">
        <v>297</v>
      </c>
      <c r="AZ600">
        <v>6</v>
      </c>
    </row>
    <row r="601" spans="1:53" hidden="1" x14ac:dyDescent="0.3">
      <c r="A601" t="s">
        <v>399</v>
      </c>
      <c r="B601" t="s">
        <v>404</v>
      </c>
      <c r="C601" t="s">
        <v>251</v>
      </c>
      <c r="D601" t="s">
        <v>81</v>
      </c>
      <c r="E601">
        <v>10000000</v>
      </c>
      <c r="O601">
        <v>50</v>
      </c>
      <c r="P601" t="s">
        <v>400</v>
      </c>
      <c r="W601" t="s">
        <v>406</v>
      </c>
      <c r="X601" t="s">
        <v>402</v>
      </c>
      <c r="Y601">
        <v>480</v>
      </c>
      <c r="AB601">
        <v>6</v>
      </c>
      <c r="AC601" t="s">
        <v>297</v>
      </c>
      <c r="AZ601">
        <v>6</v>
      </c>
    </row>
    <row r="602" spans="1:53" hidden="1" x14ac:dyDescent="0.3">
      <c r="A602" t="s">
        <v>399</v>
      </c>
      <c r="C602" t="s">
        <v>251</v>
      </c>
      <c r="D602" t="s">
        <v>81</v>
      </c>
      <c r="E602">
        <v>10000000</v>
      </c>
      <c r="O602">
        <v>50</v>
      </c>
      <c r="P602" t="s">
        <v>400</v>
      </c>
      <c r="W602" t="s">
        <v>407</v>
      </c>
      <c r="X602" t="s">
        <v>402</v>
      </c>
      <c r="Y602">
        <v>480</v>
      </c>
      <c r="AB602">
        <v>0</v>
      </c>
      <c r="AC602" t="s">
        <v>297</v>
      </c>
      <c r="AZ602">
        <v>0</v>
      </c>
    </row>
    <row r="603" spans="1:53" hidden="1" x14ac:dyDescent="0.3">
      <c r="A603" t="s">
        <v>399</v>
      </c>
      <c r="C603" t="s">
        <v>251</v>
      </c>
      <c r="D603" t="s">
        <v>81</v>
      </c>
      <c r="E603">
        <v>10000000</v>
      </c>
      <c r="O603">
        <v>0</v>
      </c>
      <c r="W603" t="s">
        <v>401</v>
      </c>
      <c r="X603" t="s">
        <v>402</v>
      </c>
      <c r="Y603">
        <v>480</v>
      </c>
      <c r="AB603">
        <v>0</v>
      </c>
      <c r="AC603" t="s">
        <v>297</v>
      </c>
      <c r="AZ603">
        <v>0</v>
      </c>
    </row>
    <row r="604" spans="1:53" hidden="1" x14ac:dyDescent="0.3">
      <c r="A604" t="s">
        <v>399</v>
      </c>
      <c r="C604" t="s">
        <v>251</v>
      </c>
      <c r="D604" t="s">
        <v>81</v>
      </c>
      <c r="E604">
        <v>10000000</v>
      </c>
      <c r="O604">
        <v>0</v>
      </c>
      <c r="W604" t="s">
        <v>403</v>
      </c>
      <c r="X604" t="s">
        <v>402</v>
      </c>
      <c r="Y604">
        <v>480</v>
      </c>
      <c r="AB604">
        <v>0</v>
      </c>
      <c r="AC604" t="s">
        <v>297</v>
      </c>
      <c r="AZ604">
        <v>0</v>
      </c>
    </row>
    <row r="605" spans="1:53" hidden="1" x14ac:dyDescent="0.3">
      <c r="A605" t="s">
        <v>399</v>
      </c>
      <c r="B605" t="s">
        <v>404</v>
      </c>
      <c r="C605" t="s">
        <v>251</v>
      </c>
      <c r="D605" t="s">
        <v>81</v>
      </c>
      <c r="E605">
        <v>10000000</v>
      </c>
      <c r="O605">
        <v>0</v>
      </c>
      <c r="W605" t="s">
        <v>405</v>
      </c>
      <c r="X605" t="s">
        <v>402</v>
      </c>
      <c r="Y605">
        <v>480</v>
      </c>
      <c r="AB605">
        <v>5</v>
      </c>
      <c r="AC605" t="s">
        <v>297</v>
      </c>
      <c r="AZ605">
        <v>5</v>
      </c>
    </row>
    <row r="606" spans="1:53" hidden="1" x14ac:dyDescent="0.3">
      <c r="A606" t="s">
        <v>399</v>
      </c>
      <c r="B606" t="s">
        <v>404</v>
      </c>
      <c r="C606" t="s">
        <v>251</v>
      </c>
      <c r="D606" t="s">
        <v>81</v>
      </c>
      <c r="E606">
        <v>10000000</v>
      </c>
      <c r="O606">
        <v>0</v>
      </c>
      <c r="W606" t="s">
        <v>406</v>
      </c>
      <c r="X606" t="s">
        <v>402</v>
      </c>
      <c r="Y606">
        <v>480</v>
      </c>
      <c r="AB606">
        <v>4</v>
      </c>
      <c r="AC606" t="s">
        <v>297</v>
      </c>
      <c r="AZ606">
        <v>4</v>
      </c>
    </row>
    <row r="607" spans="1:53" hidden="1" x14ac:dyDescent="0.3">
      <c r="A607" t="s">
        <v>399</v>
      </c>
      <c r="C607" t="s">
        <v>251</v>
      </c>
      <c r="D607" t="s">
        <v>81</v>
      </c>
      <c r="E607">
        <v>10000000</v>
      </c>
      <c r="O607">
        <v>0</v>
      </c>
      <c r="W607" t="s">
        <v>407</v>
      </c>
      <c r="X607" t="s">
        <v>402</v>
      </c>
      <c r="Y607">
        <v>480</v>
      </c>
      <c r="AB607">
        <v>0</v>
      </c>
      <c r="AC607" t="s">
        <v>297</v>
      </c>
      <c r="AZ607">
        <v>0</v>
      </c>
    </row>
    <row r="608" spans="1:53" hidden="1" x14ac:dyDescent="0.3">
      <c r="A608" t="s">
        <v>408</v>
      </c>
      <c r="C608" t="s">
        <v>251</v>
      </c>
      <c r="D608" t="s">
        <v>81</v>
      </c>
      <c r="E608">
        <v>10000000</v>
      </c>
      <c r="H608">
        <v>25</v>
      </c>
      <c r="I608" t="s">
        <v>409</v>
      </c>
      <c r="O608">
        <v>1</v>
      </c>
      <c r="P608" t="s">
        <v>277</v>
      </c>
      <c r="S608">
        <v>0.5</v>
      </c>
      <c r="T608">
        <v>20</v>
      </c>
      <c r="U608" t="s">
        <v>410</v>
      </c>
      <c r="V608">
        <v>70</v>
      </c>
      <c r="W608" t="s">
        <v>411</v>
      </c>
      <c r="X608" t="s">
        <v>280</v>
      </c>
      <c r="AB608">
        <v>7.5421111640237299</v>
      </c>
      <c r="AC608" t="s">
        <v>210</v>
      </c>
      <c r="AE608" t="s">
        <v>63</v>
      </c>
      <c r="AH608">
        <v>7.5226726462107099</v>
      </c>
      <c r="AI608">
        <v>4</v>
      </c>
      <c r="AJ608" t="s">
        <v>201</v>
      </c>
      <c r="AV608" t="s">
        <v>412</v>
      </c>
      <c r="BA608">
        <v>7.5226726462107107</v>
      </c>
    </row>
    <row r="609" spans="1:53" hidden="1" x14ac:dyDescent="0.3">
      <c r="A609" t="s">
        <v>408</v>
      </c>
      <c r="C609" t="s">
        <v>251</v>
      </c>
      <c r="D609" t="s">
        <v>81</v>
      </c>
      <c r="E609">
        <v>10000000</v>
      </c>
      <c r="H609">
        <v>25</v>
      </c>
      <c r="I609" t="s">
        <v>409</v>
      </c>
      <c r="O609">
        <v>1</v>
      </c>
      <c r="P609" t="s">
        <v>277</v>
      </c>
      <c r="S609">
        <v>0.5</v>
      </c>
      <c r="T609">
        <v>20</v>
      </c>
      <c r="U609" t="s">
        <v>410</v>
      </c>
      <c r="V609">
        <v>70</v>
      </c>
      <c r="W609" t="s">
        <v>411</v>
      </c>
      <c r="X609" t="s">
        <v>280</v>
      </c>
      <c r="Y609">
        <v>58.850112678908097</v>
      </c>
      <c r="AB609">
        <v>7.5583436762946699</v>
      </c>
      <c r="AC609" t="s">
        <v>210</v>
      </c>
      <c r="AE609" t="s">
        <v>63</v>
      </c>
      <c r="AH609">
        <v>7.4028017863637698</v>
      </c>
      <c r="AI609">
        <v>4</v>
      </c>
      <c r="AJ609" t="s">
        <v>201</v>
      </c>
      <c r="AV609" t="s">
        <v>412</v>
      </c>
      <c r="BA609">
        <v>7.4028017863637698</v>
      </c>
    </row>
    <row r="610" spans="1:53" hidden="1" x14ac:dyDescent="0.3">
      <c r="A610" t="s">
        <v>408</v>
      </c>
      <c r="C610" t="s">
        <v>251</v>
      </c>
      <c r="D610" t="s">
        <v>81</v>
      </c>
      <c r="E610">
        <v>10000000</v>
      </c>
      <c r="H610">
        <v>25</v>
      </c>
      <c r="I610" t="s">
        <v>409</v>
      </c>
      <c r="O610">
        <v>1</v>
      </c>
      <c r="P610" t="s">
        <v>277</v>
      </c>
      <c r="S610">
        <v>0.5</v>
      </c>
      <c r="T610">
        <v>20</v>
      </c>
      <c r="U610" t="s">
        <v>410</v>
      </c>
      <c r="V610">
        <v>70</v>
      </c>
      <c r="W610" t="s">
        <v>411</v>
      </c>
      <c r="X610" t="s">
        <v>280</v>
      </c>
      <c r="Y610">
        <v>120.112491422529</v>
      </c>
      <c r="AB610">
        <v>7.3800897681551598</v>
      </c>
      <c r="AC610" t="s">
        <v>210</v>
      </c>
      <c r="AE610" t="s">
        <v>63</v>
      </c>
      <c r="AH610">
        <v>7.4384390690209701</v>
      </c>
      <c r="AI610">
        <v>4</v>
      </c>
      <c r="AJ610" t="s">
        <v>201</v>
      </c>
      <c r="AV610" t="s">
        <v>412</v>
      </c>
      <c r="BA610">
        <v>7.4384390690209692</v>
      </c>
    </row>
    <row r="611" spans="1:53" hidden="1" x14ac:dyDescent="0.3">
      <c r="A611" t="s">
        <v>408</v>
      </c>
      <c r="C611" t="s">
        <v>251</v>
      </c>
      <c r="D611" t="s">
        <v>81</v>
      </c>
      <c r="E611">
        <v>10000000</v>
      </c>
      <c r="H611">
        <v>25</v>
      </c>
      <c r="I611" t="s">
        <v>409</v>
      </c>
      <c r="O611">
        <v>1</v>
      </c>
      <c r="P611" t="s">
        <v>277</v>
      </c>
      <c r="S611">
        <v>0.5</v>
      </c>
      <c r="T611">
        <v>20</v>
      </c>
      <c r="U611" t="s">
        <v>410</v>
      </c>
      <c r="V611">
        <v>70</v>
      </c>
      <c r="W611" t="s">
        <v>411</v>
      </c>
      <c r="X611" t="s">
        <v>280</v>
      </c>
      <c r="Y611">
        <v>238.900733819046</v>
      </c>
      <c r="AB611">
        <v>6.8293992583065402</v>
      </c>
      <c r="AC611" t="s">
        <v>210</v>
      </c>
      <c r="AE611" t="s">
        <v>63</v>
      </c>
      <c r="AH611">
        <v>7.49030886394912</v>
      </c>
      <c r="AI611">
        <v>4</v>
      </c>
      <c r="AJ611" t="s">
        <v>201</v>
      </c>
      <c r="AV611" t="s">
        <v>412</v>
      </c>
      <c r="BA611">
        <v>7.49030886394912</v>
      </c>
    </row>
    <row r="612" spans="1:53" hidden="1" x14ac:dyDescent="0.3">
      <c r="A612" t="s">
        <v>408</v>
      </c>
      <c r="C612" t="s">
        <v>251</v>
      </c>
      <c r="D612" t="s">
        <v>81</v>
      </c>
      <c r="E612">
        <v>10000000</v>
      </c>
      <c r="H612">
        <v>25</v>
      </c>
      <c r="I612" t="s">
        <v>409</v>
      </c>
      <c r="O612">
        <v>1</v>
      </c>
      <c r="P612" t="s">
        <v>277</v>
      </c>
      <c r="S612">
        <v>0.5</v>
      </c>
      <c r="T612">
        <v>20</v>
      </c>
      <c r="U612" t="s">
        <v>410</v>
      </c>
      <c r="V612">
        <v>70</v>
      </c>
      <c r="W612" t="s">
        <v>411</v>
      </c>
      <c r="X612" t="s">
        <v>280</v>
      </c>
      <c r="Y612">
        <v>361.43764037992003</v>
      </c>
      <c r="AB612">
        <v>6.29794478171039</v>
      </c>
      <c r="AC612" t="s">
        <v>210</v>
      </c>
      <c r="AE612" t="s">
        <v>63</v>
      </c>
      <c r="AH612">
        <v>7.1921503485359102</v>
      </c>
      <c r="AI612">
        <v>4</v>
      </c>
      <c r="AJ612" t="s">
        <v>201</v>
      </c>
      <c r="AV612" t="s">
        <v>412</v>
      </c>
      <c r="BA612">
        <v>7.1921503485359102</v>
      </c>
    </row>
    <row r="613" spans="1:53" hidden="1" x14ac:dyDescent="0.3">
      <c r="A613" t="s">
        <v>408</v>
      </c>
      <c r="C613" t="s">
        <v>251</v>
      </c>
      <c r="D613" t="s">
        <v>81</v>
      </c>
      <c r="E613">
        <v>10000000</v>
      </c>
      <c r="H613">
        <v>25</v>
      </c>
      <c r="I613" t="s">
        <v>409</v>
      </c>
      <c r="O613">
        <v>5</v>
      </c>
      <c r="P613" t="s">
        <v>277</v>
      </c>
      <c r="S613">
        <v>0.5</v>
      </c>
      <c r="T613">
        <v>20</v>
      </c>
      <c r="U613" t="s">
        <v>410</v>
      </c>
      <c r="V613">
        <v>70</v>
      </c>
      <c r="W613" t="s">
        <v>411</v>
      </c>
      <c r="X613" t="s">
        <v>280</v>
      </c>
      <c r="Y613">
        <v>0</v>
      </c>
      <c r="AB613">
        <v>7.2729211087419898</v>
      </c>
      <c r="AC613" t="s">
        <v>210</v>
      </c>
      <c r="AE613" t="s">
        <v>63</v>
      </c>
      <c r="AH613">
        <v>7.5223880597014903</v>
      </c>
      <c r="AI613">
        <v>4</v>
      </c>
      <c r="AJ613" t="s">
        <v>201</v>
      </c>
      <c r="AV613" t="s">
        <v>412</v>
      </c>
      <c r="BA613">
        <v>7.5223880597014894</v>
      </c>
    </row>
    <row r="614" spans="1:53" hidden="1" x14ac:dyDescent="0.3">
      <c r="A614" t="s">
        <v>408</v>
      </c>
      <c r="C614" t="s">
        <v>251</v>
      </c>
      <c r="D614" t="s">
        <v>81</v>
      </c>
      <c r="E614">
        <v>10000000</v>
      </c>
      <c r="H614">
        <v>25</v>
      </c>
      <c r="I614" t="s">
        <v>409</v>
      </c>
      <c r="O614">
        <v>5</v>
      </c>
      <c r="P614" t="s">
        <v>277</v>
      </c>
      <c r="S614">
        <v>0.5</v>
      </c>
      <c r="T614">
        <v>20</v>
      </c>
      <c r="U614" t="s">
        <v>410</v>
      </c>
      <c r="V614">
        <v>70</v>
      </c>
      <c r="W614" t="s">
        <v>411</v>
      </c>
      <c r="X614" t="s">
        <v>280</v>
      </c>
      <c r="Y614">
        <v>60</v>
      </c>
      <c r="AB614">
        <v>7.2345415778251603</v>
      </c>
      <c r="AC614" t="s">
        <v>210</v>
      </c>
      <c r="AE614" t="s">
        <v>63</v>
      </c>
      <c r="AH614">
        <v>7.4456289978678001</v>
      </c>
      <c r="AI614">
        <v>4</v>
      </c>
      <c r="AJ614" t="s">
        <v>201</v>
      </c>
      <c r="AV614" t="s">
        <v>412</v>
      </c>
      <c r="BA614">
        <v>7.4456289978678001</v>
      </c>
    </row>
    <row r="615" spans="1:53" hidden="1" x14ac:dyDescent="0.3">
      <c r="A615" t="s">
        <v>408</v>
      </c>
      <c r="C615" t="s">
        <v>251</v>
      </c>
      <c r="D615" t="s">
        <v>81</v>
      </c>
      <c r="E615">
        <v>10000000</v>
      </c>
      <c r="H615">
        <v>25</v>
      </c>
      <c r="I615" t="s">
        <v>409</v>
      </c>
      <c r="O615">
        <v>5</v>
      </c>
      <c r="P615" t="s">
        <v>277</v>
      </c>
      <c r="S615">
        <v>0.5</v>
      </c>
      <c r="T615">
        <v>20</v>
      </c>
      <c r="U615" t="s">
        <v>410</v>
      </c>
      <c r="V615">
        <v>70</v>
      </c>
      <c r="W615" t="s">
        <v>411</v>
      </c>
      <c r="X615" t="s">
        <v>280</v>
      </c>
      <c r="Y615">
        <v>120</v>
      </c>
      <c r="AB615">
        <v>6.7547974413645901</v>
      </c>
      <c r="AC615" t="s">
        <v>210</v>
      </c>
      <c r="AE615" t="s">
        <v>63</v>
      </c>
      <c r="AH615">
        <v>7.42643923240938</v>
      </c>
      <c r="AI615">
        <v>4</v>
      </c>
      <c r="AJ615" t="s">
        <v>201</v>
      </c>
      <c r="AV615" t="s">
        <v>412</v>
      </c>
      <c r="BA615">
        <v>7.42643923240938</v>
      </c>
    </row>
    <row r="616" spans="1:53" hidden="1" x14ac:dyDescent="0.3">
      <c r="A616" t="s">
        <v>408</v>
      </c>
      <c r="C616" t="s">
        <v>251</v>
      </c>
      <c r="D616" t="s">
        <v>81</v>
      </c>
      <c r="E616">
        <v>10000000</v>
      </c>
      <c r="H616">
        <v>25</v>
      </c>
      <c r="I616" t="s">
        <v>409</v>
      </c>
      <c r="O616">
        <v>5</v>
      </c>
      <c r="P616" t="s">
        <v>277</v>
      </c>
      <c r="S616">
        <v>0.5</v>
      </c>
      <c r="T616">
        <v>20</v>
      </c>
      <c r="U616" t="s">
        <v>410</v>
      </c>
      <c r="V616">
        <v>70</v>
      </c>
      <c r="W616" t="s">
        <v>411</v>
      </c>
      <c r="X616" t="s">
        <v>280</v>
      </c>
      <c r="Y616">
        <v>239.333333333333</v>
      </c>
      <c r="AB616">
        <v>6.5053304904051101</v>
      </c>
      <c r="AC616" t="s">
        <v>210</v>
      </c>
      <c r="AE616" t="s">
        <v>63</v>
      </c>
      <c r="AH616">
        <v>7.5223880597014903</v>
      </c>
      <c r="AI616">
        <v>4</v>
      </c>
      <c r="AJ616" t="s">
        <v>201</v>
      </c>
      <c r="AV616" t="s">
        <v>412</v>
      </c>
      <c r="BA616">
        <v>7.5223880597014894</v>
      </c>
    </row>
    <row r="617" spans="1:53" hidden="1" x14ac:dyDescent="0.3">
      <c r="A617" t="s">
        <v>408</v>
      </c>
      <c r="C617" t="s">
        <v>251</v>
      </c>
      <c r="D617" t="s">
        <v>81</v>
      </c>
      <c r="E617">
        <v>45000000</v>
      </c>
      <c r="H617">
        <v>25</v>
      </c>
      <c r="I617" t="s">
        <v>409</v>
      </c>
      <c r="O617">
        <v>5</v>
      </c>
      <c r="P617" t="s">
        <v>277</v>
      </c>
      <c r="S617">
        <v>0.5</v>
      </c>
      <c r="T617">
        <v>20</v>
      </c>
      <c r="U617" t="s">
        <v>410</v>
      </c>
      <c r="V617">
        <v>70</v>
      </c>
      <c r="W617" t="s">
        <v>411</v>
      </c>
      <c r="X617" t="s">
        <v>280</v>
      </c>
      <c r="Y617">
        <v>358.666666666666</v>
      </c>
      <c r="AB617">
        <v>5.8336886993603301</v>
      </c>
      <c r="AC617" t="s">
        <v>210</v>
      </c>
      <c r="AE617" t="s">
        <v>63</v>
      </c>
      <c r="AH617">
        <v>7.2153518123667304</v>
      </c>
      <c r="AI617">
        <v>4</v>
      </c>
      <c r="AJ617" t="s">
        <v>201</v>
      </c>
      <c r="AV617" t="s">
        <v>412</v>
      </c>
      <c r="BA617">
        <v>7.2153518123667304</v>
      </c>
    </row>
    <row r="618" spans="1:53" hidden="1" x14ac:dyDescent="0.3">
      <c r="A618" t="s">
        <v>408</v>
      </c>
      <c r="C618" t="s">
        <v>251</v>
      </c>
      <c r="D618" t="s">
        <v>81</v>
      </c>
      <c r="E618">
        <v>45000000</v>
      </c>
      <c r="H618">
        <v>25</v>
      </c>
      <c r="I618" t="s">
        <v>409</v>
      </c>
      <c r="O618">
        <v>7</v>
      </c>
      <c r="P618" t="s">
        <v>277</v>
      </c>
      <c r="S618">
        <v>0.5</v>
      </c>
      <c r="T618">
        <v>20</v>
      </c>
      <c r="U618" t="s">
        <v>410</v>
      </c>
      <c r="V618">
        <v>70</v>
      </c>
      <c r="W618" t="s">
        <v>411</v>
      </c>
      <c r="X618" t="s">
        <v>280</v>
      </c>
      <c r="AB618">
        <v>7.50943396226414</v>
      </c>
      <c r="AC618" t="s">
        <v>210</v>
      </c>
      <c r="AE618" t="s">
        <v>63</v>
      </c>
      <c r="AH618">
        <v>7.52830188679245</v>
      </c>
      <c r="AI618">
        <v>4</v>
      </c>
      <c r="AJ618" t="s">
        <v>201</v>
      </c>
      <c r="AV618" t="s">
        <v>412</v>
      </c>
      <c r="BA618">
        <v>7.52830188679245</v>
      </c>
    </row>
    <row r="619" spans="1:53" hidden="1" x14ac:dyDescent="0.3">
      <c r="A619" t="s">
        <v>408</v>
      </c>
      <c r="C619" t="s">
        <v>251</v>
      </c>
      <c r="D619" t="s">
        <v>81</v>
      </c>
      <c r="E619">
        <v>45000000</v>
      </c>
      <c r="H619">
        <v>25</v>
      </c>
      <c r="I619" t="s">
        <v>409</v>
      </c>
      <c r="O619">
        <v>7</v>
      </c>
      <c r="P619" t="s">
        <v>277</v>
      </c>
      <c r="S619">
        <v>0.5</v>
      </c>
      <c r="T619">
        <v>20</v>
      </c>
      <c r="U619" t="s">
        <v>410</v>
      </c>
      <c r="V619">
        <v>70</v>
      </c>
      <c r="W619" t="s">
        <v>411</v>
      </c>
      <c r="X619" t="s">
        <v>280</v>
      </c>
      <c r="Y619">
        <v>59.586206896551701</v>
      </c>
      <c r="AB619">
        <v>6.88679245283019</v>
      </c>
      <c r="AC619" t="s">
        <v>210</v>
      </c>
      <c r="AE619" t="s">
        <v>63</v>
      </c>
      <c r="AH619">
        <v>7.4150943396226401</v>
      </c>
      <c r="AI619">
        <v>4</v>
      </c>
      <c r="AJ619" t="s">
        <v>201</v>
      </c>
      <c r="AV619" t="s">
        <v>412</v>
      </c>
      <c r="BA619">
        <v>7.4150943396226401</v>
      </c>
    </row>
    <row r="620" spans="1:53" hidden="1" x14ac:dyDescent="0.3">
      <c r="A620" t="s">
        <v>408</v>
      </c>
      <c r="C620" t="s">
        <v>251</v>
      </c>
      <c r="D620" t="s">
        <v>81</v>
      </c>
      <c r="E620">
        <v>45000000</v>
      </c>
      <c r="H620">
        <v>25</v>
      </c>
      <c r="I620" t="s">
        <v>409</v>
      </c>
      <c r="O620">
        <v>7</v>
      </c>
      <c r="P620" t="s">
        <v>277</v>
      </c>
      <c r="S620">
        <v>0.5</v>
      </c>
      <c r="T620">
        <v>20</v>
      </c>
      <c r="U620" t="s">
        <v>410</v>
      </c>
      <c r="V620">
        <v>70</v>
      </c>
      <c r="W620" t="s">
        <v>411</v>
      </c>
      <c r="X620" t="s">
        <v>280</v>
      </c>
      <c r="Y620">
        <v>119.79310344827501</v>
      </c>
      <c r="AB620">
        <v>6.6037735849056602</v>
      </c>
      <c r="AC620" t="s">
        <v>210</v>
      </c>
      <c r="AE620" t="s">
        <v>63</v>
      </c>
      <c r="AH620">
        <v>7.4150943396226401</v>
      </c>
      <c r="AI620">
        <v>4</v>
      </c>
      <c r="AJ620" t="s">
        <v>201</v>
      </c>
      <c r="AV620" t="s">
        <v>412</v>
      </c>
      <c r="BA620">
        <v>7.4150943396226401</v>
      </c>
    </row>
    <row r="621" spans="1:53" hidden="1" x14ac:dyDescent="0.3">
      <c r="A621" t="s">
        <v>408</v>
      </c>
      <c r="C621" t="s">
        <v>251</v>
      </c>
      <c r="D621" t="s">
        <v>81</v>
      </c>
      <c r="E621">
        <v>45000000</v>
      </c>
      <c r="H621">
        <v>25</v>
      </c>
      <c r="I621" t="s">
        <v>409</v>
      </c>
      <c r="O621">
        <v>7</v>
      </c>
      <c r="P621" t="s">
        <v>277</v>
      </c>
      <c r="S621">
        <v>0.5</v>
      </c>
      <c r="T621">
        <v>20</v>
      </c>
      <c r="U621" t="s">
        <v>410</v>
      </c>
      <c r="V621">
        <v>70</v>
      </c>
      <c r="W621" t="s">
        <v>411</v>
      </c>
      <c r="X621" t="s">
        <v>280</v>
      </c>
      <c r="Y621">
        <v>240.20689655172299</v>
      </c>
      <c r="AB621">
        <v>6.3584905660377302</v>
      </c>
      <c r="AC621" t="s">
        <v>210</v>
      </c>
      <c r="AE621" t="s">
        <v>63</v>
      </c>
      <c r="AH621">
        <v>7.4905660377358503</v>
      </c>
      <c r="AI621">
        <v>4</v>
      </c>
      <c r="AJ621" t="s">
        <v>201</v>
      </c>
      <c r="AV621" t="s">
        <v>412</v>
      </c>
      <c r="BA621">
        <v>7.4905660377358494</v>
      </c>
    </row>
    <row r="622" spans="1:53" hidden="1" x14ac:dyDescent="0.3">
      <c r="A622" t="s">
        <v>408</v>
      </c>
      <c r="C622" t="s">
        <v>251</v>
      </c>
      <c r="D622" t="s">
        <v>81</v>
      </c>
      <c r="E622">
        <v>45000000</v>
      </c>
      <c r="H622">
        <v>25</v>
      </c>
      <c r="I622" t="s">
        <v>409</v>
      </c>
      <c r="O622">
        <v>7</v>
      </c>
      <c r="P622" t="s">
        <v>277</v>
      </c>
      <c r="S622">
        <v>0.5</v>
      </c>
      <c r="T622">
        <v>20</v>
      </c>
      <c r="U622" t="s">
        <v>410</v>
      </c>
      <c r="V622">
        <v>70</v>
      </c>
      <c r="W622" t="s">
        <v>411</v>
      </c>
      <c r="X622" t="s">
        <v>280</v>
      </c>
      <c r="Y622">
        <v>360.62068965517102</v>
      </c>
      <c r="AB622">
        <v>5.67924528301885</v>
      </c>
      <c r="AC622" t="s">
        <v>210</v>
      </c>
      <c r="AE622" t="s">
        <v>63</v>
      </c>
      <c r="AH622">
        <v>7.2264150943396102</v>
      </c>
      <c r="AI622">
        <v>4</v>
      </c>
      <c r="AJ622" t="s">
        <v>201</v>
      </c>
      <c r="AV622" t="s">
        <v>412</v>
      </c>
      <c r="BA622">
        <v>7.2264150943396093</v>
      </c>
    </row>
    <row r="623" spans="1:53" hidden="1" x14ac:dyDescent="0.3">
      <c r="A623" t="s">
        <v>408</v>
      </c>
      <c r="C623" t="s">
        <v>251</v>
      </c>
      <c r="D623" t="s">
        <v>81</v>
      </c>
      <c r="E623">
        <v>10000</v>
      </c>
      <c r="H623">
        <v>25</v>
      </c>
      <c r="I623" t="s">
        <v>409</v>
      </c>
      <c r="O623">
        <v>9</v>
      </c>
      <c r="P623" t="s">
        <v>277</v>
      </c>
      <c r="S623">
        <v>0.5</v>
      </c>
      <c r="T623">
        <v>20</v>
      </c>
      <c r="U623" t="s">
        <v>410</v>
      </c>
      <c r="V623">
        <v>70</v>
      </c>
      <c r="W623" t="s">
        <v>411</v>
      </c>
      <c r="X623" t="s">
        <v>280</v>
      </c>
      <c r="Y623">
        <v>2.3499839852943101</v>
      </c>
      <c r="AB623">
        <v>7.3868769931345604</v>
      </c>
      <c r="AC623" t="s">
        <v>210</v>
      </c>
      <c r="AE623" t="s">
        <v>63</v>
      </c>
      <c r="AH623">
        <v>7.5702384102271303</v>
      </c>
      <c r="AI623">
        <v>4</v>
      </c>
      <c r="AJ623" t="s">
        <v>201</v>
      </c>
      <c r="AV623" t="s">
        <v>412</v>
      </c>
      <c r="BA623">
        <v>7.5702384102271294</v>
      </c>
    </row>
    <row r="624" spans="1:53" hidden="1" x14ac:dyDescent="0.3">
      <c r="A624" t="s">
        <v>408</v>
      </c>
      <c r="C624" t="s">
        <v>251</v>
      </c>
      <c r="D624" t="s">
        <v>81</v>
      </c>
      <c r="E624">
        <v>10000</v>
      </c>
      <c r="H624">
        <v>25</v>
      </c>
      <c r="I624" t="s">
        <v>409</v>
      </c>
      <c r="O624">
        <v>9</v>
      </c>
      <c r="P624" t="s">
        <v>277</v>
      </c>
      <c r="S624">
        <v>0.5</v>
      </c>
      <c r="T624">
        <v>20</v>
      </c>
      <c r="U624" t="s">
        <v>410</v>
      </c>
      <c r="V624">
        <v>70</v>
      </c>
      <c r="W624" t="s">
        <v>411</v>
      </c>
      <c r="X624" t="s">
        <v>280</v>
      </c>
      <c r="Y624">
        <v>59.522901029118799</v>
      </c>
      <c r="AB624">
        <v>6.54078875906918</v>
      </c>
      <c r="AC624" t="s">
        <v>210</v>
      </c>
      <c r="AE624" t="s">
        <v>63</v>
      </c>
      <c r="AH624">
        <v>7.4204974306841702</v>
      </c>
      <c r="AI624">
        <v>4</v>
      </c>
      <c r="AJ624" t="s">
        <v>201</v>
      </c>
      <c r="AV624" t="s">
        <v>412</v>
      </c>
      <c r="BA624">
        <v>7.4204974306841693</v>
      </c>
    </row>
    <row r="625" spans="1:53" hidden="1" x14ac:dyDescent="0.3">
      <c r="A625" t="s">
        <v>408</v>
      </c>
      <c r="C625" t="s">
        <v>251</v>
      </c>
      <c r="D625" t="s">
        <v>81</v>
      </c>
      <c r="E625">
        <v>10000</v>
      </c>
      <c r="H625">
        <v>25</v>
      </c>
      <c r="I625" t="s">
        <v>409</v>
      </c>
      <c r="O625">
        <v>9</v>
      </c>
      <c r="P625" t="s">
        <v>277</v>
      </c>
      <c r="S625">
        <v>0.5</v>
      </c>
      <c r="T625">
        <v>20</v>
      </c>
      <c r="U625" t="s">
        <v>410</v>
      </c>
      <c r="V625">
        <v>70</v>
      </c>
      <c r="W625" t="s">
        <v>411</v>
      </c>
      <c r="X625" t="s">
        <v>280</v>
      </c>
      <c r="Y625">
        <v>120.429472628779</v>
      </c>
      <c r="AB625">
        <v>6.2993984040997502</v>
      </c>
      <c r="AC625" t="s">
        <v>210</v>
      </c>
      <c r="AE625" t="s">
        <v>63</v>
      </c>
      <c r="AH625">
        <v>7.43594465874751</v>
      </c>
      <c r="AI625">
        <v>4</v>
      </c>
      <c r="AJ625" t="s">
        <v>201</v>
      </c>
      <c r="AV625" t="s">
        <v>412</v>
      </c>
      <c r="BA625">
        <v>7.43594465874751</v>
      </c>
    </row>
    <row r="626" spans="1:53" hidden="1" x14ac:dyDescent="0.3">
      <c r="A626" t="s">
        <v>408</v>
      </c>
      <c r="C626" t="s">
        <v>251</v>
      </c>
      <c r="D626" t="s">
        <v>81</v>
      </c>
      <c r="E626">
        <v>10000</v>
      </c>
      <c r="H626">
        <v>25</v>
      </c>
      <c r="I626" t="s">
        <v>409</v>
      </c>
      <c r="O626">
        <v>9</v>
      </c>
      <c r="P626" t="s">
        <v>277</v>
      </c>
      <c r="S626">
        <v>0.5</v>
      </c>
      <c r="T626">
        <v>20</v>
      </c>
      <c r="U626" t="s">
        <v>410</v>
      </c>
      <c r="V626">
        <v>70</v>
      </c>
      <c r="W626" t="s">
        <v>411</v>
      </c>
      <c r="X626" t="s">
        <v>280</v>
      </c>
      <c r="Y626">
        <v>241.629740004734</v>
      </c>
      <c r="AB626">
        <v>5.8533087774512902</v>
      </c>
      <c r="AC626" t="s">
        <v>210</v>
      </c>
      <c r="AE626" t="s">
        <v>63</v>
      </c>
      <c r="AH626">
        <v>7.4846676600426001</v>
      </c>
      <c r="AI626">
        <v>4</v>
      </c>
      <c r="AJ626" t="s">
        <v>201</v>
      </c>
      <c r="AV626" t="s">
        <v>412</v>
      </c>
      <c r="BA626">
        <v>7.4846676600426001</v>
      </c>
    </row>
    <row r="627" spans="1:53" hidden="1" x14ac:dyDescent="0.3">
      <c r="A627" t="s">
        <v>408</v>
      </c>
      <c r="C627" t="s">
        <v>251</v>
      </c>
      <c r="D627" t="s">
        <v>81</v>
      </c>
      <c r="E627">
        <v>10000</v>
      </c>
      <c r="H627">
        <v>25</v>
      </c>
      <c r="I627" t="s">
        <v>409</v>
      </c>
      <c r="O627">
        <v>9</v>
      </c>
      <c r="P627" t="s">
        <v>277</v>
      </c>
      <c r="S627">
        <v>0.5</v>
      </c>
      <c r="T627">
        <v>20</v>
      </c>
      <c r="U627" t="s">
        <v>410</v>
      </c>
      <c r="V627">
        <v>70</v>
      </c>
      <c r="W627" t="s">
        <v>411</v>
      </c>
      <c r="X627" t="s">
        <v>280</v>
      </c>
      <c r="Y627">
        <v>361.00265983372401</v>
      </c>
      <c r="AB627">
        <v>5.68226127644167</v>
      </c>
      <c r="AC627" t="s">
        <v>210</v>
      </c>
      <c r="AE627" t="s">
        <v>63</v>
      </c>
      <c r="AH627">
        <v>7.1854050327953303</v>
      </c>
      <c r="AI627">
        <v>4</v>
      </c>
      <c r="AJ627" t="s">
        <v>201</v>
      </c>
      <c r="AV627" t="s">
        <v>412</v>
      </c>
      <c r="BA627">
        <v>7.1854050327953303</v>
      </c>
    </row>
    <row r="628" spans="1:53" hidden="1" x14ac:dyDescent="0.3">
      <c r="A628" t="s">
        <v>413</v>
      </c>
      <c r="C628" t="s">
        <v>251</v>
      </c>
      <c r="D628" t="s">
        <v>81</v>
      </c>
      <c r="E628">
        <v>10000</v>
      </c>
      <c r="H628">
        <v>1.33</v>
      </c>
      <c r="I628" t="s">
        <v>56</v>
      </c>
      <c r="J628">
        <v>1.3300000000000001E-4</v>
      </c>
      <c r="K628" t="s">
        <v>57</v>
      </c>
      <c r="N628" t="s">
        <v>314</v>
      </c>
      <c r="O628">
        <v>90</v>
      </c>
      <c r="P628" t="s">
        <v>277</v>
      </c>
      <c r="T628">
        <v>25</v>
      </c>
      <c r="V628">
        <v>50</v>
      </c>
      <c r="W628" t="s">
        <v>414</v>
      </c>
      <c r="X628" t="s">
        <v>280</v>
      </c>
      <c r="Y628">
        <v>89.389067524115703</v>
      </c>
      <c r="AB628">
        <v>0.48035214923986402</v>
      </c>
      <c r="AC628" t="s">
        <v>85</v>
      </c>
      <c r="AI628">
        <v>2</v>
      </c>
      <c r="AV628" t="s">
        <v>88</v>
      </c>
      <c r="AY628">
        <v>90</v>
      </c>
    </row>
    <row r="629" spans="1:53" hidden="1" x14ac:dyDescent="0.3">
      <c r="A629" t="s">
        <v>413</v>
      </c>
      <c r="C629" t="s">
        <v>251</v>
      </c>
      <c r="D629" t="s">
        <v>81</v>
      </c>
      <c r="E629">
        <v>1000000</v>
      </c>
      <c r="H629">
        <v>1.33</v>
      </c>
      <c r="I629" t="s">
        <v>56</v>
      </c>
      <c r="J629">
        <v>1.3300000000000001E-4</v>
      </c>
      <c r="K629" t="s">
        <v>57</v>
      </c>
      <c r="N629" t="s">
        <v>314</v>
      </c>
      <c r="O629">
        <v>90</v>
      </c>
      <c r="P629" t="s">
        <v>277</v>
      </c>
      <c r="T629">
        <v>25</v>
      </c>
      <c r="V629">
        <v>50</v>
      </c>
      <c r="W629" t="s">
        <v>414</v>
      </c>
      <c r="X629" t="s">
        <v>280</v>
      </c>
      <c r="Y629">
        <v>270.09646302250701</v>
      </c>
      <c r="AB629">
        <v>3.4836450087900501</v>
      </c>
      <c r="AC629" t="s">
        <v>85</v>
      </c>
      <c r="AI629">
        <v>2</v>
      </c>
      <c r="AV629" t="s">
        <v>88</v>
      </c>
      <c r="AY629">
        <v>90</v>
      </c>
    </row>
    <row r="630" spans="1:53" hidden="1" x14ac:dyDescent="0.3">
      <c r="A630" t="s">
        <v>413</v>
      </c>
      <c r="C630" t="s">
        <v>251</v>
      </c>
      <c r="D630" t="s">
        <v>81</v>
      </c>
      <c r="E630">
        <v>1000000</v>
      </c>
      <c r="H630">
        <v>1.33</v>
      </c>
      <c r="I630" t="s">
        <v>56</v>
      </c>
      <c r="J630">
        <v>1.3300000000000001E-4</v>
      </c>
      <c r="K630" t="s">
        <v>57</v>
      </c>
      <c r="N630" t="s">
        <v>314</v>
      </c>
      <c r="O630">
        <v>90</v>
      </c>
      <c r="P630" t="s">
        <v>277</v>
      </c>
      <c r="T630">
        <v>25</v>
      </c>
      <c r="V630">
        <v>50</v>
      </c>
      <c r="W630" t="s">
        <v>414</v>
      </c>
      <c r="X630" t="s">
        <v>280</v>
      </c>
      <c r="Y630">
        <v>360.12861736334401</v>
      </c>
      <c r="AB630">
        <v>6.0461820136086502</v>
      </c>
      <c r="AC630" t="s">
        <v>85</v>
      </c>
      <c r="AI630">
        <v>2</v>
      </c>
      <c r="AV630" t="s">
        <v>88</v>
      </c>
      <c r="AY630">
        <v>90</v>
      </c>
    </row>
    <row r="631" spans="1:53" hidden="1" x14ac:dyDescent="0.3">
      <c r="A631" t="s">
        <v>413</v>
      </c>
      <c r="C631" t="s">
        <v>251</v>
      </c>
      <c r="D631" t="s">
        <v>81</v>
      </c>
      <c r="E631">
        <v>1000000</v>
      </c>
      <c r="H631">
        <v>1.33</v>
      </c>
      <c r="I631" t="s">
        <v>56</v>
      </c>
      <c r="J631">
        <v>1.3300000000000001E-4</v>
      </c>
      <c r="K631" t="s">
        <v>57</v>
      </c>
      <c r="N631" t="s">
        <v>314</v>
      </c>
      <c r="O631">
        <v>90</v>
      </c>
      <c r="P631" t="s">
        <v>277</v>
      </c>
      <c r="T631">
        <v>25</v>
      </c>
      <c r="V631">
        <v>50</v>
      </c>
      <c r="W631" t="s">
        <v>414</v>
      </c>
      <c r="X631" t="s">
        <v>280</v>
      </c>
      <c r="Y631">
        <v>180.707395498392</v>
      </c>
      <c r="AB631">
        <v>0.88147982838872896</v>
      </c>
      <c r="AC631" t="s">
        <v>85</v>
      </c>
      <c r="AI631">
        <v>2</v>
      </c>
      <c r="AV631" t="s">
        <v>88</v>
      </c>
      <c r="AY631">
        <v>90</v>
      </c>
    </row>
    <row r="632" spans="1:53" hidden="1" x14ac:dyDescent="0.3">
      <c r="A632" t="s">
        <v>413</v>
      </c>
      <c r="C632" t="s">
        <v>251</v>
      </c>
      <c r="D632" t="s">
        <v>81</v>
      </c>
      <c r="E632">
        <v>1000000</v>
      </c>
      <c r="H632">
        <v>1.33</v>
      </c>
      <c r="I632" t="s">
        <v>56</v>
      </c>
      <c r="J632">
        <v>1.3300000000000001E-4</v>
      </c>
      <c r="K632" t="s">
        <v>57</v>
      </c>
      <c r="N632" t="s">
        <v>314</v>
      </c>
      <c r="O632">
        <v>75</v>
      </c>
      <c r="P632" t="s">
        <v>277</v>
      </c>
      <c r="T632">
        <v>25</v>
      </c>
      <c r="V632">
        <v>50</v>
      </c>
      <c r="W632" t="s">
        <v>414</v>
      </c>
      <c r="X632" t="s">
        <v>280</v>
      </c>
      <c r="Y632">
        <v>89.389067524115703</v>
      </c>
      <c r="AB632">
        <v>0.12341163932485</v>
      </c>
      <c r="AC632" t="s">
        <v>85</v>
      </c>
      <c r="AI632">
        <v>2</v>
      </c>
      <c r="AV632" t="s">
        <v>88</v>
      </c>
      <c r="AY632">
        <v>75</v>
      </c>
    </row>
    <row r="633" spans="1:53" hidden="1" x14ac:dyDescent="0.3">
      <c r="A633" t="s">
        <v>413</v>
      </c>
      <c r="C633" t="s">
        <v>251</v>
      </c>
      <c r="D633" t="s">
        <v>81</v>
      </c>
      <c r="E633">
        <v>1000000</v>
      </c>
      <c r="H633">
        <v>1.33</v>
      </c>
      <c r="I633" t="s">
        <v>56</v>
      </c>
      <c r="J633">
        <v>1.3300000000000001E-4</v>
      </c>
      <c r="K633" t="s">
        <v>57</v>
      </c>
      <c r="N633" t="s">
        <v>314</v>
      </c>
      <c r="O633">
        <v>75</v>
      </c>
      <c r="P633" t="s">
        <v>277</v>
      </c>
      <c r="T633">
        <v>25</v>
      </c>
      <c r="V633">
        <v>50</v>
      </c>
      <c r="W633" t="s">
        <v>414</v>
      </c>
      <c r="X633" t="s">
        <v>280</v>
      </c>
      <c r="Y633">
        <v>180.707395498392</v>
      </c>
      <c r="AB633">
        <v>0.50470929014510402</v>
      </c>
      <c r="AC633" t="s">
        <v>85</v>
      </c>
      <c r="AI633">
        <v>2</v>
      </c>
      <c r="AV633" t="s">
        <v>88</v>
      </c>
      <c r="AY633">
        <v>75</v>
      </c>
    </row>
    <row r="634" spans="1:53" hidden="1" x14ac:dyDescent="0.3">
      <c r="A634" t="s">
        <v>413</v>
      </c>
      <c r="C634" t="s">
        <v>251</v>
      </c>
      <c r="D634" t="s">
        <v>81</v>
      </c>
      <c r="E634">
        <v>1000000</v>
      </c>
      <c r="H634">
        <v>1.33</v>
      </c>
      <c r="I634" t="s">
        <v>56</v>
      </c>
      <c r="J634">
        <v>1.3300000000000001E-4</v>
      </c>
      <c r="K634" t="s">
        <v>57</v>
      </c>
      <c r="N634" t="s">
        <v>314</v>
      </c>
      <c r="O634">
        <v>75</v>
      </c>
      <c r="P634" t="s">
        <v>277</v>
      </c>
      <c r="T634">
        <v>25</v>
      </c>
      <c r="V634">
        <v>50</v>
      </c>
      <c r="W634" t="s">
        <v>414</v>
      </c>
      <c r="X634" t="s">
        <v>280</v>
      </c>
      <c r="Y634">
        <v>270.09646302250701</v>
      </c>
      <c r="AB634">
        <v>1.5204722042574801</v>
      </c>
      <c r="AC634" t="s">
        <v>85</v>
      </c>
      <c r="AI634">
        <v>2</v>
      </c>
      <c r="AV634" t="s">
        <v>88</v>
      </c>
      <c r="AY634">
        <v>75</v>
      </c>
    </row>
    <row r="635" spans="1:53" hidden="1" x14ac:dyDescent="0.3">
      <c r="A635" t="s">
        <v>413</v>
      </c>
      <c r="C635" t="s">
        <v>251</v>
      </c>
      <c r="D635" t="s">
        <v>81</v>
      </c>
      <c r="E635">
        <v>100000000</v>
      </c>
      <c r="H635">
        <v>1.33</v>
      </c>
      <c r="I635" t="s">
        <v>56</v>
      </c>
      <c r="J635">
        <v>1.3300000000000001E-4</v>
      </c>
      <c r="K635" t="s">
        <v>57</v>
      </c>
      <c r="N635" t="s">
        <v>314</v>
      </c>
      <c r="O635">
        <v>75</v>
      </c>
      <c r="P635" t="s">
        <v>277</v>
      </c>
      <c r="T635">
        <v>25</v>
      </c>
      <c r="V635">
        <v>50</v>
      </c>
      <c r="W635" t="s">
        <v>414</v>
      </c>
      <c r="X635" t="s">
        <v>280</v>
      </c>
      <c r="Y635">
        <v>360.12861736334401</v>
      </c>
      <c r="AB635">
        <v>4.3011395206907999</v>
      </c>
      <c r="AC635" t="s">
        <v>85</v>
      </c>
      <c r="AI635">
        <v>2</v>
      </c>
      <c r="AV635" t="s">
        <v>88</v>
      </c>
      <c r="AY635">
        <v>75</v>
      </c>
    </row>
    <row r="636" spans="1:53" hidden="1" x14ac:dyDescent="0.3">
      <c r="A636" t="s">
        <v>413</v>
      </c>
      <c r="C636" t="s">
        <v>251</v>
      </c>
      <c r="D636" t="s">
        <v>81</v>
      </c>
      <c r="E636">
        <v>100000000</v>
      </c>
      <c r="H636">
        <v>1.33</v>
      </c>
      <c r="I636" t="s">
        <v>56</v>
      </c>
      <c r="J636">
        <v>1.3300000000000001E-4</v>
      </c>
      <c r="K636" t="s">
        <v>57</v>
      </c>
      <c r="N636" t="s">
        <v>314</v>
      </c>
      <c r="O636">
        <v>50</v>
      </c>
      <c r="P636" t="s">
        <v>277</v>
      </c>
      <c r="T636">
        <v>25</v>
      </c>
      <c r="V636">
        <v>50</v>
      </c>
      <c r="W636" t="s">
        <v>414</v>
      </c>
      <c r="X636" t="s">
        <v>280</v>
      </c>
      <c r="Y636">
        <v>88.745980707395404</v>
      </c>
      <c r="AB636">
        <v>4.3995882786953501E-3</v>
      </c>
      <c r="AC636" t="s">
        <v>85</v>
      </c>
      <c r="AI636">
        <v>2</v>
      </c>
      <c r="AV636" t="s">
        <v>88</v>
      </c>
      <c r="AY636">
        <v>50</v>
      </c>
    </row>
    <row r="637" spans="1:53" hidden="1" x14ac:dyDescent="0.3">
      <c r="A637" t="s">
        <v>413</v>
      </c>
      <c r="C637" t="s">
        <v>251</v>
      </c>
      <c r="D637" t="s">
        <v>81</v>
      </c>
      <c r="E637">
        <v>100000000</v>
      </c>
      <c r="H637">
        <v>1.33</v>
      </c>
      <c r="I637" t="s">
        <v>56</v>
      </c>
      <c r="J637">
        <v>1.3300000000000001E-4</v>
      </c>
      <c r="K637" t="s">
        <v>57</v>
      </c>
      <c r="N637" t="s">
        <v>314</v>
      </c>
      <c r="O637">
        <v>50</v>
      </c>
      <c r="P637" t="s">
        <v>277</v>
      </c>
      <c r="T637">
        <v>25</v>
      </c>
      <c r="V637">
        <v>50</v>
      </c>
      <c r="W637" t="s">
        <v>414</v>
      </c>
      <c r="X637" t="s">
        <v>280</v>
      </c>
      <c r="Y637">
        <v>179.42122186495101</v>
      </c>
      <c r="AB637">
        <v>0.12787498975250999</v>
      </c>
      <c r="AC637" t="s">
        <v>85</v>
      </c>
      <c r="AI637">
        <v>2</v>
      </c>
      <c r="AV637" t="s">
        <v>88</v>
      </c>
      <c r="AY637">
        <v>50</v>
      </c>
    </row>
    <row r="638" spans="1:53" hidden="1" x14ac:dyDescent="0.3">
      <c r="A638" t="s">
        <v>413</v>
      </c>
      <c r="C638" t="s">
        <v>251</v>
      </c>
      <c r="D638" t="s">
        <v>81</v>
      </c>
      <c r="E638">
        <v>100000000</v>
      </c>
      <c r="H638">
        <v>1.33</v>
      </c>
      <c r="I638" t="s">
        <v>56</v>
      </c>
      <c r="J638">
        <v>1.3300000000000001E-4</v>
      </c>
      <c r="K638" t="s">
        <v>57</v>
      </c>
      <c r="N638" t="s">
        <v>314</v>
      </c>
      <c r="O638">
        <v>50</v>
      </c>
      <c r="P638" t="s">
        <v>277</v>
      </c>
      <c r="T638">
        <v>25</v>
      </c>
      <c r="V638">
        <v>50</v>
      </c>
      <c r="W638" t="s">
        <v>414</v>
      </c>
      <c r="X638" t="s">
        <v>280</v>
      </c>
      <c r="Y638">
        <v>269.45337620578601</v>
      </c>
      <c r="AB638">
        <v>0.40995873678074002</v>
      </c>
      <c r="AC638" t="s">
        <v>85</v>
      </c>
      <c r="AI638">
        <v>2</v>
      </c>
      <c r="AV638" t="s">
        <v>88</v>
      </c>
      <c r="AY638">
        <v>50</v>
      </c>
    </row>
    <row r="639" spans="1:53" hidden="1" x14ac:dyDescent="0.3">
      <c r="A639" t="s">
        <v>413</v>
      </c>
      <c r="C639" t="s">
        <v>251</v>
      </c>
      <c r="D639" t="s">
        <v>81</v>
      </c>
      <c r="E639">
        <v>100000000</v>
      </c>
      <c r="H639">
        <v>1.33</v>
      </c>
      <c r="I639" t="s">
        <v>56</v>
      </c>
      <c r="J639">
        <v>1.3300000000000001E-4</v>
      </c>
      <c r="K639" t="s">
        <v>57</v>
      </c>
      <c r="N639" t="s">
        <v>314</v>
      </c>
      <c r="O639">
        <v>50</v>
      </c>
      <c r="P639" t="s">
        <v>277</v>
      </c>
      <c r="T639">
        <v>25</v>
      </c>
      <c r="V639">
        <v>50</v>
      </c>
      <c r="W639" t="s">
        <v>414</v>
      </c>
      <c r="X639" t="s">
        <v>280</v>
      </c>
      <c r="Y639">
        <v>359.48553054662301</v>
      </c>
      <c r="AB639">
        <v>0.96966288040953297</v>
      </c>
      <c r="AC639" t="s">
        <v>85</v>
      </c>
      <c r="AI639">
        <v>2</v>
      </c>
      <c r="AV639" t="s">
        <v>88</v>
      </c>
      <c r="AY639">
        <v>50</v>
      </c>
    </row>
    <row r="640" spans="1:53" hidden="1" x14ac:dyDescent="0.3">
      <c r="A640" t="s">
        <v>413</v>
      </c>
      <c r="C640" t="s">
        <v>251</v>
      </c>
      <c r="D640" t="s">
        <v>81</v>
      </c>
      <c r="E640">
        <v>100000000</v>
      </c>
      <c r="H640">
        <v>1.33</v>
      </c>
      <c r="I640" t="s">
        <v>56</v>
      </c>
      <c r="J640">
        <v>1.3300000000000001E-4</v>
      </c>
      <c r="K640" t="s">
        <v>57</v>
      </c>
      <c r="N640" t="s">
        <v>314</v>
      </c>
      <c r="O640">
        <v>3879</v>
      </c>
      <c r="P640" t="s">
        <v>277</v>
      </c>
      <c r="T640">
        <v>25</v>
      </c>
      <c r="V640">
        <v>50</v>
      </c>
      <c r="W640" t="s">
        <v>414</v>
      </c>
      <c r="X640" t="s">
        <v>280</v>
      </c>
      <c r="Y640">
        <v>0.30911901081916399</v>
      </c>
      <c r="AB640">
        <v>0.31318681318681202</v>
      </c>
      <c r="AC640" t="s">
        <v>85</v>
      </c>
      <c r="AI640">
        <v>2</v>
      </c>
      <c r="AV640" t="s">
        <v>88</v>
      </c>
      <c r="AY640">
        <v>3879</v>
      </c>
    </row>
    <row r="641" spans="1:51" hidden="1" x14ac:dyDescent="0.3">
      <c r="A641" t="s">
        <v>413</v>
      </c>
      <c r="C641" t="s">
        <v>251</v>
      </c>
      <c r="D641" t="s">
        <v>81</v>
      </c>
      <c r="E641">
        <v>100000000</v>
      </c>
      <c r="H641">
        <v>1.33</v>
      </c>
      <c r="I641" t="s">
        <v>56</v>
      </c>
      <c r="J641">
        <v>1.3300000000000001E-4</v>
      </c>
      <c r="K641" t="s">
        <v>57</v>
      </c>
      <c r="N641" t="s">
        <v>314</v>
      </c>
      <c r="O641">
        <v>3879</v>
      </c>
      <c r="P641" t="s">
        <v>277</v>
      </c>
      <c r="T641">
        <v>25</v>
      </c>
      <c r="V641">
        <v>50</v>
      </c>
      <c r="W641" t="s">
        <v>414</v>
      </c>
      <c r="X641" t="s">
        <v>280</v>
      </c>
      <c r="Y641">
        <v>0.74188562596599716</v>
      </c>
      <c r="AB641">
        <v>0.60989010989010795</v>
      </c>
      <c r="AC641" t="s">
        <v>85</v>
      </c>
      <c r="AI641">
        <v>2</v>
      </c>
      <c r="AV641" t="s">
        <v>88</v>
      </c>
      <c r="AY641">
        <v>3879</v>
      </c>
    </row>
    <row r="642" spans="1:51" hidden="1" x14ac:dyDescent="0.3">
      <c r="A642" t="s">
        <v>413</v>
      </c>
      <c r="C642" t="s">
        <v>251</v>
      </c>
      <c r="D642" t="s">
        <v>81</v>
      </c>
      <c r="E642">
        <v>100000000</v>
      </c>
      <c r="H642">
        <v>1.33</v>
      </c>
      <c r="I642" t="s">
        <v>56</v>
      </c>
      <c r="J642">
        <v>1.3300000000000001E-4</v>
      </c>
      <c r="K642" t="s">
        <v>57</v>
      </c>
      <c r="N642" t="s">
        <v>314</v>
      </c>
      <c r="O642">
        <v>3879</v>
      </c>
      <c r="P642" t="s">
        <v>277</v>
      </c>
      <c r="T642">
        <v>25</v>
      </c>
      <c r="V642">
        <v>50</v>
      </c>
      <c r="W642" t="s">
        <v>414</v>
      </c>
      <c r="X642" t="s">
        <v>280</v>
      </c>
      <c r="Y642">
        <v>0.989180834621329</v>
      </c>
      <c r="AB642">
        <v>1.0714285714285701</v>
      </c>
      <c r="AC642" t="s">
        <v>85</v>
      </c>
      <c r="AI642">
        <v>2</v>
      </c>
      <c r="AV642" t="s">
        <v>88</v>
      </c>
      <c r="AY642">
        <v>3879</v>
      </c>
    </row>
    <row r="643" spans="1:51" hidden="1" x14ac:dyDescent="0.3">
      <c r="A643" t="s">
        <v>413</v>
      </c>
      <c r="C643" t="s">
        <v>251</v>
      </c>
      <c r="D643" t="s">
        <v>81</v>
      </c>
      <c r="E643">
        <v>100000000</v>
      </c>
      <c r="H643">
        <v>1.33</v>
      </c>
      <c r="I643" t="s">
        <v>56</v>
      </c>
      <c r="J643">
        <v>1.3300000000000001E-4</v>
      </c>
      <c r="K643" t="s">
        <v>57</v>
      </c>
      <c r="N643" t="s">
        <v>314</v>
      </c>
      <c r="O643">
        <v>3879</v>
      </c>
      <c r="P643" t="s">
        <v>277</v>
      </c>
      <c r="T643">
        <v>25</v>
      </c>
      <c r="V643">
        <v>50</v>
      </c>
      <c r="W643" t="s">
        <v>414</v>
      </c>
      <c r="X643" t="s">
        <v>280</v>
      </c>
      <c r="Y643">
        <v>1.1437403400309101</v>
      </c>
      <c r="AB643">
        <v>2.1758241758241601</v>
      </c>
      <c r="AC643" t="s">
        <v>85</v>
      </c>
      <c r="AI643">
        <v>2</v>
      </c>
      <c r="AV643" t="s">
        <v>88</v>
      </c>
      <c r="AY643">
        <v>3879</v>
      </c>
    </row>
    <row r="644" spans="1:51" hidden="1" x14ac:dyDescent="0.3">
      <c r="A644" t="s">
        <v>413</v>
      </c>
      <c r="C644" t="s">
        <v>251</v>
      </c>
      <c r="D644" t="s">
        <v>81</v>
      </c>
      <c r="E644">
        <v>100000000</v>
      </c>
      <c r="H644">
        <v>1.33</v>
      </c>
      <c r="I644" t="s">
        <v>56</v>
      </c>
      <c r="J644">
        <v>1.3300000000000001E-4</v>
      </c>
      <c r="K644" t="s">
        <v>57</v>
      </c>
      <c r="N644" t="s">
        <v>314</v>
      </c>
      <c r="O644">
        <v>3879</v>
      </c>
      <c r="P644" t="s">
        <v>277</v>
      </c>
      <c r="T644">
        <v>25</v>
      </c>
      <c r="V644">
        <v>50</v>
      </c>
      <c r="W644" t="s">
        <v>414</v>
      </c>
      <c r="X644" t="s">
        <v>280</v>
      </c>
      <c r="Y644">
        <v>1.3601236476043099</v>
      </c>
      <c r="AB644">
        <v>4.7967032967032903</v>
      </c>
      <c r="AC644" t="s">
        <v>85</v>
      </c>
      <c r="AI644">
        <v>2</v>
      </c>
      <c r="AV644" t="s">
        <v>88</v>
      </c>
      <c r="AY644">
        <v>3879</v>
      </c>
    </row>
    <row r="645" spans="1:51" hidden="1" x14ac:dyDescent="0.3">
      <c r="A645" t="s">
        <v>413</v>
      </c>
      <c r="C645" t="s">
        <v>251</v>
      </c>
      <c r="D645" t="s">
        <v>81</v>
      </c>
      <c r="E645">
        <v>100000000</v>
      </c>
      <c r="H645">
        <v>1.33</v>
      </c>
      <c r="I645" t="s">
        <v>56</v>
      </c>
      <c r="J645">
        <v>1.3300000000000001E-4</v>
      </c>
      <c r="K645" t="s">
        <v>57</v>
      </c>
      <c r="N645" t="s">
        <v>314</v>
      </c>
      <c r="O645">
        <v>1859</v>
      </c>
      <c r="P645" t="s">
        <v>277</v>
      </c>
      <c r="T645">
        <v>25</v>
      </c>
      <c r="V645">
        <v>50</v>
      </c>
      <c r="W645" t="s">
        <v>414</v>
      </c>
      <c r="X645" t="s">
        <v>280</v>
      </c>
      <c r="Y645">
        <v>0.30911901081916399</v>
      </c>
      <c r="AB645">
        <v>0.14835164835164699</v>
      </c>
      <c r="AC645" t="s">
        <v>85</v>
      </c>
      <c r="AI645">
        <v>2</v>
      </c>
      <c r="AV645" t="s">
        <v>88</v>
      </c>
      <c r="AY645">
        <v>1859</v>
      </c>
    </row>
    <row r="646" spans="1:51" hidden="1" x14ac:dyDescent="0.3">
      <c r="A646" t="s">
        <v>413</v>
      </c>
      <c r="C646" t="s">
        <v>251</v>
      </c>
      <c r="D646" t="s">
        <v>81</v>
      </c>
      <c r="E646">
        <v>100000000</v>
      </c>
      <c r="H646">
        <v>1.33</v>
      </c>
      <c r="I646" t="s">
        <v>56</v>
      </c>
      <c r="J646">
        <v>1.3300000000000001E-4</v>
      </c>
      <c r="K646" t="s">
        <v>57</v>
      </c>
      <c r="N646" t="s">
        <v>314</v>
      </c>
      <c r="O646">
        <v>1859</v>
      </c>
      <c r="P646" t="s">
        <v>277</v>
      </c>
      <c r="T646">
        <v>25</v>
      </c>
      <c r="V646">
        <v>50</v>
      </c>
      <c r="W646" t="s">
        <v>414</v>
      </c>
      <c r="X646" t="s">
        <v>280</v>
      </c>
      <c r="Y646">
        <v>0.74188562596599716</v>
      </c>
      <c r="AB646">
        <v>0.31318681318681202</v>
      </c>
      <c r="AC646" t="s">
        <v>85</v>
      </c>
      <c r="AI646">
        <v>2</v>
      </c>
      <c r="AV646" t="s">
        <v>88</v>
      </c>
      <c r="AY646">
        <v>1859</v>
      </c>
    </row>
    <row r="647" spans="1:51" hidden="1" x14ac:dyDescent="0.3">
      <c r="A647" t="s">
        <v>413</v>
      </c>
      <c r="C647" t="s">
        <v>251</v>
      </c>
      <c r="D647" t="s">
        <v>81</v>
      </c>
      <c r="E647">
        <v>100000000</v>
      </c>
      <c r="H647">
        <v>1.33</v>
      </c>
      <c r="I647" t="s">
        <v>56</v>
      </c>
      <c r="J647">
        <v>1.3300000000000001E-4</v>
      </c>
      <c r="K647" t="s">
        <v>57</v>
      </c>
      <c r="N647" t="s">
        <v>314</v>
      </c>
      <c r="O647">
        <v>1859</v>
      </c>
      <c r="P647" t="s">
        <v>277</v>
      </c>
      <c r="T647">
        <v>25</v>
      </c>
      <c r="V647">
        <v>50</v>
      </c>
      <c r="W647" t="s">
        <v>414</v>
      </c>
      <c r="X647" t="s">
        <v>280</v>
      </c>
      <c r="Y647">
        <v>1.0200927357032401</v>
      </c>
      <c r="AB647">
        <v>0.67582417582417398</v>
      </c>
      <c r="AC647" t="s">
        <v>85</v>
      </c>
      <c r="AI647">
        <v>2</v>
      </c>
      <c r="AV647" t="s">
        <v>88</v>
      </c>
      <c r="AY647">
        <v>1859</v>
      </c>
    </row>
    <row r="648" spans="1:51" hidden="1" x14ac:dyDescent="0.3">
      <c r="A648" t="s">
        <v>413</v>
      </c>
      <c r="C648" t="s">
        <v>251</v>
      </c>
      <c r="D648" t="s">
        <v>81</v>
      </c>
      <c r="E648">
        <v>100000000</v>
      </c>
      <c r="H648">
        <v>1.33</v>
      </c>
      <c r="I648" t="s">
        <v>56</v>
      </c>
      <c r="J648">
        <v>1.3300000000000001E-4</v>
      </c>
      <c r="K648" t="s">
        <v>57</v>
      </c>
      <c r="N648" t="s">
        <v>314</v>
      </c>
      <c r="O648">
        <v>1859</v>
      </c>
      <c r="P648" t="s">
        <v>277</v>
      </c>
      <c r="T648">
        <v>25</v>
      </c>
      <c r="V648">
        <v>50</v>
      </c>
      <c r="W648" t="s">
        <v>414</v>
      </c>
      <c r="X648" t="s">
        <v>280</v>
      </c>
      <c r="Y648">
        <v>1.2982998454404799</v>
      </c>
      <c r="AB648">
        <v>1.0384615384615301</v>
      </c>
      <c r="AC648" t="s">
        <v>85</v>
      </c>
      <c r="AI648">
        <v>2</v>
      </c>
      <c r="AV648" t="s">
        <v>88</v>
      </c>
      <c r="AY648">
        <v>1859</v>
      </c>
    </row>
    <row r="649" spans="1:51" hidden="1" x14ac:dyDescent="0.3">
      <c r="A649" t="s">
        <v>413</v>
      </c>
      <c r="C649" t="s">
        <v>251</v>
      </c>
      <c r="D649" t="s">
        <v>81</v>
      </c>
      <c r="E649">
        <v>100000000</v>
      </c>
      <c r="H649">
        <v>1.33</v>
      </c>
      <c r="I649" t="s">
        <v>56</v>
      </c>
      <c r="J649">
        <v>1.3300000000000001E-4</v>
      </c>
      <c r="K649" t="s">
        <v>57</v>
      </c>
      <c r="N649" t="s">
        <v>314</v>
      </c>
      <c r="O649">
        <v>1859</v>
      </c>
      <c r="P649" t="s">
        <v>277</v>
      </c>
      <c r="T649">
        <v>25</v>
      </c>
      <c r="V649">
        <v>50</v>
      </c>
      <c r="W649" t="s">
        <v>414</v>
      </c>
      <c r="X649" t="s">
        <v>280</v>
      </c>
      <c r="Y649">
        <v>1.6074188562596601</v>
      </c>
      <c r="AB649">
        <v>3.4945054945054901</v>
      </c>
      <c r="AC649" t="s">
        <v>85</v>
      </c>
      <c r="AI649">
        <v>2</v>
      </c>
      <c r="AV649" t="s">
        <v>88</v>
      </c>
      <c r="AY649">
        <v>1859</v>
      </c>
    </row>
    <row r="650" spans="1:51" hidden="1" x14ac:dyDescent="0.3">
      <c r="A650" t="s">
        <v>413</v>
      </c>
      <c r="C650" t="s">
        <v>251</v>
      </c>
      <c r="D650" t="s">
        <v>81</v>
      </c>
      <c r="E650">
        <v>100000000</v>
      </c>
      <c r="H650">
        <v>1.33</v>
      </c>
      <c r="I650" t="s">
        <v>56</v>
      </c>
      <c r="J650">
        <v>1.3300000000000001E-4</v>
      </c>
      <c r="K650" t="s">
        <v>57</v>
      </c>
      <c r="N650" t="s">
        <v>314</v>
      </c>
      <c r="O650">
        <v>1859</v>
      </c>
      <c r="P650" t="s">
        <v>277</v>
      </c>
      <c r="T650">
        <v>25</v>
      </c>
      <c r="V650">
        <v>50</v>
      </c>
      <c r="W650" t="s">
        <v>414</v>
      </c>
      <c r="X650" t="s">
        <v>280</v>
      </c>
      <c r="Y650">
        <v>1.7619783616692299</v>
      </c>
      <c r="AB650">
        <v>4.7307692307692202</v>
      </c>
      <c r="AC650" t="s">
        <v>85</v>
      </c>
      <c r="AI650">
        <v>2</v>
      </c>
      <c r="AV650" t="s">
        <v>88</v>
      </c>
      <c r="AY650">
        <v>1859</v>
      </c>
    </row>
    <row r="651" spans="1:51" hidden="1" x14ac:dyDescent="0.3">
      <c r="A651" t="s">
        <v>413</v>
      </c>
      <c r="C651" t="s">
        <v>251</v>
      </c>
      <c r="D651" t="s">
        <v>81</v>
      </c>
      <c r="E651">
        <v>100000000</v>
      </c>
      <c r="H651">
        <v>1.33</v>
      </c>
      <c r="I651" t="s">
        <v>56</v>
      </c>
      <c r="J651">
        <v>1.3300000000000001E-4</v>
      </c>
      <c r="K651" t="s">
        <v>57</v>
      </c>
      <c r="N651" t="s">
        <v>314</v>
      </c>
      <c r="O651">
        <v>1131</v>
      </c>
      <c r="P651" t="s">
        <v>277</v>
      </c>
      <c r="T651">
        <v>25</v>
      </c>
      <c r="V651">
        <v>50</v>
      </c>
      <c r="W651" t="s">
        <v>414</v>
      </c>
      <c r="X651" t="s">
        <v>280</v>
      </c>
      <c r="Y651">
        <v>0.989180834621329</v>
      </c>
      <c r="AB651">
        <v>6.5934065934065506E-2</v>
      </c>
      <c r="AC651" t="s">
        <v>85</v>
      </c>
      <c r="AI651">
        <v>2</v>
      </c>
      <c r="AV651" t="s">
        <v>88</v>
      </c>
      <c r="AY651">
        <v>1131</v>
      </c>
    </row>
    <row r="652" spans="1:51" hidden="1" x14ac:dyDescent="0.3">
      <c r="A652" t="s">
        <v>413</v>
      </c>
      <c r="C652" t="s">
        <v>251</v>
      </c>
      <c r="D652" t="s">
        <v>81</v>
      </c>
      <c r="E652">
        <v>100000000</v>
      </c>
      <c r="H652">
        <v>1.33</v>
      </c>
      <c r="I652" t="s">
        <v>56</v>
      </c>
      <c r="J652">
        <v>1.3300000000000001E-4</v>
      </c>
      <c r="K652" t="s">
        <v>57</v>
      </c>
      <c r="N652" t="s">
        <v>314</v>
      </c>
      <c r="O652">
        <v>1131</v>
      </c>
      <c r="P652" t="s">
        <v>277</v>
      </c>
      <c r="T652">
        <v>25</v>
      </c>
      <c r="V652">
        <v>50</v>
      </c>
      <c r="W652" t="s">
        <v>414</v>
      </c>
      <c r="X652" t="s">
        <v>280</v>
      </c>
      <c r="Y652">
        <v>1.51468315301391</v>
      </c>
      <c r="AB652">
        <v>9.89010989010983E-2</v>
      </c>
      <c r="AC652" t="s">
        <v>85</v>
      </c>
      <c r="AI652">
        <v>2</v>
      </c>
      <c r="AV652" t="s">
        <v>88</v>
      </c>
      <c r="AY652">
        <v>1131</v>
      </c>
    </row>
    <row r="653" spans="1:51" hidden="1" x14ac:dyDescent="0.3">
      <c r="A653" t="s">
        <v>413</v>
      </c>
      <c r="C653" t="s">
        <v>251</v>
      </c>
      <c r="D653" t="s">
        <v>81</v>
      </c>
      <c r="E653">
        <v>100000000</v>
      </c>
      <c r="H653">
        <v>1.33</v>
      </c>
      <c r="I653" t="s">
        <v>56</v>
      </c>
      <c r="J653">
        <v>1.3300000000000001E-4</v>
      </c>
      <c r="K653" t="s">
        <v>57</v>
      </c>
      <c r="N653" t="s">
        <v>314</v>
      </c>
      <c r="O653">
        <v>1131</v>
      </c>
      <c r="P653" t="s">
        <v>277</v>
      </c>
      <c r="T653">
        <v>25</v>
      </c>
      <c r="V653">
        <v>50</v>
      </c>
      <c r="W653" t="s">
        <v>414</v>
      </c>
      <c r="X653" t="s">
        <v>280</v>
      </c>
      <c r="Y653">
        <v>2.5347758887171401</v>
      </c>
      <c r="AB653">
        <v>1.0714285714285701</v>
      </c>
      <c r="AC653" t="s">
        <v>85</v>
      </c>
      <c r="AI653">
        <v>2</v>
      </c>
      <c r="AV653" t="s">
        <v>88</v>
      </c>
      <c r="AY653">
        <v>1131</v>
      </c>
    </row>
    <row r="654" spans="1:51" hidden="1" x14ac:dyDescent="0.3">
      <c r="A654" t="s">
        <v>413</v>
      </c>
      <c r="C654" t="s">
        <v>251</v>
      </c>
      <c r="D654" t="s">
        <v>81</v>
      </c>
      <c r="E654">
        <v>100000000</v>
      </c>
      <c r="H654">
        <v>1.33</v>
      </c>
      <c r="I654" t="s">
        <v>56</v>
      </c>
      <c r="J654">
        <v>1.3300000000000001E-4</v>
      </c>
      <c r="K654" t="s">
        <v>57</v>
      </c>
      <c r="N654" t="s">
        <v>314</v>
      </c>
      <c r="O654">
        <v>1131</v>
      </c>
      <c r="P654" t="s">
        <v>277</v>
      </c>
      <c r="T654">
        <v>25</v>
      </c>
      <c r="V654">
        <v>50</v>
      </c>
      <c r="W654" t="s">
        <v>414</v>
      </c>
      <c r="X654" t="s">
        <v>280</v>
      </c>
      <c r="Y654">
        <v>2.9675425038639802</v>
      </c>
      <c r="AB654">
        <v>1.9615384615384499</v>
      </c>
      <c r="AC654" t="s">
        <v>85</v>
      </c>
      <c r="AI654">
        <v>2</v>
      </c>
      <c r="AV654" t="s">
        <v>88</v>
      </c>
      <c r="AY654">
        <v>1131</v>
      </c>
    </row>
    <row r="655" spans="1:51" hidden="1" x14ac:dyDescent="0.3">
      <c r="A655" t="s">
        <v>413</v>
      </c>
      <c r="C655" t="s">
        <v>251</v>
      </c>
      <c r="D655" t="s">
        <v>81</v>
      </c>
      <c r="E655">
        <v>100000000</v>
      </c>
      <c r="H655">
        <v>1.33</v>
      </c>
      <c r="I655" t="s">
        <v>56</v>
      </c>
      <c r="J655">
        <v>1.3300000000000001E-4</v>
      </c>
      <c r="K655" t="s">
        <v>57</v>
      </c>
      <c r="N655" t="s">
        <v>314</v>
      </c>
      <c r="O655">
        <v>1131</v>
      </c>
      <c r="P655" t="s">
        <v>277</v>
      </c>
      <c r="T655">
        <v>25</v>
      </c>
      <c r="V655">
        <v>50</v>
      </c>
      <c r="W655" t="s">
        <v>414</v>
      </c>
      <c r="X655" t="s">
        <v>280</v>
      </c>
      <c r="Y655">
        <v>3.987635239567231</v>
      </c>
      <c r="AB655">
        <v>4.15384615384614</v>
      </c>
      <c r="AC655" t="s">
        <v>85</v>
      </c>
      <c r="AI655">
        <v>2</v>
      </c>
      <c r="AV655" t="s">
        <v>88</v>
      </c>
      <c r="AY655">
        <v>1131</v>
      </c>
    </row>
    <row r="656" spans="1:51" hidden="1" x14ac:dyDescent="0.3">
      <c r="A656" t="s">
        <v>413</v>
      </c>
      <c r="C656" t="s">
        <v>251</v>
      </c>
      <c r="D656" t="s">
        <v>81</v>
      </c>
      <c r="E656">
        <v>100000000</v>
      </c>
      <c r="H656">
        <v>1.33</v>
      </c>
      <c r="I656" t="s">
        <v>56</v>
      </c>
      <c r="J656">
        <v>1.3300000000000001E-4</v>
      </c>
      <c r="K656" t="s">
        <v>57</v>
      </c>
      <c r="N656" t="s">
        <v>314</v>
      </c>
      <c r="O656">
        <v>1131</v>
      </c>
      <c r="P656" t="s">
        <v>277</v>
      </c>
      <c r="T656">
        <v>25</v>
      </c>
      <c r="V656">
        <v>50</v>
      </c>
      <c r="W656" t="s">
        <v>414</v>
      </c>
      <c r="X656" t="s">
        <v>280</v>
      </c>
      <c r="Y656">
        <v>4.4822256568778904</v>
      </c>
      <c r="AB656">
        <v>5.2582417582417502</v>
      </c>
      <c r="AC656" t="s">
        <v>85</v>
      </c>
      <c r="AI656">
        <v>2</v>
      </c>
      <c r="AV656" t="s">
        <v>88</v>
      </c>
      <c r="AY656">
        <v>1131</v>
      </c>
    </row>
    <row r="657" spans="1:51" hidden="1" x14ac:dyDescent="0.3">
      <c r="A657" t="s">
        <v>413</v>
      </c>
      <c r="C657" t="s">
        <v>251</v>
      </c>
      <c r="D657" t="s">
        <v>81</v>
      </c>
      <c r="E657">
        <v>100000000</v>
      </c>
      <c r="H657">
        <v>1.33</v>
      </c>
      <c r="I657" t="s">
        <v>56</v>
      </c>
      <c r="J657">
        <v>1.3300000000000001E-4</v>
      </c>
      <c r="K657" t="s">
        <v>57</v>
      </c>
      <c r="N657" t="s">
        <v>314</v>
      </c>
      <c r="O657">
        <v>558</v>
      </c>
      <c r="P657" t="s">
        <v>277</v>
      </c>
      <c r="T657">
        <v>25</v>
      </c>
      <c r="V657">
        <v>50</v>
      </c>
      <c r="W657" t="s">
        <v>414</v>
      </c>
      <c r="X657" t="s">
        <v>280</v>
      </c>
      <c r="Y657">
        <v>0.989180834621329</v>
      </c>
      <c r="AB657">
        <v>4.94505494505489E-2</v>
      </c>
      <c r="AC657" t="s">
        <v>85</v>
      </c>
      <c r="AI657">
        <v>2</v>
      </c>
      <c r="AV657" t="s">
        <v>88</v>
      </c>
      <c r="AY657">
        <v>558</v>
      </c>
    </row>
    <row r="658" spans="1:51" hidden="1" x14ac:dyDescent="0.3">
      <c r="A658" t="s">
        <v>413</v>
      </c>
      <c r="C658" t="s">
        <v>251</v>
      </c>
      <c r="D658" t="s">
        <v>81</v>
      </c>
      <c r="E658">
        <v>100000000</v>
      </c>
      <c r="H658">
        <v>1.33</v>
      </c>
      <c r="I658" t="s">
        <v>56</v>
      </c>
      <c r="J658">
        <v>1.3300000000000001E-4</v>
      </c>
      <c r="K658" t="s">
        <v>57</v>
      </c>
      <c r="N658" t="s">
        <v>314</v>
      </c>
      <c r="O658">
        <v>558</v>
      </c>
      <c r="P658" t="s">
        <v>277</v>
      </c>
      <c r="T658">
        <v>25</v>
      </c>
      <c r="V658">
        <v>50</v>
      </c>
      <c r="W658" t="s">
        <v>414</v>
      </c>
      <c r="X658" t="s">
        <v>280</v>
      </c>
      <c r="Y658">
        <v>3.2766615146831501</v>
      </c>
      <c r="AB658">
        <v>0.379120879120878</v>
      </c>
      <c r="AC658" t="s">
        <v>85</v>
      </c>
      <c r="AI658">
        <v>2</v>
      </c>
      <c r="AV658" t="s">
        <v>88</v>
      </c>
      <c r="AY658">
        <v>558</v>
      </c>
    </row>
    <row r="659" spans="1:51" hidden="1" x14ac:dyDescent="0.3">
      <c r="A659" t="s">
        <v>413</v>
      </c>
      <c r="C659" t="s">
        <v>251</v>
      </c>
      <c r="D659" t="s">
        <v>81</v>
      </c>
      <c r="E659">
        <v>100000000</v>
      </c>
      <c r="H659">
        <v>1.33</v>
      </c>
      <c r="I659" t="s">
        <v>56</v>
      </c>
      <c r="J659">
        <v>1.3300000000000001E-4</v>
      </c>
      <c r="K659" t="s">
        <v>57</v>
      </c>
      <c r="N659" t="s">
        <v>314</v>
      </c>
      <c r="O659">
        <v>558</v>
      </c>
      <c r="P659" t="s">
        <v>277</v>
      </c>
      <c r="T659">
        <v>25</v>
      </c>
      <c r="V659">
        <v>50</v>
      </c>
      <c r="W659" t="s">
        <v>414</v>
      </c>
      <c r="X659" t="s">
        <v>280</v>
      </c>
      <c r="Y659">
        <v>6.3060278207109599</v>
      </c>
      <c r="AB659">
        <v>0.92307692307692202</v>
      </c>
      <c r="AC659" t="s">
        <v>85</v>
      </c>
      <c r="AI659">
        <v>2</v>
      </c>
      <c r="AV659" t="s">
        <v>88</v>
      </c>
      <c r="AY659">
        <v>558</v>
      </c>
    </row>
    <row r="660" spans="1:51" hidden="1" x14ac:dyDescent="0.3">
      <c r="A660" t="s">
        <v>413</v>
      </c>
      <c r="C660" t="s">
        <v>251</v>
      </c>
      <c r="D660" t="s">
        <v>81</v>
      </c>
      <c r="E660">
        <v>100000000</v>
      </c>
      <c r="H660">
        <v>1.33</v>
      </c>
      <c r="I660" t="s">
        <v>56</v>
      </c>
      <c r="J660">
        <v>1.3300000000000001E-4</v>
      </c>
      <c r="K660" t="s">
        <v>57</v>
      </c>
      <c r="N660" t="s">
        <v>314</v>
      </c>
      <c r="O660">
        <v>558</v>
      </c>
      <c r="P660" t="s">
        <v>277</v>
      </c>
      <c r="T660">
        <v>25</v>
      </c>
      <c r="V660">
        <v>50</v>
      </c>
      <c r="W660" t="s">
        <v>414</v>
      </c>
      <c r="X660" t="s">
        <v>280</v>
      </c>
      <c r="Y660">
        <v>10.448222565687701</v>
      </c>
      <c r="AB660">
        <v>1.86263736263736</v>
      </c>
      <c r="AC660" t="s">
        <v>85</v>
      </c>
      <c r="AI660">
        <v>2</v>
      </c>
      <c r="AV660" t="s">
        <v>88</v>
      </c>
      <c r="AY660">
        <v>558</v>
      </c>
    </row>
    <row r="661" spans="1:51" hidden="1" x14ac:dyDescent="0.3">
      <c r="A661" t="s">
        <v>413</v>
      </c>
      <c r="C661" t="s">
        <v>251</v>
      </c>
      <c r="D661" t="s">
        <v>81</v>
      </c>
      <c r="E661">
        <v>100000000</v>
      </c>
      <c r="H661">
        <v>1.33</v>
      </c>
      <c r="I661" t="s">
        <v>56</v>
      </c>
      <c r="J661">
        <v>1.3300000000000001E-4</v>
      </c>
      <c r="K661" t="s">
        <v>57</v>
      </c>
      <c r="N661" t="s">
        <v>314</v>
      </c>
      <c r="O661">
        <v>558</v>
      </c>
      <c r="P661" t="s">
        <v>277</v>
      </c>
      <c r="T661">
        <v>25</v>
      </c>
      <c r="V661">
        <v>50</v>
      </c>
      <c r="W661" t="s">
        <v>414</v>
      </c>
      <c r="X661" t="s">
        <v>280</v>
      </c>
      <c r="Y661">
        <v>11.808346213292101</v>
      </c>
      <c r="AB661">
        <v>2.62087912087912</v>
      </c>
      <c r="AC661" t="s">
        <v>85</v>
      </c>
      <c r="AI661">
        <v>2</v>
      </c>
      <c r="AV661" t="s">
        <v>88</v>
      </c>
      <c r="AY661">
        <v>558</v>
      </c>
    </row>
    <row r="662" spans="1:51" hidden="1" x14ac:dyDescent="0.3">
      <c r="A662" t="s">
        <v>413</v>
      </c>
      <c r="C662" t="s">
        <v>251</v>
      </c>
      <c r="D662" t="s">
        <v>81</v>
      </c>
      <c r="E662">
        <v>100000000</v>
      </c>
      <c r="H662">
        <v>1.33</v>
      </c>
      <c r="I662" t="s">
        <v>56</v>
      </c>
      <c r="J662">
        <v>1.3300000000000001E-4</v>
      </c>
      <c r="K662" t="s">
        <v>57</v>
      </c>
      <c r="N662" t="s">
        <v>314</v>
      </c>
      <c r="O662">
        <v>558</v>
      </c>
      <c r="P662" t="s">
        <v>277</v>
      </c>
      <c r="T662">
        <v>25</v>
      </c>
      <c r="V662">
        <v>50</v>
      </c>
      <c r="W662" t="s">
        <v>414</v>
      </c>
      <c r="X662" t="s">
        <v>280</v>
      </c>
      <c r="Y662">
        <v>13.5085007727975</v>
      </c>
      <c r="AB662">
        <v>3.8901098901098901</v>
      </c>
      <c r="AC662" t="s">
        <v>85</v>
      </c>
      <c r="AI662">
        <v>2</v>
      </c>
      <c r="AV662" t="s">
        <v>88</v>
      </c>
      <c r="AY662">
        <v>558</v>
      </c>
    </row>
    <row r="663" spans="1:51" hidden="1" x14ac:dyDescent="0.3">
      <c r="A663" t="s">
        <v>413</v>
      </c>
      <c r="C663" t="s">
        <v>251</v>
      </c>
      <c r="D663" t="s">
        <v>81</v>
      </c>
      <c r="E663">
        <v>100000000</v>
      </c>
      <c r="H663">
        <v>1.33</v>
      </c>
      <c r="I663" t="s">
        <v>56</v>
      </c>
      <c r="J663">
        <v>1.3300000000000001E-4</v>
      </c>
      <c r="K663" t="s">
        <v>57</v>
      </c>
      <c r="N663" t="s">
        <v>314</v>
      </c>
      <c r="O663">
        <v>275</v>
      </c>
      <c r="P663" t="s">
        <v>277</v>
      </c>
      <c r="T663">
        <v>25</v>
      </c>
      <c r="V663">
        <v>50</v>
      </c>
      <c r="W663" t="s">
        <v>414</v>
      </c>
      <c r="X663" t="s">
        <v>280</v>
      </c>
      <c r="Y663">
        <v>1.2673879443585701</v>
      </c>
      <c r="AB663">
        <v>-1.64835164835168E-2</v>
      </c>
      <c r="AC663" t="s">
        <v>85</v>
      </c>
      <c r="AI663">
        <v>2</v>
      </c>
      <c r="AV663" t="s">
        <v>88</v>
      </c>
      <c r="AY663">
        <v>275</v>
      </c>
    </row>
    <row r="664" spans="1:51" hidden="1" x14ac:dyDescent="0.3">
      <c r="A664" t="s">
        <v>413</v>
      </c>
      <c r="C664" t="s">
        <v>251</v>
      </c>
      <c r="D664" t="s">
        <v>81</v>
      </c>
      <c r="E664">
        <v>100000000</v>
      </c>
      <c r="H664">
        <v>1.33</v>
      </c>
      <c r="I664" t="s">
        <v>56</v>
      </c>
      <c r="J664">
        <v>1.3300000000000001E-4</v>
      </c>
      <c r="K664" t="s">
        <v>57</v>
      </c>
      <c r="N664" t="s">
        <v>314</v>
      </c>
      <c r="O664">
        <v>275</v>
      </c>
      <c r="P664" t="s">
        <v>277</v>
      </c>
      <c r="T664">
        <v>25</v>
      </c>
      <c r="V664">
        <v>50</v>
      </c>
      <c r="W664" t="s">
        <v>414</v>
      </c>
      <c r="X664" t="s">
        <v>280</v>
      </c>
      <c r="Y664">
        <v>3.09119010819165</v>
      </c>
      <c r="AB664">
        <v>-1.64835164835168E-2</v>
      </c>
      <c r="AC664" t="s">
        <v>85</v>
      </c>
      <c r="AI664">
        <v>2</v>
      </c>
      <c r="AV664" t="s">
        <v>88</v>
      </c>
      <c r="AY664">
        <v>275</v>
      </c>
    </row>
    <row r="665" spans="1:51" hidden="1" x14ac:dyDescent="0.3">
      <c r="A665" t="s">
        <v>413</v>
      </c>
      <c r="C665" t="s">
        <v>251</v>
      </c>
      <c r="D665" t="s">
        <v>81</v>
      </c>
      <c r="E665">
        <v>100000000</v>
      </c>
      <c r="H665">
        <v>1.33</v>
      </c>
      <c r="I665" t="s">
        <v>56</v>
      </c>
      <c r="J665">
        <v>1.3300000000000001E-4</v>
      </c>
      <c r="K665" t="s">
        <v>57</v>
      </c>
      <c r="N665" t="s">
        <v>314</v>
      </c>
      <c r="O665">
        <v>275</v>
      </c>
      <c r="P665" t="s">
        <v>277</v>
      </c>
      <c r="T665">
        <v>25</v>
      </c>
      <c r="V665">
        <v>50</v>
      </c>
      <c r="W665" t="s">
        <v>414</v>
      </c>
      <c r="X665" t="s">
        <v>280</v>
      </c>
      <c r="Y665">
        <v>5.59505409582688</v>
      </c>
      <c r="AB665">
        <v>-3.3306690738754499E-16</v>
      </c>
      <c r="AC665" t="s">
        <v>85</v>
      </c>
      <c r="AI665">
        <v>2</v>
      </c>
      <c r="AV665" t="s">
        <v>88</v>
      </c>
      <c r="AY665">
        <v>275</v>
      </c>
    </row>
    <row r="666" spans="1:51" hidden="1" x14ac:dyDescent="0.3">
      <c r="A666" t="s">
        <v>413</v>
      </c>
      <c r="C666" t="s">
        <v>251</v>
      </c>
      <c r="D666" t="s">
        <v>81</v>
      </c>
      <c r="E666">
        <v>100000000</v>
      </c>
      <c r="H666">
        <v>1.33</v>
      </c>
      <c r="I666" t="s">
        <v>56</v>
      </c>
      <c r="J666">
        <v>1.3300000000000001E-4</v>
      </c>
      <c r="K666" t="s">
        <v>57</v>
      </c>
      <c r="N666" t="s">
        <v>314</v>
      </c>
      <c r="O666">
        <v>275</v>
      </c>
      <c r="P666" t="s">
        <v>277</v>
      </c>
      <c r="T666">
        <v>25</v>
      </c>
      <c r="V666">
        <v>50</v>
      </c>
      <c r="W666" t="s">
        <v>414</v>
      </c>
      <c r="X666" t="s">
        <v>280</v>
      </c>
      <c r="Y666">
        <v>7.0479134466769704</v>
      </c>
      <c r="AB666">
        <v>-3.3306690738754499E-16</v>
      </c>
      <c r="AC666" t="s">
        <v>85</v>
      </c>
      <c r="AI666">
        <v>2</v>
      </c>
      <c r="AV666" t="s">
        <v>88</v>
      </c>
      <c r="AY666">
        <v>275</v>
      </c>
    </row>
    <row r="667" spans="1:51" hidden="1" x14ac:dyDescent="0.3">
      <c r="A667" t="s">
        <v>413</v>
      </c>
      <c r="C667" t="s">
        <v>251</v>
      </c>
      <c r="D667" t="s">
        <v>81</v>
      </c>
      <c r="E667">
        <v>100000000</v>
      </c>
      <c r="H667">
        <v>1.33</v>
      </c>
      <c r="I667" t="s">
        <v>56</v>
      </c>
      <c r="J667">
        <v>1.3300000000000001E-4</v>
      </c>
      <c r="K667" t="s">
        <v>57</v>
      </c>
      <c r="N667" t="s">
        <v>314</v>
      </c>
      <c r="O667">
        <v>275</v>
      </c>
      <c r="P667" t="s">
        <v>277</v>
      </c>
      <c r="T667">
        <v>25</v>
      </c>
      <c r="V667">
        <v>50</v>
      </c>
      <c r="W667" t="s">
        <v>414</v>
      </c>
      <c r="X667" t="s">
        <v>280</v>
      </c>
      <c r="Y667">
        <v>8.9953632148377007</v>
      </c>
      <c r="AB667">
        <v>0.329670329670329</v>
      </c>
      <c r="AC667" t="s">
        <v>85</v>
      </c>
      <c r="AI667">
        <v>2</v>
      </c>
      <c r="AV667" t="s">
        <v>88</v>
      </c>
      <c r="AY667">
        <v>275</v>
      </c>
    </row>
    <row r="668" spans="1:51" hidden="1" x14ac:dyDescent="0.3">
      <c r="A668" t="s">
        <v>413</v>
      </c>
      <c r="C668" t="s">
        <v>251</v>
      </c>
      <c r="D668" t="s">
        <v>81</v>
      </c>
      <c r="E668">
        <v>100000000</v>
      </c>
      <c r="H668">
        <v>1.33</v>
      </c>
      <c r="I668" t="s">
        <v>56</v>
      </c>
      <c r="J668">
        <v>1.3300000000000001E-4</v>
      </c>
      <c r="K668" t="s">
        <v>57</v>
      </c>
      <c r="N668" t="s">
        <v>314</v>
      </c>
      <c r="O668">
        <v>275</v>
      </c>
      <c r="P668" t="s">
        <v>277</v>
      </c>
      <c r="T668">
        <v>25</v>
      </c>
      <c r="V668">
        <v>50</v>
      </c>
      <c r="W668" t="s">
        <v>414</v>
      </c>
      <c r="X668" t="s">
        <v>280</v>
      </c>
      <c r="Y668">
        <v>10.510046367851601</v>
      </c>
      <c r="AB668">
        <v>0.659340659340659</v>
      </c>
      <c r="AC668" t="s">
        <v>85</v>
      </c>
      <c r="AI668">
        <v>2</v>
      </c>
      <c r="AV668" t="s">
        <v>88</v>
      </c>
      <c r="AY668">
        <v>275</v>
      </c>
    </row>
    <row r="669" spans="1:51" hidden="1" x14ac:dyDescent="0.3">
      <c r="A669" t="s">
        <v>413</v>
      </c>
      <c r="C669" t="s">
        <v>251</v>
      </c>
      <c r="D669" t="s">
        <v>81</v>
      </c>
      <c r="E669">
        <v>100000000</v>
      </c>
      <c r="H669">
        <v>1.33</v>
      </c>
      <c r="I669" t="s">
        <v>56</v>
      </c>
      <c r="J669">
        <v>1.3300000000000001E-4</v>
      </c>
      <c r="K669" t="s">
        <v>57</v>
      </c>
      <c r="N669" t="s">
        <v>314</v>
      </c>
      <c r="O669">
        <v>275</v>
      </c>
      <c r="P669" t="s">
        <v>277</v>
      </c>
      <c r="T669">
        <v>25</v>
      </c>
      <c r="V669">
        <v>50</v>
      </c>
      <c r="W669" t="s">
        <v>414</v>
      </c>
      <c r="X669" t="s">
        <v>280</v>
      </c>
      <c r="Y669">
        <v>12.6120556414219</v>
      </c>
      <c r="AB669">
        <v>1.0384615384615301</v>
      </c>
      <c r="AC669" t="s">
        <v>85</v>
      </c>
      <c r="AI669">
        <v>2</v>
      </c>
      <c r="AV669" t="s">
        <v>88</v>
      </c>
      <c r="AY669">
        <v>275</v>
      </c>
    </row>
    <row r="670" spans="1:51" hidden="1" x14ac:dyDescent="0.3">
      <c r="A670" t="s">
        <v>413</v>
      </c>
      <c r="C670" t="s">
        <v>251</v>
      </c>
      <c r="D670" t="s">
        <v>81</v>
      </c>
      <c r="E670">
        <v>100000000</v>
      </c>
      <c r="H670">
        <v>1.33</v>
      </c>
      <c r="I670" t="s">
        <v>56</v>
      </c>
      <c r="J670">
        <v>1.3300000000000001E-4</v>
      </c>
      <c r="K670" t="s">
        <v>57</v>
      </c>
      <c r="N670" t="s">
        <v>314</v>
      </c>
      <c r="O670">
        <v>275</v>
      </c>
      <c r="P670" t="s">
        <v>277</v>
      </c>
      <c r="T670">
        <v>25</v>
      </c>
      <c r="V670">
        <v>50</v>
      </c>
      <c r="W670" t="s">
        <v>414</v>
      </c>
      <c r="X670" t="s">
        <v>280</v>
      </c>
      <c r="Y670">
        <v>14.7449768160741</v>
      </c>
      <c r="AB670">
        <v>1.7967032967032901</v>
      </c>
      <c r="AC670" t="s">
        <v>85</v>
      </c>
      <c r="AI670">
        <v>2</v>
      </c>
      <c r="AV670" t="s">
        <v>88</v>
      </c>
      <c r="AY670">
        <v>275</v>
      </c>
    </row>
    <row r="671" spans="1:51" hidden="1" x14ac:dyDescent="0.3">
      <c r="A671" t="s">
        <v>413</v>
      </c>
      <c r="C671" t="s">
        <v>251</v>
      </c>
      <c r="D671" t="s">
        <v>81</v>
      </c>
      <c r="E671">
        <v>100000000</v>
      </c>
      <c r="H671">
        <v>1.33</v>
      </c>
      <c r="I671" t="s">
        <v>56</v>
      </c>
      <c r="J671">
        <v>1.3300000000000001E-4</v>
      </c>
      <c r="K671" t="s">
        <v>57</v>
      </c>
      <c r="N671" t="s">
        <v>314</v>
      </c>
      <c r="O671">
        <v>275</v>
      </c>
      <c r="P671" t="s">
        <v>277</v>
      </c>
      <c r="T671">
        <v>25</v>
      </c>
      <c r="V671">
        <v>50</v>
      </c>
      <c r="W671" t="s">
        <v>414</v>
      </c>
      <c r="X671" t="s">
        <v>280</v>
      </c>
      <c r="Y671">
        <v>17.990726429675401</v>
      </c>
      <c r="AB671">
        <v>3.7912087912087902</v>
      </c>
      <c r="AC671" t="s">
        <v>85</v>
      </c>
      <c r="AI671">
        <v>2</v>
      </c>
      <c r="AV671" t="s">
        <v>88</v>
      </c>
      <c r="AY671">
        <v>275</v>
      </c>
    </row>
    <row r="672" spans="1:51" hidden="1" x14ac:dyDescent="0.3">
      <c r="A672" t="s">
        <v>413</v>
      </c>
      <c r="C672" t="s">
        <v>251</v>
      </c>
      <c r="D672" t="s">
        <v>81</v>
      </c>
      <c r="E672">
        <v>100000000</v>
      </c>
      <c r="H672">
        <v>1.33</v>
      </c>
      <c r="I672" t="s">
        <v>56</v>
      </c>
      <c r="J672">
        <v>1.3300000000000001E-4</v>
      </c>
      <c r="K672" t="s">
        <v>57</v>
      </c>
      <c r="N672" t="s">
        <v>314</v>
      </c>
      <c r="O672">
        <v>275</v>
      </c>
      <c r="P672" t="s">
        <v>277</v>
      </c>
      <c r="T672">
        <v>25</v>
      </c>
      <c r="V672">
        <v>50</v>
      </c>
      <c r="W672" t="s">
        <v>414</v>
      </c>
      <c r="X672" t="s">
        <v>280</v>
      </c>
      <c r="Y672">
        <v>19.721792890262709</v>
      </c>
      <c r="AB672">
        <v>4.8131868131868103</v>
      </c>
      <c r="AC672" t="s">
        <v>85</v>
      </c>
      <c r="AI672">
        <v>2</v>
      </c>
      <c r="AV672" t="s">
        <v>88</v>
      </c>
      <c r="AY672">
        <v>275</v>
      </c>
    </row>
    <row r="673" spans="1:52" hidden="1" x14ac:dyDescent="0.3">
      <c r="A673" t="s">
        <v>415</v>
      </c>
      <c r="C673" t="s">
        <v>251</v>
      </c>
      <c r="D673" t="s">
        <v>81</v>
      </c>
      <c r="E673">
        <v>100000000</v>
      </c>
      <c r="H673">
        <v>0.79</v>
      </c>
      <c r="I673" t="s">
        <v>56</v>
      </c>
      <c r="J673">
        <v>7.9000000000000009E-5</v>
      </c>
      <c r="K673" t="s">
        <v>57</v>
      </c>
      <c r="T673">
        <v>28</v>
      </c>
      <c r="V673">
        <v>50</v>
      </c>
      <c r="W673" t="s">
        <v>416</v>
      </c>
      <c r="X673" t="s">
        <v>255</v>
      </c>
      <c r="Y673">
        <v>2</v>
      </c>
      <c r="AB673">
        <v>1</v>
      </c>
      <c r="AC673" t="s">
        <v>297</v>
      </c>
      <c r="AI673">
        <v>1</v>
      </c>
      <c r="AV673" t="s">
        <v>88</v>
      </c>
      <c r="AZ673">
        <v>1</v>
      </c>
    </row>
    <row r="674" spans="1:52" hidden="1" x14ac:dyDescent="0.3">
      <c r="A674" t="s">
        <v>415</v>
      </c>
      <c r="C674" t="s">
        <v>251</v>
      </c>
      <c r="D674" t="s">
        <v>81</v>
      </c>
      <c r="E674">
        <v>100000000</v>
      </c>
      <c r="H674">
        <v>0.79</v>
      </c>
      <c r="I674" t="s">
        <v>56</v>
      </c>
      <c r="J674">
        <v>7.9000000000000009E-5</v>
      </c>
      <c r="K674" t="s">
        <v>57</v>
      </c>
      <c r="T674">
        <v>28</v>
      </c>
      <c r="V674">
        <v>50</v>
      </c>
      <c r="W674" t="s">
        <v>416</v>
      </c>
      <c r="X674" t="s">
        <v>255</v>
      </c>
      <c r="Y674">
        <v>4</v>
      </c>
      <c r="AB674">
        <v>1</v>
      </c>
      <c r="AC674" t="s">
        <v>297</v>
      </c>
      <c r="AI674">
        <v>1</v>
      </c>
      <c r="AV674" t="s">
        <v>88</v>
      </c>
      <c r="AZ674">
        <v>1</v>
      </c>
    </row>
    <row r="675" spans="1:52" hidden="1" x14ac:dyDescent="0.3">
      <c r="A675" t="s">
        <v>415</v>
      </c>
      <c r="C675" t="s">
        <v>251</v>
      </c>
      <c r="D675" t="s">
        <v>81</v>
      </c>
      <c r="E675">
        <v>100000000</v>
      </c>
      <c r="H675">
        <v>0.79</v>
      </c>
      <c r="I675" t="s">
        <v>56</v>
      </c>
      <c r="J675">
        <v>7.9000000000000009E-5</v>
      </c>
      <c r="K675" t="s">
        <v>57</v>
      </c>
      <c r="T675">
        <v>28</v>
      </c>
      <c r="V675">
        <v>50</v>
      </c>
      <c r="W675" t="s">
        <v>416</v>
      </c>
      <c r="X675" t="s">
        <v>255</v>
      </c>
      <c r="Y675">
        <v>6</v>
      </c>
      <c r="AB675">
        <v>0</v>
      </c>
      <c r="AC675" t="s">
        <v>297</v>
      </c>
      <c r="AI675">
        <v>1</v>
      </c>
      <c r="AV675" t="s">
        <v>88</v>
      </c>
      <c r="AZ675">
        <v>0</v>
      </c>
    </row>
    <row r="676" spans="1:52" hidden="1" x14ac:dyDescent="0.3">
      <c r="A676" t="s">
        <v>415</v>
      </c>
      <c r="C676" t="s">
        <v>251</v>
      </c>
      <c r="D676" t="s">
        <v>81</v>
      </c>
      <c r="E676">
        <v>100000000</v>
      </c>
      <c r="H676">
        <v>0.79</v>
      </c>
      <c r="I676" t="s">
        <v>56</v>
      </c>
      <c r="J676">
        <v>7.9000000000000009E-5</v>
      </c>
      <c r="K676" t="s">
        <v>57</v>
      </c>
      <c r="T676">
        <v>28</v>
      </c>
      <c r="V676">
        <v>50</v>
      </c>
      <c r="W676" t="s">
        <v>416</v>
      </c>
      <c r="X676" t="s">
        <v>255</v>
      </c>
      <c r="Y676">
        <v>8</v>
      </c>
      <c r="AB676">
        <v>0</v>
      </c>
      <c r="AC676" t="s">
        <v>297</v>
      </c>
      <c r="AI676">
        <v>1</v>
      </c>
      <c r="AV676" t="s">
        <v>88</v>
      </c>
      <c r="AZ676">
        <v>0</v>
      </c>
    </row>
    <row r="677" spans="1:52" hidden="1" x14ac:dyDescent="0.3">
      <c r="A677" t="s">
        <v>415</v>
      </c>
      <c r="C677" t="s">
        <v>251</v>
      </c>
      <c r="D677" t="s">
        <v>81</v>
      </c>
      <c r="E677">
        <v>100000000</v>
      </c>
      <c r="H677">
        <v>0.79</v>
      </c>
      <c r="I677" t="s">
        <v>56</v>
      </c>
      <c r="J677">
        <v>7.9000000000000009E-5</v>
      </c>
      <c r="K677" t="s">
        <v>57</v>
      </c>
      <c r="T677">
        <v>28</v>
      </c>
      <c r="V677">
        <v>50</v>
      </c>
      <c r="W677" t="s">
        <v>416</v>
      </c>
      <c r="X677" t="s">
        <v>255</v>
      </c>
      <c r="Y677">
        <v>10</v>
      </c>
      <c r="AB677">
        <v>0</v>
      </c>
      <c r="AC677" t="s">
        <v>297</v>
      </c>
      <c r="AI677">
        <v>1</v>
      </c>
      <c r="AV677" t="s">
        <v>88</v>
      </c>
      <c r="AZ677">
        <v>0</v>
      </c>
    </row>
    <row r="678" spans="1:52" hidden="1" x14ac:dyDescent="0.3">
      <c r="A678" t="s">
        <v>415</v>
      </c>
      <c r="C678" t="s">
        <v>251</v>
      </c>
      <c r="D678" t="s">
        <v>81</v>
      </c>
      <c r="E678">
        <v>100000000</v>
      </c>
      <c r="H678">
        <v>0.79</v>
      </c>
      <c r="I678" t="s">
        <v>56</v>
      </c>
      <c r="J678">
        <v>7.9000000000000009E-5</v>
      </c>
      <c r="K678" t="s">
        <v>57</v>
      </c>
      <c r="T678">
        <v>28</v>
      </c>
      <c r="V678">
        <v>50</v>
      </c>
      <c r="W678" t="s">
        <v>416</v>
      </c>
      <c r="X678" t="s">
        <v>255</v>
      </c>
      <c r="Y678">
        <v>11</v>
      </c>
      <c r="AB678">
        <v>0</v>
      </c>
      <c r="AC678" t="s">
        <v>297</v>
      </c>
      <c r="AI678">
        <v>1</v>
      </c>
      <c r="AV678" t="s">
        <v>88</v>
      </c>
      <c r="AZ678">
        <v>0</v>
      </c>
    </row>
    <row r="679" spans="1:52" hidden="1" x14ac:dyDescent="0.3">
      <c r="A679" t="s">
        <v>415</v>
      </c>
      <c r="C679" t="s">
        <v>251</v>
      </c>
      <c r="D679" t="s">
        <v>81</v>
      </c>
      <c r="E679">
        <v>100000000</v>
      </c>
      <c r="H679">
        <v>0.79</v>
      </c>
      <c r="I679" t="s">
        <v>56</v>
      </c>
      <c r="J679">
        <v>7.9000000000000009E-5</v>
      </c>
      <c r="K679" t="s">
        <v>57</v>
      </c>
      <c r="T679">
        <v>28</v>
      </c>
      <c r="V679">
        <v>50</v>
      </c>
      <c r="W679" t="s">
        <v>416</v>
      </c>
      <c r="X679" t="s">
        <v>255</v>
      </c>
      <c r="Y679">
        <v>12</v>
      </c>
      <c r="AB679">
        <v>0</v>
      </c>
      <c r="AC679" t="s">
        <v>297</v>
      </c>
      <c r="AI679">
        <v>1</v>
      </c>
      <c r="AV679" t="s">
        <v>88</v>
      </c>
      <c r="AZ679">
        <v>0</v>
      </c>
    </row>
    <row r="680" spans="1:52" hidden="1" x14ac:dyDescent="0.3">
      <c r="A680" t="s">
        <v>415</v>
      </c>
      <c r="C680" t="s">
        <v>251</v>
      </c>
      <c r="D680" t="s">
        <v>81</v>
      </c>
      <c r="E680">
        <v>10000000</v>
      </c>
      <c r="H680">
        <v>0.79</v>
      </c>
      <c r="I680" t="s">
        <v>56</v>
      </c>
      <c r="J680">
        <v>7.9000000000000009E-5</v>
      </c>
      <c r="K680" t="s">
        <v>57</v>
      </c>
      <c r="T680">
        <v>28</v>
      </c>
      <c r="V680">
        <v>50</v>
      </c>
      <c r="W680" t="s">
        <v>416</v>
      </c>
      <c r="X680" t="s">
        <v>255</v>
      </c>
      <c r="Y680">
        <v>20</v>
      </c>
      <c r="AB680">
        <v>0</v>
      </c>
      <c r="AC680" t="s">
        <v>297</v>
      </c>
      <c r="AI680">
        <v>1</v>
      </c>
      <c r="AV680" t="s">
        <v>88</v>
      </c>
      <c r="AZ680">
        <v>0</v>
      </c>
    </row>
    <row r="681" spans="1:52" hidden="1" x14ac:dyDescent="0.3">
      <c r="A681" t="s">
        <v>417</v>
      </c>
      <c r="C681" t="s">
        <v>251</v>
      </c>
      <c r="D681" t="s">
        <v>81</v>
      </c>
      <c r="E681">
        <v>10000000</v>
      </c>
      <c r="H681">
        <v>0.79</v>
      </c>
      <c r="I681" t="s">
        <v>56</v>
      </c>
      <c r="J681">
        <v>7.9000000000000009E-5</v>
      </c>
      <c r="K681" t="s">
        <v>57</v>
      </c>
      <c r="O681">
        <v>80</v>
      </c>
      <c r="P681" t="s">
        <v>277</v>
      </c>
      <c r="V681">
        <v>80</v>
      </c>
      <c r="W681" t="s">
        <v>388</v>
      </c>
      <c r="X681" t="s">
        <v>255</v>
      </c>
      <c r="Y681">
        <v>90</v>
      </c>
      <c r="AB681">
        <v>7.23</v>
      </c>
      <c r="AC681" t="s">
        <v>85</v>
      </c>
      <c r="AD681" t="s">
        <v>418</v>
      </c>
      <c r="AE681" t="s">
        <v>63</v>
      </c>
      <c r="AT681" t="s">
        <v>65</v>
      </c>
      <c r="AV681" t="s">
        <v>88</v>
      </c>
    </row>
    <row r="682" spans="1:52" hidden="1" x14ac:dyDescent="0.3">
      <c r="A682" t="s">
        <v>417</v>
      </c>
      <c r="C682" t="s">
        <v>251</v>
      </c>
      <c r="D682" t="s">
        <v>81</v>
      </c>
      <c r="E682">
        <v>10000000</v>
      </c>
      <c r="H682">
        <v>0.79</v>
      </c>
      <c r="I682" t="s">
        <v>56</v>
      </c>
      <c r="J682">
        <v>7.9000000000000009E-5</v>
      </c>
      <c r="K682" t="s">
        <v>57</v>
      </c>
      <c r="O682">
        <v>80</v>
      </c>
      <c r="P682" t="s">
        <v>277</v>
      </c>
      <c r="V682">
        <v>80</v>
      </c>
      <c r="W682" t="s">
        <v>388</v>
      </c>
      <c r="X682" t="s">
        <v>255</v>
      </c>
      <c r="Y682">
        <v>90</v>
      </c>
      <c r="AB682">
        <v>7.23</v>
      </c>
      <c r="AC682" t="s">
        <v>85</v>
      </c>
      <c r="AD682" t="s">
        <v>418</v>
      </c>
      <c r="AE682" t="s">
        <v>63</v>
      </c>
      <c r="AT682" t="s">
        <v>65</v>
      </c>
      <c r="AV682" t="s">
        <v>88</v>
      </c>
    </row>
    <row r="683" spans="1:52" hidden="1" x14ac:dyDescent="0.3">
      <c r="A683" t="s">
        <v>417</v>
      </c>
      <c r="C683" t="s">
        <v>251</v>
      </c>
      <c r="D683" t="s">
        <v>81</v>
      </c>
      <c r="E683">
        <v>10000000</v>
      </c>
      <c r="H683">
        <v>0.79</v>
      </c>
      <c r="I683" t="s">
        <v>56</v>
      </c>
      <c r="J683">
        <v>7.9000000000000009E-5</v>
      </c>
      <c r="K683" t="s">
        <v>57</v>
      </c>
      <c r="O683">
        <v>80</v>
      </c>
      <c r="P683" t="s">
        <v>277</v>
      </c>
      <c r="V683">
        <v>80</v>
      </c>
      <c r="W683" t="s">
        <v>388</v>
      </c>
      <c r="X683" t="s">
        <v>255</v>
      </c>
      <c r="Y683">
        <v>90</v>
      </c>
      <c r="AB683">
        <v>6.37</v>
      </c>
      <c r="AC683" t="s">
        <v>85</v>
      </c>
      <c r="AD683" t="s">
        <v>231</v>
      </c>
      <c r="AE683" t="s">
        <v>63</v>
      </c>
      <c r="AT683" t="s">
        <v>65</v>
      </c>
      <c r="AV683" t="s">
        <v>88</v>
      </c>
    </row>
    <row r="684" spans="1:52" hidden="1" x14ac:dyDescent="0.3">
      <c r="A684" t="s">
        <v>419</v>
      </c>
      <c r="C684" t="s">
        <v>251</v>
      </c>
      <c r="D684" t="s">
        <v>81</v>
      </c>
      <c r="E684">
        <v>10000000</v>
      </c>
      <c r="H684">
        <v>14.25</v>
      </c>
      <c r="I684" t="s">
        <v>56</v>
      </c>
      <c r="J684">
        <v>1.4250000000000001E-3</v>
      </c>
      <c r="K684" t="s">
        <v>57</v>
      </c>
      <c r="O684">
        <v>7000</v>
      </c>
      <c r="P684" t="s">
        <v>315</v>
      </c>
      <c r="S684">
        <v>2</v>
      </c>
      <c r="T684">
        <v>22</v>
      </c>
      <c r="V684">
        <v>85</v>
      </c>
      <c r="W684" t="s">
        <v>147</v>
      </c>
      <c r="X684" t="s">
        <v>280</v>
      </c>
      <c r="Y684">
        <v>240</v>
      </c>
      <c r="AB684">
        <v>4.3899999999999997</v>
      </c>
      <c r="AC684" t="s">
        <v>85</v>
      </c>
      <c r="AD684">
        <v>1.29</v>
      </c>
      <c r="AE684" t="s">
        <v>138</v>
      </c>
      <c r="AI684">
        <v>5</v>
      </c>
      <c r="AJ684" t="s">
        <v>201</v>
      </c>
      <c r="AT684" t="s">
        <v>150</v>
      </c>
      <c r="AV684" t="s">
        <v>88</v>
      </c>
    </row>
    <row r="685" spans="1:52" hidden="1" x14ac:dyDescent="0.3">
      <c r="A685" t="s">
        <v>419</v>
      </c>
      <c r="C685" t="s">
        <v>251</v>
      </c>
      <c r="D685" t="s">
        <v>81</v>
      </c>
      <c r="E685">
        <v>10000000</v>
      </c>
      <c r="H685">
        <v>14.25</v>
      </c>
      <c r="I685" t="s">
        <v>56</v>
      </c>
      <c r="J685">
        <v>1.4250000000000001E-3</v>
      </c>
      <c r="K685" t="s">
        <v>57</v>
      </c>
      <c r="O685">
        <v>7000</v>
      </c>
      <c r="P685" t="s">
        <v>315</v>
      </c>
      <c r="S685">
        <v>2</v>
      </c>
      <c r="T685">
        <v>22</v>
      </c>
      <c r="V685">
        <v>85</v>
      </c>
      <c r="W685" t="s">
        <v>74</v>
      </c>
      <c r="X685" t="s">
        <v>280</v>
      </c>
      <c r="Y685">
        <v>240</v>
      </c>
      <c r="AB685">
        <v>4.13</v>
      </c>
      <c r="AC685" t="s">
        <v>85</v>
      </c>
      <c r="AD685">
        <v>1.36</v>
      </c>
      <c r="AE685" t="s">
        <v>138</v>
      </c>
      <c r="AI685">
        <v>5</v>
      </c>
      <c r="AJ685" t="s">
        <v>201</v>
      </c>
      <c r="AT685" t="s">
        <v>75</v>
      </c>
      <c r="AV685" t="s">
        <v>88</v>
      </c>
    </row>
    <row r="686" spans="1:52" hidden="1" x14ac:dyDescent="0.3">
      <c r="A686" t="s">
        <v>419</v>
      </c>
      <c r="C686" t="s">
        <v>251</v>
      </c>
      <c r="D686" t="s">
        <v>81</v>
      </c>
      <c r="E686">
        <v>10000000</v>
      </c>
      <c r="H686">
        <v>14.25</v>
      </c>
      <c r="I686" t="s">
        <v>56</v>
      </c>
      <c r="J686">
        <v>1.4250000000000001E-3</v>
      </c>
      <c r="K686" t="s">
        <v>57</v>
      </c>
      <c r="O686">
        <v>7000</v>
      </c>
      <c r="P686" t="s">
        <v>315</v>
      </c>
      <c r="S686">
        <v>2</v>
      </c>
      <c r="T686">
        <v>22</v>
      </c>
      <c r="V686">
        <v>85</v>
      </c>
      <c r="W686" t="s">
        <v>72</v>
      </c>
      <c r="X686" t="s">
        <v>280</v>
      </c>
      <c r="Y686">
        <v>240</v>
      </c>
      <c r="AB686">
        <v>4.0999999999999996</v>
      </c>
      <c r="AC686" t="s">
        <v>85</v>
      </c>
      <c r="AD686">
        <v>0.86</v>
      </c>
      <c r="AE686" t="s">
        <v>138</v>
      </c>
      <c r="AI686">
        <v>5</v>
      </c>
      <c r="AJ686" t="s">
        <v>201</v>
      </c>
      <c r="AT686" t="s">
        <v>73</v>
      </c>
      <c r="AV686" t="s">
        <v>88</v>
      </c>
    </row>
    <row r="687" spans="1:52" hidden="1" x14ac:dyDescent="0.3">
      <c r="A687" t="s">
        <v>419</v>
      </c>
      <c r="C687" t="s">
        <v>251</v>
      </c>
      <c r="D687" t="s">
        <v>81</v>
      </c>
      <c r="E687">
        <v>10000000</v>
      </c>
      <c r="H687">
        <v>14.25</v>
      </c>
      <c r="I687" t="s">
        <v>56</v>
      </c>
      <c r="J687">
        <v>1.4250000000000001E-3</v>
      </c>
      <c r="K687" t="s">
        <v>57</v>
      </c>
      <c r="O687">
        <v>7000</v>
      </c>
      <c r="P687" t="s">
        <v>315</v>
      </c>
      <c r="S687">
        <v>2</v>
      </c>
      <c r="T687">
        <v>22</v>
      </c>
      <c r="V687">
        <v>85</v>
      </c>
      <c r="W687" t="s">
        <v>420</v>
      </c>
      <c r="X687" t="s">
        <v>280</v>
      </c>
      <c r="Y687">
        <v>240</v>
      </c>
      <c r="AB687">
        <v>3.11</v>
      </c>
      <c r="AC687" t="s">
        <v>85</v>
      </c>
      <c r="AD687">
        <v>0.16</v>
      </c>
      <c r="AE687" t="s">
        <v>138</v>
      </c>
      <c r="AI687">
        <v>5</v>
      </c>
      <c r="AJ687" t="s">
        <v>201</v>
      </c>
      <c r="AV687" t="s">
        <v>88</v>
      </c>
    </row>
    <row r="688" spans="1:52" hidden="1" x14ac:dyDescent="0.3">
      <c r="A688" t="s">
        <v>419</v>
      </c>
      <c r="C688" t="s">
        <v>251</v>
      </c>
      <c r="D688" t="s">
        <v>81</v>
      </c>
      <c r="E688">
        <v>10000000</v>
      </c>
      <c r="H688">
        <v>14.25</v>
      </c>
      <c r="I688" t="s">
        <v>56</v>
      </c>
      <c r="J688">
        <v>1.4250000000000001E-3</v>
      </c>
      <c r="K688" t="s">
        <v>57</v>
      </c>
      <c r="O688">
        <v>7000</v>
      </c>
      <c r="P688" t="s">
        <v>315</v>
      </c>
      <c r="S688">
        <v>2</v>
      </c>
      <c r="T688">
        <v>22</v>
      </c>
      <c r="V688">
        <v>85</v>
      </c>
      <c r="W688" t="s">
        <v>421</v>
      </c>
      <c r="X688" t="s">
        <v>280</v>
      </c>
      <c r="Y688">
        <v>240</v>
      </c>
      <c r="AB688">
        <v>2.33</v>
      </c>
      <c r="AC688" t="s">
        <v>85</v>
      </c>
      <c r="AD688">
        <v>0.17</v>
      </c>
      <c r="AE688" t="s">
        <v>138</v>
      </c>
      <c r="AI688">
        <v>5</v>
      </c>
      <c r="AJ688" t="s">
        <v>201</v>
      </c>
      <c r="AT688" t="s">
        <v>65</v>
      </c>
      <c r="AV688" t="s">
        <v>88</v>
      </c>
    </row>
    <row r="689" spans="1:53" hidden="1" x14ac:dyDescent="0.3">
      <c r="A689" t="s">
        <v>419</v>
      </c>
      <c r="C689" t="s">
        <v>251</v>
      </c>
      <c r="D689" t="s">
        <v>81</v>
      </c>
      <c r="E689">
        <v>10000000</v>
      </c>
      <c r="H689">
        <v>14.25</v>
      </c>
      <c r="I689" t="s">
        <v>56</v>
      </c>
      <c r="J689">
        <v>1.4250000000000001E-3</v>
      </c>
      <c r="K689" t="s">
        <v>57</v>
      </c>
      <c r="O689">
        <v>7000</v>
      </c>
      <c r="P689" t="s">
        <v>315</v>
      </c>
      <c r="S689">
        <v>2</v>
      </c>
      <c r="T689">
        <v>22</v>
      </c>
      <c r="V689">
        <v>85</v>
      </c>
      <c r="W689" t="s">
        <v>422</v>
      </c>
      <c r="X689" t="s">
        <v>280</v>
      </c>
      <c r="Y689">
        <v>240</v>
      </c>
      <c r="AA689" t="s">
        <v>94</v>
      </c>
      <c r="AB689">
        <v>7.6</v>
      </c>
      <c r="AC689" t="s">
        <v>85</v>
      </c>
      <c r="AD689">
        <v>0.1</v>
      </c>
      <c r="AE689" t="s">
        <v>138</v>
      </c>
      <c r="AI689">
        <v>5</v>
      </c>
      <c r="AJ689" t="s">
        <v>201</v>
      </c>
      <c r="AT689" t="s">
        <v>79</v>
      </c>
      <c r="AV689" t="s">
        <v>88</v>
      </c>
      <c r="AZ689">
        <v>0</v>
      </c>
      <c r="BA689">
        <v>7.6</v>
      </c>
    </row>
    <row r="690" spans="1:53" hidden="1" x14ac:dyDescent="0.3">
      <c r="A690" t="s">
        <v>419</v>
      </c>
      <c r="C690" t="s">
        <v>251</v>
      </c>
      <c r="D690" t="s">
        <v>81</v>
      </c>
      <c r="E690">
        <v>10000000</v>
      </c>
      <c r="H690">
        <v>14.25</v>
      </c>
      <c r="I690" t="s">
        <v>56</v>
      </c>
      <c r="J690">
        <v>1.4250000000000001E-3</v>
      </c>
      <c r="K690" t="s">
        <v>57</v>
      </c>
      <c r="O690">
        <v>7000</v>
      </c>
      <c r="P690" t="s">
        <v>315</v>
      </c>
      <c r="S690">
        <v>2</v>
      </c>
      <c r="T690">
        <v>22</v>
      </c>
      <c r="V690">
        <v>85</v>
      </c>
      <c r="W690" t="s">
        <v>147</v>
      </c>
      <c r="X690" t="s">
        <v>280</v>
      </c>
      <c r="Y690">
        <v>360</v>
      </c>
      <c r="AB690">
        <v>2.71</v>
      </c>
      <c r="AC690" t="s">
        <v>85</v>
      </c>
      <c r="AD690">
        <v>0.39</v>
      </c>
      <c r="AE690" t="s">
        <v>138</v>
      </c>
      <c r="AI690">
        <v>5</v>
      </c>
      <c r="AJ690" t="s">
        <v>201</v>
      </c>
      <c r="AT690" t="s">
        <v>150</v>
      </c>
      <c r="AV690" t="s">
        <v>88</v>
      </c>
    </row>
    <row r="691" spans="1:53" hidden="1" x14ac:dyDescent="0.3">
      <c r="A691" t="s">
        <v>419</v>
      </c>
      <c r="C691" t="s">
        <v>251</v>
      </c>
      <c r="D691" t="s">
        <v>81</v>
      </c>
      <c r="E691">
        <v>10000000</v>
      </c>
      <c r="H691">
        <v>14.25</v>
      </c>
      <c r="I691" t="s">
        <v>56</v>
      </c>
      <c r="J691">
        <v>1.4250000000000001E-3</v>
      </c>
      <c r="K691" t="s">
        <v>57</v>
      </c>
      <c r="O691">
        <v>7000</v>
      </c>
      <c r="P691" t="s">
        <v>315</v>
      </c>
      <c r="S691">
        <v>2</v>
      </c>
      <c r="T691">
        <v>22</v>
      </c>
      <c r="V691">
        <v>85</v>
      </c>
      <c r="W691" t="s">
        <v>74</v>
      </c>
      <c r="X691" t="s">
        <v>280</v>
      </c>
      <c r="Y691">
        <v>360</v>
      </c>
      <c r="AB691">
        <v>5.04</v>
      </c>
      <c r="AC691" t="s">
        <v>85</v>
      </c>
      <c r="AD691">
        <v>1.35</v>
      </c>
      <c r="AE691" t="s">
        <v>138</v>
      </c>
      <c r="AI691">
        <v>5</v>
      </c>
      <c r="AJ691" t="s">
        <v>201</v>
      </c>
      <c r="AT691" t="s">
        <v>75</v>
      </c>
      <c r="AV691" t="s">
        <v>88</v>
      </c>
    </row>
    <row r="692" spans="1:53" hidden="1" x14ac:dyDescent="0.3">
      <c r="A692" t="s">
        <v>419</v>
      </c>
      <c r="C692" t="s">
        <v>251</v>
      </c>
      <c r="D692" t="s">
        <v>81</v>
      </c>
      <c r="E692">
        <v>10000000</v>
      </c>
      <c r="H692">
        <v>14.25</v>
      </c>
      <c r="I692" t="s">
        <v>56</v>
      </c>
      <c r="J692">
        <v>1.4250000000000001E-3</v>
      </c>
      <c r="K692" t="s">
        <v>57</v>
      </c>
      <c r="O692">
        <v>7000</v>
      </c>
      <c r="P692" t="s">
        <v>315</v>
      </c>
      <c r="S692">
        <v>2</v>
      </c>
      <c r="T692">
        <v>22</v>
      </c>
      <c r="V692">
        <v>85</v>
      </c>
      <c r="W692" t="s">
        <v>72</v>
      </c>
      <c r="X692" t="s">
        <v>280</v>
      </c>
      <c r="Y692">
        <v>360</v>
      </c>
      <c r="AB692">
        <v>6.13</v>
      </c>
      <c r="AC692" t="s">
        <v>85</v>
      </c>
      <c r="AD692">
        <v>1.46</v>
      </c>
      <c r="AE692" t="s">
        <v>138</v>
      </c>
      <c r="AI692">
        <v>5</v>
      </c>
      <c r="AJ692" t="s">
        <v>201</v>
      </c>
      <c r="AT692" t="s">
        <v>73</v>
      </c>
      <c r="AV692" t="s">
        <v>88</v>
      </c>
    </row>
    <row r="693" spans="1:53" hidden="1" x14ac:dyDescent="0.3">
      <c r="A693" t="s">
        <v>419</v>
      </c>
      <c r="C693" t="s">
        <v>251</v>
      </c>
      <c r="D693" t="s">
        <v>81</v>
      </c>
      <c r="E693">
        <v>10000000</v>
      </c>
      <c r="H693">
        <v>14.25</v>
      </c>
      <c r="I693" t="s">
        <v>56</v>
      </c>
      <c r="J693">
        <v>1.4250000000000001E-3</v>
      </c>
      <c r="K693" t="s">
        <v>57</v>
      </c>
      <c r="O693">
        <v>7000</v>
      </c>
      <c r="P693" t="s">
        <v>315</v>
      </c>
      <c r="S693">
        <v>2</v>
      </c>
      <c r="T693">
        <v>22</v>
      </c>
      <c r="V693">
        <v>85</v>
      </c>
      <c r="W693" t="s">
        <v>420</v>
      </c>
      <c r="X693" t="s">
        <v>280</v>
      </c>
      <c r="Y693">
        <v>360</v>
      </c>
      <c r="AB693">
        <v>2.79</v>
      </c>
      <c r="AC693" t="s">
        <v>85</v>
      </c>
      <c r="AD693">
        <v>0.17</v>
      </c>
      <c r="AE693" t="s">
        <v>138</v>
      </c>
      <c r="AI693">
        <v>5</v>
      </c>
      <c r="AJ693" t="s">
        <v>201</v>
      </c>
      <c r="AV693" t="s">
        <v>88</v>
      </c>
    </row>
    <row r="694" spans="1:53" hidden="1" x14ac:dyDescent="0.3">
      <c r="A694" t="s">
        <v>419</v>
      </c>
      <c r="C694" t="s">
        <v>251</v>
      </c>
      <c r="D694" t="s">
        <v>81</v>
      </c>
      <c r="E694">
        <v>10000000</v>
      </c>
      <c r="H694">
        <v>14.25</v>
      </c>
      <c r="I694" t="s">
        <v>56</v>
      </c>
      <c r="J694">
        <v>1.4250000000000001E-3</v>
      </c>
      <c r="K694" t="s">
        <v>57</v>
      </c>
      <c r="O694">
        <v>7000</v>
      </c>
      <c r="P694" t="s">
        <v>315</v>
      </c>
      <c r="S694">
        <v>2</v>
      </c>
      <c r="T694">
        <v>22</v>
      </c>
      <c r="V694">
        <v>85</v>
      </c>
      <c r="W694" t="s">
        <v>421</v>
      </c>
      <c r="X694" t="s">
        <v>280</v>
      </c>
      <c r="Y694">
        <v>360</v>
      </c>
      <c r="AB694">
        <v>1.98</v>
      </c>
      <c r="AC694" t="s">
        <v>85</v>
      </c>
      <c r="AD694">
        <v>0.35</v>
      </c>
      <c r="AE694" t="s">
        <v>138</v>
      </c>
      <c r="AI694">
        <v>5</v>
      </c>
      <c r="AJ694" t="s">
        <v>201</v>
      </c>
      <c r="AT694" t="s">
        <v>65</v>
      </c>
      <c r="AV694" t="s">
        <v>88</v>
      </c>
    </row>
    <row r="695" spans="1:53" hidden="1" x14ac:dyDescent="0.3">
      <c r="A695" t="s">
        <v>419</v>
      </c>
      <c r="C695" t="s">
        <v>251</v>
      </c>
      <c r="D695" t="s">
        <v>81</v>
      </c>
      <c r="E695">
        <v>10000000</v>
      </c>
      <c r="H695">
        <v>14.25</v>
      </c>
      <c r="I695" t="s">
        <v>56</v>
      </c>
      <c r="J695">
        <v>1.4250000000000001E-3</v>
      </c>
      <c r="K695" t="s">
        <v>57</v>
      </c>
      <c r="O695">
        <v>7000</v>
      </c>
      <c r="P695" t="s">
        <v>315</v>
      </c>
      <c r="S695">
        <v>2</v>
      </c>
      <c r="T695">
        <v>22</v>
      </c>
      <c r="V695">
        <v>85</v>
      </c>
      <c r="W695" t="s">
        <v>422</v>
      </c>
      <c r="X695" t="s">
        <v>280</v>
      </c>
      <c r="Y695">
        <v>360</v>
      </c>
      <c r="AB695">
        <v>6.87</v>
      </c>
      <c r="AC695" t="s">
        <v>85</v>
      </c>
      <c r="AD695">
        <v>0.88</v>
      </c>
      <c r="AE695" t="s">
        <v>138</v>
      </c>
      <c r="AI695">
        <v>5</v>
      </c>
      <c r="AJ695" t="s">
        <v>201</v>
      </c>
      <c r="AT695" t="s">
        <v>79</v>
      </c>
      <c r="AV695" t="s">
        <v>88</v>
      </c>
    </row>
    <row r="696" spans="1:53" hidden="1" x14ac:dyDescent="0.3">
      <c r="A696" t="s">
        <v>419</v>
      </c>
      <c r="C696" t="s">
        <v>251</v>
      </c>
      <c r="D696" t="s">
        <v>81</v>
      </c>
      <c r="E696">
        <v>10000000</v>
      </c>
      <c r="H696">
        <v>14.25</v>
      </c>
      <c r="I696" t="s">
        <v>56</v>
      </c>
      <c r="J696">
        <v>1.4250000000000001E-3</v>
      </c>
      <c r="K696" t="s">
        <v>57</v>
      </c>
      <c r="O696">
        <v>7000</v>
      </c>
      <c r="P696" t="s">
        <v>315</v>
      </c>
      <c r="S696">
        <v>2</v>
      </c>
      <c r="T696">
        <v>22</v>
      </c>
      <c r="V696">
        <v>85</v>
      </c>
      <c r="W696" t="s">
        <v>147</v>
      </c>
      <c r="X696" t="s">
        <v>280</v>
      </c>
      <c r="Y696">
        <v>480</v>
      </c>
      <c r="AB696">
        <v>6.25</v>
      </c>
      <c r="AC696" t="s">
        <v>85</v>
      </c>
      <c r="AD696">
        <v>1.53</v>
      </c>
      <c r="AE696" t="s">
        <v>138</v>
      </c>
      <c r="AI696">
        <v>5</v>
      </c>
      <c r="AJ696" t="s">
        <v>201</v>
      </c>
      <c r="AT696" t="s">
        <v>150</v>
      </c>
      <c r="AV696" t="s">
        <v>88</v>
      </c>
    </row>
    <row r="697" spans="1:53" hidden="1" x14ac:dyDescent="0.3">
      <c r="A697" t="s">
        <v>419</v>
      </c>
      <c r="C697" t="s">
        <v>251</v>
      </c>
      <c r="D697" t="s">
        <v>81</v>
      </c>
      <c r="E697">
        <v>10000000</v>
      </c>
      <c r="H697">
        <v>14.25</v>
      </c>
      <c r="I697" t="s">
        <v>56</v>
      </c>
      <c r="J697">
        <v>1.4250000000000001E-3</v>
      </c>
      <c r="K697" t="s">
        <v>57</v>
      </c>
      <c r="O697">
        <v>7000</v>
      </c>
      <c r="P697" t="s">
        <v>315</v>
      </c>
      <c r="S697">
        <v>2</v>
      </c>
      <c r="T697">
        <v>22</v>
      </c>
      <c r="V697">
        <v>85</v>
      </c>
      <c r="W697" t="s">
        <v>74</v>
      </c>
      <c r="X697" t="s">
        <v>280</v>
      </c>
      <c r="Y697">
        <v>480</v>
      </c>
      <c r="AA697" t="s">
        <v>94</v>
      </c>
      <c r="AB697">
        <v>6.7</v>
      </c>
      <c r="AC697" t="s">
        <v>85</v>
      </c>
      <c r="AD697">
        <v>0.11</v>
      </c>
      <c r="AE697" t="s">
        <v>138</v>
      </c>
      <c r="AI697">
        <v>5</v>
      </c>
      <c r="AJ697" t="s">
        <v>201</v>
      </c>
      <c r="AT697" t="s">
        <v>75</v>
      </c>
      <c r="AV697" t="s">
        <v>88</v>
      </c>
      <c r="AZ697">
        <v>0</v>
      </c>
      <c r="BA697">
        <v>6.7</v>
      </c>
    </row>
    <row r="698" spans="1:53" hidden="1" x14ac:dyDescent="0.3">
      <c r="A698" t="s">
        <v>419</v>
      </c>
      <c r="C698" t="s">
        <v>251</v>
      </c>
      <c r="D698" t="s">
        <v>81</v>
      </c>
      <c r="E698">
        <v>10000000</v>
      </c>
      <c r="H698">
        <v>14.25</v>
      </c>
      <c r="I698" t="s">
        <v>56</v>
      </c>
      <c r="J698">
        <v>1.4250000000000001E-3</v>
      </c>
      <c r="K698" t="s">
        <v>57</v>
      </c>
      <c r="O698">
        <v>7000</v>
      </c>
      <c r="P698" t="s">
        <v>315</v>
      </c>
      <c r="S698">
        <v>2</v>
      </c>
      <c r="T698">
        <v>22</v>
      </c>
      <c r="V698">
        <v>85</v>
      </c>
      <c r="W698" t="s">
        <v>72</v>
      </c>
      <c r="X698" t="s">
        <v>280</v>
      </c>
      <c r="Y698">
        <v>480</v>
      </c>
      <c r="AA698" t="s">
        <v>94</v>
      </c>
      <c r="AB698">
        <v>7.82</v>
      </c>
      <c r="AC698" t="s">
        <v>85</v>
      </c>
      <c r="AD698">
        <v>0.08</v>
      </c>
      <c r="AE698" t="s">
        <v>138</v>
      </c>
      <c r="AI698">
        <v>5</v>
      </c>
      <c r="AJ698" t="s">
        <v>201</v>
      </c>
      <c r="AT698" t="s">
        <v>73</v>
      </c>
      <c r="AV698" t="s">
        <v>88</v>
      </c>
      <c r="AZ698">
        <v>0</v>
      </c>
      <c r="BA698">
        <v>7.82</v>
      </c>
    </row>
    <row r="699" spans="1:53" hidden="1" x14ac:dyDescent="0.3">
      <c r="A699" t="s">
        <v>419</v>
      </c>
      <c r="C699" t="s">
        <v>251</v>
      </c>
      <c r="D699" t="s">
        <v>81</v>
      </c>
      <c r="E699">
        <v>10000000</v>
      </c>
      <c r="H699">
        <v>14.25</v>
      </c>
      <c r="I699" t="s">
        <v>56</v>
      </c>
      <c r="J699">
        <v>1.4250000000000001E-3</v>
      </c>
      <c r="K699" t="s">
        <v>57</v>
      </c>
      <c r="O699">
        <v>7000</v>
      </c>
      <c r="P699" t="s">
        <v>315</v>
      </c>
      <c r="S699">
        <v>2</v>
      </c>
      <c r="T699">
        <v>22</v>
      </c>
      <c r="V699">
        <v>85</v>
      </c>
      <c r="W699" t="s">
        <v>420</v>
      </c>
      <c r="X699" t="s">
        <v>280</v>
      </c>
      <c r="Y699">
        <v>480</v>
      </c>
      <c r="AB699">
        <v>4.99</v>
      </c>
      <c r="AC699" t="s">
        <v>85</v>
      </c>
      <c r="AD699">
        <v>1.35</v>
      </c>
      <c r="AE699" t="s">
        <v>138</v>
      </c>
      <c r="AI699">
        <v>5</v>
      </c>
      <c r="AJ699" t="s">
        <v>201</v>
      </c>
      <c r="AV699" t="s">
        <v>88</v>
      </c>
    </row>
    <row r="700" spans="1:53" hidden="1" x14ac:dyDescent="0.3">
      <c r="A700" t="s">
        <v>419</v>
      </c>
      <c r="C700" t="s">
        <v>251</v>
      </c>
      <c r="D700" t="s">
        <v>81</v>
      </c>
      <c r="E700">
        <v>10000000</v>
      </c>
      <c r="H700">
        <v>14.25</v>
      </c>
      <c r="I700" t="s">
        <v>56</v>
      </c>
      <c r="J700">
        <v>1.4250000000000001E-3</v>
      </c>
      <c r="K700" t="s">
        <v>57</v>
      </c>
      <c r="O700">
        <v>7000</v>
      </c>
      <c r="P700" t="s">
        <v>315</v>
      </c>
      <c r="S700">
        <v>2</v>
      </c>
      <c r="T700">
        <v>22</v>
      </c>
      <c r="V700">
        <v>85</v>
      </c>
      <c r="W700" t="s">
        <v>421</v>
      </c>
      <c r="X700" t="s">
        <v>280</v>
      </c>
      <c r="Y700">
        <v>480</v>
      </c>
      <c r="AB700">
        <v>2.95</v>
      </c>
      <c r="AC700" t="s">
        <v>85</v>
      </c>
      <c r="AD700">
        <v>0.72</v>
      </c>
      <c r="AE700" t="s">
        <v>138</v>
      </c>
      <c r="AI700">
        <v>5</v>
      </c>
      <c r="AJ700" t="s">
        <v>201</v>
      </c>
      <c r="AT700" t="s">
        <v>65</v>
      </c>
      <c r="AV700" t="s">
        <v>88</v>
      </c>
    </row>
    <row r="701" spans="1:53" hidden="1" x14ac:dyDescent="0.3">
      <c r="A701" t="s">
        <v>419</v>
      </c>
      <c r="C701" t="s">
        <v>251</v>
      </c>
      <c r="D701" t="s">
        <v>81</v>
      </c>
      <c r="E701">
        <v>10000000</v>
      </c>
      <c r="H701">
        <v>14.25</v>
      </c>
      <c r="I701" t="s">
        <v>56</v>
      </c>
      <c r="J701">
        <v>1.4250000000000001E-3</v>
      </c>
      <c r="K701" t="s">
        <v>57</v>
      </c>
      <c r="O701">
        <v>7000</v>
      </c>
      <c r="P701" t="s">
        <v>315</v>
      </c>
      <c r="S701">
        <v>2</v>
      </c>
      <c r="T701">
        <v>22</v>
      </c>
      <c r="V701">
        <v>85</v>
      </c>
      <c r="W701" t="s">
        <v>422</v>
      </c>
      <c r="X701" t="s">
        <v>280</v>
      </c>
      <c r="Y701">
        <v>480</v>
      </c>
      <c r="AA701" t="s">
        <v>94</v>
      </c>
      <c r="AB701">
        <v>7.6</v>
      </c>
      <c r="AC701" t="s">
        <v>85</v>
      </c>
      <c r="AD701">
        <v>0.1</v>
      </c>
      <c r="AE701" t="s">
        <v>138</v>
      </c>
      <c r="AI701">
        <v>5</v>
      </c>
      <c r="AJ701" t="s">
        <v>201</v>
      </c>
      <c r="AT701" t="s">
        <v>79</v>
      </c>
      <c r="AV701" t="s">
        <v>88</v>
      </c>
      <c r="AZ701">
        <v>0</v>
      </c>
      <c r="BA701">
        <v>7.6</v>
      </c>
    </row>
    <row r="702" spans="1:53" hidden="1" x14ac:dyDescent="0.3">
      <c r="A702" t="s">
        <v>419</v>
      </c>
      <c r="C702" t="s">
        <v>251</v>
      </c>
      <c r="D702" t="s">
        <v>81</v>
      </c>
      <c r="E702">
        <v>10000000</v>
      </c>
      <c r="H702">
        <v>14.25</v>
      </c>
      <c r="I702" t="s">
        <v>56</v>
      </c>
      <c r="J702">
        <v>1.4250000000000001E-3</v>
      </c>
      <c r="K702" t="s">
        <v>57</v>
      </c>
      <c r="O702">
        <v>7000</v>
      </c>
      <c r="P702" t="s">
        <v>315</v>
      </c>
      <c r="S702">
        <v>2</v>
      </c>
      <c r="T702">
        <v>22</v>
      </c>
      <c r="V702">
        <v>75</v>
      </c>
      <c r="W702" t="s">
        <v>147</v>
      </c>
      <c r="X702" t="s">
        <v>280</v>
      </c>
      <c r="Y702">
        <v>240</v>
      </c>
      <c r="AB702">
        <v>1.86</v>
      </c>
      <c r="AC702" t="s">
        <v>85</v>
      </c>
      <c r="AD702">
        <v>0.39</v>
      </c>
      <c r="AE702" t="s">
        <v>138</v>
      </c>
      <c r="AI702">
        <v>5</v>
      </c>
      <c r="AJ702" t="s">
        <v>201</v>
      </c>
      <c r="AT702" t="s">
        <v>150</v>
      </c>
      <c r="AV702" t="s">
        <v>88</v>
      </c>
    </row>
    <row r="703" spans="1:53" hidden="1" x14ac:dyDescent="0.3">
      <c r="A703" t="s">
        <v>419</v>
      </c>
      <c r="C703" t="s">
        <v>251</v>
      </c>
      <c r="D703" t="s">
        <v>81</v>
      </c>
      <c r="E703">
        <v>10000000</v>
      </c>
      <c r="H703">
        <v>14.25</v>
      </c>
      <c r="I703" t="s">
        <v>56</v>
      </c>
      <c r="J703">
        <v>1.4250000000000001E-3</v>
      </c>
      <c r="K703" t="s">
        <v>57</v>
      </c>
      <c r="O703">
        <v>7000</v>
      </c>
      <c r="P703" t="s">
        <v>315</v>
      </c>
      <c r="S703">
        <v>2</v>
      </c>
      <c r="T703">
        <v>22</v>
      </c>
      <c r="V703">
        <v>75</v>
      </c>
      <c r="W703" t="s">
        <v>74</v>
      </c>
      <c r="X703" t="s">
        <v>280</v>
      </c>
      <c r="Y703">
        <v>240</v>
      </c>
      <c r="AB703">
        <v>2.5299999999999998</v>
      </c>
      <c r="AC703" t="s">
        <v>85</v>
      </c>
      <c r="AD703">
        <v>0.31</v>
      </c>
      <c r="AE703" t="s">
        <v>138</v>
      </c>
      <c r="AI703">
        <v>5</v>
      </c>
      <c r="AJ703" t="s">
        <v>201</v>
      </c>
      <c r="AT703" t="s">
        <v>75</v>
      </c>
      <c r="AV703" t="s">
        <v>88</v>
      </c>
    </row>
    <row r="704" spans="1:53" hidden="1" x14ac:dyDescent="0.3">
      <c r="A704" t="s">
        <v>419</v>
      </c>
      <c r="C704" t="s">
        <v>251</v>
      </c>
      <c r="D704" t="s">
        <v>81</v>
      </c>
      <c r="E704">
        <v>10000000</v>
      </c>
      <c r="H704">
        <v>14.25</v>
      </c>
      <c r="I704" t="s">
        <v>56</v>
      </c>
      <c r="J704">
        <v>1.4250000000000001E-3</v>
      </c>
      <c r="K704" t="s">
        <v>57</v>
      </c>
      <c r="O704">
        <v>7000</v>
      </c>
      <c r="P704" t="s">
        <v>315</v>
      </c>
      <c r="S704">
        <v>2</v>
      </c>
      <c r="T704">
        <v>22</v>
      </c>
      <c r="V704">
        <v>75</v>
      </c>
      <c r="W704" t="s">
        <v>72</v>
      </c>
      <c r="X704" t="s">
        <v>280</v>
      </c>
      <c r="Y704">
        <v>240</v>
      </c>
      <c r="AB704">
        <v>2.06</v>
      </c>
      <c r="AC704" t="s">
        <v>85</v>
      </c>
      <c r="AD704">
        <v>0.23</v>
      </c>
      <c r="AE704" t="s">
        <v>138</v>
      </c>
      <c r="AI704">
        <v>5</v>
      </c>
      <c r="AJ704" t="s">
        <v>201</v>
      </c>
      <c r="AT704" t="s">
        <v>73</v>
      </c>
      <c r="AV704" t="s">
        <v>88</v>
      </c>
    </row>
    <row r="705" spans="1:48" hidden="1" x14ac:dyDescent="0.3">
      <c r="A705" t="s">
        <v>419</v>
      </c>
      <c r="C705" t="s">
        <v>251</v>
      </c>
      <c r="D705" t="s">
        <v>81</v>
      </c>
      <c r="E705">
        <v>10000000</v>
      </c>
      <c r="H705">
        <v>14.25</v>
      </c>
      <c r="I705" t="s">
        <v>56</v>
      </c>
      <c r="J705">
        <v>1.4250000000000001E-3</v>
      </c>
      <c r="K705" t="s">
        <v>57</v>
      </c>
      <c r="O705">
        <v>7000</v>
      </c>
      <c r="P705" t="s">
        <v>315</v>
      </c>
      <c r="S705">
        <v>2</v>
      </c>
      <c r="T705">
        <v>22</v>
      </c>
      <c r="V705">
        <v>75</v>
      </c>
      <c r="W705" t="s">
        <v>420</v>
      </c>
      <c r="X705" t="s">
        <v>280</v>
      </c>
      <c r="Y705">
        <v>240</v>
      </c>
      <c r="AB705">
        <v>1.51</v>
      </c>
      <c r="AC705" t="s">
        <v>85</v>
      </c>
      <c r="AD705">
        <v>0.08</v>
      </c>
      <c r="AE705" t="s">
        <v>138</v>
      </c>
      <c r="AI705">
        <v>5</v>
      </c>
      <c r="AJ705" t="s">
        <v>201</v>
      </c>
      <c r="AV705" t="s">
        <v>88</v>
      </c>
    </row>
    <row r="706" spans="1:48" hidden="1" x14ac:dyDescent="0.3">
      <c r="A706" t="s">
        <v>419</v>
      </c>
      <c r="C706" t="s">
        <v>251</v>
      </c>
      <c r="D706" t="s">
        <v>81</v>
      </c>
      <c r="E706">
        <v>10000000</v>
      </c>
      <c r="H706">
        <v>14.25</v>
      </c>
      <c r="I706" t="s">
        <v>56</v>
      </c>
      <c r="J706">
        <v>1.4250000000000001E-3</v>
      </c>
      <c r="K706" t="s">
        <v>57</v>
      </c>
      <c r="O706">
        <v>7000</v>
      </c>
      <c r="P706" t="s">
        <v>315</v>
      </c>
      <c r="S706">
        <v>2</v>
      </c>
      <c r="T706">
        <v>22</v>
      </c>
      <c r="V706">
        <v>75</v>
      </c>
      <c r="W706" t="s">
        <v>421</v>
      </c>
      <c r="X706" t="s">
        <v>280</v>
      </c>
      <c r="Y706">
        <v>240</v>
      </c>
      <c r="AB706">
        <v>1.48</v>
      </c>
      <c r="AC706" t="s">
        <v>85</v>
      </c>
      <c r="AD706">
        <v>0.16</v>
      </c>
      <c r="AE706" t="s">
        <v>138</v>
      </c>
      <c r="AI706">
        <v>5</v>
      </c>
      <c r="AJ706" t="s">
        <v>201</v>
      </c>
      <c r="AT706" t="s">
        <v>65</v>
      </c>
      <c r="AV706" t="s">
        <v>88</v>
      </c>
    </row>
    <row r="707" spans="1:48" hidden="1" x14ac:dyDescent="0.3">
      <c r="A707" t="s">
        <v>419</v>
      </c>
      <c r="C707" t="s">
        <v>251</v>
      </c>
      <c r="D707" t="s">
        <v>81</v>
      </c>
      <c r="E707">
        <v>100000</v>
      </c>
      <c r="H707">
        <v>14.25</v>
      </c>
      <c r="I707" t="s">
        <v>56</v>
      </c>
      <c r="J707">
        <v>1.4250000000000001E-3</v>
      </c>
      <c r="K707" t="s">
        <v>57</v>
      </c>
      <c r="O707">
        <v>7000</v>
      </c>
      <c r="P707" t="s">
        <v>315</v>
      </c>
      <c r="S707">
        <v>2</v>
      </c>
      <c r="T707">
        <v>22</v>
      </c>
      <c r="V707">
        <v>75</v>
      </c>
      <c r="W707" t="s">
        <v>422</v>
      </c>
      <c r="X707" t="s">
        <v>280</v>
      </c>
      <c r="Y707">
        <v>240</v>
      </c>
      <c r="AB707">
        <v>5.21</v>
      </c>
      <c r="AC707" t="s">
        <v>85</v>
      </c>
      <c r="AD707">
        <v>0.46</v>
      </c>
      <c r="AE707" t="s">
        <v>138</v>
      </c>
      <c r="AI707">
        <v>5</v>
      </c>
      <c r="AJ707" t="s">
        <v>201</v>
      </c>
      <c r="AT707" t="s">
        <v>79</v>
      </c>
      <c r="AV707" t="s">
        <v>88</v>
      </c>
    </row>
    <row r="708" spans="1:48" hidden="1" x14ac:dyDescent="0.3">
      <c r="A708" t="s">
        <v>419</v>
      </c>
      <c r="C708" t="s">
        <v>251</v>
      </c>
      <c r="D708" t="s">
        <v>81</v>
      </c>
      <c r="E708">
        <v>100000</v>
      </c>
      <c r="H708">
        <v>14.25</v>
      </c>
      <c r="I708" t="s">
        <v>56</v>
      </c>
      <c r="J708">
        <v>1.4250000000000001E-3</v>
      </c>
      <c r="K708" t="s">
        <v>57</v>
      </c>
      <c r="O708">
        <v>7000</v>
      </c>
      <c r="P708" t="s">
        <v>315</v>
      </c>
      <c r="S708">
        <v>2</v>
      </c>
      <c r="T708">
        <v>22</v>
      </c>
      <c r="V708">
        <v>75</v>
      </c>
      <c r="W708" t="s">
        <v>147</v>
      </c>
      <c r="X708" t="s">
        <v>280</v>
      </c>
      <c r="Y708">
        <v>360</v>
      </c>
      <c r="AB708">
        <v>2.33</v>
      </c>
      <c r="AC708" t="s">
        <v>85</v>
      </c>
      <c r="AD708">
        <v>0.47</v>
      </c>
      <c r="AE708" t="s">
        <v>138</v>
      </c>
      <c r="AI708">
        <v>5</v>
      </c>
      <c r="AJ708" t="s">
        <v>201</v>
      </c>
      <c r="AT708" t="s">
        <v>150</v>
      </c>
      <c r="AV708" t="s">
        <v>88</v>
      </c>
    </row>
    <row r="709" spans="1:48" hidden="1" x14ac:dyDescent="0.3">
      <c r="A709" t="s">
        <v>419</v>
      </c>
      <c r="C709" t="s">
        <v>251</v>
      </c>
      <c r="D709" t="s">
        <v>81</v>
      </c>
      <c r="E709">
        <v>100000</v>
      </c>
      <c r="H709">
        <v>14.25</v>
      </c>
      <c r="I709" t="s">
        <v>56</v>
      </c>
      <c r="J709">
        <v>1.4250000000000001E-3</v>
      </c>
      <c r="K709" t="s">
        <v>57</v>
      </c>
      <c r="O709">
        <v>7000</v>
      </c>
      <c r="P709" t="s">
        <v>315</v>
      </c>
      <c r="S709">
        <v>2</v>
      </c>
      <c r="T709">
        <v>22</v>
      </c>
      <c r="V709">
        <v>75</v>
      </c>
      <c r="W709" t="s">
        <v>74</v>
      </c>
      <c r="X709" t="s">
        <v>280</v>
      </c>
      <c r="Y709">
        <v>360</v>
      </c>
      <c r="AB709">
        <v>3.35</v>
      </c>
      <c r="AC709" t="s">
        <v>85</v>
      </c>
      <c r="AD709">
        <v>1.59</v>
      </c>
      <c r="AE709" t="s">
        <v>138</v>
      </c>
      <c r="AI709">
        <v>5</v>
      </c>
      <c r="AJ709" t="s">
        <v>201</v>
      </c>
      <c r="AT709" t="s">
        <v>75</v>
      </c>
      <c r="AV709" t="s">
        <v>88</v>
      </c>
    </row>
    <row r="710" spans="1:48" hidden="1" x14ac:dyDescent="0.3">
      <c r="A710" t="s">
        <v>419</v>
      </c>
      <c r="C710" t="s">
        <v>251</v>
      </c>
      <c r="D710" t="s">
        <v>81</v>
      </c>
      <c r="E710">
        <v>100000</v>
      </c>
      <c r="H710">
        <v>14.25</v>
      </c>
      <c r="I710" t="s">
        <v>56</v>
      </c>
      <c r="J710">
        <v>1.4250000000000001E-3</v>
      </c>
      <c r="K710" t="s">
        <v>57</v>
      </c>
      <c r="O710">
        <v>7000</v>
      </c>
      <c r="P710" t="s">
        <v>315</v>
      </c>
      <c r="S710">
        <v>2</v>
      </c>
      <c r="T710">
        <v>22</v>
      </c>
      <c r="V710">
        <v>75</v>
      </c>
      <c r="W710" t="s">
        <v>72</v>
      </c>
      <c r="X710" t="s">
        <v>280</v>
      </c>
      <c r="Y710">
        <v>360</v>
      </c>
      <c r="AB710">
        <v>3.03</v>
      </c>
      <c r="AC710" t="s">
        <v>85</v>
      </c>
      <c r="AD710">
        <v>0.36</v>
      </c>
      <c r="AE710" t="s">
        <v>138</v>
      </c>
      <c r="AI710">
        <v>5</v>
      </c>
      <c r="AJ710" t="s">
        <v>201</v>
      </c>
      <c r="AT710" t="s">
        <v>73</v>
      </c>
      <c r="AV710" t="s">
        <v>88</v>
      </c>
    </row>
    <row r="711" spans="1:48" hidden="1" x14ac:dyDescent="0.3">
      <c r="A711" t="s">
        <v>419</v>
      </c>
      <c r="C711" t="s">
        <v>251</v>
      </c>
      <c r="D711" t="s">
        <v>81</v>
      </c>
      <c r="E711">
        <v>100000</v>
      </c>
      <c r="H711">
        <v>14.25</v>
      </c>
      <c r="I711" t="s">
        <v>56</v>
      </c>
      <c r="J711">
        <v>1.4250000000000001E-3</v>
      </c>
      <c r="K711" t="s">
        <v>57</v>
      </c>
      <c r="O711">
        <v>7000</v>
      </c>
      <c r="P711" t="s">
        <v>315</v>
      </c>
      <c r="S711">
        <v>2</v>
      </c>
      <c r="T711">
        <v>22</v>
      </c>
      <c r="V711">
        <v>75</v>
      </c>
      <c r="W711" t="s">
        <v>420</v>
      </c>
      <c r="X711" t="s">
        <v>280</v>
      </c>
      <c r="Y711">
        <v>360</v>
      </c>
      <c r="AB711">
        <v>1.65</v>
      </c>
      <c r="AC711" t="s">
        <v>85</v>
      </c>
      <c r="AD711">
        <v>0.08</v>
      </c>
      <c r="AE711" t="s">
        <v>138</v>
      </c>
      <c r="AI711">
        <v>5</v>
      </c>
      <c r="AJ711" t="s">
        <v>201</v>
      </c>
      <c r="AV711" t="s">
        <v>88</v>
      </c>
    </row>
    <row r="712" spans="1:48" hidden="1" x14ac:dyDescent="0.3">
      <c r="A712" t="s">
        <v>419</v>
      </c>
      <c r="C712" t="s">
        <v>251</v>
      </c>
      <c r="D712" t="s">
        <v>81</v>
      </c>
      <c r="E712">
        <v>100000</v>
      </c>
      <c r="H712">
        <v>14.25</v>
      </c>
      <c r="I712" t="s">
        <v>56</v>
      </c>
      <c r="J712">
        <v>1.4250000000000001E-3</v>
      </c>
      <c r="K712" t="s">
        <v>57</v>
      </c>
      <c r="O712">
        <v>7000</v>
      </c>
      <c r="P712" t="s">
        <v>315</v>
      </c>
      <c r="S712">
        <v>2</v>
      </c>
      <c r="T712">
        <v>22</v>
      </c>
      <c r="V712">
        <v>75</v>
      </c>
      <c r="W712" t="s">
        <v>421</v>
      </c>
      <c r="X712" t="s">
        <v>280</v>
      </c>
      <c r="Y712">
        <v>360</v>
      </c>
      <c r="AB712">
        <v>1.44</v>
      </c>
      <c r="AC712" t="s">
        <v>85</v>
      </c>
      <c r="AD712">
        <v>0.23</v>
      </c>
      <c r="AE712" t="s">
        <v>138</v>
      </c>
      <c r="AI712">
        <v>5</v>
      </c>
      <c r="AJ712" t="s">
        <v>201</v>
      </c>
      <c r="AT712" t="s">
        <v>65</v>
      </c>
      <c r="AV712" t="s">
        <v>88</v>
      </c>
    </row>
    <row r="713" spans="1:48" hidden="1" x14ac:dyDescent="0.3">
      <c r="A713" t="s">
        <v>419</v>
      </c>
      <c r="C713" t="s">
        <v>251</v>
      </c>
      <c r="D713" t="s">
        <v>81</v>
      </c>
      <c r="E713">
        <v>100000</v>
      </c>
      <c r="H713">
        <v>14.25</v>
      </c>
      <c r="I713" t="s">
        <v>56</v>
      </c>
      <c r="J713">
        <v>1.4250000000000001E-3</v>
      </c>
      <c r="K713" t="s">
        <v>57</v>
      </c>
      <c r="O713">
        <v>7000</v>
      </c>
      <c r="P713" t="s">
        <v>315</v>
      </c>
      <c r="S713">
        <v>2</v>
      </c>
      <c r="T713">
        <v>22</v>
      </c>
      <c r="V713">
        <v>75</v>
      </c>
      <c r="W713" t="s">
        <v>422</v>
      </c>
      <c r="X713" t="s">
        <v>280</v>
      </c>
      <c r="Y713">
        <v>360</v>
      </c>
      <c r="AB713">
        <v>6.97</v>
      </c>
      <c r="AC713" t="s">
        <v>85</v>
      </c>
      <c r="AD713">
        <v>0.91</v>
      </c>
      <c r="AE713" t="s">
        <v>138</v>
      </c>
      <c r="AI713">
        <v>5</v>
      </c>
      <c r="AJ713" t="s">
        <v>201</v>
      </c>
      <c r="AT713" t="s">
        <v>79</v>
      </c>
      <c r="AV713" t="s">
        <v>88</v>
      </c>
    </row>
    <row r="714" spans="1:48" hidden="1" x14ac:dyDescent="0.3">
      <c r="A714" t="s">
        <v>419</v>
      </c>
      <c r="C714" t="s">
        <v>251</v>
      </c>
      <c r="D714" t="s">
        <v>81</v>
      </c>
      <c r="E714">
        <v>100000</v>
      </c>
      <c r="H714">
        <v>14.25</v>
      </c>
      <c r="I714" t="s">
        <v>56</v>
      </c>
      <c r="J714">
        <v>1.4250000000000001E-3</v>
      </c>
      <c r="K714" t="s">
        <v>57</v>
      </c>
      <c r="O714">
        <v>7000</v>
      </c>
      <c r="P714" t="s">
        <v>315</v>
      </c>
      <c r="S714">
        <v>2</v>
      </c>
      <c r="T714">
        <v>22</v>
      </c>
      <c r="V714">
        <v>75</v>
      </c>
      <c r="W714" t="s">
        <v>147</v>
      </c>
      <c r="X714" t="s">
        <v>280</v>
      </c>
      <c r="Y714">
        <v>480</v>
      </c>
      <c r="AB714">
        <v>2.33</v>
      </c>
      <c r="AC714" t="s">
        <v>85</v>
      </c>
      <c r="AD714">
        <v>0.52</v>
      </c>
      <c r="AE714" t="s">
        <v>138</v>
      </c>
      <c r="AI714">
        <v>5</v>
      </c>
      <c r="AJ714" t="s">
        <v>201</v>
      </c>
      <c r="AT714" t="s">
        <v>150</v>
      </c>
      <c r="AV714" t="s">
        <v>88</v>
      </c>
    </row>
    <row r="715" spans="1:48" hidden="1" x14ac:dyDescent="0.3">
      <c r="A715" t="s">
        <v>419</v>
      </c>
      <c r="C715" t="s">
        <v>251</v>
      </c>
      <c r="D715" t="s">
        <v>81</v>
      </c>
      <c r="E715">
        <v>100000</v>
      </c>
      <c r="H715">
        <v>14.25</v>
      </c>
      <c r="I715" t="s">
        <v>56</v>
      </c>
      <c r="J715">
        <v>1.4250000000000001E-3</v>
      </c>
      <c r="K715" t="s">
        <v>57</v>
      </c>
      <c r="O715">
        <v>7000</v>
      </c>
      <c r="P715" t="s">
        <v>315</v>
      </c>
      <c r="S715">
        <v>2</v>
      </c>
      <c r="T715">
        <v>22</v>
      </c>
      <c r="V715">
        <v>75</v>
      </c>
      <c r="W715" t="s">
        <v>74</v>
      </c>
      <c r="X715" t="s">
        <v>280</v>
      </c>
      <c r="Y715">
        <v>480</v>
      </c>
      <c r="AB715">
        <v>2.95</v>
      </c>
      <c r="AC715" t="s">
        <v>85</v>
      </c>
      <c r="AD715">
        <v>0.7</v>
      </c>
      <c r="AE715" t="s">
        <v>138</v>
      </c>
      <c r="AI715">
        <v>5</v>
      </c>
      <c r="AJ715" t="s">
        <v>201</v>
      </c>
      <c r="AT715" t="s">
        <v>75</v>
      </c>
      <c r="AV715" t="s">
        <v>88</v>
      </c>
    </row>
    <row r="716" spans="1:48" hidden="1" x14ac:dyDescent="0.3">
      <c r="A716" t="s">
        <v>419</v>
      </c>
      <c r="C716" t="s">
        <v>251</v>
      </c>
      <c r="D716" t="s">
        <v>81</v>
      </c>
      <c r="E716">
        <v>100000</v>
      </c>
      <c r="H716">
        <v>14.25</v>
      </c>
      <c r="I716" t="s">
        <v>56</v>
      </c>
      <c r="J716">
        <v>1.4250000000000001E-3</v>
      </c>
      <c r="K716" t="s">
        <v>57</v>
      </c>
      <c r="O716">
        <v>7000</v>
      </c>
      <c r="P716" t="s">
        <v>315</v>
      </c>
      <c r="S716">
        <v>2</v>
      </c>
      <c r="T716">
        <v>22</v>
      </c>
      <c r="V716">
        <v>75</v>
      </c>
      <c r="W716" t="s">
        <v>72</v>
      </c>
      <c r="X716" t="s">
        <v>280</v>
      </c>
      <c r="Y716">
        <v>480</v>
      </c>
      <c r="AB716">
        <v>4.38</v>
      </c>
      <c r="AC716" t="s">
        <v>85</v>
      </c>
      <c r="AD716">
        <v>1.07</v>
      </c>
      <c r="AE716" t="s">
        <v>138</v>
      </c>
      <c r="AI716">
        <v>5</v>
      </c>
      <c r="AJ716" t="s">
        <v>201</v>
      </c>
      <c r="AT716" t="s">
        <v>73</v>
      </c>
      <c r="AV716" t="s">
        <v>88</v>
      </c>
    </row>
    <row r="717" spans="1:48" hidden="1" x14ac:dyDescent="0.3">
      <c r="A717" t="s">
        <v>419</v>
      </c>
      <c r="C717" t="s">
        <v>251</v>
      </c>
      <c r="D717" t="s">
        <v>81</v>
      </c>
      <c r="E717">
        <v>100000</v>
      </c>
      <c r="H717">
        <v>14.25</v>
      </c>
      <c r="I717" t="s">
        <v>56</v>
      </c>
      <c r="J717">
        <v>1.4250000000000001E-3</v>
      </c>
      <c r="K717" t="s">
        <v>57</v>
      </c>
      <c r="O717">
        <v>7000</v>
      </c>
      <c r="P717" t="s">
        <v>315</v>
      </c>
      <c r="S717">
        <v>2</v>
      </c>
      <c r="T717">
        <v>22</v>
      </c>
      <c r="V717">
        <v>75</v>
      </c>
      <c r="W717" t="s">
        <v>420</v>
      </c>
      <c r="X717" t="s">
        <v>280</v>
      </c>
      <c r="Y717">
        <v>480</v>
      </c>
      <c r="AB717">
        <v>1.58</v>
      </c>
      <c r="AC717" t="s">
        <v>85</v>
      </c>
      <c r="AD717">
        <v>0.3</v>
      </c>
      <c r="AE717" t="s">
        <v>138</v>
      </c>
      <c r="AI717">
        <v>5</v>
      </c>
      <c r="AJ717" t="s">
        <v>201</v>
      </c>
      <c r="AV717" t="s">
        <v>88</v>
      </c>
    </row>
    <row r="718" spans="1:48" hidden="1" x14ac:dyDescent="0.3">
      <c r="A718" t="s">
        <v>419</v>
      </c>
      <c r="C718" t="s">
        <v>251</v>
      </c>
      <c r="D718" t="s">
        <v>81</v>
      </c>
      <c r="E718">
        <v>100000</v>
      </c>
      <c r="H718">
        <v>14.25</v>
      </c>
      <c r="I718" t="s">
        <v>56</v>
      </c>
      <c r="J718">
        <v>1.4250000000000001E-3</v>
      </c>
      <c r="K718" t="s">
        <v>57</v>
      </c>
      <c r="O718">
        <v>7000</v>
      </c>
      <c r="P718" t="s">
        <v>315</v>
      </c>
      <c r="S718">
        <v>2</v>
      </c>
      <c r="T718">
        <v>22</v>
      </c>
      <c r="V718">
        <v>75</v>
      </c>
      <c r="W718" t="s">
        <v>421</v>
      </c>
      <c r="X718" t="s">
        <v>280</v>
      </c>
      <c r="Y718">
        <v>480</v>
      </c>
      <c r="AB718">
        <v>1.7</v>
      </c>
      <c r="AC718" t="s">
        <v>85</v>
      </c>
      <c r="AD718">
        <v>0.08</v>
      </c>
      <c r="AE718" t="s">
        <v>138</v>
      </c>
      <c r="AI718">
        <v>5</v>
      </c>
      <c r="AJ718" t="s">
        <v>201</v>
      </c>
      <c r="AT718" t="s">
        <v>65</v>
      </c>
      <c r="AV718" t="s">
        <v>88</v>
      </c>
    </row>
    <row r="719" spans="1:48" hidden="1" x14ac:dyDescent="0.3">
      <c r="A719" t="s">
        <v>419</v>
      </c>
      <c r="C719" t="s">
        <v>251</v>
      </c>
      <c r="D719" t="s">
        <v>81</v>
      </c>
      <c r="E719">
        <v>100000</v>
      </c>
      <c r="H719">
        <v>14.25</v>
      </c>
      <c r="I719" t="s">
        <v>56</v>
      </c>
      <c r="J719">
        <v>1.4250000000000001E-3</v>
      </c>
      <c r="K719" t="s">
        <v>57</v>
      </c>
      <c r="O719">
        <v>7000</v>
      </c>
      <c r="P719" t="s">
        <v>315</v>
      </c>
      <c r="S719">
        <v>2</v>
      </c>
      <c r="T719">
        <v>22</v>
      </c>
      <c r="V719">
        <v>75</v>
      </c>
      <c r="W719" t="s">
        <v>422</v>
      </c>
      <c r="X719" t="s">
        <v>280</v>
      </c>
      <c r="Y719">
        <v>480</v>
      </c>
      <c r="AB719">
        <v>6.34</v>
      </c>
      <c r="AC719" t="s">
        <v>85</v>
      </c>
      <c r="AD719">
        <v>1.36</v>
      </c>
      <c r="AE719" t="s">
        <v>138</v>
      </c>
      <c r="AI719">
        <v>5</v>
      </c>
      <c r="AJ719" t="s">
        <v>201</v>
      </c>
      <c r="AT719" t="s">
        <v>79</v>
      </c>
      <c r="AV719" t="s">
        <v>88</v>
      </c>
    </row>
    <row r="720" spans="1:48" hidden="1" x14ac:dyDescent="0.3">
      <c r="A720" t="s">
        <v>419</v>
      </c>
      <c r="C720" t="s">
        <v>251</v>
      </c>
      <c r="D720" t="s">
        <v>81</v>
      </c>
      <c r="E720">
        <v>100000</v>
      </c>
      <c r="H720">
        <v>14.25</v>
      </c>
      <c r="I720" t="s">
        <v>56</v>
      </c>
      <c r="J720">
        <v>1.4250000000000001E-3</v>
      </c>
      <c r="K720" t="s">
        <v>57</v>
      </c>
      <c r="O720">
        <v>9000</v>
      </c>
      <c r="P720" t="s">
        <v>315</v>
      </c>
      <c r="S720">
        <v>2</v>
      </c>
      <c r="T720">
        <v>22</v>
      </c>
      <c r="V720">
        <v>85</v>
      </c>
      <c r="W720" t="s">
        <v>147</v>
      </c>
      <c r="X720" t="s">
        <v>280</v>
      </c>
      <c r="Y720">
        <v>240</v>
      </c>
      <c r="AB720">
        <v>2.64</v>
      </c>
      <c r="AC720" t="s">
        <v>85</v>
      </c>
      <c r="AD720">
        <v>0.31</v>
      </c>
      <c r="AE720" t="s">
        <v>138</v>
      </c>
      <c r="AI720">
        <v>5</v>
      </c>
      <c r="AJ720" t="s">
        <v>201</v>
      </c>
      <c r="AT720" t="s">
        <v>150</v>
      </c>
      <c r="AV720" t="s">
        <v>88</v>
      </c>
    </row>
    <row r="721" spans="1:53" hidden="1" x14ac:dyDescent="0.3">
      <c r="A721" t="s">
        <v>419</v>
      </c>
      <c r="C721" t="s">
        <v>251</v>
      </c>
      <c r="D721" t="s">
        <v>81</v>
      </c>
      <c r="E721">
        <v>100000</v>
      </c>
      <c r="H721">
        <v>14.25</v>
      </c>
      <c r="I721" t="s">
        <v>56</v>
      </c>
      <c r="J721">
        <v>1.4250000000000001E-3</v>
      </c>
      <c r="K721" t="s">
        <v>57</v>
      </c>
      <c r="O721">
        <v>9000</v>
      </c>
      <c r="P721" t="s">
        <v>315</v>
      </c>
      <c r="S721">
        <v>2</v>
      </c>
      <c r="T721">
        <v>22</v>
      </c>
      <c r="V721">
        <v>85</v>
      </c>
      <c r="W721" t="s">
        <v>74</v>
      </c>
      <c r="X721" t="s">
        <v>280</v>
      </c>
      <c r="Y721">
        <v>240</v>
      </c>
      <c r="AB721">
        <v>6.01</v>
      </c>
      <c r="AC721" t="s">
        <v>85</v>
      </c>
      <c r="AD721">
        <v>1.31</v>
      </c>
      <c r="AE721" t="s">
        <v>138</v>
      </c>
      <c r="AI721">
        <v>5</v>
      </c>
      <c r="AJ721" t="s">
        <v>201</v>
      </c>
      <c r="AT721" t="s">
        <v>75</v>
      </c>
      <c r="AV721" t="s">
        <v>88</v>
      </c>
    </row>
    <row r="722" spans="1:53" hidden="1" x14ac:dyDescent="0.3">
      <c r="A722" t="s">
        <v>419</v>
      </c>
      <c r="C722" t="s">
        <v>251</v>
      </c>
      <c r="D722" t="s">
        <v>81</v>
      </c>
      <c r="E722">
        <v>100000</v>
      </c>
      <c r="H722">
        <v>14.25</v>
      </c>
      <c r="I722" t="s">
        <v>56</v>
      </c>
      <c r="J722">
        <v>1.4250000000000001E-3</v>
      </c>
      <c r="K722" t="s">
        <v>57</v>
      </c>
      <c r="O722">
        <v>9000</v>
      </c>
      <c r="P722" t="s">
        <v>315</v>
      </c>
      <c r="S722">
        <v>2</v>
      </c>
      <c r="T722">
        <v>22</v>
      </c>
      <c r="V722">
        <v>85</v>
      </c>
      <c r="W722" t="s">
        <v>72</v>
      </c>
      <c r="X722" t="s">
        <v>280</v>
      </c>
      <c r="Y722">
        <v>240</v>
      </c>
      <c r="AB722">
        <v>4.3099999999999996</v>
      </c>
      <c r="AC722" t="s">
        <v>85</v>
      </c>
      <c r="AD722">
        <v>0.16</v>
      </c>
      <c r="AE722" t="s">
        <v>138</v>
      </c>
      <c r="AI722">
        <v>5</v>
      </c>
      <c r="AJ722" t="s">
        <v>201</v>
      </c>
      <c r="AT722" t="s">
        <v>73</v>
      </c>
      <c r="AV722" t="s">
        <v>88</v>
      </c>
    </row>
    <row r="723" spans="1:53" hidden="1" x14ac:dyDescent="0.3">
      <c r="A723" t="s">
        <v>419</v>
      </c>
      <c r="C723" t="s">
        <v>251</v>
      </c>
      <c r="D723" t="s">
        <v>81</v>
      </c>
      <c r="E723">
        <v>100000</v>
      </c>
      <c r="H723">
        <v>14.25</v>
      </c>
      <c r="I723" t="s">
        <v>56</v>
      </c>
      <c r="J723">
        <v>1.4250000000000001E-3</v>
      </c>
      <c r="K723" t="s">
        <v>57</v>
      </c>
      <c r="O723">
        <v>9000</v>
      </c>
      <c r="P723" t="s">
        <v>315</v>
      </c>
      <c r="S723">
        <v>2</v>
      </c>
      <c r="T723">
        <v>22</v>
      </c>
      <c r="V723">
        <v>85</v>
      </c>
      <c r="W723" t="s">
        <v>420</v>
      </c>
      <c r="X723" t="s">
        <v>280</v>
      </c>
      <c r="Y723">
        <v>240</v>
      </c>
      <c r="AB723">
        <v>2.21</v>
      </c>
      <c r="AC723" t="s">
        <v>85</v>
      </c>
      <c r="AD723">
        <v>0.3</v>
      </c>
      <c r="AE723" t="s">
        <v>138</v>
      </c>
      <c r="AI723">
        <v>5</v>
      </c>
      <c r="AJ723" t="s">
        <v>201</v>
      </c>
      <c r="AV723" t="s">
        <v>88</v>
      </c>
    </row>
    <row r="724" spans="1:53" hidden="1" x14ac:dyDescent="0.3">
      <c r="A724" t="s">
        <v>419</v>
      </c>
      <c r="C724" t="s">
        <v>251</v>
      </c>
      <c r="D724" t="s">
        <v>81</v>
      </c>
      <c r="E724">
        <v>100000</v>
      </c>
      <c r="H724">
        <v>14.25</v>
      </c>
      <c r="I724" t="s">
        <v>56</v>
      </c>
      <c r="J724">
        <v>1.4250000000000001E-3</v>
      </c>
      <c r="K724" t="s">
        <v>57</v>
      </c>
      <c r="O724">
        <v>9000</v>
      </c>
      <c r="P724" t="s">
        <v>315</v>
      </c>
      <c r="S724">
        <v>2</v>
      </c>
      <c r="T724">
        <v>22</v>
      </c>
      <c r="V724">
        <v>85</v>
      </c>
      <c r="W724" t="s">
        <v>421</v>
      </c>
      <c r="X724" t="s">
        <v>280</v>
      </c>
      <c r="Y724">
        <v>240</v>
      </c>
      <c r="AB724">
        <v>1.79</v>
      </c>
      <c r="AC724" t="s">
        <v>85</v>
      </c>
      <c r="AD724">
        <v>0.16</v>
      </c>
      <c r="AE724" t="s">
        <v>138</v>
      </c>
      <c r="AI724">
        <v>5</v>
      </c>
      <c r="AJ724" t="s">
        <v>201</v>
      </c>
      <c r="AT724" t="s">
        <v>65</v>
      </c>
      <c r="AV724" t="s">
        <v>88</v>
      </c>
    </row>
    <row r="725" spans="1:53" hidden="1" x14ac:dyDescent="0.3">
      <c r="A725" t="s">
        <v>419</v>
      </c>
      <c r="C725" t="s">
        <v>251</v>
      </c>
      <c r="D725" t="s">
        <v>81</v>
      </c>
      <c r="E725">
        <v>1000000</v>
      </c>
      <c r="H725">
        <v>14.25</v>
      </c>
      <c r="I725" t="s">
        <v>56</v>
      </c>
      <c r="J725">
        <v>1.4250000000000001E-3</v>
      </c>
      <c r="K725" t="s">
        <v>57</v>
      </c>
      <c r="O725">
        <v>9000</v>
      </c>
      <c r="P725" t="s">
        <v>315</v>
      </c>
      <c r="S725">
        <v>2</v>
      </c>
      <c r="T725">
        <v>22</v>
      </c>
      <c r="V725">
        <v>85</v>
      </c>
      <c r="W725" t="s">
        <v>422</v>
      </c>
      <c r="X725" t="s">
        <v>280</v>
      </c>
      <c r="Y725">
        <v>240</v>
      </c>
      <c r="AB725">
        <v>7.17</v>
      </c>
      <c r="AC725" t="s">
        <v>85</v>
      </c>
      <c r="AD725">
        <v>0.96</v>
      </c>
      <c r="AE725" t="s">
        <v>138</v>
      </c>
      <c r="AI725">
        <v>5</v>
      </c>
      <c r="AJ725" t="s">
        <v>201</v>
      </c>
      <c r="AT725" t="s">
        <v>79</v>
      </c>
      <c r="AV725" t="s">
        <v>88</v>
      </c>
    </row>
    <row r="726" spans="1:53" hidden="1" x14ac:dyDescent="0.3">
      <c r="A726" t="s">
        <v>419</v>
      </c>
      <c r="C726" t="s">
        <v>251</v>
      </c>
      <c r="D726" t="s">
        <v>81</v>
      </c>
      <c r="E726">
        <v>1000000</v>
      </c>
      <c r="H726">
        <v>14.25</v>
      </c>
      <c r="I726" t="s">
        <v>56</v>
      </c>
      <c r="J726">
        <v>1.4250000000000001E-3</v>
      </c>
      <c r="K726" t="s">
        <v>57</v>
      </c>
      <c r="O726">
        <v>9000</v>
      </c>
      <c r="P726" t="s">
        <v>315</v>
      </c>
      <c r="S726">
        <v>2</v>
      </c>
      <c r="T726">
        <v>22</v>
      </c>
      <c r="V726">
        <v>85</v>
      </c>
      <c r="W726" t="s">
        <v>147</v>
      </c>
      <c r="X726" t="s">
        <v>280</v>
      </c>
      <c r="Y726">
        <v>360</v>
      </c>
      <c r="AB726">
        <v>3.26</v>
      </c>
      <c r="AC726" t="s">
        <v>85</v>
      </c>
      <c r="AD726">
        <v>0.97</v>
      </c>
      <c r="AE726" t="s">
        <v>138</v>
      </c>
      <c r="AI726">
        <v>5</v>
      </c>
      <c r="AJ726" t="s">
        <v>201</v>
      </c>
      <c r="AT726" t="s">
        <v>150</v>
      </c>
      <c r="AV726" t="s">
        <v>88</v>
      </c>
    </row>
    <row r="727" spans="1:53" hidden="1" x14ac:dyDescent="0.3">
      <c r="A727" t="s">
        <v>419</v>
      </c>
      <c r="C727" t="s">
        <v>251</v>
      </c>
      <c r="D727" t="s">
        <v>81</v>
      </c>
      <c r="E727">
        <v>1000000</v>
      </c>
      <c r="H727">
        <v>14.25</v>
      </c>
      <c r="I727" t="s">
        <v>56</v>
      </c>
      <c r="J727">
        <v>1.4250000000000001E-3</v>
      </c>
      <c r="K727" t="s">
        <v>57</v>
      </c>
      <c r="O727">
        <v>9000</v>
      </c>
      <c r="P727" t="s">
        <v>315</v>
      </c>
      <c r="S727">
        <v>2</v>
      </c>
      <c r="T727">
        <v>22</v>
      </c>
      <c r="V727">
        <v>85</v>
      </c>
      <c r="W727" t="s">
        <v>74</v>
      </c>
      <c r="X727" t="s">
        <v>280</v>
      </c>
      <c r="Y727">
        <v>360</v>
      </c>
      <c r="AB727">
        <v>6.31</v>
      </c>
      <c r="AC727" t="s">
        <v>85</v>
      </c>
      <c r="AD727">
        <v>0.72</v>
      </c>
      <c r="AE727" t="s">
        <v>138</v>
      </c>
      <c r="AI727">
        <v>5</v>
      </c>
      <c r="AJ727" t="s">
        <v>201</v>
      </c>
      <c r="AT727" t="s">
        <v>75</v>
      </c>
      <c r="AV727" t="s">
        <v>88</v>
      </c>
    </row>
    <row r="728" spans="1:53" hidden="1" x14ac:dyDescent="0.3">
      <c r="A728" t="s">
        <v>419</v>
      </c>
      <c r="C728" t="s">
        <v>251</v>
      </c>
      <c r="D728" t="s">
        <v>81</v>
      </c>
      <c r="E728">
        <v>1000000</v>
      </c>
      <c r="H728">
        <v>14.25</v>
      </c>
      <c r="I728" t="s">
        <v>56</v>
      </c>
      <c r="J728">
        <v>1.4250000000000001E-3</v>
      </c>
      <c r="K728" t="s">
        <v>57</v>
      </c>
      <c r="O728">
        <v>9000</v>
      </c>
      <c r="P728" t="s">
        <v>315</v>
      </c>
      <c r="S728">
        <v>2</v>
      </c>
      <c r="T728">
        <v>22</v>
      </c>
      <c r="V728">
        <v>85</v>
      </c>
      <c r="W728" t="s">
        <v>72</v>
      </c>
      <c r="X728" t="s">
        <v>280</v>
      </c>
      <c r="Y728">
        <v>360</v>
      </c>
      <c r="AA728" t="s">
        <v>94</v>
      </c>
      <c r="AB728">
        <v>7.93</v>
      </c>
      <c r="AC728" t="s">
        <v>85</v>
      </c>
      <c r="AD728">
        <v>0.06</v>
      </c>
      <c r="AE728" t="s">
        <v>138</v>
      </c>
      <c r="AI728">
        <v>5</v>
      </c>
      <c r="AJ728" t="s">
        <v>201</v>
      </c>
      <c r="AT728" t="s">
        <v>73</v>
      </c>
      <c r="AV728" t="s">
        <v>88</v>
      </c>
      <c r="AZ728">
        <v>0</v>
      </c>
      <c r="BA728">
        <v>7.93</v>
      </c>
    </row>
    <row r="729" spans="1:53" hidden="1" x14ac:dyDescent="0.3">
      <c r="A729" t="s">
        <v>419</v>
      </c>
      <c r="C729" t="s">
        <v>251</v>
      </c>
      <c r="D729" t="s">
        <v>81</v>
      </c>
      <c r="E729">
        <v>1000000</v>
      </c>
      <c r="H729">
        <v>14.25</v>
      </c>
      <c r="I729" t="s">
        <v>56</v>
      </c>
      <c r="J729">
        <v>1.4250000000000001E-3</v>
      </c>
      <c r="K729" t="s">
        <v>57</v>
      </c>
      <c r="O729">
        <v>9000</v>
      </c>
      <c r="P729" t="s">
        <v>315</v>
      </c>
      <c r="S729">
        <v>2</v>
      </c>
      <c r="T729">
        <v>22</v>
      </c>
      <c r="V729">
        <v>85</v>
      </c>
      <c r="W729" t="s">
        <v>420</v>
      </c>
      <c r="X729" t="s">
        <v>280</v>
      </c>
      <c r="Y729">
        <v>360</v>
      </c>
      <c r="AB729">
        <v>2.17</v>
      </c>
      <c r="AC729" t="s">
        <v>85</v>
      </c>
      <c r="AD729">
        <v>0.37</v>
      </c>
      <c r="AE729" t="s">
        <v>138</v>
      </c>
      <c r="AI729">
        <v>5</v>
      </c>
      <c r="AJ729" t="s">
        <v>201</v>
      </c>
      <c r="AV729" t="s">
        <v>88</v>
      </c>
    </row>
    <row r="730" spans="1:53" hidden="1" x14ac:dyDescent="0.3">
      <c r="A730" t="s">
        <v>419</v>
      </c>
      <c r="C730" t="s">
        <v>251</v>
      </c>
      <c r="D730" t="s">
        <v>81</v>
      </c>
      <c r="E730">
        <v>1000000</v>
      </c>
      <c r="H730">
        <v>14.25</v>
      </c>
      <c r="I730" t="s">
        <v>56</v>
      </c>
      <c r="J730">
        <v>1.4250000000000001E-3</v>
      </c>
      <c r="K730" t="s">
        <v>57</v>
      </c>
      <c r="O730">
        <v>9000</v>
      </c>
      <c r="P730" t="s">
        <v>315</v>
      </c>
      <c r="S730">
        <v>2</v>
      </c>
      <c r="T730">
        <v>22</v>
      </c>
      <c r="V730">
        <v>85</v>
      </c>
      <c r="W730" t="s">
        <v>421</v>
      </c>
      <c r="X730" t="s">
        <v>280</v>
      </c>
      <c r="Y730">
        <v>360</v>
      </c>
      <c r="AB730">
        <v>3.76</v>
      </c>
      <c r="AC730" t="s">
        <v>85</v>
      </c>
      <c r="AD730">
        <v>0.28000000000000003</v>
      </c>
      <c r="AE730" t="s">
        <v>138</v>
      </c>
      <c r="AI730">
        <v>5</v>
      </c>
      <c r="AJ730" t="s">
        <v>201</v>
      </c>
      <c r="AT730" t="s">
        <v>65</v>
      </c>
      <c r="AV730" t="s">
        <v>88</v>
      </c>
    </row>
    <row r="731" spans="1:53" hidden="1" x14ac:dyDescent="0.3">
      <c r="A731" t="s">
        <v>419</v>
      </c>
      <c r="C731" t="s">
        <v>251</v>
      </c>
      <c r="D731" t="s">
        <v>81</v>
      </c>
      <c r="E731">
        <v>1000000</v>
      </c>
      <c r="H731">
        <v>14.25</v>
      </c>
      <c r="I731" t="s">
        <v>56</v>
      </c>
      <c r="J731">
        <v>1.4250000000000001E-3</v>
      </c>
      <c r="K731" t="s">
        <v>57</v>
      </c>
      <c r="O731">
        <v>9000</v>
      </c>
      <c r="P731" t="s">
        <v>315</v>
      </c>
      <c r="S731">
        <v>2</v>
      </c>
      <c r="T731">
        <v>22</v>
      </c>
      <c r="V731">
        <v>85</v>
      </c>
      <c r="W731" t="s">
        <v>422</v>
      </c>
      <c r="X731" t="s">
        <v>280</v>
      </c>
      <c r="Y731">
        <v>360</v>
      </c>
      <c r="AA731" t="s">
        <v>94</v>
      </c>
      <c r="AB731">
        <v>7.66</v>
      </c>
      <c r="AC731" t="s">
        <v>85</v>
      </c>
      <c r="AD731">
        <v>0.09</v>
      </c>
      <c r="AE731" t="s">
        <v>138</v>
      </c>
      <c r="AI731">
        <v>5</v>
      </c>
      <c r="AJ731" t="s">
        <v>201</v>
      </c>
      <c r="AT731" t="s">
        <v>79</v>
      </c>
      <c r="AV731" t="s">
        <v>88</v>
      </c>
      <c r="AZ731">
        <v>0</v>
      </c>
      <c r="BA731">
        <v>7.66</v>
      </c>
    </row>
    <row r="732" spans="1:53" hidden="1" x14ac:dyDescent="0.3">
      <c r="A732" t="s">
        <v>419</v>
      </c>
      <c r="C732" t="s">
        <v>251</v>
      </c>
      <c r="D732" t="s">
        <v>81</v>
      </c>
      <c r="E732">
        <v>1000000</v>
      </c>
      <c r="H732">
        <v>14.25</v>
      </c>
      <c r="I732" t="s">
        <v>56</v>
      </c>
      <c r="J732">
        <v>1.4250000000000001E-3</v>
      </c>
      <c r="K732" t="s">
        <v>57</v>
      </c>
      <c r="O732">
        <v>9000</v>
      </c>
      <c r="P732" t="s">
        <v>315</v>
      </c>
      <c r="S732">
        <v>2</v>
      </c>
      <c r="T732">
        <v>22</v>
      </c>
      <c r="V732">
        <v>85</v>
      </c>
      <c r="W732" t="s">
        <v>147</v>
      </c>
      <c r="X732" t="s">
        <v>280</v>
      </c>
      <c r="Y732">
        <v>480</v>
      </c>
      <c r="AB732">
        <v>3.92</v>
      </c>
      <c r="AC732" t="s">
        <v>85</v>
      </c>
      <c r="AD732">
        <v>1.95</v>
      </c>
      <c r="AE732" t="s">
        <v>138</v>
      </c>
      <c r="AI732">
        <v>5</v>
      </c>
      <c r="AJ732" t="s">
        <v>201</v>
      </c>
      <c r="AT732" t="s">
        <v>150</v>
      </c>
      <c r="AV732" t="s">
        <v>88</v>
      </c>
    </row>
    <row r="733" spans="1:53" hidden="1" x14ac:dyDescent="0.3">
      <c r="A733" t="s">
        <v>419</v>
      </c>
      <c r="C733" t="s">
        <v>251</v>
      </c>
      <c r="D733" t="s">
        <v>81</v>
      </c>
      <c r="E733">
        <v>1000000</v>
      </c>
      <c r="H733">
        <v>14.25</v>
      </c>
      <c r="I733" t="s">
        <v>56</v>
      </c>
      <c r="J733">
        <v>1.4250000000000001E-3</v>
      </c>
      <c r="K733" t="s">
        <v>57</v>
      </c>
      <c r="O733">
        <v>9000</v>
      </c>
      <c r="P733" t="s">
        <v>315</v>
      </c>
      <c r="S733">
        <v>2</v>
      </c>
      <c r="T733">
        <v>22</v>
      </c>
      <c r="V733">
        <v>85</v>
      </c>
      <c r="W733" t="s">
        <v>74</v>
      </c>
      <c r="X733" t="s">
        <v>280</v>
      </c>
      <c r="Y733">
        <v>480</v>
      </c>
      <c r="AA733" t="s">
        <v>94</v>
      </c>
      <c r="AB733">
        <v>6.68</v>
      </c>
      <c r="AC733" t="s">
        <v>85</v>
      </c>
      <c r="AD733">
        <v>0.1</v>
      </c>
      <c r="AE733" t="s">
        <v>138</v>
      </c>
      <c r="AI733">
        <v>5</v>
      </c>
      <c r="AJ733" t="s">
        <v>201</v>
      </c>
      <c r="AT733" t="s">
        <v>75</v>
      </c>
      <c r="AV733" t="s">
        <v>88</v>
      </c>
      <c r="AZ733">
        <v>0</v>
      </c>
      <c r="BA733">
        <v>6.68</v>
      </c>
    </row>
    <row r="734" spans="1:53" hidden="1" x14ac:dyDescent="0.3">
      <c r="A734" t="s">
        <v>419</v>
      </c>
      <c r="C734" t="s">
        <v>251</v>
      </c>
      <c r="D734" t="s">
        <v>81</v>
      </c>
      <c r="E734">
        <v>1000000</v>
      </c>
      <c r="H734">
        <v>14.25</v>
      </c>
      <c r="I734" t="s">
        <v>56</v>
      </c>
      <c r="J734">
        <v>1.4250000000000001E-3</v>
      </c>
      <c r="K734" t="s">
        <v>57</v>
      </c>
      <c r="O734">
        <v>9000</v>
      </c>
      <c r="P734" t="s">
        <v>315</v>
      </c>
      <c r="S734">
        <v>2</v>
      </c>
      <c r="T734">
        <v>22</v>
      </c>
      <c r="V734">
        <v>85</v>
      </c>
      <c r="W734" t="s">
        <v>72</v>
      </c>
      <c r="X734" t="s">
        <v>280</v>
      </c>
      <c r="Y734">
        <v>480</v>
      </c>
      <c r="AA734" t="s">
        <v>94</v>
      </c>
      <c r="AB734">
        <v>7.93</v>
      </c>
      <c r="AC734" t="s">
        <v>85</v>
      </c>
      <c r="AD734">
        <v>0.06</v>
      </c>
      <c r="AE734" t="s">
        <v>138</v>
      </c>
      <c r="AI734">
        <v>5</v>
      </c>
      <c r="AJ734" t="s">
        <v>201</v>
      </c>
      <c r="AT734" t="s">
        <v>73</v>
      </c>
      <c r="AV734" t="s">
        <v>88</v>
      </c>
      <c r="AZ734">
        <v>0</v>
      </c>
      <c r="BA734">
        <v>7.93</v>
      </c>
    </row>
    <row r="735" spans="1:53" hidden="1" x14ac:dyDescent="0.3">
      <c r="A735" t="s">
        <v>419</v>
      </c>
      <c r="C735" t="s">
        <v>251</v>
      </c>
      <c r="D735" t="s">
        <v>81</v>
      </c>
      <c r="E735">
        <v>1000000</v>
      </c>
      <c r="H735">
        <v>14.25</v>
      </c>
      <c r="I735" t="s">
        <v>56</v>
      </c>
      <c r="J735">
        <v>1.4250000000000001E-3</v>
      </c>
      <c r="K735" t="s">
        <v>57</v>
      </c>
      <c r="O735">
        <v>9000</v>
      </c>
      <c r="P735" t="s">
        <v>315</v>
      </c>
      <c r="S735">
        <v>2</v>
      </c>
      <c r="T735">
        <v>22</v>
      </c>
      <c r="V735">
        <v>85</v>
      </c>
      <c r="W735" t="s">
        <v>420</v>
      </c>
      <c r="X735" t="s">
        <v>280</v>
      </c>
      <c r="Y735">
        <v>480</v>
      </c>
      <c r="AB735">
        <v>3.1</v>
      </c>
      <c r="AC735" t="s">
        <v>85</v>
      </c>
      <c r="AD735">
        <v>0.28000000000000003</v>
      </c>
      <c r="AE735" t="s">
        <v>138</v>
      </c>
      <c r="AI735">
        <v>5</v>
      </c>
      <c r="AJ735" t="s">
        <v>201</v>
      </c>
      <c r="AV735" t="s">
        <v>88</v>
      </c>
    </row>
    <row r="736" spans="1:53" hidden="1" x14ac:dyDescent="0.3">
      <c r="A736" t="s">
        <v>419</v>
      </c>
      <c r="C736" t="s">
        <v>251</v>
      </c>
      <c r="D736" t="s">
        <v>81</v>
      </c>
      <c r="E736">
        <v>1000000</v>
      </c>
      <c r="H736">
        <v>14.25</v>
      </c>
      <c r="I736" t="s">
        <v>56</v>
      </c>
      <c r="J736">
        <v>1.4250000000000001E-3</v>
      </c>
      <c r="K736" t="s">
        <v>57</v>
      </c>
      <c r="O736">
        <v>9000</v>
      </c>
      <c r="P736" t="s">
        <v>315</v>
      </c>
      <c r="S736">
        <v>2</v>
      </c>
      <c r="T736">
        <v>22</v>
      </c>
      <c r="V736">
        <v>85</v>
      </c>
      <c r="W736" t="s">
        <v>421</v>
      </c>
      <c r="X736" t="s">
        <v>280</v>
      </c>
      <c r="Y736">
        <v>480</v>
      </c>
      <c r="AB736">
        <v>2.2799999999999998</v>
      </c>
      <c r="AC736" t="s">
        <v>85</v>
      </c>
      <c r="AD736">
        <v>0.15</v>
      </c>
      <c r="AE736" t="s">
        <v>138</v>
      </c>
      <c r="AI736">
        <v>5</v>
      </c>
      <c r="AJ736" t="s">
        <v>201</v>
      </c>
      <c r="AT736" t="s">
        <v>65</v>
      </c>
      <c r="AV736" t="s">
        <v>88</v>
      </c>
    </row>
    <row r="737" spans="1:53" hidden="1" x14ac:dyDescent="0.3">
      <c r="A737" t="s">
        <v>419</v>
      </c>
      <c r="C737" t="s">
        <v>251</v>
      </c>
      <c r="D737" t="s">
        <v>81</v>
      </c>
      <c r="E737">
        <v>1000000</v>
      </c>
      <c r="H737">
        <v>14.25</v>
      </c>
      <c r="I737" t="s">
        <v>56</v>
      </c>
      <c r="J737">
        <v>1.4250000000000001E-3</v>
      </c>
      <c r="K737" t="s">
        <v>57</v>
      </c>
      <c r="O737">
        <v>9000</v>
      </c>
      <c r="P737" t="s">
        <v>315</v>
      </c>
      <c r="S737">
        <v>2</v>
      </c>
      <c r="T737">
        <v>22</v>
      </c>
      <c r="V737">
        <v>85</v>
      </c>
      <c r="W737" t="s">
        <v>422</v>
      </c>
      <c r="X737" t="s">
        <v>280</v>
      </c>
      <c r="Y737">
        <v>480</v>
      </c>
      <c r="AA737" t="s">
        <v>94</v>
      </c>
      <c r="AB737">
        <v>7.66</v>
      </c>
      <c r="AC737" t="s">
        <v>85</v>
      </c>
      <c r="AD737">
        <v>0.09</v>
      </c>
      <c r="AE737" t="s">
        <v>138</v>
      </c>
      <c r="AI737">
        <v>5</v>
      </c>
      <c r="AJ737" t="s">
        <v>201</v>
      </c>
      <c r="AT737" t="s">
        <v>79</v>
      </c>
      <c r="AV737" t="s">
        <v>88</v>
      </c>
      <c r="AZ737">
        <v>0</v>
      </c>
      <c r="BA737">
        <v>7.66</v>
      </c>
    </row>
    <row r="738" spans="1:53" hidden="1" x14ac:dyDescent="0.3">
      <c r="A738" t="s">
        <v>419</v>
      </c>
      <c r="C738" t="s">
        <v>251</v>
      </c>
      <c r="D738" t="s">
        <v>81</v>
      </c>
      <c r="E738">
        <v>1000000</v>
      </c>
      <c r="H738">
        <v>14.25</v>
      </c>
      <c r="I738" t="s">
        <v>56</v>
      </c>
      <c r="J738">
        <v>1.4250000000000001E-3</v>
      </c>
      <c r="K738" t="s">
        <v>57</v>
      </c>
      <c r="O738">
        <v>9000</v>
      </c>
      <c r="P738" t="s">
        <v>315</v>
      </c>
      <c r="S738">
        <v>2</v>
      </c>
      <c r="T738">
        <v>22</v>
      </c>
      <c r="V738">
        <v>75</v>
      </c>
      <c r="W738" t="s">
        <v>147</v>
      </c>
      <c r="X738" t="s">
        <v>280</v>
      </c>
      <c r="Y738">
        <v>240</v>
      </c>
      <c r="AB738">
        <v>1.72</v>
      </c>
      <c r="AC738" t="s">
        <v>85</v>
      </c>
      <c r="AD738">
        <v>0.24</v>
      </c>
      <c r="AE738" t="s">
        <v>138</v>
      </c>
      <c r="AI738">
        <v>5</v>
      </c>
      <c r="AJ738" t="s">
        <v>201</v>
      </c>
      <c r="AT738" t="s">
        <v>150</v>
      </c>
      <c r="AV738" t="s">
        <v>88</v>
      </c>
    </row>
    <row r="739" spans="1:53" hidden="1" x14ac:dyDescent="0.3">
      <c r="A739" t="s">
        <v>419</v>
      </c>
      <c r="C739" t="s">
        <v>251</v>
      </c>
      <c r="D739" t="s">
        <v>81</v>
      </c>
      <c r="E739">
        <v>1000000</v>
      </c>
      <c r="H739">
        <v>14.25</v>
      </c>
      <c r="I739" t="s">
        <v>56</v>
      </c>
      <c r="J739">
        <v>1.4250000000000001E-3</v>
      </c>
      <c r="K739" t="s">
        <v>57</v>
      </c>
      <c r="O739">
        <v>9000</v>
      </c>
      <c r="P739" t="s">
        <v>315</v>
      </c>
      <c r="S739">
        <v>2</v>
      </c>
      <c r="T739">
        <v>22</v>
      </c>
      <c r="V739">
        <v>75</v>
      </c>
      <c r="W739" t="s">
        <v>74</v>
      </c>
      <c r="X739" t="s">
        <v>280</v>
      </c>
      <c r="Y739">
        <v>240</v>
      </c>
      <c r="AB739">
        <v>2.31</v>
      </c>
      <c r="AC739" t="s">
        <v>85</v>
      </c>
      <c r="AD739">
        <v>0.52</v>
      </c>
      <c r="AE739" t="s">
        <v>138</v>
      </c>
      <c r="AI739">
        <v>5</v>
      </c>
      <c r="AJ739" t="s">
        <v>201</v>
      </c>
      <c r="AT739" t="s">
        <v>75</v>
      </c>
      <c r="AV739" t="s">
        <v>88</v>
      </c>
    </row>
    <row r="740" spans="1:53" hidden="1" x14ac:dyDescent="0.3">
      <c r="A740" t="s">
        <v>419</v>
      </c>
      <c r="C740" t="s">
        <v>251</v>
      </c>
      <c r="D740" t="s">
        <v>81</v>
      </c>
      <c r="E740">
        <v>1000000</v>
      </c>
      <c r="H740">
        <v>14.25</v>
      </c>
      <c r="I740" t="s">
        <v>56</v>
      </c>
      <c r="J740">
        <v>1.4250000000000001E-3</v>
      </c>
      <c r="K740" t="s">
        <v>57</v>
      </c>
      <c r="O740">
        <v>9000</v>
      </c>
      <c r="P740" t="s">
        <v>315</v>
      </c>
      <c r="S740">
        <v>2</v>
      </c>
      <c r="T740">
        <v>22</v>
      </c>
      <c r="V740">
        <v>75</v>
      </c>
      <c r="W740" t="s">
        <v>72</v>
      </c>
      <c r="X740" t="s">
        <v>280</v>
      </c>
      <c r="Y740">
        <v>240</v>
      </c>
      <c r="AB740">
        <v>2.33</v>
      </c>
      <c r="AC740" t="s">
        <v>85</v>
      </c>
      <c r="AD740">
        <v>0.19</v>
      </c>
      <c r="AE740" t="s">
        <v>138</v>
      </c>
      <c r="AI740">
        <v>5</v>
      </c>
      <c r="AJ740" t="s">
        <v>201</v>
      </c>
      <c r="AT740" t="s">
        <v>73</v>
      </c>
      <c r="AV740" t="s">
        <v>88</v>
      </c>
    </row>
    <row r="741" spans="1:53" hidden="1" x14ac:dyDescent="0.3">
      <c r="A741" t="s">
        <v>419</v>
      </c>
      <c r="C741" t="s">
        <v>251</v>
      </c>
      <c r="D741" t="s">
        <v>81</v>
      </c>
      <c r="E741">
        <v>1000000</v>
      </c>
      <c r="H741">
        <v>14.25</v>
      </c>
      <c r="I741" t="s">
        <v>56</v>
      </c>
      <c r="J741">
        <v>1.4250000000000001E-3</v>
      </c>
      <c r="K741" t="s">
        <v>57</v>
      </c>
      <c r="O741">
        <v>9000</v>
      </c>
      <c r="P741" t="s">
        <v>315</v>
      </c>
      <c r="S741">
        <v>2</v>
      </c>
      <c r="T741">
        <v>22</v>
      </c>
      <c r="V741">
        <v>75</v>
      </c>
      <c r="W741" t="s">
        <v>420</v>
      </c>
      <c r="X741" t="s">
        <v>280</v>
      </c>
      <c r="Y741">
        <v>240</v>
      </c>
      <c r="AB741">
        <v>1.27</v>
      </c>
      <c r="AC741" t="s">
        <v>85</v>
      </c>
      <c r="AD741">
        <v>0.06</v>
      </c>
      <c r="AE741" t="s">
        <v>138</v>
      </c>
      <c r="AI741">
        <v>5</v>
      </c>
      <c r="AJ741" t="s">
        <v>201</v>
      </c>
      <c r="AV741" t="s">
        <v>88</v>
      </c>
    </row>
    <row r="742" spans="1:53" hidden="1" x14ac:dyDescent="0.3">
      <c r="A742" t="s">
        <v>419</v>
      </c>
      <c r="C742" t="s">
        <v>251</v>
      </c>
      <c r="D742" t="s">
        <v>81</v>
      </c>
      <c r="E742">
        <v>1000000</v>
      </c>
      <c r="H742">
        <v>14.25</v>
      </c>
      <c r="I742" t="s">
        <v>56</v>
      </c>
      <c r="J742">
        <v>1.4250000000000001E-3</v>
      </c>
      <c r="K742" t="s">
        <v>57</v>
      </c>
      <c r="O742">
        <v>9000</v>
      </c>
      <c r="P742" t="s">
        <v>315</v>
      </c>
      <c r="S742">
        <v>2</v>
      </c>
      <c r="T742">
        <v>22</v>
      </c>
      <c r="V742">
        <v>75</v>
      </c>
      <c r="W742" t="s">
        <v>421</v>
      </c>
      <c r="X742" t="s">
        <v>280</v>
      </c>
      <c r="Y742">
        <v>240</v>
      </c>
      <c r="AB742">
        <v>1.55</v>
      </c>
      <c r="AC742" t="s">
        <v>85</v>
      </c>
      <c r="AD742">
        <v>0.2</v>
      </c>
      <c r="AE742" t="s">
        <v>138</v>
      </c>
      <c r="AI742">
        <v>5</v>
      </c>
      <c r="AJ742" t="s">
        <v>201</v>
      </c>
      <c r="AT742" t="s">
        <v>65</v>
      </c>
      <c r="AV742" t="s">
        <v>88</v>
      </c>
    </row>
    <row r="743" spans="1:53" hidden="1" x14ac:dyDescent="0.3">
      <c r="A743" t="s">
        <v>419</v>
      </c>
      <c r="C743" t="s">
        <v>251</v>
      </c>
      <c r="D743" t="s">
        <v>81</v>
      </c>
      <c r="E743">
        <v>1000000</v>
      </c>
      <c r="H743">
        <v>14.25</v>
      </c>
      <c r="I743" t="s">
        <v>56</v>
      </c>
      <c r="J743">
        <v>1.4250000000000001E-3</v>
      </c>
      <c r="K743" t="s">
        <v>57</v>
      </c>
      <c r="O743">
        <v>9000</v>
      </c>
      <c r="P743" t="s">
        <v>315</v>
      </c>
      <c r="S743">
        <v>2</v>
      </c>
      <c r="T743">
        <v>22</v>
      </c>
      <c r="V743">
        <v>75</v>
      </c>
      <c r="W743" t="s">
        <v>422</v>
      </c>
      <c r="X743" t="s">
        <v>280</v>
      </c>
      <c r="Y743">
        <v>240</v>
      </c>
      <c r="AB743">
        <v>3.65</v>
      </c>
      <c r="AC743" t="s">
        <v>85</v>
      </c>
      <c r="AD743">
        <v>0.69</v>
      </c>
      <c r="AE743" t="s">
        <v>138</v>
      </c>
      <c r="AI743">
        <v>5</v>
      </c>
      <c r="AJ743" t="s">
        <v>201</v>
      </c>
      <c r="AT743" t="s">
        <v>79</v>
      </c>
      <c r="AV743" t="s">
        <v>88</v>
      </c>
    </row>
    <row r="744" spans="1:53" hidden="1" x14ac:dyDescent="0.3">
      <c r="A744" t="s">
        <v>419</v>
      </c>
      <c r="C744" t="s">
        <v>251</v>
      </c>
      <c r="D744" t="s">
        <v>81</v>
      </c>
      <c r="E744">
        <v>1000000</v>
      </c>
      <c r="H744">
        <v>14.25</v>
      </c>
      <c r="I744" t="s">
        <v>56</v>
      </c>
      <c r="J744">
        <v>1.4250000000000001E-3</v>
      </c>
      <c r="K744" t="s">
        <v>57</v>
      </c>
      <c r="O744">
        <v>9000</v>
      </c>
      <c r="P744" t="s">
        <v>315</v>
      </c>
      <c r="S744">
        <v>2</v>
      </c>
      <c r="T744">
        <v>22</v>
      </c>
      <c r="V744">
        <v>75</v>
      </c>
      <c r="W744" t="s">
        <v>147</v>
      </c>
      <c r="X744" t="s">
        <v>280</v>
      </c>
      <c r="Y744">
        <v>360</v>
      </c>
      <c r="AB744">
        <v>1.7</v>
      </c>
      <c r="AC744" t="s">
        <v>85</v>
      </c>
      <c r="AD744">
        <v>0.14000000000000001</v>
      </c>
      <c r="AE744" t="s">
        <v>138</v>
      </c>
      <c r="AI744">
        <v>5</v>
      </c>
      <c r="AJ744" t="s">
        <v>201</v>
      </c>
      <c r="AT744" t="s">
        <v>150</v>
      </c>
      <c r="AV744" t="s">
        <v>88</v>
      </c>
    </row>
    <row r="745" spans="1:53" hidden="1" x14ac:dyDescent="0.3">
      <c r="A745" t="s">
        <v>419</v>
      </c>
      <c r="C745" t="s">
        <v>251</v>
      </c>
      <c r="D745" t="s">
        <v>81</v>
      </c>
      <c r="E745">
        <v>1000000</v>
      </c>
      <c r="H745">
        <v>14.25</v>
      </c>
      <c r="I745" t="s">
        <v>56</v>
      </c>
      <c r="J745">
        <v>1.4250000000000001E-3</v>
      </c>
      <c r="K745" t="s">
        <v>57</v>
      </c>
      <c r="O745">
        <v>9000</v>
      </c>
      <c r="P745" t="s">
        <v>315</v>
      </c>
      <c r="S745">
        <v>2</v>
      </c>
      <c r="T745">
        <v>22</v>
      </c>
      <c r="V745">
        <v>75</v>
      </c>
      <c r="W745" t="s">
        <v>74</v>
      </c>
      <c r="X745" t="s">
        <v>280</v>
      </c>
      <c r="Y745">
        <v>360</v>
      </c>
      <c r="AB745">
        <v>2.21</v>
      </c>
      <c r="AC745" t="s">
        <v>85</v>
      </c>
      <c r="AD745">
        <v>0.24</v>
      </c>
      <c r="AE745" t="s">
        <v>138</v>
      </c>
      <c r="AI745">
        <v>5</v>
      </c>
      <c r="AJ745" t="s">
        <v>201</v>
      </c>
      <c r="AT745" t="s">
        <v>75</v>
      </c>
      <c r="AV745" t="s">
        <v>88</v>
      </c>
    </row>
    <row r="746" spans="1:53" hidden="1" x14ac:dyDescent="0.3">
      <c r="A746" t="s">
        <v>419</v>
      </c>
      <c r="C746" t="s">
        <v>251</v>
      </c>
      <c r="D746" t="s">
        <v>81</v>
      </c>
      <c r="E746">
        <v>1000000</v>
      </c>
      <c r="H746">
        <v>14.25</v>
      </c>
      <c r="I746" t="s">
        <v>56</v>
      </c>
      <c r="J746">
        <v>1.4250000000000001E-3</v>
      </c>
      <c r="K746" t="s">
        <v>57</v>
      </c>
      <c r="O746">
        <v>9000</v>
      </c>
      <c r="P746" t="s">
        <v>315</v>
      </c>
      <c r="S746">
        <v>2</v>
      </c>
      <c r="T746">
        <v>22</v>
      </c>
      <c r="V746">
        <v>75</v>
      </c>
      <c r="W746" t="s">
        <v>72</v>
      </c>
      <c r="X746" t="s">
        <v>280</v>
      </c>
      <c r="Y746">
        <v>360</v>
      </c>
      <c r="AB746">
        <v>3.16</v>
      </c>
      <c r="AC746" t="s">
        <v>85</v>
      </c>
      <c r="AD746">
        <v>0.18</v>
      </c>
      <c r="AE746" t="s">
        <v>138</v>
      </c>
      <c r="AI746">
        <v>5</v>
      </c>
      <c r="AJ746" t="s">
        <v>201</v>
      </c>
      <c r="AT746" t="s">
        <v>73</v>
      </c>
      <c r="AV746" t="s">
        <v>88</v>
      </c>
    </row>
    <row r="747" spans="1:53" hidden="1" x14ac:dyDescent="0.3">
      <c r="A747" t="s">
        <v>419</v>
      </c>
      <c r="C747" t="s">
        <v>251</v>
      </c>
      <c r="D747" t="s">
        <v>81</v>
      </c>
      <c r="E747">
        <v>1000000</v>
      </c>
      <c r="H747">
        <v>14.25</v>
      </c>
      <c r="I747" t="s">
        <v>56</v>
      </c>
      <c r="J747">
        <v>1.4250000000000001E-3</v>
      </c>
      <c r="K747" t="s">
        <v>57</v>
      </c>
      <c r="O747">
        <v>9000</v>
      </c>
      <c r="P747" t="s">
        <v>315</v>
      </c>
      <c r="S747">
        <v>2</v>
      </c>
      <c r="T747">
        <v>22</v>
      </c>
      <c r="V747">
        <v>75</v>
      </c>
      <c r="W747" t="s">
        <v>420</v>
      </c>
      <c r="X747" t="s">
        <v>280</v>
      </c>
      <c r="Y747">
        <v>360</v>
      </c>
      <c r="AB747">
        <v>1.27</v>
      </c>
      <c r="AC747" t="s">
        <v>85</v>
      </c>
      <c r="AD747">
        <v>0.06</v>
      </c>
      <c r="AE747" t="s">
        <v>138</v>
      </c>
      <c r="AI747">
        <v>5</v>
      </c>
      <c r="AJ747" t="s">
        <v>201</v>
      </c>
      <c r="AV747" t="s">
        <v>88</v>
      </c>
    </row>
    <row r="748" spans="1:53" hidden="1" x14ac:dyDescent="0.3">
      <c r="A748" t="s">
        <v>419</v>
      </c>
      <c r="C748" t="s">
        <v>251</v>
      </c>
      <c r="D748" t="s">
        <v>81</v>
      </c>
      <c r="E748">
        <v>1000000</v>
      </c>
      <c r="H748">
        <v>14.25</v>
      </c>
      <c r="I748" t="s">
        <v>56</v>
      </c>
      <c r="J748">
        <v>1.4250000000000001E-3</v>
      </c>
      <c r="K748" t="s">
        <v>57</v>
      </c>
      <c r="O748">
        <v>9000</v>
      </c>
      <c r="P748" t="s">
        <v>315</v>
      </c>
      <c r="S748">
        <v>2</v>
      </c>
      <c r="T748">
        <v>22</v>
      </c>
      <c r="V748">
        <v>75</v>
      </c>
      <c r="W748" t="s">
        <v>421</v>
      </c>
      <c r="X748" t="s">
        <v>280</v>
      </c>
      <c r="Y748">
        <v>360</v>
      </c>
      <c r="AB748">
        <v>1.4</v>
      </c>
      <c r="AC748" t="s">
        <v>85</v>
      </c>
      <c r="AD748">
        <v>0.18</v>
      </c>
      <c r="AE748" t="s">
        <v>138</v>
      </c>
      <c r="AI748">
        <v>5</v>
      </c>
      <c r="AJ748" t="s">
        <v>201</v>
      </c>
      <c r="AT748" t="s">
        <v>65</v>
      </c>
      <c r="AV748" t="s">
        <v>88</v>
      </c>
    </row>
    <row r="749" spans="1:53" hidden="1" x14ac:dyDescent="0.3">
      <c r="A749" t="s">
        <v>419</v>
      </c>
      <c r="C749" t="s">
        <v>251</v>
      </c>
      <c r="D749" t="s">
        <v>81</v>
      </c>
      <c r="E749">
        <v>10000000</v>
      </c>
      <c r="H749">
        <v>14.25</v>
      </c>
      <c r="I749" t="s">
        <v>56</v>
      </c>
      <c r="J749">
        <v>1.4250000000000001E-3</v>
      </c>
      <c r="K749" t="s">
        <v>57</v>
      </c>
      <c r="O749">
        <v>9000</v>
      </c>
      <c r="P749" t="s">
        <v>315</v>
      </c>
      <c r="S749">
        <v>2</v>
      </c>
      <c r="T749">
        <v>22</v>
      </c>
      <c r="V749">
        <v>75</v>
      </c>
      <c r="W749" t="s">
        <v>422</v>
      </c>
      <c r="X749" t="s">
        <v>280</v>
      </c>
      <c r="Y749">
        <v>360</v>
      </c>
      <c r="AB749">
        <v>5.32</v>
      </c>
      <c r="AC749" t="s">
        <v>85</v>
      </c>
      <c r="AD749">
        <v>1.79</v>
      </c>
      <c r="AE749" t="s">
        <v>138</v>
      </c>
      <c r="AI749">
        <v>5</v>
      </c>
      <c r="AJ749" t="s">
        <v>201</v>
      </c>
      <c r="AT749" t="s">
        <v>79</v>
      </c>
      <c r="AV749" t="s">
        <v>88</v>
      </c>
    </row>
    <row r="750" spans="1:53" hidden="1" x14ac:dyDescent="0.3">
      <c r="A750" t="s">
        <v>419</v>
      </c>
      <c r="C750" t="s">
        <v>251</v>
      </c>
      <c r="D750" t="s">
        <v>81</v>
      </c>
      <c r="E750">
        <v>10000000</v>
      </c>
      <c r="H750">
        <v>14.25</v>
      </c>
      <c r="I750" t="s">
        <v>56</v>
      </c>
      <c r="J750">
        <v>1.4250000000000001E-3</v>
      </c>
      <c r="K750" t="s">
        <v>57</v>
      </c>
      <c r="O750">
        <v>9000</v>
      </c>
      <c r="P750" t="s">
        <v>315</v>
      </c>
      <c r="S750">
        <v>2</v>
      </c>
      <c r="T750">
        <v>22</v>
      </c>
      <c r="V750">
        <v>75</v>
      </c>
      <c r="W750" t="s">
        <v>147</v>
      </c>
      <c r="X750" t="s">
        <v>280</v>
      </c>
      <c r="Y750">
        <v>480</v>
      </c>
      <c r="AB750">
        <v>1.88</v>
      </c>
      <c r="AC750" t="s">
        <v>85</v>
      </c>
      <c r="AD750">
        <v>0.37</v>
      </c>
      <c r="AE750" t="s">
        <v>138</v>
      </c>
      <c r="AI750">
        <v>5</v>
      </c>
      <c r="AJ750" t="s">
        <v>201</v>
      </c>
      <c r="AT750" t="s">
        <v>150</v>
      </c>
      <c r="AV750" t="s">
        <v>88</v>
      </c>
    </row>
    <row r="751" spans="1:53" hidden="1" x14ac:dyDescent="0.3">
      <c r="A751" t="s">
        <v>419</v>
      </c>
      <c r="C751" t="s">
        <v>251</v>
      </c>
      <c r="D751" t="s">
        <v>81</v>
      </c>
      <c r="E751">
        <v>10000000</v>
      </c>
      <c r="H751">
        <v>14.25</v>
      </c>
      <c r="I751" t="s">
        <v>56</v>
      </c>
      <c r="J751">
        <v>1.4250000000000001E-3</v>
      </c>
      <c r="K751" t="s">
        <v>57</v>
      </c>
      <c r="O751">
        <v>9000</v>
      </c>
      <c r="P751" t="s">
        <v>315</v>
      </c>
      <c r="S751">
        <v>2</v>
      </c>
      <c r="T751">
        <v>22</v>
      </c>
      <c r="V751">
        <v>75</v>
      </c>
      <c r="W751" t="s">
        <v>74</v>
      </c>
      <c r="X751" t="s">
        <v>280</v>
      </c>
      <c r="Y751">
        <v>480</v>
      </c>
      <c r="AB751">
        <v>2.56</v>
      </c>
      <c r="AC751" t="s">
        <v>85</v>
      </c>
      <c r="AD751">
        <v>0.55000000000000004</v>
      </c>
      <c r="AE751" t="s">
        <v>138</v>
      </c>
      <c r="AI751">
        <v>5</v>
      </c>
      <c r="AJ751" t="s">
        <v>201</v>
      </c>
      <c r="AT751" t="s">
        <v>75</v>
      </c>
      <c r="AV751" t="s">
        <v>88</v>
      </c>
    </row>
    <row r="752" spans="1:53" hidden="1" x14ac:dyDescent="0.3">
      <c r="A752" t="s">
        <v>419</v>
      </c>
      <c r="C752" t="s">
        <v>251</v>
      </c>
      <c r="D752" t="s">
        <v>81</v>
      </c>
      <c r="E752">
        <v>10000000</v>
      </c>
      <c r="H752">
        <v>14.25</v>
      </c>
      <c r="I752" t="s">
        <v>56</v>
      </c>
      <c r="J752">
        <v>1.4250000000000001E-3</v>
      </c>
      <c r="K752" t="s">
        <v>57</v>
      </c>
      <c r="O752">
        <v>9000</v>
      </c>
      <c r="P752" t="s">
        <v>315</v>
      </c>
      <c r="S752">
        <v>2</v>
      </c>
      <c r="T752">
        <v>22</v>
      </c>
      <c r="V752">
        <v>75</v>
      </c>
      <c r="W752" t="s">
        <v>72</v>
      </c>
      <c r="X752" t="s">
        <v>280</v>
      </c>
      <c r="Y752">
        <v>480</v>
      </c>
      <c r="AB752">
        <v>4.29</v>
      </c>
      <c r="AC752" t="s">
        <v>85</v>
      </c>
      <c r="AD752">
        <v>0.76</v>
      </c>
      <c r="AE752" t="s">
        <v>138</v>
      </c>
      <c r="AI752">
        <v>5</v>
      </c>
      <c r="AJ752" t="s">
        <v>201</v>
      </c>
      <c r="AT752" t="s">
        <v>73</v>
      </c>
      <c r="AV752" t="s">
        <v>88</v>
      </c>
    </row>
    <row r="753" spans="1:53" hidden="1" x14ac:dyDescent="0.3">
      <c r="A753" t="s">
        <v>419</v>
      </c>
      <c r="C753" t="s">
        <v>251</v>
      </c>
      <c r="D753" t="s">
        <v>81</v>
      </c>
      <c r="E753">
        <v>10000000</v>
      </c>
      <c r="H753">
        <v>14.25</v>
      </c>
      <c r="I753" t="s">
        <v>56</v>
      </c>
      <c r="J753">
        <v>1.4250000000000001E-3</v>
      </c>
      <c r="K753" t="s">
        <v>57</v>
      </c>
      <c r="O753">
        <v>9000</v>
      </c>
      <c r="P753" t="s">
        <v>315</v>
      </c>
      <c r="S753">
        <v>2</v>
      </c>
      <c r="T753">
        <v>22</v>
      </c>
      <c r="V753">
        <v>75</v>
      </c>
      <c r="W753" t="s">
        <v>420</v>
      </c>
      <c r="X753" t="s">
        <v>280</v>
      </c>
      <c r="Y753">
        <v>480</v>
      </c>
      <c r="AB753">
        <v>1.49</v>
      </c>
      <c r="AC753" t="s">
        <v>85</v>
      </c>
      <c r="AD753">
        <v>0.09</v>
      </c>
      <c r="AE753" t="s">
        <v>138</v>
      </c>
      <c r="AI753">
        <v>5</v>
      </c>
      <c r="AJ753" t="s">
        <v>201</v>
      </c>
      <c r="AV753" t="s">
        <v>88</v>
      </c>
    </row>
    <row r="754" spans="1:53" hidden="1" x14ac:dyDescent="0.3">
      <c r="A754" t="s">
        <v>419</v>
      </c>
      <c r="C754" t="s">
        <v>251</v>
      </c>
      <c r="D754" t="s">
        <v>81</v>
      </c>
      <c r="E754">
        <v>10000000</v>
      </c>
      <c r="H754">
        <v>14.25</v>
      </c>
      <c r="I754" t="s">
        <v>56</v>
      </c>
      <c r="J754">
        <v>1.4250000000000001E-3</v>
      </c>
      <c r="K754" t="s">
        <v>57</v>
      </c>
      <c r="O754">
        <v>9000</v>
      </c>
      <c r="P754" t="s">
        <v>315</v>
      </c>
      <c r="S754">
        <v>2</v>
      </c>
      <c r="T754">
        <v>22</v>
      </c>
      <c r="V754">
        <v>75</v>
      </c>
      <c r="W754" t="s">
        <v>421</v>
      </c>
      <c r="X754" t="s">
        <v>280</v>
      </c>
      <c r="Y754">
        <v>480</v>
      </c>
      <c r="AB754">
        <v>1.4</v>
      </c>
      <c r="AC754" t="s">
        <v>85</v>
      </c>
      <c r="AD754">
        <v>0.4</v>
      </c>
      <c r="AE754" t="s">
        <v>138</v>
      </c>
      <c r="AI754">
        <v>5</v>
      </c>
      <c r="AJ754" t="s">
        <v>201</v>
      </c>
      <c r="AT754" t="s">
        <v>65</v>
      </c>
      <c r="AV754" t="s">
        <v>88</v>
      </c>
    </row>
    <row r="755" spans="1:53" hidden="1" x14ac:dyDescent="0.3">
      <c r="A755" t="s">
        <v>419</v>
      </c>
      <c r="C755" t="s">
        <v>251</v>
      </c>
      <c r="D755" t="s">
        <v>81</v>
      </c>
      <c r="E755">
        <v>10000000</v>
      </c>
      <c r="H755">
        <v>14.25</v>
      </c>
      <c r="I755" t="s">
        <v>56</v>
      </c>
      <c r="J755">
        <v>1.4250000000000001E-3</v>
      </c>
      <c r="K755" t="s">
        <v>57</v>
      </c>
      <c r="O755">
        <v>9000</v>
      </c>
      <c r="P755" t="s">
        <v>315</v>
      </c>
      <c r="S755">
        <v>2</v>
      </c>
      <c r="T755">
        <v>22</v>
      </c>
      <c r="V755">
        <v>75</v>
      </c>
      <c r="W755" t="s">
        <v>422</v>
      </c>
      <c r="X755" t="s">
        <v>280</v>
      </c>
      <c r="Y755">
        <v>480</v>
      </c>
      <c r="AB755">
        <v>5.42</v>
      </c>
      <c r="AC755" t="s">
        <v>85</v>
      </c>
      <c r="AD755">
        <v>1.72</v>
      </c>
      <c r="AE755" t="s">
        <v>138</v>
      </c>
      <c r="AI755">
        <v>5</v>
      </c>
      <c r="AJ755" t="s">
        <v>201</v>
      </c>
      <c r="AT755" t="s">
        <v>79</v>
      </c>
      <c r="AV755" t="s">
        <v>88</v>
      </c>
    </row>
    <row r="756" spans="1:53" hidden="1" x14ac:dyDescent="0.3">
      <c r="A756" t="s">
        <v>419</v>
      </c>
      <c r="C756" t="s">
        <v>251</v>
      </c>
      <c r="D756" t="s">
        <v>81</v>
      </c>
      <c r="E756">
        <v>10000000</v>
      </c>
      <c r="H756">
        <v>14.25</v>
      </c>
      <c r="I756" t="s">
        <v>56</v>
      </c>
      <c r="J756">
        <v>1.4250000000000001E-3</v>
      </c>
      <c r="K756" t="s">
        <v>57</v>
      </c>
      <c r="O756">
        <v>9800</v>
      </c>
      <c r="P756" t="s">
        <v>315</v>
      </c>
      <c r="S756">
        <v>2</v>
      </c>
      <c r="T756">
        <v>22</v>
      </c>
      <c r="V756">
        <v>85</v>
      </c>
      <c r="W756" t="s">
        <v>147</v>
      </c>
      <c r="X756" t="s">
        <v>280</v>
      </c>
      <c r="Y756">
        <v>360</v>
      </c>
      <c r="AB756">
        <v>6.61</v>
      </c>
      <c r="AC756" t="s">
        <v>85</v>
      </c>
      <c r="AD756">
        <v>1.42</v>
      </c>
      <c r="AE756" t="s">
        <v>138</v>
      </c>
      <c r="AI756">
        <v>5</v>
      </c>
      <c r="AJ756" t="s">
        <v>201</v>
      </c>
      <c r="AT756" t="s">
        <v>150</v>
      </c>
      <c r="AV756" t="s">
        <v>88</v>
      </c>
    </row>
    <row r="757" spans="1:53" hidden="1" x14ac:dyDescent="0.3">
      <c r="A757" t="s">
        <v>419</v>
      </c>
      <c r="C757" t="s">
        <v>251</v>
      </c>
      <c r="D757" t="s">
        <v>81</v>
      </c>
      <c r="E757">
        <v>10000000</v>
      </c>
      <c r="H757">
        <v>14.25</v>
      </c>
      <c r="I757" t="s">
        <v>56</v>
      </c>
      <c r="J757">
        <v>1.4250000000000001E-3</v>
      </c>
      <c r="K757" t="s">
        <v>57</v>
      </c>
      <c r="O757">
        <v>9800</v>
      </c>
      <c r="P757" t="s">
        <v>315</v>
      </c>
      <c r="S757">
        <v>2</v>
      </c>
      <c r="T757">
        <v>22</v>
      </c>
      <c r="V757">
        <v>85</v>
      </c>
      <c r="W757" t="s">
        <v>74</v>
      </c>
      <c r="X757" t="s">
        <v>280</v>
      </c>
      <c r="Y757">
        <v>360</v>
      </c>
      <c r="AA757" t="s">
        <v>94</v>
      </c>
      <c r="AB757">
        <v>6.9</v>
      </c>
      <c r="AC757" t="s">
        <v>85</v>
      </c>
      <c r="AD757">
        <v>0.27</v>
      </c>
      <c r="AE757" t="s">
        <v>138</v>
      </c>
      <c r="AI757">
        <v>5</v>
      </c>
      <c r="AJ757" t="s">
        <v>201</v>
      </c>
      <c r="AT757" t="s">
        <v>75</v>
      </c>
      <c r="AV757" t="s">
        <v>88</v>
      </c>
      <c r="AZ757">
        <v>0</v>
      </c>
      <c r="BA757">
        <v>6.9</v>
      </c>
    </row>
    <row r="758" spans="1:53" hidden="1" x14ac:dyDescent="0.3">
      <c r="A758" t="s">
        <v>419</v>
      </c>
      <c r="C758" t="s">
        <v>251</v>
      </c>
      <c r="D758" t="s">
        <v>81</v>
      </c>
      <c r="E758">
        <v>1000000</v>
      </c>
      <c r="H758">
        <v>14.25</v>
      </c>
      <c r="I758" t="s">
        <v>56</v>
      </c>
      <c r="J758">
        <v>1.4250000000000001E-3</v>
      </c>
      <c r="K758" t="s">
        <v>57</v>
      </c>
      <c r="O758">
        <v>9800</v>
      </c>
      <c r="P758" t="s">
        <v>315</v>
      </c>
      <c r="S758">
        <v>2</v>
      </c>
      <c r="T758">
        <v>22</v>
      </c>
      <c r="V758">
        <v>85</v>
      </c>
      <c r="W758" t="s">
        <v>72</v>
      </c>
      <c r="X758" t="s">
        <v>280</v>
      </c>
      <c r="Y758">
        <v>360</v>
      </c>
      <c r="AA758" t="s">
        <v>94</v>
      </c>
      <c r="AB758">
        <v>7.92</v>
      </c>
      <c r="AC758" t="s">
        <v>85</v>
      </c>
      <c r="AD758">
        <v>0.08</v>
      </c>
      <c r="AE758" t="s">
        <v>138</v>
      </c>
      <c r="AI758">
        <v>5</v>
      </c>
      <c r="AJ758" t="s">
        <v>201</v>
      </c>
      <c r="AT758" t="s">
        <v>73</v>
      </c>
      <c r="AV758" t="s">
        <v>88</v>
      </c>
      <c r="AZ758">
        <v>0</v>
      </c>
      <c r="BA758">
        <v>7.92</v>
      </c>
    </row>
    <row r="759" spans="1:53" hidden="1" x14ac:dyDescent="0.3">
      <c r="A759" t="s">
        <v>419</v>
      </c>
      <c r="C759" t="s">
        <v>251</v>
      </c>
      <c r="D759" t="s">
        <v>81</v>
      </c>
      <c r="E759">
        <v>1000000</v>
      </c>
      <c r="H759">
        <v>14.25</v>
      </c>
      <c r="I759" t="s">
        <v>56</v>
      </c>
      <c r="J759">
        <v>1.4250000000000001E-3</v>
      </c>
      <c r="K759" t="s">
        <v>57</v>
      </c>
      <c r="O759">
        <v>9800</v>
      </c>
      <c r="P759" t="s">
        <v>315</v>
      </c>
      <c r="S759">
        <v>2</v>
      </c>
      <c r="T759">
        <v>22</v>
      </c>
      <c r="V759">
        <v>85</v>
      </c>
      <c r="W759" t="s">
        <v>420</v>
      </c>
      <c r="X759" t="s">
        <v>280</v>
      </c>
      <c r="Y759">
        <v>360</v>
      </c>
      <c r="AB759">
        <v>3.52</v>
      </c>
      <c r="AC759" t="s">
        <v>85</v>
      </c>
      <c r="AD759">
        <v>0.17</v>
      </c>
      <c r="AE759" t="s">
        <v>138</v>
      </c>
      <c r="AI759">
        <v>5</v>
      </c>
      <c r="AJ759" t="s">
        <v>201</v>
      </c>
      <c r="AV759" t="s">
        <v>88</v>
      </c>
    </row>
    <row r="760" spans="1:53" hidden="1" x14ac:dyDescent="0.3">
      <c r="A760" t="s">
        <v>419</v>
      </c>
      <c r="C760" t="s">
        <v>251</v>
      </c>
      <c r="D760" t="s">
        <v>81</v>
      </c>
      <c r="E760">
        <v>1000000</v>
      </c>
      <c r="H760">
        <v>14.25</v>
      </c>
      <c r="I760" t="s">
        <v>56</v>
      </c>
      <c r="J760">
        <v>1.4250000000000001E-3</v>
      </c>
      <c r="K760" t="s">
        <v>57</v>
      </c>
      <c r="O760">
        <v>9800</v>
      </c>
      <c r="P760" t="s">
        <v>315</v>
      </c>
      <c r="S760">
        <v>2</v>
      </c>
      <c r="T760">
        <v>22</v>
      </c>
      <c r="V760">
        <v>85</v>
      </c>
      <c r="W760" t="s">
        <v>421</v>
      </c>
      <c r="X760" t="s">
        <v>280</v>
      </c>
      <c r="Y760">
        <v>360</v>
      </c>
      <c r="AB760">
        <v>3.34</v>
      </c>
      <c r="AC760" t="s">
        <v>85</v>
      </c>
      <c r="AD760">
        <v>0.48</v>
      </c>
      <c r="AE760" t="s">
        <v>138</v>
      </c>
      <c r="AI760">
        <v>5</v>
      </c>
      <c r="AJ760" t="s">
        <v>201</v>
      </c>
      <c r="AT760" t="s">
        <v>65</v>
      </c>
      <c r="AV760" t="s">
        <v>88</v>
      </c>
    </row>
    <row r="761" spans="1:53" hidden="1" x14ac:dyDescent="0.3">
      <c r="A761" t="s">
        <v>419</v>
      </c>
      <c r="C761" t="s">
        <v>251</v>
      </c>
      <c r="D761" t="s">
        <v>81</v>
      </c>
      <c r="E761">
        <v>1000000</v>
      </c>
      <c r="H761">
        <v>14.25</v>
      </c>
      <c r="I761" t="s">
        <v>56</v>
      </c>
      <c r="J761">
        <v>1.4250000000000001E-3</v>
      </c>
      <c r="K761" t="s">
        <v>57</v>
      </c>
      <c r="O761">
        <v>9800</v>
      </c>
      <c r="P761" t="s">
        <v>315</v>
      </c>
      <c r="S761">
        <v>2</v>
      </c>
      <c r="T761">
        <v>22</v>
      </c>
      <c r="V761">
        <v>85</v>
      </c>
      <c r="W761" t="s">
        <v>422</v>
      </c>
      <c r="X761" t="s">
        <v>280</v>
      </c>
      <c r="Y761">
        <v>360</v>
      </c>
      <c r="AA761" t="s">
        <v>94</v>
      </c>
      <c r="AB761">
        <v>7.84</v>
      </c>
      <c r="AC761" t="s">
        <v>85</v>
      </c>
      <c r="AD761">
        <v>0.48</v>
      </c>
      <c r="AE761" t="s">
        <v>138</v>
      </c>
      <c r="AI761">
        <v>5</v>
      </c>
      <c r="AJ761" t="s">
        <v>201</v>
      </c>
      <c r="AT761" t="s">
        <v>79</v>
      </c>
      <c r="AV761" t="s">
        <v>88</v>
      </c>
      <c r="AZ761">
        <v>0</v>
      </c>
      <c r="BA761">
        <v>7.84</v>
      </c>
    </row>
    <row r="762" spans="1:53" hidden="1" x14ac:dyDescent="0.3">
      <c r="A762" t="s">
        <v>419</v>
      </c>
      <c r="C762" t="s">
        <v>251</v>
      </c>
      <c r="D762" t="s">
        <v>81</v>
      </c>
      <c r="E762">
        <v>1000000</v>
      </c>
      <c r="H762">
        <v>14.25</v>
      </c>
      <c r="I762" t="s">
        <v>56</v>
      </c>
      <c r="J762">
        <v>1.4250000000000001E-3</v>
      </c>
      <c r="K762" t="s">
        <v>57</v>
      </c>
      <c r="O762">
        <v>9800</v>
      </c>
      <c r="P762" t="s">
        <v>315</v>
      </c>
      <c r="S762">
        <v>2</v>
      </c>
      <c r="T762">
        <v>22</v>
      </c>
      <c r="V762">
        <v>85</v>
      </c>
      <c r="W762" t="s">
        <v>147</v>
      </c>
      <c r="X762" t="s">
        <v>280</v>
      </c>
      <c r="Y762">
        <v>540</v>
      </c>
      <c r="AB762">
        <v>7.33</v>
      </c>
      <c r="AC762" t="s">
        <v>85</v>
      </c>
      <c r="AD762">
        <v>0.74</v>
      </c>
      <c r="AE762" t="s">
        <v>138</v>
      </c>
      <c r="AI762">
        <v>5</v>
      </c>
      <c r="AJ762" t="s">
        <v>201</v>
      </c>
      <c r="AT762" t="s">
        <v>150</v>
      </c>
      <c r="AV762" t="s">
        <v>88</v>
      </c>
    </row>
    <row r="763" spans="1:53" hidden="1" x14ac:dyDescent="0.3">
      <c r="A763" t="s">
        <v>419</v>
      </c>
      <c r="C763" t="s">
        <v>251</v>
      </c>
      <c r="D763" t="s">
        <v>81</v>
      </c>
      <c r="E763">
        <v>1000000</v>
      </c>
      <c r="H763">
        <v>14.25</v>
      </c>
      <c r="I763" t="s">
        <v>56</v>
      </c>
      <c r="J763">
        <v>1.4250000000000001E-3</v>
      </c>
      <c r="K763" t="s">
        <v>57</v>
      </c>
      <c r="O763">
        <v>9800</v>
      </c>
      <c r="P763" t="s">
        <v>315</v>
      </c>
      <c r="S763">
        <v>2</v>
      </c>
      <c r="T763">
        <v>22</v>
      </c>
      <c r="V763">
        <v>85</v>
      </c>
      <c r="W763" t="s">
        <v>74</v>
      </c>
      <c r="X763" t="s">
        <v>280</v>
      </c>
      <c r="Y763">
        <v>540</v>
      </c>
      <c r="AA763" t="s">
        <v>94</v>
      </c>
      <c r="AB763">
        <v>6.9</v>
      </c>
      <c r="AC763" t="s">
        <v>85</v>
      </c>
      <c r="AD763">
        <v>0.27</v>
      </c>
      <c r="AE763" t="s">
        <v>138</v>
      </c>
      <c r="AI763">
        <v>5</v>
      </c>
      <c r="AJ763" t="s">
        <v>201</v>
      </c>
      <c r="AT763" t="s">
        <v>75</v>
      </c>
      <c r="AV763" t="s">
        <v>88</v>
      </c>
      <c r="AZ763">
        <v>0</v>
      </c>
      <c r="BA763">
        <v>6.9</v>
      </c>
    </row>
    <row r="764" spans="1:53" hidden="1" x14ac:dyDescent="0.3">
      <c r="A764" t="s">
        <v>419</v>
      </c>
      <c r="C764" t="s">
        <v>251</v>
      </c>
      <c r="D764" t="s">
        <v>81</v>
      </c>
      <c r="E764">
        <v>1000000</v>
      </c>
      <c r="H764">
        <v>14.25</v>
      </c>
      <c r="I764" t="s">
        <v>56</v>
      </c>
      <c r="J764">
        <v>1.4250000000000001E-3</v>
      </c>
      <c r="K764" t="s">
        <v>57</v>
      </c>
      <c r="O764">
        <v>9800</v>
      </c>
      <c r="P764" t="s">
        <v>315</v>
      </c>
      <c r="S764">
        <v>2</v>
      </c>
      <c r="T764">
        <v>22</v>
      </c>
      <c r="V764">
        <v>85</v>
      </c>
      <c r="W764" t="s">
        <v>72</v>
      </c>
      <c r="X764" t="s">
        <v>280</v>
      </c>
      <c r="Y764">
        <v>540</v>
      </c>
      <c r="AA764" t="s">
        <v>94</v>
      </c>
      <c r="AB764">
        <v>7.92</v>
      </c>
      <c r="AC764" t="s">
        <v>85</v>
      </c>
      <c r="AD764">
        <v>0.08</v>
      </c>
      <c r="AE764" t="s">
        <v>138</v>
      </c>
      <c r="AI764">
        <v>5</v>
      </c>
      <c r="AJ764" t="s">
        <v>201</v>
      </c>
      <c r="AT764" t="s">
        <v>73</v>
      </c>
      <c r="AV764" t="s">
        <v>88</v>
      </c>
      <c r="AZ764">
        <v>0</v>
      </c>
      <c r="BA764">
        <v>7.92</v>
      </c>
    </row>
    <row r="765" spans="1:53" hidden="1" x14ac:dyDescent="0.3">
      <c r="A765" t="s">
        <v>419</v>
      </c>
      <c r="C765" t="s">
        <v>251</v>
      </c>
      <c r="D765" t="s">
        <v>81</v>
      </c>
      <c r="E765">
        <v>1000000</v>
      </c>
      <c r="H765">
        <v>14.25</v>
      </c>
      <c r="I765" t="s">
        <v>56</v>
      </c>
      <c r="J765">
        <v>1.4250000000000001E-3</v>
      </c>
      <c r="K765" t="s">
        <v>57</v>
      </c>
      <c r="O765">
        <v>9800</v>
      </c>
      <c r="P765" t="s">
        <v>315</v>
      </c>
      <c r="S765">
        <v>2</v>
      </c>
      <c r="T765">
        <v>22</v>
      </c>
      <c r="V765">
        <v>85</v>
      </c>
      <c r="W765" t="s">
        <v>420</v>
      </c>
      <c r="X765" t="s">
        <v>280</v>
      </c>
      <c r="Y765">
        <v>540</v>
      </c>
      <c r="AB765">
        <v>3.35</v>
      </c>
      <c r="AC765" t="s">
        <v>85</v>
      </c>
      <c r="AD765">
        <v>0.3</v>
      </c>
      <c r="AE765" t="s">
        <v>138</v>
      </c>
      <c r="AI765">
        <v>5</v>
      </c>
      <c r="AJ765" t="s">
        <v>201</v>
      </c>
      <c r="AV765" t="s">
        <v>88</v>
      </c>
    </row>
    <row r="766" spans="1:53" hidden="1" x14ac:dyDescent="0.3">
      <c r="A766" t="s">
        <v>419</v>
      </c>
      <c r="C766" t="s">
        <v>251</v>
      </c>
      <c r="D766" t="s">
        <v>81</v>
      </c>
      <c r="E766">
        <v>1000000</v>
      </c>
      <c r="H766">
        <v>14.25</v>
      </c>
      <c r="I766" t="s">
        <v>56</v>
      </c>
      <c r="J766">
        <v>1.4250000000000001E-3</v>
      </c>
      <c r="K766" t="s">
        <v>57</v>
      </c>
      <c r="O766">
        <v>9800</v>
      </c>
      <c r="P766" t="s">
        <v>315</v>
      </c>
      <c r="S766">
        <v>2</v>
      </c>
      <c r="T766">
        <v>22</v>
      </c>
      <c r="V766">
        <v>85</v>
      </c>
      <c r="W766" t="s">
        <v>421</v>
      </c>
      <c r="X766" t="s">
        <v>280</v>
      </c>
      <c r="Y766">
        <v>540</v>
      </c>
      <c r="AB766">
        <v>4</v>
      </c>
      <c r="AC766" t="s">
        <v>85</v>
      </c>
      <c r="AD766">
        <v>0.75</v>
      </c>
      <c r="AE766" t="s">
        <v>138</v>
      </c>
      <c r="AI766">
        <v>5</v>
      </c>
      <c r="AJ766" t="s">
        <v>201</v>
      </c>
      <c r="AT766" t="s">
        <v>65</v>
      </c>
      <c r="AV766" t="s">
        <v>88</v>
      </c>
    </row>
    <row r="767" spans="1:53" hidden="1" x14ac:dyDescent="0.3">
      <c r="A767" t="s">
        <v>419</v>
      </c>
      <c r="C767" t="s">
        <v>251</v>
      </c>
      <c r="D767" t="s">
        <v>81</v>
      </c>
      <c r="E767">
        <v>1000000</v>
      </c>
      <c r="H767">
        <v>14.25</v>
      </c>
      <c r="I767" t="s">
        <v>56</v>
      </c>
      <c r="J767">
        <v>1.4250000000000001E-3</v>
      </c>
      <c r="K767" t="s">
        <v>57</v>
      </c>
      <c r="O767">
        <v>9800</v>
      </c>
      <c r="P767" t="s">
        <v>315</v>
      </c>
      <c r="S767">
        <v>2</v>
      </c>
      <c r="T767">
        <v>22</v>
      </c>
      <c r="V767">
        <v>85</v>
      </c>
      <c r="W767" t="s">
        <v>422</v>
      </c>
      <c r="X767" t="s">
        <v>280</v>
      </c>
      <c r="Y767">
        <v>540</v>
      </c>
      <c r="AA767" t="s">
        <v>94</v>
      </c>
      <c r="AB767">
        <v>7.84</v>
      </c>
      <c r="AC767" t="s">
        <v>85</v>
      </c>
      <c r="AD767">
        <v>0.48</v>
      </c>
      <c r="AE767" t="s">
        <v>138</v>
      </c>
      <c r="AI767">
        <v>5</v>
      </c>
      <c r="AJ767" t="s">
        <v>201</v>
      </c>
      <c r="AT767" t="s">
        <v>79</v>
      </c>
      <c r="AV767" t="s">
        <v>88</v>
      </c>
      <c r="AZ767">
        <v>0</v>
      </c>
      <c r="BA767">
        <v>7.84</v>
      </c>
    </row>
    <row r="768" spans="1:53" hidden="1" x14ac:dyDescent="0.3">
      <c r="A768" t="s">
        <v>419</v>
      </c>
      <c r="C768" t="s">
        <v>251</v>
      </c>
      <c r="D768" t="s">
        <v>81</v>
      </c>
      <c r="E768">
        <v>1000000</v>
      </c>
      <c r="H768">
        <v>14.25</v>
      </c>
      <c r="I768" t="s">
        <v>56</v>
      </c>
      <c r="J768">
        <v>1.4250000000000001E-3</v>
      </c>
      <c r="K768" t="s">
        <v>57</v>
      </c>
      <c r="O768">
        <v>9800</v>
      </c>
      <c r="P768" t="s">
        <v>315</v>
      </c>
      <c r="S768">
        <v>2</v>
      </c>
      <c r="T768">
        <v>22</v>
      </c>
      <c r="V768">
        <v>85</v>
      </c>
      <c r="W768" t="s">
        <v>147</v>
      </c>
      <c r="X768" t="s">
        <v>280</v>
      </c>
      <c r="Y768">
        <v>720</v>
      </c>
      <c r="AB768">
        <v>6.95</v>
      </c>
      <c r="AC768" t="s">
        <v>85</v>
      </c>
      <c r="AD768">
        <v>1.48</v>
      </c>
      <c r="AE768" t="s">
        <v>138</v>
      </c>
      <c r="AI768">
        <v>5</v>
      </c>
      <c r="AJ768" t="s">
        <v>201</v>
      </c>
      <c r="AT768" t="s">
        <v>150</v>
      </c>
      <c r="AV768" t="s">
        <v>88</v>
      </c>
    </row>
    <row r="769" spans="1:53" hidden="1" x14ac:dyDescent="0.3">
      <c r="A769" t="s">
        <v>419</v>
      </c>
      <c r="C769" t="s">
        <v>251</v>
      </c>
      <c r="D769" t="s">
        <v>81</v>
      </c>
      <c r="E769">
        <v>1000000</v>
      </c>
      <c r="H769">
        <v>14.25</v>
      </c>
      <c r="I769" t="s">
        <v>56</v>
      </c>
      <c r="J769">
        <v>1.4250000000000001E-3</v>
      </c>
      <c r="K769" t="s">
        <v>57</v>
      </c>
      <c r="O769">
        <v>9800</v>
      </c>
      <c r="P769" t="s">
        <v>315</v>
      </c>
      <c r="S769">
        <v>2</v>
      </c>
      <c r="T769">
        <v>22</v>
      </c>
      <c r="V769">
        <v>85</v>
      </c>
      <c r="W769" t="s">
        <v>74</v>
      </c>
      <c r="X769" t="s">
        <v>280</v>
      </c>
      <c r="Y769">
        <v>720</v>
      </c>
      <c r="AB769">
        <v>6.6</v>
      </c>
      <c r="AC769" t="s">
        <v>85</v>
      </c>
      <c r="AD769">
        <v>0.65</v>
      </c>
      <c r="AE769" t="s">
        <v>138</v>
      </c>
      <c r="AI769">
        <v>5</v>
      </c>
      <c r="AJ769" t="s">
        <v>201</v>
      </c>
      <c r="AT769" t="s">
        <v>75</v>
      </c>
      <c r="AV769" t="s">
        <v>88</v>
      </c>
    </row>
    <row r="770" spans="1:53" hidden="1" x14ac:dyDescent="0.3">
      <c r="A770" t="s">
        <v>419</v>
      </c>
      <c r="C770" t="s">
        <v>251</v>
      </c>
      <c r="D770" t="s">
        <v>81</v>
      </c>
      <c r="E770">
        <v>1000000</v>
      </c>
      <c r="H770">
        <v>14.25</v>
      </c>
      <c r="I770" t="s">
        <v>56</v>
      </c>
      <c r="J770">
        <v>1.4250000000000001E-3</v>
      </c>
      <c r="K770" t="s">
        <v>57</v>
      </c>
      <c r="O770">
        <v>9800</v>
      </c>
      <c r="P770" t="s">
        <v>315</v>
      </c>
      <c r="S770">
        <v>2</v>
      </c>
      <c r="T770">
        <v>22</v>
      </c>
      <c r="V770">
        <v>85</v>
      </c>
      <c r="W770" t="s">
        <v>72</v>
      </c>
      <c r="X770" t="s">
        <v>280</v>
      </c>
      <c r="Y770">
        <v>720</v>
      </c>
      <c r="AA770" t="s">
        <v>94</v>
      </c>
      <c r="AB770">
        <v>7.92</v>
      </c>
      <c r="AC770" t="s">
        <v>85</v>
      </c>
      <c r="AD770">
        <v>0.08</v>
      </c>
      <c r="AE770" t="s">
        <v>138</v>
      </c>
      <c r="AI770">
        <v>5</v>
      </c>
      <c r="AJ770" t="s">
        <v>201</v>
      </c>
      <c r="AT770" t="s">
        <v>73</v>
      </c>
      <c r="AV770" t="s">
        <v>88</v>
      </c>
      <c r="AZ770">
        <v>0</v>
      </c>
      <c r="BA770">
        <v>7.92</v>
      </c>
    </row>
    <row r="771" spans="1:53" hidden="1" x14ac:dyDescent="0.3">
      <c r="A771" t="s">
        <v>419</v>
      </c>
      <c r="C771" t="s">
        <v>251</v>
      </c>
      <c r="D771" t="s">
        <v>81</v>
      </c>
      <c r="E771">
        <v>1000000</v>
      </c>
      <c r="H771">
        <v>14.25</v>
      </c>
      <c r="I771" t="s">
        <v>56</v>
      </c>
      <c r="J771">
        <v>1.4250000000000001E-3</v>
      </c>
      <c r="K771" t="s">
        <v>57</v>
      </c>
      <c r="O771">
        <v>9800</v>
      </c>
      <c r="P771" t="s">
        <v>315</v>
      </c>
      <c r="S771">
        <v>2</v>
      </c>
      <c r="T771">
        <v>22</v>
      </c>
      <c r="V771">
        <v>85</v>
      </c>
      <c r="W771" t="s">
        <v>420</v>
      </c>
      <c r="X771" t="s">
        <v>280</v>
      </c>
      <c r="Y771">
        <v>720</v>
      </c>
      <c r="AB771">
        <v>5.39</v>
      </c>
      <c r="AC771" t="s">
        <v>85</v>
      </c>
      <c r="AD771">
        <v>1.1100000000000001</v>
      </c>
      <c r="AE771" t="s">
        <v>138</v>
      </c>
      <c r="AI771">
        <v>5</v>
      </c>
      <c r="AJ771" t="s">
        <v>201</v>
      </c>
      <c r="AV771" t="s">
        <v>88</v>
      </c>
    </row>
    <row r="772" spans="1:53" hidden="1" x14ac:dyDescent="0.3">
      <c r="A772" t="s">
        <v>419</v>
      </c>
      <c r="C772" t="s">
        <v>251</v>
      </c>
      <c r="D772" t="s">
        <v>81</v>
      </c>
      <c r="E772">
        <v>1000000</v>
      </c>
      <c r="H772">
        <v>14.25</v>
      </c>
      <c r="I772" t="s">
        <v>56</v>
      </c>
      <c r="J772">
        <v>1.4250000000000001E-3</v>
      </c>
      <c r="K772" t="s">
        <v>57</v>
      </c>
      <c r="O772">
        <v>9800</v>
      </c>
      <c r="P772" t="s">
        <v>315</v>
      </c>
      <c r="S772">
        <v>2</v>
      </c>
      <c r="T772">
        <v>22</v>
      </c>
      <c r="V772">
        <v>85</v>
      </c>
      <c r="W772" t="s">
        <v>421</v>
      </c>
      <c r="X772" t="s">
        <v>280</v>
      </c>
      <c r="Y772">
        <v>720</v>
      </c>
      <c r="AB772">
        <v>4.97</v>
      </c>
      <c r="AC772" t="s">
        <v>85</v>
      </c>
      <c r="AD772">
        <v>0.51</v>
      </c>
      <c r="AE772" t="s">
        <v>138</v>
      </c>
      <c r="AI772">
        <v>5</v>
      </c>
      <c r="AJ772" t="s">
        <v>201</v>
      </c>
      <c r="AT772" t="s">
        <v>65</v>
      </c>
      <c r="AV772" t="s">
        <v>88</v>
      </c>
    </row>
    <row r="773" spans="1:53" hidden="1" x14ac:dyDescent="0.3">
      <c r="A773" t="s">
        <v>419</v>
      </c>
      <c r="C773" t="s">
        <v>251</v>
      </c>
      <c r="D773" t="s">
        <v>81</v>
      </c>
      <c r="E773">
        <v>1000000</v>
      </c>
      <c r="H773">
        <v>14.25</v>
      </c>
      <c r="I773" t="s">
        <v>56</v>
      </c>
      <c r="J773">
        <v>1.4250000000000001E-3</v>
      </c>
      <c r="K773" t="s">
        <v>57</v>
      </c>
      <c r="O773">
        <v>9800</v>
      </c>
      <c r="P773" t="s">
        <v>315</v>
      </c>
      <c r="S773">
        <v>2</v>
      </c>
      <c r="T773">
        <v>22</v>
      </c>
      <c r="V773">
        <v>85</v>
      </c>
      <c r="W773" t="s">
        <v>422</v>
      </c>
      <c r="X773" t="s">
        <v>280</v>
      </c>
      <c r="Y773">
        <v>720</v>
      </c>
      <c r="AA773" t="s">
        <v>94</v>
      </c>
      <c r="AB773">
        <v>7.84</v>
      </c>
      <c r="AC773" t="s">
        <v>85</v>
      </c>
      <c r="AD773">
        <v>0.48</v>
      </c>
      <c r="AE773" t="s">
        <v>138</v>
      </c>
      <c r="AI773">
        <v>5</v>
      </c>
      <c r="AJ773" t="s">
        <v>201</v>
      </c>
      <c r="AT773" t="s">
        <v>79</v>
      </c>
      <c r="AV773" t="s">
        <v>88</v>
      </c>
      <c r="AZ773">
        <v>0</v>
      </c>
      <c r="BA773">
        <v>7.84</v>
      </c>
    </row>
    <row r="774" spans="1:53" hidden="1" x14ac:dyDescent="0.3">
      <c r="A774" t="s">
        <v>419</v>
      </c>
      <c r="C774" t="s">
        <v>251</v>
      </c>
      <c r="D774" t="s">
        <v>81</v>
      </c>
      <c r="E774">
        <v>1000000</v>
      </c>
      <c r="H774">
        <v>14.25</v>
      </c>
      <c r="I774" t="s">
        <v>56</v>
      </c>
      <c r="J774">
        <v>1.4250000000000001E-3</v>
      </c>
      <c r="K774" t="s">
        <v>57</v>
      </c>
      <c r="O774">
        <v>9800</v>
      </c>
      <c r="P774" t="s">
        <v>315</v>
      </c>
      <c r="S774">
        <v>2</v>
      </c>
      <c r="T774">
        <v>22</v>
      </c>
      <c r="V774">
        <v>85</v>
      </c>
      <c r="W774" t="s">
        <v>147</v>
      </c>
      <c r="X774" t="s">
        <v>280</v>
      </c>
      <c r="Y774">
        <v>360</v>
      </c>
      <c r="AB774">
        <v>5.13</v>
      </c>
      <c r="AC774" t="s">
        <v>85</v>
      </c>
      <c r="AD774">
        <v>0.42</v>
      </c>
      <c r="AE774" t="s">
        <v>138</v>
      </c>
      <c r="AI774">
        <v>5</v>
      </c>
      <c r="AJ774" t="s">
        <v>201</v>
      </c>
      <c r="AT774" t="s">
        <v>150</v>
      </c>
      <c r="AV774" t="s">
        <v>88</v>
      </c>
    </row>
    <row r="775" spans="1:53" hidden="1" x14ac:dyDescent="0.3">
      <c r="A775" t="s">
        <v>419</v>
      </c>
      <c r="C775" t="s">
        <v>251</v>
      </c>
      <c r="D775" t="s">
        <v>81</v>
      </c>
      <c r="E775">
        <v>1000000</v>
      </c>
      <c r="H775">
        <v>14.25</v>
      </c>
      <c r="I775" t="s">
        <v>56</v>
      </c>
      <c r="J775">
        <v>1.4250000000000001E-3</v>
      </c>
      <c r="K775" t="s">
        <v>57</v>
      </c>
      <c r="O775">
        <v>9800</v>
      </c>
      <c r="P775" t="s">
        <v>315</v>
      </c>
      <c r="S775">
        <v>2</v>
      </c>
      <c r="T775">
        <v>22</v>
      </c>
      <c r="V775">
        <v>85</v>
      </c>
      <c r="W775" t="s">
        <v>74</v>
      </c>
      <c r="X775" t="s">
        <v>280</v>
      </c>
      <c r="Y775">
        <v>360</v>
      </c>
      <c r="AA775" t="s">
        <v>94</v>
      </c>
      <c r="AB775">
        <v>6.54</v>
      </c>
      <c r="AC775" t="s">
        <v>85</v>
      </c>
      <c r="AD775">
        <v>0.19</v>
      </c>
      <c r="AE775" t="s">
        <v>138</v>
      </c>
      <c r="AI775">
        <v>5</v>
      </c>
      <c r="AJ775" t="s">
        <v>201</v>
      </c>
      <c r="AT775" t="s">
        <v>75</v>
      </c>
      <c r="AV775" t="s">
        <v>88</v>
      </c>
      <c r="AZ775">
        <v>0</v>
      </c>
      <c r="BA775">
        <v>6.54</v>
      </c>
    </row>
    <row r="776" spans="1:53" hidden="1" x14ac:dyDescent="0.3">
      <c r="A776" t="s">
        <v>419</v>
      </c>
      <c r="C776" t="s">
        <v>251</v>
      </c>
      <c r="D776" t="s">
        <v>81</v>
      </c>
      <c r="E776">
        <v>1000000</v>
      </c>
      <c r="H776">
        <v>14.25</v>
      </c>
      <c r="I776" t="s">
        <v>56</v>
      </c>
      <c r="J776">
        <v>1.4250000000000001E-3</v>
      </c>
      <c r="K776" t="s">
        <v>57</v>
      </c>
      <c r="O776">
        <v>9800</v>
      </c>
      <c r="P776" t="s">
        <v>315</v>
      </c>
      <c r="S776">
        <v>2</v>
      </c>
      <c r="T776">
        <v>22</v>
      </c>
      <c r="V776">
        <v>85</v>
      </c>
      <c r="W776" t="s">
        <v>72</v>
      </c>
      <c r="X776" t="s">
        <v>280</v>
      </c>
      <c r="Y776">
        <v>360</v>
      </c>
      <c r="AA776" t="s">
        <v>94</v>
      </c>
      <c r="AB776">
        <v>7.76</v>
      </c>
      <c r="AC776" t="s">
        <v>85</v>
      </c>
      <c r="AD776">
        <v>0.09</v>
      </c>
      <c r="AE776" t="s">
        <v>138</v>
      </c>
      <c r="AI776">
        <v>5</v>
      </c>
      <c r="AJ776" t="s">
        <v>201</v>
      </c>
      <c r="AT776" t="s">
        <v>73</v>
      </c>
      <c r="AV776" t="s">
        <v>88</v>
      </c>
      <c r="AZ776">
        <v>0</v>
      </c>
      <c r="BA776">
        <v>7.76</v>
      </c>
    </row>
    <row r="777" spans="1:53" hidden="1" x14ac:dyDescent="0.3">
      <c r="A777" t="s">
        <v>419</v>
      </c>
      <c r="C777" t="s">
        <v>251</v>
      </c>
      <c r="D777" t="s">
        <v>81</v>
      </c>
      <c r="E777">
        <v>1000000</v>
      </c>
      <c r="H777">
        <v>14.25</v>
      </c>
      <c r="I777" t="s">
        <v>56</v>
      </c>
      <c r="J777">
        <v>1.4250000000000001E-3</v>
      </c>
      <c r="K777" t="s">
        <v>57</v>
      </c>
      <c r="O777">
        <v>9800</v>
      </c>
      <c r="P777" t="s">
        <v>315</v>
      </c>
      <c r="S777">
        <v>2</v>
      </c>
      <c r="T777">
        <v>22</v>
      </c>
      <c r="V777">
        <v>85</v>
      </c>
      <c r="W777" t="s">
        <v>420</v>
      </c>
      <c r="X777" t="s">
        <v>280</v>
      </c>
      <c r="Y777">
        <v>360</v>
      </c>
      <c r="AB777">
        <v>3.1</v>
      </c>
      <c r="AC777" t="s">
        <v>85</v>
      </c>
      <c r="AD777">
        <v>0.3</v>
      </c>
      <c r="AE777" t="s">
        <v>138</v>
      </c>
      <c r="AI777">
        <v>5</v>
      </c>
      <c r="AJ777" t="s">
        <v>201</v>
      </c>
      <c r="AV777" t="s">
        <v>88</v>
      </c>
    </row>
    <row r="778" spans="1:53" hidden="1" x14ac:dyDescent="0.3">
      <c r="A778" t="s">
        <v>419</v>
      </c>
      <c r="C778" t="s">
        <v>251</v>
      </c>
      <c r="D778" t="s">
        <v>81</v>
      </c>
      <c r="E778">
        <v>1000000</v>
      </c>
      <c r="H778">
        <v>14.25</v>
      </c>
      <c r="I778" t="s">
        <v>56</v>
      </c>
      <c r="J778">
        <v>1.4250000000000001E-3</v>
      </c>
      <c r="K778" t="s">
        <v>57</v>
      </c>
      <c r="O778">
        <v>9800</v>
      </c>
      <c r="P778" t="s">
        <v>315</v>
      </c>
      <c r="S778">
        <v>2</v>
      </c>
      <c r="T778">
        <v>22</v>
      </c>
      <c r="V778">
        <v>85</v>
      </c>
      <c r="W778" t="s">
        <v>421</v>
      </c>
      <c r="X778" t="s">
        <v>280</v>
      </c>
      <c r="Y778">
        <v>360</v>
      </c>
      <c r="AB778">
        <v>2.58</v>
      </c>
      <c r="AC778" t="s">
        <v>85</v>
      </c>
      <c r="AD778">
        <v>0.32</v>
      </c>
      <c r="AE778" t="s">
        <v>138</v>
      </c>
      <c r="AI778">
        <v>5</v>
      </c>
      <c r="AJ778" t="s">
        <v>201</v>
      </c>
      <c r="AT778" t="s">
        <v>65</v>
      </c>
      <c r="AV778" t="s">
        <v>88</v>
      </c>
    </row>
    <row r="779" spans="1:53" hidden="1" x14ac:dyDescent="0.3">
      <c r="A779" t="s">
        <v>419</v>
      </c>
      <c r="C779" t="s">
        <v>251</v>
      </c>
      <c r="D779" t="s">
        <v>81</v>
      </c>
      <c r="E779">
        <v>1000000</v>
      </c>
      <c r="H779">
        <v>14.25</v>
      </c>
      <c r="I779" t="s">
        <v>56</v>
      </c>
      <c r="J779">
        <v>1.4250000000000001E-3</v>
      </c>
      <c r="K779" t="s">
        <v>57</v>
      </c>
      <c r="O779">
        <v>9800</v>
      </c>
      <c r="P779" t="s">
        <v>315</v>
      </c>
      <c r="S779">
        <v>2</v>
      </c>
      <c r="T779">
        <v>22</v>
      </c>
      <c r="V779">
        <v>85</v>
      </c>
      <c r="W779" t="s">
        <v>422</v>
      </c>
      <c r="X779" t="s">
        <v>280</v>
      </c>
      <c r="Y779">
        <v>360</v>
      </c>
      <c r="AA779" t="s">
        <v>94</v>
      </c>
      <c r="AB779">
        <v>7.48</v>
      </c>
      <c r="AC779" t="s">
        <v>85</v>
      </c>
      <c r="AD779">
        <v>0.17</v>
      </c>
      <c r="AE779" t="s">
        <v>138</v>
      </c>
      <c r="AI779">
        <v>5</v>
      </c>
      <c r="AJ779" t="s">
        <v>201</v>
      </c>
      <c r="AT779" t="s">
        <v>79</v>
      </c>
      <c r="AV779" t="s">
        <v>88</v>
      </c>
      <c r="AZ779">
        <v>0</v>
      </c>
      <c r="BA779">
        <v>7.48</v>
      </c>
    </row>
    <row r="780" spans="1:53" hidden="1" x14ac:dyDescent="0.3">
      <c r="A780" t="s">
        <v>419</v>
      </c>
      <c r="C780" t="s">
        <v>251</v>
      </c>
      <c r="D780" t="s">
        <v>81</v>
      </c>
      <c r="E780">
        <v>1000000</v>
      </c>
      <c r="H780">
        <v>14.25</v>
      </c>
      <c r="I780" t="s">
        <v>56</v>
      </c>
      <c r="J780">
        <v>1.4250000000000001E-3</v>
      </c>
      <c r="K780" t="s">
        <v>57</v>
      </c>
      <c r="O780">
        <v>9800</v>
      </c>
      <c r="P780" t="s">
        <v>315</v>
      </c>
      <c r="S780">
        <v>2</v>
      </c>
      <c r="T780">
        <v>22</v>
      </c>
      <c r="V780">
        <v>85</v>
      </c>
      <c r="W780" t="s">
        <v>147</v>
      </c>
      <c r="X780" t="s">
        <v>280</v>
      </c>
      <c r="Y780">
        <v>540</v>
      </c>
      <c r="AB780">
        <v>5.1100000000000003</v>
      </c>
      <c r="AC780" t="s">
        <v>85</v>
      </c>
      <c r="AD780">
        <v>1.2</v>
      </c>
      <c r="AE780" t="s">
        <v>138</v>
      </c>
      <c r="AI780">
        <v>5</v>
      </c>
      <c r="AJ780" t="s">
        <v>201</v>
      </c>
      <c r="AT780" t="s">
        <v>150</v>
      </c>
      <c r="AV780" t="s">
        <v>88</v>
      </c>
    </row>
    <row r="781" spans="1:53" hidden="1" x14ac:dyDescent="0.3">
      <c r="A781" t="s">
        <v>419</v>
      </c>
      <c r="C781" t="s">
        <v>251</v>
      </c>
      <c r="D781" t="s">
        <v>81</v>
      </c>
      <c r="E781">
        <v>1000000</v>
      </c>
      <c r="H781">
        <v>14.25</v>
      </c>
      <c r="I781" t="s">
        <v>56</v>
      </c>
      <c r="J781">
        <v>1.4250000000000001E-3</v>
      </c>
      <c r="K781" t="s">
        <v>57</v>
      </c>
      <c r="O781">
        <v>9800</v>
      </c>
      <c r="P781" t="s">
        <v>315</v>
      </c>
      <c r="S781">
        <v>2</v>
      </c>
      <c r="T781">
        <v>22</v>
      </c>
      <c r="V781">
        <v>85</v>
      </c>
      <c r="W781" t="s">
        <v>74</v>
      </c>
      <c r="X781" t="s">
        <v>280</v>
      </c>
      <c r="Y781">
        <v>540</v>
      </c>
      <c r="AA781" t="s">
        <v>94</v>
      </c>
      <c r="AB781">
        <v>6.54</v>
      </c>
      <c r="AC781" t="s">
        <v>85</v>
      </c>
      <c r="AD781">
        <v>0.19</v>
      </c>
      <c r="AE781" t="s">
        <v>138</v>
      </c>
      <c r="AI781">
        <v>5</v>
      </c>
      <c r="AJ781" t="s">
        <v>201</v>
      </c>
      <c r="AT781" t="s">
        <v>75</v>
      </c>
      <c r="AV781" t="s">
        <v>88</v>
      </c>
      <c r="AZ781">
        <v>0</v>
      </c>
      <c r="BA781">
        <v>6.54</v>
      </c>
    </row>
    <row r="782" spans="1:53" hidden="1" x14ac:dyDescent="0.3">
      <c r="A782" t="s">
        <v>419</v>
      </c>
      <c r="C782" t="s">
        <v>251</v>
      </c>
      <c r="D782" t="s">
        <v>81</v>
      </c>
      <c r="E782">
        <v>1000000</v>
      </c>
      <c r="H782">
        <v>14.25</v>
      </c>
      <c r="I782" t="s">
        <v>56</v>
      </c>
      <c r="J782">
        <v>1.4250000000000001E-3</v>
      </c>
      <c r="K782" t="s">
        <v>57</v>
      </c>
      <c r="O782">
        <v>9800</v>
      </c>
      <c r="P782" t="s">
        <v>315</v>
      </c>
      <c r="S782">
        <v>2</v>
      </c>
      <c r="T782">
        <v>22</v>
      </c>
      <c r="V782">
        <v>85</v>
      </c>
      <c r="W782" t="s">
        <v>72</v>
      </c>
      <c r="X782" t="s">
        <v>280</v>
      </c>
      <c r="Y782">
        <v>540</v>
      </c>
      <c r="AA782" t="s">
        <v>94</v>
      </c>
      <c r="AB782">
        <v>7.76</v>
      </c>
      <c r="AC782" t="s">
        <v>85</v>
      </c>
      <c r="AD782">
        <v>0.09</v>
      </c>
      <c r="AE782" t="s">
        <v>138</v>
      </c>
      <c r="AI782">
        <v>5</v>
      </c>
      <c r="AJ782" t="s">
        <v>201</v>
      </c>
      <c r="AT782" t="s">
        <v>73</v>
      </c>
      <c r="AV782" t="s">
        <v>88</v>
      </c>
      <c r="AZ782">
        <v>0</v>
      </c>
      <c r="BA782">
        <v>7.76</v>
      </c>
    </row>
    <row r="783" spans="1:53" hidden="1" x14ac:dyDescent="0.3">
      <c r="A783" t="s">
        <v>419</v>
      </c>
      <c r="C783" t="s">
        <v>251</v>
      </c>
      <c r="D783" t="s">
        <v>81</v>
      </c>
      <c r="E783">
        <v>1000000</v>
      </c>
      <c r="H783">
        <v>14.25</v>
      </c>
      <c r="I783" t="s">
        <v>56</v>
      </c>
      <c r="J783">
        <v>1.4250000000000001E-3</v>
      </c>
      <c r="K783" t="s">
        <v>57</v>
      </c>
      <c r="O783">
        <v>9800</v>
      </c>
      <c r="P783" t="s">
        <v>315</v>
      </c>
      <c r="S783">
        <v>2</v>
      </c>
      <c r="T783">
        <v>22</v>
      </c>
      <c r="V783">
        <v>85</v>
      </c>
      <c r="W783" t="s">
        <v>420</v>
      </c>
      <c r="X783" t="s">
        <v>280</v>
      </c>
      <c r="Y783">
        <v>540</v>
      </c>
      <c r="AB783">
        <v>3.7</v>
      </c>
      <c r="AC783" t="s">
        <v>85</v>
      </c>
      <c r="AD783">
        <v>0.28000000000000003</v>
      </c>
      <c r="AE783" t="s">
        <v>138</v>
      </c>
      <c r="AI783">
        <v>5</v>
      </c>
      <c r="AJ783" t="s">
        <v>201</v>
      </c>
      <c r="AV783" t="s">
        <v>88</v>
      </c>
    </row>
    <row r="784" spans="1:53" hidden="1" x14ac:dyDescent="0.3">
      <c r="A784" t="s">
        <v>419</v>
      </c>
      <c r="C784" t="s">
        <v>251</v>
      </c>
      <c r="D784" t="s">
        <v>81</v>
      </c>
      <c r="E784">
        <v>1000000</v>
      </c>
      <c r="H784">
        <v>14.25</v>
      </c>
      <c r="I784" t="s">
        <v>56</v>
      </c>
      <c r="J784">
        <v>1.4250000000000001E-3</v>
      </c>
      <c r="K784" t="s">
        <v>57</v>
      </c>
      <c r="O784">
        <v>9800</v>
      </c>
      <c r="P784" t="s">
        <v>315</v>
      </c>
      <c r="S784">
        <v>2</v>
      </c>
      <c r="T784">
        <v>22</v>
      </c>
      <c r="V784">
        <v>85</v>
      </c>
      <c r="W784" t="s">
        <v>421</v>
      </c>
      <c r="X784" t="s">
        <v>280</v>
      </c>
      <c r="Y784">
        <v>540</v>
      </c>
      <c r="AB784">
        <v>3.07</v>
      </c>
      <c r="AC784" t="s">
        <v>85</v>
      </c>
      <c r="AD784">
        <v>0.77</v>
      </c>
      <c r="AE784" t="s">
        <v>138</v>
      </c>
      <c r="AI784">
        <v>5</v>
      </c>
      <c r="AJ784" t="s">
        <v>201</v>
      </c>
      <c r="AT784" t="s">
        <v>65</v>
      </c>
      <c r="AV784" t="s">
        <v>88</v>
      </c>
    </row>
    <row r="785" spans="1:53" hidden="1" x14ac:dyDescent="0.3">
      <c r="A785" t="s">
        <v>419</v>
      </c>
      <c r="C785" t="s">
        <v>251</v>
      </c>
      <c r="D785" t="s">
        <v>81</v>
      </c>
      <c r="E785">
        <v>1000000</v>
      </c>
      <c r="H785">
        <v>14.25</v>
      </c>
      <c r="I785" t="s">
        <v>56</v>
      </c>
      <c r="J785">
        <v>1.4250000000000001E-3</v>
      </c>
      <c r="K785" t="s">
        <v>57</v>
      </c>
      <c r="O785">
        <v>9800</v>
      </c>
      <c r="P785" t="s">
        <v>315</v>
      </c>
      <c r="S785">
        <v>2</v>
      </c>
      <c r="T785">
        <v>22</v>
      </c>
      <c r="V785">
        <v>85</v>
      </c>
      <c r="W785" t="s">
        <v>422</v>
      </c>
      <c r="X785" t="s">
        <v>280</v>
      </c>
      <c r="Y785">
        <v>540</v>
      </c>
      <c r="AA785" t="s">
        <v>94</v>
      </c>
      <c r="AB785">
        <v>7.48</v>
      </c>
      <c r="AC785" t="s">
        <v>85</v>
      </c>
      <c r="AD785">
        <v>0.17</v>
      </c>
      <c r="AE785" t="s">
        <v>138</v>
      </c>
      <c r="AI785">
        <v>5</v>
      </c>
      <c r="AJ785" t="s">
        <v>201</v>
      </c>
      <c r="AT785" t="s">
        <v>79</v>
      </c>
      <c r="AV785" t="s">
        <v>88</v>
      </c>
      <c r="AZ785">
        <v>0</v>
      </c>
      <c r="BA785">
        <v>7.48</v>
      </c>
    </row>
    <row r="786" spans="1:53" hidden="1" x14ac:dyDescent="0.3">
      <c r="A786" t="s">
        <v>419</v>
      </c>
      <c r="C786" t="s">
        <v>251</v>
      </c>
      <c r="D786" t="s">
        <v>81</v>
      </c>
      <c r="E786">
        <v>1000000</v>
      </c>
      <c r="H786">
        <v>14.25</v>
      </c>
      <c r="I786" t="s">
        <v>56</v>
      </c>
      <c r="J786">
        <v>1.4250000000000001E-3</v>
      </c>
      <c r="K786" t="s">
        <v>57</v>
      </c>
      <c r="O786">
        <v>9800</v>
      </c>
      <c r="P786" t="s">
        <v>315</v>
      </c>
      <c r="S786">
        <v>2</v>
      </c>
      <c r="T786">
        <v>22</v>
      </c>
      <c r="V786">
        <v>85</v>
      </c>
      <c r="W786" t="s">
        <v>147</v>
      </c>
      <c r="X786" t="s">
        <v>280</v>
      </c>
      <c r="Y786">
        <v>720</v>
      </c>
      <c r="AB786">
        <v>6.13</v>
      </c>
      <c r="AC786" t="s">
        <v>85</v>
      </c>
      <c r="AD786">
        <v>1.05</v>
      </c>
      <c r="AE786" t="s">
        <v>138</v>
      </c>
      <c r="AI786">
        <v>5</v>
      </c>
      <c r="AJ786" t="s">
        <v>201</v>
      </c>
      <c r="AT786" t="s">
        <v>150</v>
      </c>
      <c r="AV786" t="s">
        <v>88</v>
      </c>
    </row>
    <row r="787" spans="1:53" hidden="1" x14ac:dyDescent="0.3">
      <c r="A787" t="s">
        <v>419</v>
      </c>
      <c r="C787" t="s">
        <v>251</v>
      </c>
      <c r="D787" t="s">
        <v>81</v>
      </c>
      <c r="E787">
        <v>1000000</v>
      </c>
      <c r="H787">
        <v>14.25</v>
      </c>
      <c r="I787" t="s">
        <v>56</v>
      </c>
      <c r="J787">
        <v>1.4250000000000001E-3</v>
      </c>
      <c r="K787" t="s">
        <v>57</v>
      </c>
      <c r="O787">
        <v>9800</v>
      </c>
      <c r="P787" t="s">
        <v>315</v>
      </c>
      <c r="S787">
        <v>2</v>
      </c>
      <c r="T787">
        <v>22</v>
      </c>
      <c r="V787">
        <v>85</v>
      </c>
      <c r="W787" t="s">
        <v>74</v>
      </c>
      <c r="X787" t="s">
        <v>280</v>
      </c>
      <c r="Y787">
        <v>720</v>
      </c>
      <c r="AA787" t="s">
        <v>94</v>
      </c>
      <c r="AB787">
        <v>6.54</v>
      </c>
      <c r="AC787" t="s">
        <v>85</v>
      </c>
      <c r="AD787">
        <v>0.19</v>
      </c>
      <c r="AE787" t="s">
        <v>138</v>
      </c>
      <c r="AI787">
        <v>5</v>
      </c>
      <c r="AJ787" t="s">
        <v>201</v>
      </c>
      <c r="AT787" t="s">
        <v>75</v>
      </c>
      <c r="AV787" t="s">
        <v>88</v>
      </c>
      <c r="AZ787">
        <v>0</v>
      </c>
      <c r="BA787">
        <v>6.54</v>
      </c>
    </row>
    <row r="788" spans="1:53" hidden="1" x14ac:dyDescent="0.3">
      <c r="A788" t="s">
        <v>419</v>
      </c>
      <c r="C788" t="s">
        <v>251</v>
      </c>
      <c r="D788" t="s">
        <v>81</v>
      </c>
      <c r="E788">
        <v>1000000</v>
      </c>
      <c r="H788">
        <v>14.25</v>
      </c>
      <c r="I788" t="s">
        <v>56</v>
      </c>
      <c r="J788">
        <v>1.4250000000000001E-3</v>
      </c>
      <c r="K788" t="s">
        <v>57</v>
      </c>
      <c r="O788">
        <v>9800</v>
      </c>
      <c r="P788" t="s">
        <v>315</v>
      </c>
      <c r="S788">
        <v>2</v>
      </c>
      <c r="T788">
        <v>22</v>
      </c>
      <c r="V788">
        <v>85</v>
      </c>
      <c r="W788" t="s">
        <v>72</v>
      </c>
      <c r="X788" t="s">
        <v>280</v>
      </c>
      <c r="Y788">
        <v>720</v>
      </c>
      <c r="AA788" t="s">
        <v>94</v>
      </c>
      <c r="AB788">
        <v>7.76</v>
      </c>
      <c r="AC788" t="s">
        <v>85</v>
      </c>
      <c r="AD788">
        <v>0.09</v>
      </c>
      <c r="AE788" t="s">
        <v>138</v>
      </c>
      <c r="AI788">
        <v>5</v>
      </c>
      <c r="AJ788" t="s">
        <v>201</v>
      </c>
      <c r="AT788" t="s">
        <v>73</v>
      </c>
      <c r="AV788" t="s">
        <v>88</v>
      </c>
      <c r="AZ788">
        <v>0</v>
      </c>
      <c r="BA788">
        <v>7.76</v>
      </c>
    </row>
    <row r="789" spans="1:53" hidden="1" x14ac:dyDescent="0.3">
      <c r="A789" t="s">
        <v>419</v>
      </c>
      <c r="C789" t="s">
        <v>251</v>
      </c>
      <c r="D789" t="s">
        <v>81</v>
      </c>
      <c r="E789">
        <v>1000000</v>
      </c>
      <c r="H789">
        <v>14.25</v>
      </c>
      <c r="I789" t="s">
        <v>56</v>
      </c>
      <c r="J789">
        <v>1.4250000000000001E-3</v>
      </c>
      <c r="K789" t="s">
        <v>57</v>
      </c>
      <c r="O789">
        <v>9800</v>
      </c>
      <c r="P789" t="s">
        <v>315</v>
      </c>
      <c r="S789">
        <v>2</v>
      </c>
      <c r="T789">
        <v>22</v>
      </c>
      <c r="V789">
        <v>85</v>
      </c>
      <c r="W789" t="s">
        <v>420</v>
      </c>
      <c r="X789" t="s">
        <v>280</v>
      </c>
      <c r="Y789">
        <v>720</v>
      </c>
      <c r="AB789">
        <v>4.05</v>
      </c>
      <c r="AC789" t="s">
        <v>85</v>
      </c>
      <c r="AD789">
        <v>0.26</v>
      </c>
      <c r="AE789" t="s">
        <v>138</v>
      </c>
      <c r="AI789">
        <v>5</v>
      </c>
      <c r="AJ789" t="s">
        <v>201</v>
      </c>
      <c r="AV789" t="s">
        <v>88</v>
      </c>
    </row>
    <row r="790" spans="1:53" hidden="1" x14ac:dyDescent="0.3">
      <c r="A790" t="s">
        <v>419</v>
      </c>
      <c r="C790" t="s">
        <v>251</v>
      </c>
      <c r="D790" t="s">
        <v>81</v>
      </c>
      <c r="E790">
        <v>1000000</v>
      </c>
      <c r="H790">
        <v>14.25</v>
      </c>
      <c r="I790" t="s">
        <v>56</v>
      </c>
      <c r="J790">
        <v>1.4250000000000001E-3</v>
      </c>
      <c r="K790" t="s">
        <v>57</v>
      </c>
      <c r="O790">
        <v>9800</v>
      </c>
      <c r="P790" t="s">
        <v>315</v>
      </c>
      <c r="S790">
        <v>2</v>
      </c>
      <c r="T790">
        <v>22</v>
      </c>
      <c r="V790">
        <v>85</v>
      </c>
      <c r="W790" t="s">
        <v>421</v>
      </c>
      <c r="X790" t="s">
        <v>280</v>
      </c>
      <c r="Y790">
        <v>720</v>
      </c>
      <c r="AB790">
        <v>3.85</v>
      </c>
      <c r="AC790" t="s">
        <v>85</v>
      </c>
      <c r="AD790">
        <v>0.97</v>
      </c>
      <c r="AE790" t="s">
        <v>138</v>
      </c>
      <c r="AI790">
        <v>5</v>
      </c>
      <c r="AJ790" t="s">
        <v>201</v>
      </c>
      <c r="AT790" t="s">
        <v>65</v>
      </c>
      <c r="AV790" t="s">
        <v>88</v>
      </c>
    </row>
    <row r="791" spans="1:53" hidden="1" x14ac:dyDescent="0.3">
      <c r="A791" t="s">
        <v>419</v>
      </c>
      <c r="C791" t="s">
        <v>251</v>
      </c>
      <c r="D791" t="s">
        <v>81</v>
      </c>
      <c r="E791">
        <v>1000000</v>
      </c>
      <c r="H791">
        <v>14.25</v>
      </c>
      <c r="I791" t="s">
        <v>56</v>
      </c>
      <c r="J791">
        <v>1.4250000000000001E-3</v>
      </c>
      <c r="K791" t="s">
        <v>57</v>
      </c>
      <c r="O791">
        <v>9800</v>
      </c>
      <c r="P791" t="s">
        <v>315</v>
      </c>
      <c r="S791">
        <v>2</v>
      </c>
      <c r="T791">
        <v>22</v>
      </c>
      <c r="V791">
        <v>85</v>
      </c>
      <c r="W791" t="s">
        <v>422</v>
      </c>
      <c r="X791" t="s">
        <v>280</v>
      </c>
      <c r="Y791">
        <v>720</v>
      </c>
      <c r="AA791" t="s">
        <v>94</v>
      </c>
      <c r="AB791">
        <v>7.48</v>
      </c>
      <c r="AC791" t="s">
        <v>85</v>
      </c>
      <c r="AD791">
        <v>0.17</v>
      </c>
      <c r="AE791" t="s">
        <v>138</v>
      </c>
      <c r="AI791">
        <v>5</v>
      </c>
      <c r="AJ791" t="s">
        <v>201</v>
      </c>
      <c r="AT791" t="s">
        <v>79</v>
      </c>
      <c r="AV791" t="s">
        <v>88</v>
      </c>
      <c r="AZ791">
        <v>0</v>
      </c>
      <c r="BA791">
        <v>7.48</v>
      </c>
    </row>
    <row r="792" spans="1:53" hidden="1" x14ac:dyDescent="0.3">
      <c r="A792" t="s">
        <v>419</v>
      </c>
      <c r="C792" t="s">
        <v>251</v>
      </c>
      <c r="D792" t="s">
        <v>81</v>
      </c>
      <c r="E792">
        <v>1000000</v>
      </c>
      <c r="H792">
        <v>14.25</v>
      </c>
      <c r="I792" t="s">
        <v>56</v>
      </c>
      <c r="J792">
        <v>1.4250000000000001E-3</v>
      </c>
      <c r="K792" t="s">
        <v>57</v>
      </c>
      <c r="S792">
        <v>2</v>
      </c>
      <c r="T792">
        <v>22</v>
      </c>
      <c r="V792">
        <v>85</v>
      </c>
      <c r="W792" t="s">
        <v>147</v>
      </c>
      <c r="X792" t="s">
        <v>280</v>
      </c>
      <c r="Y792">
        <v>360</v>
      </c>
      <c r="AB792">
        <v>4.04</v>
      </c>
      <c r="AC792" t="s">
        <v>85</v>
      </c>
      <c r="AD792">
        <v>0.82</v>
      </c>
      <c r="AE792" t="s">
        <v>138</v>
      </c>
      <c r="AI792">
        <v>5</v>
      </c>
      <c r="AJ792" t="s">
        <v>201</v>
      </c>
      <c r="AT792" t="s">
        <v>150</v>
      </c>
      <c r="AV792" t="s">
        <v>88</v>
      </c>
    </row>
    <row r="793" spans="1:53" hidden="1" x14ac:dyDescent="0.3">
      <c r="A793" t="s">
        <v>419</v>
      </c>
      <c r="C793" t="s">
        <v>251</v>
      </c>
      <c r="D793" t="s">
        <v>81</v>
      </c>
      <c r="E793">
        <v>1000000</v>
      </c>
      <c r="H793">
        <v>14.25</v>
      </c>
      <c r="I793" t="s">
        <v>56</v>
      </c>
      <c r="J793">
        <v>1.4250000000000001E-3</v>
      </c>
      <c r="K793" t="s">
        <v>57</v>
      </c>
      <c r="S793">
        <v>2</v>
      </c>
      <c r="T793">
        <v>22</v>
      </c>
      <c r="V793">
        <v>85</v>
      </c>
      <c r="W793" t="s">
        <v>74</v>
      </c>
      <c r="X793" t="s">
        <v>280</v>
      </c>
      <c r="Y793">
        <v>360</v>
      </c>
      <c r="AB793">
        <v>5.5</v>
      </c>
      <c r="AC793" t="s">
        <v>85</v>
      </c>
      <c r="AD793">
        <v>1.1399999999999999</v>
      </c>
      <c r="AE793" t="s">
        <v>138</v>
      </c>
      <c r="AI793">
        <v>5</v>
      </c>
      <c r="AJ793" t="s">
        <v>201</v>
      </c>
      <c r="AT793" t="s">
        <v>75</v>
      </c>
      <c r="AV793" t="s">
        <v>88</v>
      </c>
    </row>
    <row r="794" spans="1:53" hidden="1" x14ac:dyDescent="0.3">
      <c r="A794" t="s">
        <v>419</v>
      </c>
      <c r="C794" t="s">
        <v>251</v>
      </c>
      <c r="D794" t="s">
        <v>81</v>
      </c>
      <c r="E794">
        <v>100000</v>
      </c>
      <c r="H794">
        <v>14.25</v>
      </c>
      <c r="I794" t="s">
        <v>56</v>
      </c>
      <c r="J794">
        <v>1.4250000000000001E-3</v>
      </c>
      <c r="K794" t="s">
        <v>57</v>
      </c>
      <c r="S794">
        <v>2</v>
      </c>
      <c r="T794">
        <v>22</v>
      </c>
      <c r="V794">
        <v>85</v>
      </c>
      <c r="W794" t="s">
        <v>72</v>
      </c>
      <c r="X794" t="s">
        <v>280</v>
      </c>
      <c r="Y794">
        <v>360</v>
      </c>
      <c r="AB794">
        <v>7.51</v>
      </c>
      <c r="AC794" t="s">
        <v>85</v>
      </c>
      <c r="AD794">
        <v>0.6</v>
      </c>
      <c r="AE794" t="s">
        <v>138</v>
      </c>
      <c r="AI794">
        <v>5</v>
      </c>
      <c r="AJ794" t="s">
        <v>201</v>
      </c>
      <c r="AT794" t="s">
        <v>73</v>
      </c>
      <c r="AV794" t="s">
        <v>88</v>
      </c>
    </row>
    <row r="795" spans="1:53" hidden="1" x14ac:dyDescent="0.3">
      <c r="A795" t="s">
        <v>419</v>
      </c>
      <c r="C795" t="s">
        <v>251</v>
      </c>
      <c r="D795" t="s">
        <v>81</v>
      </c>
      <c r="E795">
        <v>100000</v>
      </c>
      <c r="H795">
        <v>14.25</v>
      </c>
      <c r="I795" t="s">
        <v>56</v>
      </c>
      <c r="J795">
        <v>1.4250000000000001E-3</v>
      </c>
      <c r="K795" t="s">
        <v>57</v>
      </c>
      <c r="S795">
        <v>2</v>
      </c>
      <c r="T795">
        <v>22</v>
      </c>
      <c r="V795">
        <v>85</v>
      </c>
      <c r="W795" t="s">
        <v>420</v>
      </c>
      <c r="X795" t="s">
        <v>280</v>
      </c>
      <c r="Y795">
        <v>360</v>
      </c>
      <c r="AB795">
        <v>2.27</v>
      </c>
      <c r="AC795" t="s">
        <v>85</v>
      </c>
      <c r="AD795">
        <v>0.16</v>
      </c>
      <c r="AE795" t="s">
        <v>138</v>
      </c>
      <c r="AI795">
        <v>5</v>
      </c>
      <c r="AJ795" t="s">
        <v>201</v>
      </c>
      <c r="AV795" t="s">
        <v>88</v>
      </c>
    </row>
    <row r="796" spans="1:53" hidden="1" x14ac:dyDescent="0.3">
      <c r="A796" t="s">
        <v>419</v>
      </c>
      <c r="C796" t="s">
        <v>251</v>
      </c>
      <c r="D796" t="s">
        <v>81</v>
      </c>
      <c r="E796">
        <v>100000</v>
      </c>
      <c r="H796">
        <v>14.25</v>
      </c>
      <c r="I796" t="s">
        <v>56</v>
      </c>
      <c r="J796">
        <v>1.4250000000000001E-3</v>
      </c>
      <c r="K796" t="s">
        <v>57</v>
      </c>
      <c r="S796">
        <v>2</v>
      </c>
      <c r="T796">
        <v>22</v>
      </c>
      <c r="V796">
        <v>85</v>
      </c>
      <c r="W796" t="s">
        <v>421</v>
      </c>
      <c r="X796" t="s">
        <v>280</v>
      </c>
      <c r="Y796">
        <v>360</v>
      </c>
      <c r="AB796">
        <v>2.5</v>
      </c>
      <c r="AC796" t="s">
        <v>85</v>
      </c>
      <c r="AD796">
        <v>0.35</v>
      </c>
      <c r="AE796" t="s">
        <v>138</v>
      </c>
      <c r="AI796">
        <v>5</v>
      </c>
      <c r="AJ796" t="s">
        <v>201</v>
      </c>
      <c r="AT796" t="s">
        <v>65</v>
      </c>
      <c r="AV796" t="s">
        <v>88</v>
      </c>
    </row>
    <row r="797" spans="1:53" hidden="1" x14ac:dyDescent="0.3">
      <c r="A797" t="s">
        <v>419</v>
      </c>
      <c r="C797" t="s">
        <v>251</v>
      </c>
      <c r="D797" t="s">
        <v>81</v>
      </c>
      <c r="E797">
        <v>100000</v>
      </c>
      <c r="H797">
        <v>14.25</v>
      </c>
      <c r="I797" t="s">
        <v>56</v>
      </c>
      <c r="J797">
        <v>1.4250000000000001E-3</v>
      </c>
      <c r="K797" t="s">
        <v>57</v>
      </c>
      <c r="S797">
        <v>2</v>
      </c>
      <c r="T797">
        <v>22</v>
      </c>
      <c r="V797">
        <v>85</v>
      </c>
      <c r="W797" t="s">
        <v>422</v>
      </c>
      <c r="X797" t="s">
        <v>280</v>
      </c>
      <c r="Y797">
        <v>360</v>
      </c>
      <c r="AA797" t="s">
        <v>94</v>
      </c>
      <c r="AB797">
        <v>7.53</v>
      </c>
      <c r="AC797" t="s">
        <v>85</v>
      </c>
      <c r="AD797">
        <v>0.08</v>
      </c>
      <c r="AE797" t="s">
        <v>138</v>
      </c>
      <c r="AI797">
        <v>5</v>
      </c>
      <c r="AJ797" t="s">
        <v>201</v>
      </c>
      <c r="AT797" t="s">
        <v>79</v>
      </c>
      <c r="AV797" t="s">
        <v>88</v>
      </c>
      <c r="AZ797">
        <v>0</v>
      </c>
      <c r="BA797">
        <v>7.53</v>
      </c>
    </row>
    <row r="798" spans="1:53" hidden="1" x14ac:dyDescent="0.3">
      <c r="A798" t="s">
        <v>419</v>
      </c>
      <c r="C798" t="s">
        <v>251</v>
      </c>
      <c r="D798" t="s">
        <v>81</v>
      </c>
      <c r="E798">
        <v>100000</v>
      </c>
      <c r="H798">
        <v>14.25</v>
      </c>
      <c r="I798" t="s">
        <v>56</v>
      </c>
      <c r="J798">
        <v>1.4250000000000001E-3</v>
      </c>
      <c r="K798" t="s">
        <v>57</v>
      </c>
      <c r="S798">
        <v>2</v>
      </c>
      <c r="T798">
        <v>22</v>
      </c>
      <c r="V798">
        <v>85</v>
      </c>
      <c r="W798" t="s">
        <v>147</v>
      </c>
      <c r="X798" t="s">
        <v>280</v>
      </c>
      <c r="Y798">
        <v>540</v>
      </c>
      <c r="AB798">
        <v>4.16</v>
      </c>
      <c r="AC798" t="s">
        <v>85</v>
      </c>
      <c r="AD798">
        <v>0.5</v>
      </c>
      <c r="AE798" t="s">
        <v>138</v>
      </c>
      <c r="AI798">
        <v>5</v>
      </c>
      <c r="AJ798" t="s">
        <v>201</v>
      </c>
      <c r="AT798" t="s">
        <v>150</v>
      </c>
      <c r="AV798" t="s">
        <v>88</v>
      </c>
    </row>
    <row r="799" spans="1:53" hidden="1" x14ac:dyDescent="0.3">
      <c r="A799" t="s">
        <v>419</v>
      </c>
      <c r="C799" t="s">
        <v>251</v>
      </c>
      <c r="D799" t="s">
        <v>81</v>
      </c>
      <c r="E799">
        <v>100000</v>
      </c>
      <c r="H799">
        <v>14.25</v>
      </c>
      <c r="I799" t="s">
        <v>56</v>
      </c>
      <c r="J799">
        <v>1.4250000000000001E-3</v>
      </c>
      <c r="K799" t="s">
        <v>57</v>
      </c>
      <c r="S799">
        <v>2</v>
      </c>
      <c r="T799">
        <v>22</v>
      </c>
      <c r="V799">
        <v>85</v>
      </c>
      <c r="W799" t="s">
        <v>74</v>
      </c>
      <c r="X799" t="s">
        <v>280</v>
      </c>
      <c r="Y799">
        <v>540</v>
      </c>
      <c r="AA799" t="s">
        <v>94</v>
      </c>
      <c r="AB799">
        <v>6.43</v>
      </c>
      <c r="AC799" t="s">
        <v>85</v>
      </c>
      <c r="AD799">
        <v>0.16</v>
      </c>
      <c r="AE799" t="s">
        <v>138</v>
      </c>
      <c r="AI799">
        <v>5</v>
      </c>
      <c r="AJ799" t="s">
        <v>201</v>
      </c>
      <c r="AT799" t="s">
        <v>75</v>
      </c>
      <c r="AV799" t="s">
        <v>88</v>
      </c>
      <c r="AZ799">
        <v>0</v>
      </c>
      <c r="BA799">
        <v>6.43</v>
      </c>
    </row>
    <row r="800" spans="1:53" hidden="1" x14ac:dyDescent="0.3">
      <c r="A800" t="s">
        <v>419</v>
      </c>
      <c r="C800" t="s">
        <v>251</v>
      </c>
      <c r="D800" t="s">
        <v>81</v>
      </c>
      <c r="E800">
        <v>100000</v>
      </c>
      <c r="H800">
        <v>14.25</v>
      </c>
      <c r="I800" t="s">
        <v>56</v>
      </c>
      <c r="J800">
        <v>1.4250000000000001E-3</v>
      </c>
      <c r="K800" t="s">
        <v>57</v>
      </c>
      <c r="S800">
        <v>2</v>
      </c>
      <c r="T800">
        <v>22</v>
      </c>
      <c r="V800">
        <v>85</v>
      </c>
      <c r="W800" t="s">
        <v>72</v>
      </c>
      <c r="X800" t="s">
        <v>280</v>
      </c>
      <c r="Y800">
        <v>540</v>
      </c>
      <c r="AA800" t="s">
        <v>94</v>
      </c>
      <c r="AB800">
        <v>7.82</v>
      </c>
      <c r="AC800" t="s">
        <v>85</v>
      </c>
      <c r="AD800">
        <v>0.04</v>
      </c>
      <c r="AE800" t="s">
        <v>138</v>
      </c>
      <c r="AI800">
        <v>5</v>
      </c>
      <c r="AJ800" t="s">
        <v>201</v>
      </c>
      <c r="AT800" t="s">
        <v>73</v>
      </c>
      <c r="AV800" t="s">
        <v>88</v>
      </c>
      <c r="AZ800">
        <v>0</v>
      </c>
      <c r="BA800">
        <v>7.82</v>
      </c>
    </row>
    <row r="801" spans="1:53" hidden="1" x14ac:dyDescent="0.3">
      <c r="A801" t="s">
        <v>419</v>
      </c>
      <c r="C801" t="s">
        <v>251</v>
      </c>
      <c r="D801" t="s">
        <v>81</v>
      </c>
      <c r="E801">
        <v>100000</v>
      </c>
      <c r="H801">
        <v>14.25</v>
      </c>
      <c r="I801" t="s">
        <v>56</v>
      </c>
      <c r="J801">
        <v>1.4250000000000001E-3</v>
      </c>
      <c r="K801" t="s">
        <v>57</v>
      </c>
      <c r="S801">
        <v>2</v>
      </c>
      <c r="T801">
        <v>22</v>
      </c>
      <c r="V801">
        <v>85</v>
      </c>
      <c r="W801" t="s">
        <v>420</v>
      </c>
      <c r="X801" t="s">
        <v>280</v>
      </c>
      <c r="Y801">
        <v>540</v>
      </c>
      <c r="AB801">
        <v>4.43</v>
      </c>
      <c r="AC801" t="s">
        <v>85</v>
      </c>
      <c r="AD801">
        <v>0.31</v>
      </c>
      <c r="AE801" t="s">
        <v>138</v>
      </c>
      <c r="AI801">
        <v>5</v>
      </c>
      <c r="AJ801" t="s">
        <v>201</v>
      </c>
      <c r="AV801" t="s">
        <v>88</v>
      </c>
    </row>
    <row r="802" spans="1:53" hidden="1" x14ac:dyDescent="0.3">
      <c r="A802" t="s">
        <v>419</v>
      </c>
      <c r="C802" t="s">
        <v>251</v>
      </c>
      <c r="D802" t="s">
        <v>81</v>
      </c>
      <c r="E802">
        <v>100000</v>
      </c>
      <c r="H802">
        <v>14.25</v>
      </c>
      <c r="I802" t="s">
        <v>56</v>
      </c>
      <c r="J802">
        <v>1.4250000000000001E-3</v>
      </c>
      <c r="K802" t="s">
        <v>57</v>
      </c>
      <c r="S802">
        <v>2</v>
      </c>
      <c r="T802">
        <v>22</v>
      </c>
      <c r="V802">
        <v>85</v>
      </c>
      <c r="W802" t="s">
        <v>421</v>
      </c>
      <c r="X802" t="s">
        <v>280</v>
      </c>
      <c r="Y802">
        <v>540</v>
      </c>
      <c r="AB802">
        <v>3.7</v>
      </c>
      <c r="AC802" t="s">
        <v>85</v>
      </c>
      <c r="AD802">
        <v>0.35</v>
      </c>
      <c r="AE802" t="s">
        <v>138</v>
      </c>
      <c r="AI802">
        <v>5</v>
      </c>
      <c r="AJ802" t="s">
        <v>201</v>
      </c>
      <c r="AT802" t="s">
        <v>65</v>
      </c>
      <c r="AV802" t="s">
        <v>88</v>
      </c>
    </row>
    <row r="803" spans="1:53" hidden="1" x14ac:dyDescent="0.3">
      <c r="A803" t="s">
        <v>419</v>
      </c>
      <c r="C803" t="s">
        <v>251</v>
      </c>
      <c r="D803" t="s">
        <v>81</v>
      </c>
      <c r="E803">
        <v>100000</v>
      </c>
      <c r="H803">
        <v>14.25</v>
      </c>
      <c r="I803" t="s">
        <v>56</v>
      </c>
      <c r="J803">
        <v>1.4250000000000001E-3</v>
      </c>
      <c r="K803" t="s">
        <v>57</v>
      </c>
      <c r="S803">
        <v>2</v>
      </c>
      <c r="T803">
        <v>22</v>
      </c>
      <c r="V803">
        <v>85</v>
      </c>
      <c r="W803" t="s">
        <v>422</v>
      </c>
      <c r="X803" t="s">
        <v>280</v>
      </c>
      <c r="Y803">
        <v>540</v>
      </c>
      <c r="AA803" t="s">
        <v>94</v>
      </c>
      <c r="AB803">
        <v>7.53</v>
      </c>
      <c r="AC803" t="s">
        <v>85</v>
      </c>
      <c r="AD803">
        <v>0.08</v>
      </c>
      <c r="AE803" t="s">
        <v>138</v>
      </c>
      <c r="AI803">
        <v>5</v>
      </c>
      <c r="AJ803" t="s">
        <v>201</v>
      </c>
      <c r="AT803" t="s">
        <v>79</v>
      </c>
      <c r="AV803" t="s">
        <v>88</v>
      </c>
      <c r="AZ803">
        <v>0</v>
      </c>
      <c r="BA803">
        <v>7.53</v>
      </c>
    </row>
    <row r="804" spans="1:53" hidden="1" x14ac:dyDescent="0.3">
      <c r="A804" t="s">
        <v>419</v>
      </c>
      <c r="C804" t="s">
        <v>251</v>
      </c>
      <c r="D804" t="s">
        <v>81</v>
      </c>
      <c r="E804">
        <v>100000</v>
      </c>
      <c r="H804">
        <v>14.25</v>
      </c>
      <c r="I804" t="s">
        <v>56</v>
      </c>
      <c r="J804">
        <v>1.4250000000000001E-3</v>
      </c>
      <c r="K804" t="s">
        <v>57</v>
      </c>
      <c r="S804">
        <v>2</v>
      </c>
      <c r="T804">
        <v>22</v>
      </c>
      <c r="V804">
        <v>85</v>
      </c>
      <c r="W804" t="s">
        <v>147</v>
      </c>
      <c r="X804" t="s">
        <v>280</v>
      </c>
      <c r="Y804">
        <v>720</v>
      </c>
      <c r="AB804">
        <v>6.05</v>
      </c>
      <c r="AC804" t="s">
        <v>85</v>
      </c>
      <c r="AD804">
        <v>1.18</v>
      </c>
      <c r="AE804" t="s">
        <v>138</v>
      </c>
      <c r="AI804">
        <v>5</v>
      </c>
      <c r="AJ804" t="s">
        <v>201</v>
      </c>
      <c r="AT804" t="s">
        <v>150</v>
      </c>
      <c r="AV804" t="s">
        <v>88</v>
      </c>
    </row>
    <row r="805" spans="1:53" hidden="1" x14ac:dyDescent="0.3">
      <c r="A805" t="s">
        <v>419</v>
      </c>
      <c r="C805" t="s">
        <v>251</v>
      </c>
      <c r="D805" t="s">
        <v>81</v>
      </c>
      <c r="E805">
        <v>100000</v>
      </c>
      <c r="H805">
        <v>14.25</v>
      </c>
      <c r="I805" t="s">
        <v>56</v>
      </c>
      <c r="J805">
        <v>1.4250000000000001E-3</v>
      </c>
      <c r="K805" t="s">
        <v>57</v>
      </c>
      <c r="S805">
        <v>2</v>
      </c>
      <c r="T805">
        <v>22</v>
      </c>
      <c r="V805">
        <v>85</v>
      </c>
      <c r="W805" t="s">
        <v>74</v>
      </c>
      <c r="X805" t="s">
        <v>280</v>
      </c>
      <c r="Y805">
        <v>720</v>
      </c>
      <c r="AA805" t="s">
        <v>94</v>
      </c>
      <c r="AB805">
        <v>6.43</v>
      </c>
      <c r="AC805" t="s">
        <v>85</v>
      </c>
      <c r="AD805">
        <v>0.16</v>
      </c>
      <c r="AE805" t="s">
        <v>138</v>
      </c>
      <c r="AI805">
        <v>5</v>
      </c>
      <c r="AJ805" t="s">
        <v>201</v>
      </c>
      <c r="AT805" t="s">
        <v>75</v>
      </c>
      <c r="AV805" t="s">
        <v>88</v>
      </c>
      <c r="AZ805">
        <v>0</v>
      </c>
      <c r="BA805">
        <v>6.43</v>
      </c>
    </row>
    <row r="806" spans="1:53" hidden="1" x14ac:dyDescent="0.3">
      <c r="A806" t="s">
        <v>419</v>
      </c>
      <c r="C806" t="s">
        <v>251</v>
      </c>
      <c r="D806" t="s">
        <v>81</v>
      </c>
      <c r="E806">
        <v>100000</v>
      </c>
      <c r="H806">
        <v>14.25</v>
      </c>
      <c r="I806" t="s">
        <v>56</v>
      </c>
      <c r="J806">
        <v>1.4250000000000001E-3</v>
      </c>
      <c r="K806" t="s">
        <v>57</v>
      </c>
      <c r="S806">
        <v>2</v>
      </c>
      <c r="T806">
        <v>22</v>
      </c>
      <c r="V806">
        <v>85</v>
      </c>
      <c r="W806" t="s">
        <v>72</v>
      </c>
      <c r="X806" t="s">
        <v>280</v>
      </c>
      <c r="Y806">
        <v>720</v>
      </c>
      <c r="AA806" t="s">
        <v>94</v>
      </c>
      <c r="AB806">
        <v>7.82</v>
      </c>
      <c r="AC806" t="s">
        <v>85</v>
      </c>
      <c r="AD806">
        <v>0.04</v>
      </c>
      <c r="AE806" t="s">
        <v>138</v>
      </c>
      <c r="AI806">
        <v>5</v>
      </c>
      <c r="AJ806" t="s">
        <v>201</v>
      </c>
      <c r="AT806" t="s">
        <v>73</v>
      </c>
      <c r="AV806" t="s">
        <v>88</v>
      </c>
      <c r="AZ806">
        <v>0</v>
      </c>
      <c r="BA806">
        <v>7.82</v>
      </c>
    </row>
    <row r="807" spans="1:53" hidden="1" x14ac:dyDescent="0.3">
      <c r="A807" t="s">
        <v>419</v>
      </c>
      <c r="C807" t="s">
        <v>251</v>
      </c>
      <c r="D807" t="s">
        <v>81</v>
      </c>
      <c r="E807">
        <v>100000</v>
      </c>
      <c r="H807">
        <v>14.25</v>
      </c>
      <c r="I807" t="s">
        <v>56</v>
      </c>
      <c r="J807">
        <v>1.4250000000000001E-3</v>
      </c>
      <c r="K807" t="s">
        <v>57</v>
      </c>
      <c r="S807">
        <v>2</v>
      </c>
      <c r="T807">
        <v>22</v>
      </c>
      <c r="V807">
        <v>85</v>
      </c>
      <c r="W807" t="s">
        <v>420</v>
      </c>
      <c r="X807" t="s">
        <v>280</v>
      </c>
      <c r="Y807">
        <v>720</v>
      </c>
      <c r="AB807">
        <v>4.92</v>
      </c>
      <c r="AC807" t="s">
        <v>85</v>
      </c>
      <c r="AD807">
        <v>0.46</v>
      </c>
      <c r="AE807" t="s">
        <v>138</v>
      </c>
      <c r="AI807">
        <v>5</v>
      </c>
      <c r="AJ807" t="s">
        <v>201</v>
      </c>
      <c r="AV807" t="s">
        <v>88</v>
      </c>
    </row>
    <row r="808" spans="1:53" hidden="1" x14ac:dyDescent="0.3">
      <c r="A808" t="s">
        <v>419</v>
      </c>
      <c r="C808" t="s">
        <v>251</v>
      </c>
      <c r="D808" t="s">
        <v>81</v>
      </c>
      <c r="E808">
        <v>100000</v>
      </c>
      <c r="H808">
        <v>14.25</v>
      </c>
      <c r="I808" t="s">
        <v>56</v>
      </c>
      <c r="J808">
        <v>1.4250000000000001E-3</v>
      </c>
      <c r="K808" t="s">
        <v>57</v>
      </c>
      <c r="S808">
        <v>2</v>
      </c>
      <c r="T808">
        <v>22</v>
      </c>
      <c r="V808">
        <v>85</v>
      </c>
      <c r="W808" t="s">
        <v>421</v>
      </c>
      <c r="X808" t="s">
        <v>280</v>
      </c>
      <c r="Y808">
        <v>720</v>
      </c>
      <c r="AB808">
        <v>4.72</v>
      </c>
      <c r="AC808" t="s">
        <v>85</v>
      </c>
      <c r="AD808">
        <v>0.56999999999999995</v>
      </c>
      <c r="AE808" t="s">
        <v>138</v>
      </c>
      <c r="AI808">
        <v>5</v>
      </c>
      <c r="AJ808" t="s">
        <v>201</v>
      </c>
      <c r="AT808" t="s">
        <v>65</v>
      </c>
      <c r="AV808" t="s">
        <v>88</v>
      </c>
    </row>
    <row r="809" spans="1:53" hidden="1" x14ac:dyDescent="0.3">
      <c r="A809" t="s">
        <v>419</v>
      </c>
      <c r="C809" t="s">
        <v>251</v>
      </c>
      <c r="D809" t="s">
        <v>81</v>
      </c>
      <c r="E809">
        <v>100000</v>
      </c>
      <c r="H809">
        <v>14.25</v>
      </c>
      <c r="I809" t="s">
        <v>56</v>
      </c>
      <c r="J809">
        <v>1.4250000000000001E-3</v>
      </c>
      <c r="K809" t="s">
        <v>57</v>
      </c>
      <c r="S809">
        <v>2</v>
      </c>
      <c r="T809">
        <v>22</v>
      </c>
      <c r="V809">
        <v>85</v>
      </c>
      <c r="W809" t="s">
        <v>422</v>
      </c>
      <c r="X809" t="s">
        <v>280</v>
      </c>
      <c r="Y809">
        <v>720</v>
      </c>
      <c r="AA809" t="s">
        <v>94</v>
      </c>
      <c r="AB809">
        <v>7.53</v>
      </c>
      <c r="AC809" t="s">
        <v>85</v>
      </c>
      <c r="AD809">
        <v>0.08</v>
      </c>
      <c r="AE809" t="s">
        <v>138</v>
      </c>
      <c r="AI809">
        <v>5</v>
      </c>
      <c r="AJ809" t="s">
        <v>201</v>
      </c>
      <c r="AT809" t="s">
        <v>79</v>
      </c>
      <c r="AV809" t="s">
        <v>88</v>
      </c>
      <c r="AZ809">
        <v>0</v>
      </c>
      <c r="BA809">
        <v>7.53</v>
      </c>
    </row>
    <row r="810" spans="1:53" hidden="1" x14ac:dyDescent="0.3">
      <c r="A810" t="s">
        <v>419</v>
      </c>
      <c r="C810" t="s">
        <v>251</v>
      </c>
      <c r="D810" t="s">
        <v>81</v>
      </c>
      <c r="E810">
        <v>100000</v>
      </c>
      <c r="H810">
        <v>14.25</v>
      </c>
      <c r="I810" t="s">
        <v>56</v>
      </c>
      <c r="J810">
        <v>1.4250000000000001E-3</v>
      </c>
      <c r="K810" t="s">
        <v>57</v>
      </c>
      <c r="S810">
        <v>2</v>
      </c>
      <c r="T810">
        <v>22</v>
      </c>
      <c r="V810">
        <v>85</v>
      </c>
      <c r="W810" t="s">
        <v>147</v>
      </c>
      <c r="X810" t="s">
        <v>280</v>
      </c>
      <c r="Y810">
        <v>360</v>
      </c>
      <c r="AB810">
        <v>6.52</v>
      </c>
      <c r="AC810" t="s">
        <v>85</v>
      </c>
      <c r="AD810">
        <v>1.03</v>
      </c>
      <c r="AE810" t="s">
        <v>138</v>
      </c>
      <c r="AI810">
        <v>5</v>
      </c>
      <c r="AJ810" t="s">
        <v>201</v>
      </c>
      <c r="AT810" t="s">
        <v>150</v>
      </c>
      <c r="AV810" t="s">
        <v>88</v>
      </c>
    </row>
    <row r="811" spans="1:53" hidden="1" x14ac:dyDescent="0.3">
      <c r="A811" t="s">
        <v>419</v>
      </c>
      <c r="C811" t="s">
        <v>251</v>
      </c>
      <c r="D811" t="s">
        <v>81</v>
      </c>
      <c r="E811">
        <v>100000</v>
      </c>
      <c r="H811">
        <v>14.25</v>
      </c>
      <c r="I811" t="s">
        <v>56</v>
      </c>
      <c r="J811">
        <v>1.4250000000000001E-3</v>
      </c>
      <c r="K811" t="s">
        <v>57</v>
      </c>
      <c r="S811">
        <v>2</v>
      </c>
      <c r="T811">
        <v>22</v>
      </c>
      <c r="V811">
        <v>85</v>
      </c>
      <c r="W811" t="s">
        <v>74</v>
      </c>
      <c r="X811" t="s">
        <v>280</v>
      </c>
      <c r="Y811">
        <v>360</v>
      </c>
      <c r="AA811" t="s">
        <v>94</v>
      </c>
      <c r="AB811">
        <v>7.04</v>
      </c>
      <c r="AC811" t="s">
        <v>85</v>
      </c>
      <c r="AD811">
        <v>0.46</v>
      </c>
      <c r="AE811" t="s">
        <v>138</v>
      </c>
      <c r="AI811">
        <v>5</v>
      </c>
      <c r="AJ811" t="s">
        <v>201</v>
      </c>
      <c r="AT811" t="s">
        <v>75</v>
      </c>
      <c r="AV811" t="s">
        <v>88</v>
      </c>
      <c r="AZ811">
        <v>0</v>
      </c>
      <c r="BA811">
        <v>7.04</v>
      </c>
    </row>
    <row r="812" spans="1:53" hidden="1" x14ac:dyDescent="0.3">
      <c r="A812" t="s">
        <v>419</v>
      </c>
      <c r="C812" t="s">
        <v>251</v>
      </c>
      <c r="D812" t="s">
        <v>81</v>
      </c>
      <c r="E812">
        <v>10000000</v>
      </c>
      <c r="H812">
        <v>14.25</v>
      </c>
      <c r="I812" t="s">
        <v>56</v>
      </c>
      <c r="J812">
        <v>1.4250000000000001E-3</v>
      </c>
      <c r="K812" t="s">
        <v>57</v>
      </c>
      <c r="S812">
        <v>2</v>
      </c>
      <c r="T812">
        <v>22</v>
      </c>
      <c r="V812">
        <v>85</v>
      </c>
      <c r="W812" t="s">
        <v>72</v>
      </c>
      <c r="X812" t="s">
        <v>280</v>
      </c>
      <c r="Y812">
        <v>360</v>
      </c>
      <c r="AB812">
        <v>6.21</v>
      </c>
      <c r="AC812" t="s">
        <v>85</v>
      </c>
      <c r="AD812">
        <v>1.5</v>
      </c>
      <c r="AE812" t="s">
        <v>138</v>
      </c>
      <c r="AI812">
        <v>5</v>
      </c>
      <c r="AJ812" t="s">
        <v>201</v>
      </c>
      <c r="AT812" t="s">
        <v>73</v>
      </c>
      <c r="AV812" t="s">
        <v>88</v>
      </c>
    </row>
    <row r="813" spans="1:53" hidden="1" x14ac:dyDescent="0.3">
      <c r="A813" t="s">
        <v>419</v>
      </c>
      <c r="C813" t="s">
        <v>251</v>
      </c>
      <c r="D813" t="s">
        <v>81</v>
      </c>
      <c r="E813">
        <v>10000000</v>
      </c>
      <c r="H813">
        <v>14.25</v>
      </c>
      <c r="I813" t="s">
        <v>56</v>
      </c>
      <c r="J813">
        <v>1.4250000000000001E-3</v>
      </c>
      <c r="K813" t="s">
        <v>57</v>
      </c>
      <c r="S813">
        <v>2</v>
      </c>
      <c r="T813">
        <v>22</v>
      </c>
      <c r="V813">
        <v>85</v>
      </c>
      <c r="W813" t="s">
        <v>420</v>
      </c>
      <c r="X813" t="s">
        <v>280</v>
      </c>
      <c r="Y813">
        <v>360</v>
      </c>
      <c r="AB813">
        <v>5.05</v>
      </c>
      <c r="AC813" t="s">
        <v>85</v>
      </c>
      <c r="AD813">
        <v>0.48</v>
      </c>
      <c r="AE813" t="s">
        <v>138</v>
      </c>
      <c r="AI813">
        <v>5</v>
      </c>
      <c r="AJ813" t="s">
        <v>201</v>
      </c>
      <c r="AV813" t="s">
        <v>88</v>
      </c>
    </row>
    <row r="814" spans="1:53" hidden="1" x14ac:dyDescent="0.3">
      <c r="A814" t="s">
        <v>419</v>
      </c>
      <c r="C814" t="s">
        <v>251</v>
      </c>
      <c r="D814" t="s">
        <v>81</v>
      </c>
      <c r="E814">
        <v>10000000</v>
      </c>
      <c r="H814">
        <v>14.25</v>
      </c>
      <c r="I814" t="s">
        <v>56</v>
      </c>
      <c r="J814">
        <v>1.4250000000000001E-3</v>
      </c>
      <c r="K814" t="s">
        <v>57</v>
      </c>
      <c r="S814">
        <v>2</v>
      </c>
      <c r="T814">
        <v>22</v>
      </c>
      <c r="V814">
        <v>85</v>
      </c>
      <c r="W814" t="s">
        <v>421</v>
      </c>
      <c r="X814" t="s">
        <v>280</v>
      </c>
      <c r="Y814">
        <v>360</v>
      </c>
      <c r="AB814">
        <v>5.88</v>
      </c>
      <c r="AC814" t="s">
        <v>85</v>
      </c>
      <c r="AD814">
        <v>0.98</v>
      </c>
      <c r="AE814" t="s">
        <v>138</v>
      </c>
      <c r="AI814">
        <v>5</v>
      </c>
      <c r="AJ814" t="s">
        <v>201</v>
      </c>
      <c r="AT814" t="s">
        <v>65</v>
      </c>
      <c r="AV814" t="s">
        <v>88</v>
      </c>
    </row>
    <row r="815" spans="1:53" hidden="1" x14ac:dyDescent="0.3">
      <c r="A815" t="s">
        <v>419</v>
      </c>
      <c r="C815" t="s">
        <v>251</v>
      </c>
      <c r="D815" t="s">
        <v>81</v>
      </c>
      <c r="E815">
        <v>10000000</v>
      </c>
      <c r="H815">
        <v>14.25</v>
      </c>
      <c r="I815" t="s">
        <v>56</v>
      </c>
      <c r="J815">
        <v>1.4250000000000001E-3</v>
      </c>
      <c r="K815" t="s">
        <v>57</v>
      </c>
      <c r="S815">
        <v>2</v>
      </c>
      <c r="T815">
        <v>22</v>
      </c>
      <c r="V815">
        <v>85</v>
      </c>
      <c r="W815" t="s">
        <v>422</v>
      </c>
      <c r="X815" t="s">
        <v>280</v>
      </c>
      <c r="Y815">
        <v>360</v>
      </c>
      <c r="AA815" t="s">
        <v>94</v>
      </c>
      <c r="AB815">
        <v>7.49</v>
      </c>
      <c r="AC815" t="s">
        <v>85</v>
      </c>
      <c r="AD815">
        <v>0.03</v>
      </c>
      <c r="AE815" t="s">
        <v>138</v>
      </c>
      <c r="AI815">
        <v>5</v>
      </c>
      <c r="AJ815" t="s">
        <v>201</v>
      </c>
      <c r="AT815" t="s">
        <v>79</v>
      </c>
      <c r="AV815" t="s">
        <v>88</v>
      </c>
      <c r="AZ815">
        <v>0</v>
      </c>
      <c r="BA815">
        <v>7.49</v>
      </c>
    </row>
    <row r="816" spans="1:53" hidden="1" x14ac:dyDescent="0.3">
      <c r="A816" t="s">
        <v>419</v>
      </c>
      <c r="C816" t="s">
        <v>251</v>
      </c>
      <c r="D816" t="s">
        <v>81</v>
      </c>
      <c r="E816">
        <v>10000000</v>
      </c>
      <c r="H816">
        <v>14.25</v>
      </c>
      <c r="I816" t="s">
        <v>56</v>
      </c>
      <c r="J816">
        <v>1.4250000000000001E-3</v>
      </c>
      <c r="K816" t="s">
        <v>57</v>
      </c>
      <c r="S816">
        <v>2</v>
      </c>
      <c r="T816">
        <v>22</v>
      </c>
      <c r="V816">
        <v>85</v>
      </c>
      <c r="W816" t="s">
        <v>147</v>
      </c>
      <c r="X816" t="s">
        <v>280</v>
      </c>
      <c r="Y816">
        <v>540</v>
      </c>
      <c r="AB816">
        <v>6.69</v>
      </c>
      <c r="AC816" t="s">
        <v>85</v>
      </c>
      <c r="AD816">
        <v>0.89</v>
      </c>
      <c r="AE816" t="s">
        <v>138</v>
      </c>
      <c r="AI816">
        <v>5</v>
      </c>
      <c r="AJ816" t="s">
        <v>201</v>
      </c>
      <c r="AT816" t="s">
        <v>150</v>
      </c>
      <c r="AV816" t="s">
        <v>88</v>
      </c>
    </row>
    <row r="817" spans="1:53" hidden="1" x14ac:dyDescent="0.3">
      <c r="A817" t="s">
        <v>419</v>
      </c>
      <c r="C817" t="s">
        <v>251</v>
      </c>
      <c r="D817" t="s">
        <v>81</v>
      </c>
      <c r="E817">
        <v>10000000</v>
      </c>
      <c r="H817">
        <v>14.25</v>
      </c>
      <c r="I817" t="s">
        <v>56</v>
      </c>
      <c r="J817">
        <v>1.4250000000000001E-3</v>
      </c>
      <c r="K817" t="s">
        <v>57</v>
      </c>
      <c r="S817">
        <v>2</v>
      </c>
      <c r="T817">
        <v>22</v>
      </c>
      <c r="V817">
        <v>85</v>
      </c>
      <c r="W817" t="s">
        <v>74</v>
      </c>
      <c r="X817" t="s">
        <v>280</v>
      </c>
      <c r="Y817">
        <v>540</v>
      </c>
      <c r="AB817">
        <v>6.74</v>
      </c>
      <c r="AC817" t="s">
        <v>85</v>
      </c>
      <c r="AD817">
        <v>0.75</v>
      </c>
      <c r="AE817" t="s">
        <v>138</v>
      </c>
      <c r="AI817">
        <v>5</v>
      </c>
      <c r="AJ817" t="s">
        <v>201</v>
      </c>
      <c r="AT817" t="s">
        <v>75</v>
      </c>
      <c r="AV817" t="s">
        <v>88</v>
      </c>
    </row>
    <row r="818" spans="1:53" hidden="1" x14ac:dyDescent="0.3">
      <c r="A818" t="s">
        <v>419</v>
      </c>
      <c r="C818" t="s">
        <v>251</v>
      </c>
      <c r="D818" t="s">
        <v>81</v>
      </c>
      <c r="E818">
        <v>10000000</v>
      </c>
      <c r="H818">
        <v>14.25</v>
      </c>
      <c r="I818" t="s">
        <v>56</v>
      </c>
      <c r="J818">
        <v>1.4250000000000001E-3</v>
      </c>
      <c r="K818" t="s">
        <v>57</v>
      </c>
      <c r="S818">
        <v>2</v>
      </c>
      <c r="T818">
        <v>22</v>
      </c>
      <c r="V818">
        <v>85</v>
      </c>
      <c r="W818" t="s">
        <v>72</v>
      </c>
      <c r="X818" t="s">
        <v>280</v>
      </c>
      <c r="Y818">
        <v>540</v>
      </c>
      <c r="AA818" t="s">
        <v>94</v>
      </c>
      <c r="AB818">
        <v>7.97</v>
      </c>
      <c r="AC818" t="s">
        <v>85</v>
      </c>
      <c r="AD818">
        <v>0.03</v>
      </c>
      <c r="AE818" t="s">
        <v>138</v>
      </c>
      <c r="AI818">
        <v>5</v>
      </c>
      <c r="AJ818" t="s">
        <v>201</v>
      </c>
      <c r="AT818" t="s">
        <v>73</v>
      </c>
      <c r="AV818" t="s">
        <v>88</v>
      </c>
      <c r="AZ818">
        <v>0</v>
      </c>
      <c r="BA818">
        <v>7.97</v>
      </c>
    </row>
    <row r="819" spans="1:53" hidden="1" x14ac:dyDescent="0.3">
      <c r="A819" t="s">
        <v>419</v>
      </c>
      <c r="C819" t="s">
        <v>251</v>
      </c>
      <c r="D819" t="s">
        <v>81</v>
      </c>
      <c r="E819">
        <v>10000000</v>
      </c>
      <c r="H819">
        <v>14.25</v>
      </c>
      <c r="I819" t="s">
        <v>56</v>
      </c>
      <c r="J819">
        <v>1.4250000000000001E-3</v>
      </c>
      <c r="K819" t="s">
        <v>57</v>
      </c>
      <c r="S819">
        <v>2</v>
      </c>
      <c r="T819">
        <v>22</v>
      </c>
      <c r="V819">
        <v>85</v>
      </c>
      <c r="W819" t="s">
        <v>420</v>
      </c>
      <c r="X819" t="s">
        <v>280</v>
      </c>
      <c r="Y819">
        <v>540</v>
      </c>
      <c r="AB819">
        <v>6.93</v>
      </c>
      <c r="AC819" t="s">
        <v>85</v>
      </c>
      <c r="AD819">
        <v>1.07</v>
      </c>
      <c r="AE819" t="s">
        <v>138</v>
      </c>
      <c r="AI819">
        <v>5</v>
      </c>
      <c r="AJ819" t="s">
        <v>201</v>
      </c>
      <c r="AV819" t="s">
        <v>88</v>
      </c>
    </row>
    <row r="820" spans="1:53" hidden="1" x14ac:dyDescent="0.3">
      <c r="A820" t="s">
        <v>419</v>
      </c>
      <c r="C820" t="s">
        <v>251</v>
      </c>
      <c r="D820" t="s">
        <v>81</v>
      </c>
      <c r="E820">
        <v>10000000</v>
      </c>
      <c r="H820">
        <v>14.25</v>
      </c>
      <c r="I820" t="s">
        <v>56</v>
      </c>
      <c r="J820">
        <v>1.4250000000000001E-3</v>
      </c>
      <c r="K820" t="s">
        <v>57</v>
      </c>
      <c r="S820">
        <v>2</v>
      </c>
      <c r="T820">
        <v>22</v>
      </c>
      <c r="V820">
        <v>85</v>
      </c>
      <c r="W820" t="s">
        <v>421</v>
      </c>
      <c r="X820" t="s">
        <v>280</v>
      </c>
      <c r="Y820">
        <v>540</v>
      </c>
      <c r="AB820">
        <v>5.79</v>
      </c>
      <c r="AC820" t="s">
        <v>85</v>
      </c>
      <c r="AD820">
        <v>1.03</v>
      </c>
      <c r="AE820" t="s">
        <v>138</v>
      </c>
      <c r="AI820">
        <v>5</v>
      </c>
      <c r="AJ820" t="s">
        <v>201</v>
      </c>
      <c r="AT820" t="s">
        <v>65</v>
      </c>
      <c r="AV820" t="s">
        <v>88</v>
      </c>
    </row>
    <row r="821" spans="1:53" hidden="1" x14ac:dyDescent="0.3">
      <c r="A821" t="s">
        <v>419</v>
      </c>
      <c r="C821" t="s">
        <v>251</v>
      </c>
      <c r="D821" t="s">
        <v>81</v>
      </c>
      <c r="E821">
        <v>10000000</v>
      </c>
      <c r="H821">
        <v>14.25</v>
      </c>
      <c r="I821" t="s">
        <v>56</v>
      </c>
      <c r="J821">
        <v>1.4250000000000001E-3</v>
      </c>
      <c r="K821" t="s">
        <v>57</v>
      </c>
      <c r="S821">
        <v>2</v>
      </c>
      <c r="T821">
        <v>22</v>
      </c>
      <c r="V821">
        <v>85</v>
      </c>
      <c r="W821" t="s">
        <v>422</v>
      </c>
      <c r="X821" t="s">
        <v>280</v>
      </c>
      <c r="Y821">
        <v>540</v>
      </c>
      <c r="AB821">
        <v>7.19</v>
      </c>
      <c r="AC821" t="s">
        <v>85</v>
      </c>
      <c r="AD821">
        <v>0.6</v>
      </c>
      <c r="AE821" t="s">
        <v>138</v>
      </c>
      <c r="AI821">
        <v>5</v>
      </c>
      <c r="AJ821" t="s">
        <v>201</v>
      </c>
      <c r="AT821" t="s">
        <v>79</v>
      </c>
      <c r="AV821" t="s">
        <v>88</v>
      </c>
    </row>
    <row r="822" spans="1:53" hidden="1" x14ac:dyDescent="0.3">
      <c r="A822" t="s">
        <v>419</v>
      </c>
      <c r="C822" t="s">
        <v>251</v>
      </c>
      <c r="D822" t="s">
        <v>81</v>
      </c>
      <c r="E822">
        <v>10000000</v>
      </c>
      <c r="H822">
        <v>14.25</v>
      </c>
      <c r="I822" t="s">
        <v>56</v>
      </c>
      <c r="J822">
        <v>1.4250000000000001E-3</v>
      </c>
      <c r="K822" t="s">
        <v>57</v>
      </c>
      <c r="S822">
        <v>2</v>
      </c>
      <c r="T822">
        <v>22</v>
      </c>
      <c r="V822">
        <v>85</v>
      </c>
      <c r="W822" t="s">
        <v>147</v>
      </c>
      <c r="X822" t="s">
        <v>280</v>
      </c>
      <c r="Y822">
        <v>720</v>
      </c>
      <c r="AA822" t="s">
        <v>94</v>
      </c>
      <c r="AB822">
        <v>7.66</v>
      </c>
      <c r="AC822" t="s">
        <v>85</v>
      </c>
      <c r="AD822">
        <v>0.41</v>
      </c>
      <c r="AE822" t="s">
        <v>138</v>
      </c>
      <c r="AI822">
        <v>5</v>
      </c>
      <c r="AJ822" t="s">
        <v>201</v>
      </c>
      <c r="AT822" t="s">
        <v>150</v>
      </c>
      <c r="AV822" t="s">
        <v>88</v>
      </c>
      <c r="AZ822">
        <v>0</v>
      </c>
      <c r="BA822">
        <v>7.66</v>
      </c>
    </row>
    <row r="823" spans="1:53" hidden="1" x14ac:dyDescent="0.3">
      <c r="A823" t="s">
        <v>419</v>
      </c>
      <c r="C823" t="s">
        <v>251</v>
      </c>
      <c r="D823" t="s">
        <v>81</v>
      </c>
      <c r="E823">
        <v>10000000</v>
      </c>
      <c r="H823">
        <v>14.25</v>
      </c>
      <c r="I823" t="s">
        <v>56</v>
      </c>
      <c r="J823">
        <v>1.4250000000000001E-3</v>
      </c>
      <c r="K823" t="s">
        <v>57</v>
      </c>
      <c r="S823">
        <v>2</v>
      </c>
      <c r="T823">
        <v>22</v>
      </c>
      <c r="V823">
        <v>85</v>
      </c>
      <c r="W823" t="s">
        <v>74</v>
      </c>
      <c r="X823" t="s">
        <v>280</v>
      </c>
      <c r="Y823">
        <v>720</v>
      </c>
      <c r="AA823" t="s">
        <v>94</v>
      </c>
      <c r="AB823">
        <v>7.04</v>
      </c>
      <c r="AC823" t="s">
        <v>85</v>
      </c>
      <c r="AD823">
        <v>0.46</v>
      </c>
      <c r="AE823" t="s">
        <v>138</v>
      </c>
      <c r="AI823">
        <v>5</v>
      </c>
      <c r="AJ823" t="s">
        <v>201</v>
      </c>
      <c r="AT823" t="s">
        <v>75</v>
      </c>
      <c r="AV823" t="s">
        <v>88</v>
      </c>
      <c r="AZ823">
        <v>0</v>
      </c>
      <c r="BA823">
        <v>7.04</v>
      </c>
    </row>
    <row r="824" spans="1:53" hidden="1" x14ac:dyDescent="0.3">
      <c r="A824" t="s">
        <v>419</v>
      </c>
      <c r="C824" t="s">
        <v>251</v>
      </c>
      <c r="D824" t="s">
        <v>81</v>
      </c>
      <c r="E824">
        <v>10000000</v>
      </c>
      <c r="H824">
        <v>14.25</v>
      </c>
      <c r="I824" t="s">
        <v>56</v>
      </c>
      <c r="J824">
        <v>1.4250000000000001E-3</v>
      </c>
      <c r="K824" t="s">
        <v>57</v>
      </c>
      <c r="S824">
        <v>2</v>
      </c>
      <c r="T824">
        <v>22</v>
      </c>
      <c r="V824">
        <v>85</v>
      </c>
      <c r="W824" t="s">
        <v>72</v>
      </c>
      <c r="X824" t="s">
        <v>280</v>
      </c>
      <c r="Y824">
        <v>720</v>
      </c>
      <c r="AA824" t="s">
        <v>94</v>
      </c>
      <c r="AB824">
        <v>7.97</v>
      </c>
      <c r="AC824" t="s">
        <v>85</v>
      </c>
      <c r="AD824">
        <v>0.03</v>
      </c>
      <c r="AE824" t="s">
        <v>138</v>
      </c>
      <c r="AI824">
        <v>5</v>
      </c>
      <c r="AJ824" t="s">
        <v>201</v>
      </c>
      <c r="AT824" t="s">
        <v>73</v>
      </c>
      <c r="AV824" t="s">
        <v>88</v>
      </c>
      <c r="AZ824">
        <v>0</v>
      </c>
      <c r="BA824">
        <v>7.97</v>
      </c>
    </row>
    <row r="825" spans="1:53" hidden="1" x14ac:dyDescent="0.3">
      <c r="A825" t="s">
        <v>419</v>
      </c>
      <c r="C825" t="s">
        <v>251</v>
      </c>
      <c r="D825" t="s">
        <v>81</v>
      </c>
      <c r="E825">
        <v>10000000</v>
      </c>
      <c r="H825">
        <v>14.25</v>
      </c>
      <c r="I825" t="s">
        <v>56</v>
      </c>
      <c r="J825">
        <v>1.4250000000000001E-3</v>
      </c>
      <c r="K825" t="s">
        <v>57</v>
      </c>
      <c r="S825">
        <v>2</v>
      </c>
      <c r="T825">
        <v>22</v>
      </c>
      <c r="V825">
        <v>85</v>
      </c>
      <c r="W825" t="s">
        <v>420</v>
      </c>
      <c r="X825" t="s">
        <v>280</v>
      </c>
      <c r="Y825">
        <v>720</v>
      </c>
      <c r="AB825">
        <v>5.82</v>
      </c>
      <c r="AC825" t="s">
        <v>85</v>
      </c>
      <c r="AD825">
        <v>1.1599999999999999</v>
      </c>
      <c r="AE825" t="s">
        <v>138</v>
      </c>
      <c r="AI825">
        <v>5</v>
      </c>
      <c r="AJ825" t="s">
        <v>201</v>
      </c>
      <c r="AV825" t="s">
        <v>88</v>
      </c>
    </row>
    <row r="826" spans="1:53" hidden="1" x14ac:dyDescent="0.3">
      <c r="A826" t="s">
        <v>419</v>
      </c>
      <c r="C826" t="s">
        <v>251</v>
      </c>
      <c r="D826" t="s">
        <v>81</v>
      </c>
      <c r="E826">
        <v>10000000</v>
      </c>
      <c r="H826">
        <v>14.25</v>
      </c>
      <c r="I826" t="s">
        <v>56</v>
      </c>
      <c r="J826">
        <v>1.4250000000000001E-3</v>
      </c>
      <c r="K826" t="s">
        <v>57</v>
      </c>
      <c r="S826">
        <v>2</v>
      </c>
      <c r="T826">
        <v>22</v>
      </c>
      <c r="V826">
        <v>85</v>
      </c>
      <c r="W826" t="s">
        <v>421</v>
      </c>
      <c r="X826" t="s">
        <v>280</v>
      </c>
      <c r="Y826">
        <v>720</v>
      </c>
      <c r="AB826">
        <v>6.5</v>
      </c>
      <c r="AC826" t="s">
        <v>85</v>
      </c>
      <c r="AD826">
        <v>1</v>
      </c>
      <c r="AE826" t="s">
        <v>138</v>
      </c>
      <c r="AI826">
        <v>5</v>
      </c>
      <c r="AJ826" t="s">
        <v>201</v>
      </c>
      <c r="AT826" t="s">
        <v>65</v>
      </c>
      <c r="AV826" t="s">
        <v>88</v>
      </c>
    </row>
    <row r="827" spans="1:53" hidden="1" x14ac:dyDescent="0.3">
      <c r="A827" t="s">
        <v>419</v>
      </c>
      <c r="C827" t="s">
        <v>251</v>
      </c>
      <c r="D827" t="s">
        <v>81</v>
      </c>
      <c r="E827">
        <v>10000000</v>
      </c>
      <c r="H827">
        <v>14.25</v>
      </c>
      <c r="I827" t="s">
        <v>56</v>
      </c>
      <c r="J827">
        <v>1.4250000000000001E-3</v>
      </c>
      <c r="K827" t="s">
        <v>57</v>
      </c>
      <c r="S827">
        <v>2</v>
      </c>
      <c r="T827">
        <v>22</v>
      </c>
      <c r="V827">
        <v>85</v>
      </c>
      <c r="W827" t="s">
        <v>422</v>
      </c>
      <c r="X827" t="s">
        <v>280</v>
      </c>
      <c r="Y827">
        <v>720</v>
      </c>
      <c r="AA827" t="s">
        <v>94</v>
      </c>
      <c r="AB827">
        <v>7.49</v>
      </c>
      <c r="AC827" t="s">
        <v>85</v>
      </c>
      <c r="AD827">
        <v>0.04</v>
      </c>
      <c r="AE827" t="s">
        <v>138</v>
      </c>
      <c r="AI827">
        <v>5</v>
      </c>
      <c r="AJ827" t="s">
        <v>201</v>
      </c>
      <c r="AT827" t="s">
        <v>79</v>
      </c>
      <c r="AV827" t="s">
        <v>88</v>
      </c>
      <c r="AZ827">
        <v>0</v>
      </c>
      <c r="BA827">
        <v>7.49</v>
      </c>
    </row>
    <row r="828" spans="1:53" hidden="1" x14ac:dyDescent="0.3">
      <c r="A828" t="s">
        <v>419</v>
      </c>
      <c r="C828" t="s">
        <v>251</v>
      </c>
      <c r="D828" t="s">
        <v>81</v>
      </c>
      <c r="E828">
        <v>10000000</v>
      </c>
      <c r="H828">
        <v>14.25</v>
      </c>
      <c r="I828" t="s">
        <v>56</v>
      </c>
      <c r="J828">
        <v>1.4250000000000001E-3</v>
      </c>
      <c r="K828" t="s">
        <v>57</v>
      </c>
      <c r="O828">
        <v>7000</v>
      </c>
      <c r="P828" t="s">
        <v>315</v>
      </c>
      <c r="S828">
        <v>2</v>
      </c>
      <c r="T828">
        <v>22</v>
      </c>
      <c r="V828">
        <v>85</v>
      </c>
      <c r="W828" t="s">
        <v>147</v>
      </c>
      <c r="X828" t="s">
        <v>280</v>
      </c>
      <c r="Y828">
        <v>240</v>
      </c>
      <c r="AB828">
        <v>4.51</v>
      </c>
      <c r="AC828" t="s">
        <v>85</v>
      </c>
      <c r="AD828">
        <v>0.93</v>
      </c>
      <c r="AE828" t="s">
        <v>138</v>
      </c>
      <c r="AI828">
        <v>5</v>
      </c>
      <c r="AJ828" t="s">
        <v>201</v>
      </c>
      <c r="AT828" t="s">
        <v>150</v>
      </c>
      <c r="AV828" t="s">
        <v>88</v>
      </c>
    </row>
    <row r="829" spans="1:53" hidden="1" x14ac:dyDescent="0.3">
      <c r="A829" t="s">
        <v>419</v>
      </c>
      <c r="C829" t="s">
        <v>251</v>
      </c>
      <c r="D829" t="s">
        <v>81</v>
      </c>
      <c r="E829">
        <v>10000000</v>
      </c>
      <c r="H829">
        <v>14.25</v>
      </c>
      <c r="I829" t="s">
        <v>56</v>
      </c>
      <c r="J829">
        <v>1.4250000000000001E-3</v>
      </c>
      <c r="K829" t="s">
        <v>57</v>
      </c>
      <c r="O829">
        <v>7000</v>
      </c>
      <c r="P829" t="s">
        <v>315</v>
      </c>
      <c r="S829">
        <v>2</v>
      </c>
      <c r="T829">
        <v>22</v>
      </c>
      <c r="V829">
        <v>85</v>
      </c>
      <c r="W829" t="s">
        <v>74</v>
      </c>
      <c r="X829" t="s">
        <v>280</v>
      </c>
      <c r="Y829">
        <v>240</v>
      </c>
      <c r="AB829">
        <v>1.48</v>
      </c>
      <c r="AC829" t="s">
        <v>85</v>
      </c>
      <c r="AD829">
        <v>0.44</v>
      </c>
      <c r="AE829" t="s">
        <v>138</v>
      </c>
      <c r="AI829">
        <v>5</v>
      </c>
      <c r="AJ829" t="s">
        <v>201</v>
      </c>
      <c r="AT829" t="s">
        <v>75</v>
      </c>
      <c r="AV829" t="s">
        <v>88</v>
      </c>
    </row>
    <row r="830" spans="1:53" hidden="1" x14ac:dyDescent="0.3">
      <c r="A830" t="s">
        <v>419</v>
      </c>
      <c r="C830" t="s">
        <v>251</v>
      </c>
      <c r="D830" t="s">
        <v>81</v>
      </c>
      <c r="E830">
        <v>10000000</v>
      </c>
      <c r="H830">
        <v>14.25</v>
      </c>
      <c r="I830" t="s">
        <v>56</v>
      </c>
      <c r="J830">
        <v>1.4250000000000001E-3</v>
      </c>
      <c r="K830" t="s">
        <v>57</v>
      </c>
      <c r="O830">
        <v>7000</v>
      </c>
      <c r="P830" t="s">
        <v>315</v>
      </c>
      <c r="S830">
        <v>2</v>
      </c>
      <c r="T830">
        <v>22</v>
      </c>
      <c r="V830">
        <v>85</v>
      </c>
      <c r="W830" t="s">
        <v>72</v>
      </c>
      <c r="X830" t="s">
        <v>280</v>
      </c>
      <c r="Y830">
        <v>240</v>
      </c>
      <c r="AB830">
        <v>1.72</v>
      </c>
      <c r="AC830" t="s">
        <v>85</v>
      </c>
      <c r="AD830">
        <v>0.56000000000000005</v>
      </c>
      <c r="AE830" t="s">
        <v>138</v>
      </c>
      <c r="AI830">
        <v>5</v>
      </c>
      <c r="AJ830" t="s">
        <v>201</v>
      </c>
      <c r="AT830" t="s">
        <v>73</v>
      </c>
      <c r="AV830" t="s">
        <v>88</v>
      </c>
    </row>
    <row r="831" spans="1:53" hidden="1" x14ac:dyDescent="0.3">
      <c r="A831" t="s">
        <v>419</v>
      </c>
      <c r="C831" t="s">
        <v>251</v>
      </c>
      <c r="D831" t="s">
        <v>81</v>
      </c>
      <c r="E831">
        <v>10000000</v>
      </c>
      <c r="H831">
        <v>14.25</v>
      </c>
      <c r="I831" t="s">
        <v>56</v>
      </c>
      <c r="J831">
        <v>1.4250000000000001E-3</v>
      </c>
      <c r="K831" t="s">
        <v>57</v>
      </c>
      <c r="O831">
        <v>7000</v>
      </c>
      <c r="P831" t="s">
        <v>315</v>
      </c>
      <c r="S831">
        <v>2</v>
      </c>
      <c r="T831">
        <v>22</v>
      </c>
      <c r="V831">
        <v>85</v>
      </c>
      <c r="W831" t="s">
        <v>420</v>
      </c>
      <c r="X831" t="s">
        <v>280</v>
      </c>
      <c r="Y831">
        <v>240</v>
      </c>
      <c r="AB831">
        <v>6.49</v>
      </c>
      <c r="AC831" t="s">
        <v>85</v>
      </c>
      <c r="AD831">
        <v>1.37</v>
      </c>
      <c r="AE831" t="s">
        <v>138</v>
      </c>
      <c r="AI831">
        <v>5</v>
      </c>
      <c r="AJ831" t="s">
        <v>201</v>
      </c>
      <c r="AV831" t="s">
        <v>88</v>
      </c>
    </row>
    <row r="832" spans="1:53" hidden="1" x14ac:dyDescent="0.3">
      <c r="A832" t="s">
        <v>419</v>
      </c>
      <c r="C832" t="s">
        <v>251</v>
      </c>
      <c r="D832" t="s">
        <v>81</v>
      </c>
      <c r="E832">
        <v>10000000</v>
      </c>
      <c r="H832">
        <v>14.25</v>
      </c>
      <c r="I832" t="s">
        <v>56</v>
      </c>
      <c r="J832">
        <v>1.4250000000000001E-3</v>
      </c>
      <c r="K832" t="s">
        <v>57</v>
      </c>
      <c r="O832">
        <v>7000</v>
      </c>
      <c r="P832" t="s">
        <v>315</v>
      </c>
      <c r="S832">
        <v>2</v>
      </c>
      <c r="T832">
        <v>22</v>
      </c>
      <c r="V832">
        <v>85</v>
      </c>
      <c r="W832" t="s">
        <v>421</v>
      </c>
      <c r="X832" t="s">
        <v>280</v>
      </c>
      <c r="Y832">
        <v>240</v>
      </c>
      <c r="AB832">
        <v>2.42</v>
      </c>
      <c r="AC832" t="s">
        <v>85</v>
      </c>
      <c r="AD832">
        <v>0.27</v>
      </c>
      <c r="AE832" t="s">
        <v>138</v>
      </c>
      <c r="AI832">
        <v>5</v>
      </c>
      <c r="AJ832" t="s">
        <v>201</v>
      </c>
      <c r="AT832" t="s">
        <v>65</v>
      </c>
      <c r="AV832" t="s">
        <v>88</v>
      </c>
    </row>
    <row r="833" spans="1:53" hidden="1" x14ac:dyDescent="0.3">
      <c r="A833" t="s">
        <v>419</v>
      </c>
      <c r="C833" t="s">
        <v>251</v>
      </c>
      <c r="D833" t="s">
        <v>81</v>
      </c>
      <c r="E833">
        <v>10000000</v>
      </c>
      <c r="H833">
        <v>14.25</v>
      </c>
      <c r="I833" t="s">
        <v>56</v>
      </c>
      <c r="J833">
        <v>1.4250000000000001E-3</v>
      </c>
      <c r="K833" t="s">
        <v>57</v>
      </c>
      <c r="O833">
        <v>7000</v>
      </c>
      <c r="P833" t="s">
        <v>315</v>
      </c>
      <c r="S833">
        <v>2</v>
      </c>
      <c r="T833">
        <v>22</v>
      </c>
      <c r="V833">
        <v>85</v>
      </c>
      <c r="W833" t="s">
        <v>422</v>
      </c>
      <c r="X833" t="s">
        <v>280</v>
      </c>
      <c r="Y833">
        <v>240</v>
      </c>
      <c r="AB833">
        <v>6.84</v>
      </c>
      <c r="AC833" t="s">
        <v>85</v>
      </c>
      <c r="AD833">
        <v>0.76</v>
      </c>
      <c r="AE833" t="s">
        <v>138</v>
      </c>
      <c r="AI833">
        <v>5</v>
      </c>
      <c r="AJ833" t="s">
        <v>201</v>
      </c>
      <c r="AT833" t="s">
        <v>79</v>
      </c>
      <c r="AV833" t="s">
        <v>88</v>
      </c>
    </row>
    <row r="834" spans="1:53" hidden="1" x14ac:dyDescent="0.3">
      <c r="A834" t="s">
        <v>419</v>
      </c>
      <c r="C834" t="s">
        <v>251</v>
      </c>
      <c r="D834" t="s">
        <v>81</v>
      </c>
      <c r="E834">
        <v>10000000</v>
      </c>
      <c r="H834">
        <v>14.25</v>
      </c>
      <c r="I834" t="s">
        <v>56</v>
      </c>
      <c r="J834">
        <v>1.4250000000000001E-3</v>
      </c>
      <c r="K834" t="s">
        <v>57</v>
      </c>
      <c r="O834">
        <v>7000</v>
      </c>
      <c r="P834" t="s">
        <v>315</v>
      </c>
      <c r="S834">
        <v>2</v>
      </c>
      <c r="T834">
        <v>22</v>
      </c>
      <c r="V834">
        <v>85</v>
      </c>
      <c r="W834" t="s">
        <v>147</v>
      </c>
      <c r="X834" t="s">
        <v>280</v>
      </c>
      <c r="Y834">
        <v>360</v>
      </c>
      <c r="AB834">
        <v>6.51</v>
      </c>
      <c r="AC834" t="s">
        <v>85</v>
      </c>
      <c r="AD834">
        <v>2.19</v>
      </c>
      <c r="AE834" t="s">
        <v>138</v>
      </c>
      <c r="AI834">
        <v>5</v>
      </c>
      <c r="AJ834" t="s">
        <v>201</v>
      </c>
      <c r="AT834" t="s">
        <v>150</v>
      </c>
      <c r="AV834" t="s">
        <v>88</v>
      </c>
    </row>
    <row r="835" spans="1:53" hidden="1" x14ac:dyDescent="0.3">
      <c r="A835" t="s">
        <v>419</v>
      </c>
      <c r="C835" t="s">
        <v>251</v>
      </c>
      <c r="D835" t="s">
        <v>81</v>
      </c>
      <c r="E835">
        <v>10000000</v>
      </c>
      <c r="H835">
        <v>14.25</v>
      </c>
      <c r="I835" t="s">
        <v>56</v>
      </c>
      <c r="J835">
        <v>1.4250000000000001E-3</v>
      </c>
      <c r="K835" t="s">
        <v>57</v>
      </c>
      <c r="O835">
        <v>7000</v>
      </c>
      <c r="P835" t="s">
        <v>315</v>
      </c>
      <c r="S835">
        <v>2</v>
      </c>
      <c r="T835">
        <v>22</v>
      </c>
      <c r="V835">
        <v>85</v>
      </c>
      <c r="W835" t="s">
        <v>74</v>
      </c>
      <c r="X835" t="s">
        <v>280</v>
      </c>
      <c r="Y835">
        <v>360</v>
      </c>
      <c r="AB835">
        <v>4</v>
      </c>
      <c r="AC835" t="s">
        <v>85</v>
      </c>
      <c r="AD835">
        <v>1.66</v>
      </c>
      <c r="AE835" t="s">
        <v>138</v>
      </c>
      <c r="AI835">
        <v>5</v>
      </c>
      <c r="AJ835" t="s">
        <v>201</v>
      </c>
      <c r="AT835" t="s">
        <v>75</v>
      </c>
      <c r="AV835" t="s">
        <v>88</v>
      </c>
    </row>
    <row r="836" spans="1:53" hidden="1" x14ac:dyDescent="0.3">
      <c r="A836" t="s">
        <v>419</v>
      </c>
      <c r="C836" t="s">
        <v>251</v>
      </c>
      <c r="D836" t="s">
        <v>81</v>
      </c>
      <c r="E836">
        <v>10000000</v>
      </c>
      <c r="H836">
        <v>14.25</v>
      </c>
      <c r="I836" t="s">
        <v>56</v>
      </c>
      <c r="J836">
        <v>1.4250000000000001E-3</v>
      </c>
      <c r="K836" t="s">
        <v>57</v>
      </c>
      <c r="O836">
        <v>7000</v>
      </c>
      <c r="P836" t="s">
        <v>315</v>
      </c>
      <c r="S836">
        <v>2</v>
      </c>
      <c r="T836">
        <v>22</v>
      </c>
      <c r="V836">
        <v>85</v>
      </c>
      <c r="W836" t="s">
        <v>72</v>
      </c>
      <c r="X836" t="s">
        <v>280</v>
      </c>
      <c r="Y836">
        <v>360</v>
      </c>
      <c r="AB836">
        <v>2.82</v>
      </c>
      <c r="AC836" t="s">
        <v>85</v>
      </c>
      <c r="AD836">
        <v>0.99</v>
      </c>
      <c r="AE836" t="s">
        <v>138</v>
      </c>
      <c r="AI836">
        <v>5</v>
      </c>
      <c r="AJ836" t="s">
        <v>201</v>
      </c>
      <c r="AT836" t="s">
        <v>73</v>
      </c>
      <c r="AV836" t="s">
        <v>88</v>
      </c>
    </row>
    <row r="837" spans="1:53" hidden="1" x14ac:dyDescent="0.3">
      <c r="A837" t="s">
        <v>419</v>
      </c>
      <c r="C837" t="s">
        <v>251</v>
      </c>
      <c r="D837" t="s">
        <v>81</v>
      </c>
      <c r="E837">
        <v>10000000</v>
      </c>
      <c r="H837">
        <v>14.25</v>
      </c>
      <c r="I837" t="s">
        <v>56</v>
      </c>
      <c r="J837">
        <v>1.4250000000000001E-3</v>
      </c>
      <c r="K837" t="s">
        <v>57</v>
      </c>
      <c r="O837">
        <v>7000</v>
      </c>
      <c r="P837" t="s">
        <v>315</v>
      </c>
      <c r="S837">
        <v>2</v>
      </c>
      <c r="T837">
        <v>22</v>
      </c>
      <c r="V837">
        <v>85</v>
      </c>
      <c r="W837" t="s">
        <v>420</v>
      </c>
      <c r="X837" t="s">
        <v>280</v>
      </c>
      <c r="Y837">
        <v>360</v>
      </c>
      <c r="AB837">
        <v>6.57</v>
      </c>
      <c r="AC837" t="s">
        <v>85</v>
      </c>
      <c r="AD837">
        <v>1.28</v>
      </c>
      <c r="AE837" t="s">
        <v>138</v>
      </c>
      <c r="AI837">
        <v>5</v>
      </c>
      <c r="AJ837" t="s">
        <v>201</v>
      </c>
      <c r="AV837" t="s">
        <v>88</v>
      </c>
    </row>
    <row r="838" spans="1:53" hidden="1" x14ac:dyDescent="0.3">
      <c r="A838" t="s">
        <v>419</v>
      </c>
      <c r="C838" t="s">
        <v>251</v>
      </c>
      <c r="D838" t="s">
        <v>81</v>
      </c>
      <c r="E838">
        <v>10000000</v>
      </c>
      <c r="H838">
        <v>14.25</v>
      </c>
      <c r="I838" t="s">
        <v>56</v>
      </c>
      <c r="J838">
        <v>1.4250000000000001E-3</v>
      </c>
      <c r="K838" t="s">
        <v>57</v>
      </c>
      <c r="O838">
        <v>7000</v>
      </c>
      <c r="P838" t="s">
        <v>315</v>
      </c>
      <c r="S838">
        <v>2</v>
      </c>
      <c r="T838">
        <v>22</v>
      </c>
      <c r="V838">
        <v>85</v>
      </c>
      <c r="W838" t="s">
        <v>421</v>
      </c>
      <c r="X838" t="s">
        <v>280</v>
      </c>
      <c r="Y838">
        <v>360</v>
      </c>
      <c r="AB838">
        <v>2.5099999999999998</v>
      </c>
      <c r="AC838" t="s">
        <v>85</v>
      </c>
      <c r="AD838">
        <v>0.23</v>
      </c>
      <c r="AE838" t="s">
        <v>138</v>
      </c>
      <c r="AI838">
        <v>5</v>
      </c>
      <c r="AJ838" t="s">
        <v>201</v>
      </c>
      <c r="AT838" t="s">
        <v>65</v>
      </c>
      <c r="AV838" t="s">
        <v>88</v>
      </c>
    </row>
    <row r="839" spans="1:53" hidden="1" x14ac:dyDescent="0.3">
      <c r="A839" t="s">
        <v>419</v>
      </c>
      <c r="C839" t="s">
        <v>251</v>
      </c>
      <c r="D839" t="s">
        <v>81</v>
      </c>
      <c r="E839">
        <v>10000000</v>
      </c>
      <c r="H839">
        <v>14.25</v>
      </c>
      <c r="I839" t="s">
        <v>56</v>
      </c>
      <c r="J839">
        <v>1.4250000000000001E-3</v>
      </c>
      <c r="K839" t="s">
        <v>57</v>
      </c>
      <c r="O839">
        <v>7000</v>
      </c>
      <c r="P839" t="s">
        <v>315</v>
      </c>
      <c r="S839">
        <v>2</v>
      </c>
      <c r="T839">
        <v>22</v>
      </c>
      <c r="V839">
        <v>85</v>
      </c>
      <c r="W839" t="s">
        <v>422</v>
      </c>
      <c r="X839" t="s">
        <v>280</v>
      </c>
      <c r="Y839">
        <v>360</v>
      </c>
      <c r="AA839" t="s">
        <v>94</v>
      </c>
      <c r="AB839">
        <v>7.44</v>
      </c>
      <c r="AC839" t="s">
        <v>85</v>
      </c>
      <c r="AD839">
        <v>0.2</v>
      </c>
      <c r="AE839" t="s">
        <v>138</v>
      </c>
      <c r="AI839">
        <v>5</v>
      </c>
      <c r="AJ839" t="s">
        <v>201</v>
      </c>
      <c r="AT839" t="s">
        <v>79</v>
      </c>
      <c r="AV839" t="s">
        <v>88</v>
      </c>
      <c r="AZ839">
        <v>0</v>
      </c>
      <c r="BA839">
        <v>7.44</v>
      </c>
    </row>
    <row r="840" spans="1:53" hidden="1" x14ac:dyDescent="0.3">
      <c r="A840" t="s">
        <v>419</v>
      </c>
      <c r="C840" t="s">
        <v>251</v>
      </c>
      <c r="D840" t="s">
        <v>81</v>
      </c>
      <c r="E840">
        <v>10000000</v>
      </c>
      <c r="H840">
        <v>14.25</v>
      </c>
      <c r="I840" t="s">
        <v>56</v>
      </c>
      <c r="J840">
        <v>1.4250000000000001E-3</v>
      </c>
      <c r="K840" t="s">
        <v>57</v>
      </c>
      <c r="O840">
        <v>7000</v>
      </c>
      <c r="P840" t="s">
        <v>315</v>
      </c>
      <c r="S840">
        <v>2</v>
      </c>
      <c r="T840">
        <v>22</v>
      </c>
      <c r="V840">
        <v>85</v>
      </c>
      <c r="W840" t="s">
        <v>147</v>
      </c>
      <c r="X840" t="s">
        <v>280</v>
      </c>
      <c r="Y840">
        <v>480</v>
      </c>
      <c r="AB840">
        <v>7.6</v>
      </c>
      <c r="AC840" t="s">
        <v>85</v>
      </c>
      <c r="AD840">
        <v>0.78</v>
      </c>
      <c r="AE840" t="s">
        <v>138</v>
      </c>
      <c r="AI840">
        <v>5</v>
      </c>
      <c r="AJ840" t="s">
        <v>201</v>
      </c>
      <c r="AT840" t="s">
        <v>150</v>
      </c>
      <c r="AV840" t="s">
        <v>88</v>
      </c>
    </row>
    <row r="841" spans="1:53" hidden="1" x14ac:dyDescent="0.3">
      <c r="A841" t="s">
        <v>419</v>
      </c>
      <c r="C841" t="s">
        <v>251</v>
      </c>
      <c r="D841" t="s">
        <v>81</v>
      </c>
      <c r="E841">
        <v>10000000</v>
      </c>
      <c r="H841">
        <v>14.25</v>
      </c>
      <c r="I841" t="s">
        <v>56</v>
      </c>
      <c r="J841">
        <v>1.4250000000000001E-3</v>
      </c>
      <c r="K841" t="s">
        <v>57</v>
      </c>
      <c r="O841">
        <v>7000</v>
      </c>
      <c r="P841" t="s">
        <v>315</v>
      </c>
      <c r="S841">
        <v>2</v>
      </c>
      <c r="T841">
        <v>22</v>
      </c>
      <c r="V841">
        <v>85</v>
      </c>
      <c r="W841" t="s">
        <v>74</v>
      </c>
      <c r="X841" t="s">
        <v>280</v>
      </c>
      <c r="Y841">
        <v>480</v>
      </c>
      <c r="AB841">
        <v>3.3</v>
      </c>
      <c r="AC841" t="s">
        <v>85</v>
      </c>
      <c r="AD841">
        <v>0.87</v>
      </c>
      <c r="AE841" t="s">
        <v>138</v>
      </c>
      <c r="AI841">
        <v>5</v>
      </c>
      <c r="AJ841" t="s">
        <v>201</v>
      </c>
      <c r="AT841" t="s">
        <v>75</v>
      </c>
      <c r="AV841" t="s">
        <v>88</v>
      </c>
    </row>
    <row r="842" spans="1:53" hidden="1" x14ac:dyDescent="0.3">
      <c r="A842" t="s">
        <v>419</v>
      </c>
      <c r="C842" t="s">
        <v>251</v>
      </c>
      <c r="D842" t="s">
        <v>81</v>
      </c>
      <c r="E842">
        <v>10000000</v>
      </c>
      <c r="H842">
        <v>14.25</v>
      </c>
      <c r="I842" t="s">
        <v>56</v>
      </c>
      <c r="J842">
        <v>1.4250000000000001E-3</v>
      </c>
      <c r="K842" t="s">
        <v>57</v>
      </c>
      <c r="O842">
        <v>7000</v>
      </c>
      <c r="P842" t="s">
        <v>315</v>
      </c>
      <c r="S842">
        <v>2</v>
      </c>
      <c r="T842">
        <v>22</v>
      </c>
      <c r="V842">
        <v>85</v>
      </c>
      <c r="W842" t="s">
        <v>72</v>
      </c>
      <c r="X842" t="s">
        <v>280</v>
      </c>
      <c r="Y842">
        <v>480</v>
      </c>
      <c r="AB842">
        <v>2.0099999999999998</v>
      </c>
      <c r="AC842" t="s">
        <v>85</v>
      </c>
      <c r="AD842">
        <v>0.38</v>
      </c>
      <c r="AE842" t="s">
        <v>138</v>
      </c>
      <c r="AI842">
        <v>5</v>
      </c>
      <c r="AJ842" t="s">
        <v>201</v>
      </c>
      <c r="AT842" t="s">
        <v>73</v>
      </c>
      <c r="AV842" t="s">
        <v>88</v>
      </c>
    </row>
    <row r="843" spans="1:53" hidden="1" x14ac:dyDescent="0.3">
      <c r="A843" t="s">
        <v>419</v>
      </c>
      <c r="C843" t="s">
        <v>251</v>
      </c>
      <c r="D843" t="s">
        <v>81</v>
      </c>
      <c r="E843">
        <v>10000000</v>
      </c>
      <c r="H843">
        <v>14.25</v>
      </c>
      <c r="I843" t="s">
        <v>56</v>
      </c>
      <c r="J843">
        <v>1.4250000000000001E-3</v>
      </c>
      <c r="K843" t="s">
        <v>57</v>
      </c>
      <c r="O843">
        <v>7000</v>
      </c>
      <c r="P843" t="s">
        <v>315</v>
      </c>
      <c r="S843">
        <v>2</v>
      </c>
      <c r="T843">
        <v>22</v>
      </c>
      <c r="V843">
        <v>85</v>
      </c>
      <c r="W843" t="s">
        <v>420</v>
      </c>
      <c r="X843" t="s">
        <v>280</v>
      </c>
      <c r="Y843">
        <v>480</v>
      </c>
      <c r="AA843" t="s">
        <v>94</v>
      </c>
      <c r="AB843">
        <v>8.02</v>
      </c>
      <c r="AC843" t="s">
        <v>85</v>
      </c>
      <c r="AD843">
        <v>0.09</v>
      </c>
      <c r="AE843" t="s">
        <v>138</v>
      </c>
      <c r="AI843">
        <v>5</v>
      </c>
      <c r="AJ843" t="s">
        <v>201</v>
      </c>
      <c r="AV843" t="s">
        <v>88</v>
      </c>
      <c r="AZ843">
        <v>0</v>
      </c>
      <c r="BA843">
        <v>8.02</v>
      </c>
    </row>
    <row r="844" spans="1:53" hidden="1" x14ac:dyDescent="0.3">
      <c r="A844" t="s">
        <v>419</v>
      </c>
      <c r="C844" t="s">
        <v>251</v>
      </c>
      <c r="D844" t="s">
        <v>81</v>
      </c>
      <c r="E844">
        <v>10000000</v>
      </c>
      <c r="H844">
        <v>14.25</v>
      </c>
      <c r="I844" t="s">
        <v>56</v>
      </c>
      <c r="J844">
        <v>1.4250000000000001E-3</v>
      </c>
      <c r="K844" t="s">
        <v>57</v>
      </c>
      <c r="O844">
        <v>7000</v>
      </c>
      <c r="P844" t="s">
        <v>315</v>
      </c>
      <c r="S844">
        <v>2</v>
      </c>
      <c r="T844">
        <v>22</v>
      </c>
      <c r="V844">
        <v>85</v>
      </c>
      <c r="W844" t="s">
        <v>421</v>
      </c>
      <c r="X844" t="s">
        <v>280</v>
      </c>
      <c r="Y844">
        <v>480</v>
      </c>
      <c r="AB844">
        <v>3.45</v>
      </c>
      <c r="AC844" t="s">
        <v>85</v>
      </c>
      <c r="AD844">
        <v>0.32</v>
      </c>
      <c r="AE844" t="s">
        <v>138</v>
      </c>
      <c r="AI844">
        <v>5</v>
      </c>
      <c r="AJ844" t="s">
        <v>201</v>
      </c>
      <c r="AT844" t="s">
        <v>65</v>
      </c>
      <c r="AV844" t="s">
        <v>88</v>
      </c>
    </row>
    <row r="845" spans="1:53" hidden="1" x14ac:dyDescent="0.3">
      <c r="A845" t="s">
        <v>419</v>
      </c>
      <c r="C845" t="s">
        <v>251</v>
      </c>
      <c r="D845" t="s">
        <v>81</v>
      </c>
      <c r="E845">
        <v>10000000</v>
      </c>
      <c r="H845">
        <v>14.25</v>
      </c>
      <c r="I845" t="s">
        <v>56</v>
      </c>
      <c r="J845">
        <v>1.4250000000000001E-3</v>
      </c>
      <c r="K845" t="s">
        <v>57</v>
      </c>
      <c r="O845">
        <v>7000</v>
      </c>
      <c r="P845" t="s">
        <v>315</v>
      </c>
      <c r="S845">
        <v>2</v>
      </c>
      <c r="T845">
        <v>22</v>
      </c>
      <c r="V845">
        <v>85</v>
      </c>
      <c r="W845" t="s">
        <v>422</v>
      </c>
      <c r="X845" t="s">
        <v>280</v>
      </c>
      <c r="Y845">
        <v>480</v>
      </c>
      <c r="AA845" t="s">
        <v>94</v>
      </c>
      <c r="AB845">
        <v>7.44</v>
      </c>
      <c r="AC845" t="s">
        <v>85</v>
      </c>
      <c r="AD845">
        <v>0.2</v>
      </c>
      <c r="AE845" t="s">
        <v>138</v>
      </c>
      <c r="AI845">
        <v>5</v>
      </c>
      <c r="AJ845" t="s">
        <v>201</v>
      </c>
      <c r="AT845" t="s">
        <v>79</v>
      </c>
      <c r="AV845" t="s">
        <v>88</v>
      </c>
      <c r="AZ845">
        <v>0</v>
      </c>
      <c r="BA845">
        <v>7.44</v>
      </c>
    </row>
    <row r="846" spans="1:53" hidden="1" x14ac:dyDescent="0.3">
      <c r="A846" t="s">
        <v>419</v>
      </c>
      <c r="C846" t="s">
        <v>251</v>
      </c>
      <c r="D846" t="s">
        <v>81</v>
      </c>
      <c r="E846">
        <v>10000000</v>
      </c>
      <c r="H846">
        <v>14.25</v>
      </c>
      <c r="I846" t="s">
        <v>56</v>
      </c>
      <c r="J846">
        <v>1.4250000000000001E-3</v>
      </c>
      <c r="K846" t="s">
        <v>57</v>
      </c>
      <c r="O846">
        <v>7000</v>
      </c>
      <c r="P846" t="s">
        <v>315</v>
      </c>
      <c r="S846">
        <v>2</v>
      </c>
      <c r="T846">
        <v>22</v>
      </c>
      <c r="V846">
        <v>75</v>
      </c>
      <c r="W846" t="s">
        <v>147</v>
      </c>
      <c r="X846" t="s">
        <v>280</v>
      </c>
      <c r="Y846">
        <v>240</v>
      </c>
      <c r="AB846">
        <v>1.18</v>
      </c>
      <c r="AC846" t="s">
        <v>85</v>
      </c>
      <c r="AD846">
        <v>0.22</v>
      </c>
      <c r="AE846" t="s">
        <v>138</v>
      </c>
      <c r="AI846">
        <v>5</v>
      </c>
      <c r="AJ846" t="s">
        <v>201</v>
      </c>
      <c r="AT846" t="s">
        <v>150</v>
      </c>
      <c r="AV846" t="s">
        <v>88</v>
      </c>
    </row>
    <row r="847" spans="1:53" hidden="1" x14ac:dyDescent="0.3">
      <c r="A847" t="s">
        <v>419</v>
      </c>
      <c r="C847" t="s">
        <v>251</v>
      </c>
      <c r="D847" t="s">
        <v>81</v>
      </c>
      <c r="E847">
        <v>10000000</v>
      </c>
      <c r="H847">
        <v>14.25</v>
      </c>
      <c r="I847" t="s">
        <v>56</v>
      </c>
      <c r="J847">
        <v>1.4250000000000001E-3</v>
      </c>
      <c r="K847" t="s">
        <v>57</v>
      </c>
      <c r="O847">
        <v>7000</v>
      </c>
      <c r="P847" t="s">
        <v>315</v>
      </c>
      <c r="S847">
        <v>2</v>
      </c>
      <c r="T847">
        <v>22</v>
      </c>
      <c r="V847">
        <v>75</v>
      </c>
      <c r="W847" t="s">
        <v>74</v>
      </c>
      <c r="X847" t="s">
        <v>280</v>
      </c>
      <c r="Y847">
        <v>240</v>
      </c>
      <c r="AB847">
        <v>0.38</v>
      </c>
      <c r="AC847" t="s">
        <v>85</v>
      </c>
      <c r="AD847">
        <v>0.21</v>
      </c>
      <c r="AE847" t="s">
        <v>138</v>
      </c>
      <c r="AI847">
        <v>5</v>
      </c>
      <c r="AJ847" t="s">
        <v>201</v>
      </c>
      <c r="AT847" t="s">
        <v>75</v>
      </c>
      <c r="AV847" t="s">
        <v>88</v>
      </c>
    </row>
    <row r="848" spans="1:53" hidden="1" x14ac:dyDescent="0.3">
      <c r="A848" t="s">
        <v>419</v>
      </c>
      <c r="C848" t="s">
        <v>251</v>
      </c>
      <c r="D848" t="s">
        <v>81</v>
      </c>
      <c r="E848">
        <v>1000000</v>
      </c>
      <c r="H848">
        <v>14.25</v>
      </c>
      <c r="I848" t="s">
        <v>56</v>
      </c>
      <c r="J848">
        <v>1.4250000000000001E-3</v>
      </c>
      <c r="K848" t="s">
        <v>57</v>
      </c>
      <c r="O848">
        <v>7000</v>
      </c>
      <c r="P848" t="s">
        <v>315</v>
      </c>
      <c r="S848">
        <v>2</v>
      </c>
      <c r="T848">
        <v>22</v>
      </c>
      <c r="V848">
        <v>75</v>
      </c>
      <c r="W848" t="s">
        <v>72</v>
      </c>
      <c r="X848" t="s">
        <v>280</v>
      </c>
      <c r="Y848">
        <v>240</v>
      </c>
      <c r="AB848">
        <v>0.83</v>
      </c>
      <c r="AC848" t="s">
        <v>85</v>
      </c>
      <c r="AD848">
        <v>0.24</v>
      </c>
      <c r="AE848" t="s">
        <v>138</v>
      </c>
      <c r="AI848">
        <v>5</v>
      </c>
      <c r="AJ848" t="s">
        <v>201</v>
      </c>
      <c r="AT848" t="s">
        <v>73</v>
      </c>
      <c r="AV848" t="s">
        <v>88</v>
      </c>
    </row>
    <row r="849" spans="1:48" hidden="1" x14ac:dyDescent="0.3">
      <c r="A849" t="s">
        <v>419</v>
      </c>
      <c r="C849" t="s">
        <v>251</v>
      </c>
      <c r="D849" t="s">
        <v>81</v>
      </c>
      <c r="E849">
        <v>1000000</v>
      </c>
      <c r="H849">
        <v>14.25</v>
      </c>
      <c r="I849" t="s">
        <v>56</v>
      </c>
      <c r="J849">
        <v>1.4250000000000001E-3</v>
      </c>
      <c r="K849" t="s">
        <v>57</v>
      </c>
      <c r="O849">
        <v>7000</v>
      </c>
      <c r="P849" t="s">
        <v>315</v>
      </c>
      <c r="S849">
        <v>2</v>
      </c>
      <c r="T849">
        <v>22</v>
      </c>
      <c r="V849">
        <v>75</v>
      </c>
      <c r="W849" t="s">
        <v>420</v>
      </c>
      <c r="X849" t="s">
        <v>280</v>
      </c>
      <c r="Y849">
        <v>240</v>
      </c>
      <c r="AB849">
        <v>1.01</v>
      </c>
      <c r="AC849" t="s">
        <v>85</v>
      </c>
      <c r="AD849">
        <v>0.06</v>
      </c>
      <c r="AE849" t="s">
        <v>138</v>
      </c>
      <c r="AI849">
        <v>5</v>
      </c>
      <c r="AJ849" t="s">
        <v>201</v>
      </c>
      <c r="AV849" t="s">
        <v>88</v>
      </c>
    </row>
    <row r="850" spans="1:48" hidden="1" x14ac:dyDescent="0.3">
      <c r="A850" t="s">
        <v>419</v>
      </c>
      <c r="C850" t="s">
        <v>251</v>
      </c>
      <c r="D850" t="s">
        <v>81</v>
      </c>
      <c r="E850">
        <v>1000000</v>
      </c>
      <c r="H850">
        <v>14.25</v>
      </c>
      <c r="I850" t="s">
        <v>56</v>
      </c>
      <c r="J850">
        <v>1.4250000000000001E-3</v>
      </c>
      <c r="K850" t="s">
        <v>57</v>
      </c>
      <c r="O850">
        <v>7000</v>
      </c>
      <c r="P850" t="s">
        <v>315</v>
      </c>
      <c r="S850">
        <v>2</v>
      </c>
      <c r="T850">
        <v>22</v>
      </c>
      <c r="V850">
        <v>75</v>
      </c>
      <c r="W850" t="s">
        <v>421</v>
      </c>
      <c r="X850" t="s">
        <v>280</v>
      </c>
      <c r="Y850">
        <v>240</v>
      </c>
      <c r="AB850">
        <v>3.07</v>
      </c>
      <c r="AC850" t="s">
        <v>85</v>
      </c>
      <c r="AD850">
        <v>0.49</v>
      </c>
      <c r="AE850" t="s">
        <v>138</v>
      </c>
      <c r="AI850">
        <v>5</v>
      </c>
      <c r="AJ850" t="s">
        <v>201</v>
      </c>
      <c r="AT850" t="s">
        <v>65</v>
      </c>
      <c r="AV850" t="s">
        <v>88</v>
      </c>
    </row>
    <row r="851" spans="1:48" hidden="1" x14ac:dyDescent="0.3">
      <c r="A851" t="s">
        <v>419</v>
      </c>
      <c r="C851" t="s">
        <v>251</v>
      </c>
      <c r="D851" t="s">
        <v>81</v>
      </c>
      <c r="E851">
        <v>1000000</v>
      </c>
      <c r="H851">
        <v>14.25</v>
      </c>
      <c r="I851" t="s">
        <v>56</v>
      </c>
      <c r="J851">
        <v>1.4250000000000001E-3</v>
      </c>
      <c r="K851" t="s">
        <v>57</v>
      </c>
      <c r="O851">
        <v>7000</v>
      </c>
      <c r="P851" t="s">
        <v>315</v>
      </c>
      <c r="S851">
        <v>2</v>
      </c>
      <c r="T851">
        <v>22</v>
      </c>
      <c r="V851">
        <v>75</v>
      </c>
      <c r="W851" t="s">
        <v>422</v>
      </c>
      <c r="X851" t="s">
        <v>280</v>
      </c>
      <c r="Y851">
        <v>240</v>
      </c>
      <c r="AB851">
        <v>1.88</v>
      </c>
      <c r="AC851" t="s">
        <v>85</v>
      </c>
      <c r="AD851">
        <v>0.35</v>
      </c>
      <c r="AE851" t="s">
        <v>138</v>
      </c>
      <c r="AI851">
        <v>5</v>
      </c>
      <c r="AJ851" t="s">
        <v>201</v>
      </c>
      <c r="AT851" t="s">
        <v>79</v>
      </c>
      <c r="AV851" t="s">
        <v>88</v>
      </c>
    </row>
    <row r="852" spans="1:48" hidden="1" x14ac:dyDescent="0.3">
      <c r="A852" t="s">
        <v>419</v>
      </c>
      <c r="C852" t="s">
        <v>251</v>
      </c>
      <c r="D852" t="s">
        <v>81</v>
      </c>
      <c r="E852">
        <v>1000000</v>
      </c>
      <c r="H852">
        <v>14.25</v>
      </c>
      <c r="I852" t="s">
        <v>56</v>
      </c>
      <c r="J852">
        <v>1.4250000000000001E-3</v>
      </c>
      <c r="K852" t="s">
        <v>57</v>
      </c>
      <c r="O852">
        <v>7000</v>
      </c>
      <c r="P852" t="s">
        <v>315</v>
      </c>
      <c r="S852">
        <v>2</v>
      </c>
      <c r="T852">
        <v>22</v>
      </c>
      <c r="V852">
        <v>75</v>
      </c>
      <c r="W852" t="s">
        <v>147</v>
      </c>
      <c r="X852" t="s">
        <v>280</v>
      </c>
      <c r="Y852">
        <v>360</v>
      </c>
      <c r="AB852">
        <v>0.39</v>
      </c>
      <c r="AC852" t="s">
        <v>85</v>
      </c>
      <c r="AD852" t="s">
        <v>423</v>
      </c>
      <c r="AE852" t="s">
        <v>138</v>
      </c>
      <c r="AI852">
        <v>5</v>
      </c>
      <c r="AJ852" t="s">
        <v>201</v>
      </c>
      <c r="AT852" t="s">
        <v>150</v>
      </c>
      <c r="AV852" t="s">
        <v>88</v>
      </c>
    </row>
    <row r="853" spans="1:48" hidden="1" x14ac:dyDescent="0.3">
      <c r="A853" t="s">
        <v>419</v>
      </c>
      <c r="C853" t="s">
        <v>251</v>
      </c>
      <c r="D853" t="s">
        <v>81</v>
      </c>
      <c r="E853">
        <v>1000000</v>
      </c>
      <c r="H853">
        <v>14.25</v>
      </c>
      <c r="I853" t="s">
        <v>56</v>
      </c>
      <c r="J853">
        <v>1.4250000000000001E-3</v>
      </c>
      <c r="K853" t="s">
        <v>57</v>
      </c>
      <c r="O853">
        <v>7000</v>
      </c>
      <c r="P853" t="s">
        <v>315</v>
      </c>
      <c r="S853">
        <v>2</v>
      </c>
      <c r="T853">
        <v>22</v>
      </c>
      <c r="V853">
        <v>75</v>
      </c>
      <c r="W853" t="s">
        <v>74</v>
      </c>
      <c r="X853" t="s">
        <v>280</v>
      </c>
      <c r="Y853">
        <v>360</v>
      </c>
      <c r="AB853">
        <v>1.71</v>
      </c>
      <c r="AC853" t="s">
        <v>85</v>
      </c>
      <c r="AD853">
        <v>2.17</v>
      </c>
      <c r="AE853" t="s">
        <v>138</v>
      </c>
      <c r="AI853">
        <v>5</v>
      </c>
      <c r="AJ853" t="s">
        <v>201</v>
      </c>
      <c r="AT853" t="s">
        <v>75</v>
      </c>
      <c r="AV853" t="s">
        <v>88</v>
      </c>
    </row>
    <row r="854" spans="1:48" hidden="1" x14ac:dyDescent="0.3">
      <c r="A854" t="s">
        <v>419</v>
      </c>
      <c r="C854" t="s">
        <v>251</v>
      </c>
      <c r="D854" t="s">
        <v>81</v>
      </c>
      <c r="E854">
        <v>1000000</v>
      </c>
      <c r="H854">
        <v>14.25</v>
      </c>
      <c r="I854" t="s">
        <v>56</v>
      </c>
      <c r="J854">
        <v>1.4250000000000001E-3</v>
      </c>
      <c r="K854" t="s">
        <v>57</v>
      </c>
      <c r="O854">
        <v>7000</v>
      </c>
      <c r="P854" t="s">
        <v>315</v>
      </c>
      <c r="S854">
        <v>2</v>
      </c>
      <c r="T854">
        <v>22</v>
      </c>
      <c r="V854">
        <v>75</v>
      </c>
      <c r="W854" t="s">
        <v>72</v>
      </c>
      <c r="X854" t="s">
        <v>280</v>
      </c>
      <c r="Y854">
        <v>360</v>
      </c>
      <c r="AB854">
        <v>0.87</v>
      </c>
      <c r="AC854" t="s">
        <v>85</v>
      </c>
      <c r="AD854">
        <v>0.21</v>
      </c>
      <c r="AE854" t="s">
        <v>138</v>
      </c>
      <c r="AI854">
        <v>5</v>
      </c>
      <c r="AJ854" t="s">
        <v>201</v>
      </c>
      <c r="AT854" t="s">
        <v>73</v>
      </c>
      <c r="AV854" t="s">
        <v>88</v>
      </c>
    </row>
    <row r="855" spans="1:48" hidden="1" x14ac:dyDescent="0.3">
      <c r="A855" t="s">
        <v>419</v>
      </c>
      <c r="C855" t="s">
        <v>251</v>
      </c>
      <c r="D855" t="s">
        <v>81</v>
      </c>
      <c r="E855">
        <v>1000000</v>
      </c>
      <c r="H855">
        <v>14.25</v>
      </c>
      <c r="I855" t="s">
        <v>56</v>
      </c>
      <c r="J855">
        <v>1.4250000000000001E-3</v>
      </c>
      <c r="K855" t="s">
        <v>57</v>
      </c>
      <c r="O855">
        <v>7000</v>
      </c>
      <c r="P855" t="s">
        <v>315</v>
      </c>
      <c r="S855">
        <v>2</v>
      </c>
      <c r="T855">
        <v>22</v>
      </c>
      <c r="V855">
        <v>75</v>
      </c>
      <c r="W855" t="s">
        <v>420</v>
      </c>
      <c r="X855" t="s">
        <v>280</v>
      </c>
      <c r="Y855">
        <v>360</v>
      </c>
      <c r="AB855">
        <v>1.25</v>
      </c>
      <c r="AC855" t="s">
        <v>85</v>
      </c>
      <c r="AD855">
        <v>0.36</v>
      </c>
      <c r="AE855" t="s">
        <v>138</v>
      </c>
      <c r="AI855">
        <v>5</v>
      </c>
      <c r="AJ855" t="s">
        <v>201</v>
      </c>
      <c r="AV855" t="s">
        <v>88</v>
      </c>
    </row>
    <row r="856" spans="1:48" hidden="1" x14ac:dyDescent="0.3">
      <c r="A856" t="s">
        <v>419</v>
      </c>
      <c r="C856" t="s">
        <v>251</v>
      </c>
      <c r="D856" t="s">
        <v>81</v>
      </c>
      <c r="E856">
        <v>1000000</v>
      </c>
      <c r="H856">
        <v>14.25</v>
      </c>
      <c r="I856" t="s">
        <v>56</v>
      </c>
      <c r="J856">
        <v>1.4250000000000001E-3</v>
      </c>
      <c r="K856" t="s">
        <v>57</v>
      </c>
      <c r="O856">
        <v>7000</v>
      </c>
      <c r="P856" t="s">
        <v>315</v>
      </c>
      <c r="S856">
        <v>2</v>
      </c>
      <c r="T856">
        <v>22</v>
      </c>
      <c r="V856">
        <v>75</v>
      </c>
      <c r="W856" t="s">
        <v>421</v>
      </c>
      <c r="X856" t="s">
        <v>280</v>
      </c>
      <c r="Y856">
        <v>360</v>
      </c>
      <c r="AB856">
        <v>0.44</v>
      </c>
      <c r="AC856" t="s">
        <v>85</v>
      </c>
      <c r="AD856">
        <v>0.42</v>
      </c>
      <c r="AE856" t="s">
        <v>138</v>
      </c>
      <c r="AI856">
        <v>5</v>
      </c>
      <c r="AJ856" t="s">
        <v>201</v>
      </c>
      <c r="AT856" t="s">
        <v>65</v>
      </c>
      <c r="AV856" t="s">
        <v>88</v>
      </c>
    </row>
    <row r="857" spans="1:48" hidden="1" x14ac:dyDescent="0.3">
      <c r="A857" t="s">
        <v>419</v>
      </c>
      <c r="C857" t="s">
        <v>251</v>
      </c>
      <c r="D857" t="s">
        <v>81</v>
      </c>
      <c r="E857">
        <v>1000000</v>
      </c>
      <c r="H857">
        <v>14.25</v>
      </c>
      <c r="I857" t="s">
        <v>56</v>
      </c>
      <c r="J857">
        <v>1.4250000000000001E-3</v>
      </c>
      <c r="K857" t="s">
        <v>57</v>
      </c>
      <c r="O857">
        <v>7000</v>
      </c>
      <c r="P857" t="s">
        <v>315</v>
      </c>
      <c r="S857">
        <v>2</v>
      </c>
      <c r="T857">
        <v>22</v>
      </c>
      <c r="V857">
        <v>75</v>
      </c>
      <c r="W857" t="s">
        <v>422</v>
      </c>
      <c r="X857" t="s">
        <v>280</v>
      </c>
      <c r="Y857">
        <v>360</v>
      </c>
      <c r="AB857">
        <v>5.81</v>
      </c>
      <c r="AC857" t="s">
        <v>85</v>
      </c>
      <c r="AD857">
        <v>1.56</v>
      </c>
      <c r="AE857" t="s">
        <v>138</v>
      </c>
      <c r="AI857">
        <v>5</v>
      </c>
      <c r="AJ857" t="s">
        <v>201</v>
      </c>
      <c r="AT857" t="s">
        <v>79</v>
      </c>
      <c r="AV857" t="s">
        <v>88</v>
      </c>
    </row>
    <row r="858" spans="1:48" hidden="1" x14ac:dyDescent="0.3">
      <c r="A858" t="s">
        <v>419</v>
      </c>
      <c r="C858" t="s">
        <v>251</v>
      </c>
      <c r="D858" t="s">
        <v>81</v>
      </c>
      <c r="E858">
        <v>1000000</v>
      </c>
      <c r="H858">
        <v>14.25</v>
      </c>
      <c r="I858" t="s">
        <v>56</v>
      </c>
      <c r="J858">
        <v>1.4250000000000001E-3</v>
      </c>
      <c r="K858" t="s">
        <v>57</v>
      </c>
      <c r="O858">
        <v>7000</v>
      </c>
      <c r="P858" t="s">
        <v>315</v>
      </c>
      <c r="S858">
        <v>2</v>
      </c>
      <c r="T858">
        <v>22</v>
      </c>
      <c r="V858">
        <v>75</v>
      </c>
      <c r="W858" t="s">
        <v>147</v>
      </c>
      <c r="X858" t="s">
        <v>280</v>
      </c>
      <c r="Y858">
        <v>480</v>
      </c>
      <c r="AB858">
        <v>2.42</v>
      </c>
      <c r="AC858" t="s">
        <v>85</v>
      </c>
      <c r="AD858">
        <v>0.11</v>
      </c>
      <c r="AE858" t="s">
        <v>138</v>
      </c>
      <c r="AI858">
        <v>5</v>
      </c>
      <c r="AJ858" t="s">
        <v>201</v>
      </c>
      <c r="AT858" t="s">
        <v>150</v>
      </c>
      <c r="AV858" t="s">
        <v>88</v>
      </c>
    </row>
    <row r="859" spans="1:48" hidden="1" x14ac:dyDescent="0.3">
      <c r="A859" t="s">
        <v>419</v>
      </c>
      <c r="C859" t="s">
        <v>251</v>
      </c>
      <c r="D859" t="s">
        <v>81</v>
      </c>
      <c r="E859">
        <v>1000000</v>
      </c>
      <c r="H859">
        <v>14.25</v>
      </c>
      <c r="I859" t="s">
        <v>56</v>
      </c>
      <c r="J859">
        <v>1.4250000000000001E-3</v>
      </c>
      <c r="K859" t="s">
        <v>57</v>
      </c>
      <c r="O859">
        <v>7000</v>
      </c>
      <c r="P859" t="s">
        <v>315</v>
      </c>
      <c r="S859">
        <v>2</v>
      </c>
      <c r="T859">
        <v>22</v>
      </c>
      <c r="V859">
        <v>75</v>
      </c>
      <c r="W859" t="s">
        <v>74</v>
      </c>
      <c r="X859" t="s">
        <v>280</v>
      </c>
      <c r="Y859">
        <v>480</v>
      </c>
      <c r="AB859">
        <v>0.42</v>
      </c>
      <c r="AC859" t="s">
        <v>85</v>
      </c>
      <c r="AD859">
        <v>0.25</v>
      </c>
      <c r="AE859" t="s">
        <v>138</v>
      </c>
      <c r="AI859">
        <v>5</v>
      </c>
      <c r="AJ859" t="s">
        <v>201</v>
      </c>
      <c r="AT859" t="s">
        <v>75</v>
      </c>
      <c r="AV859" t="s">
        <v>88</v>
      </c>
    </row>
    <row r="860" spans="1:48" hidden="1" x14ac:dyDescent="0.3">
      <c r="A860" t="s">
        <v>419</v>
      </c>
      <c r="C860" t="s">
        <v>251</v>
      </c>
      <c r="D860" t="s">
        <v>81</v>
      </c>
      <c r="E860">
        <v>1000000</v>
      </c>
      <c r="H860">
        <v>14.25</v>
      </c>
      <c r="I860" t="s">
        <v>56</v>
      </c>
      <c r="J860">
        <v>1.4250000000000001E-3</v>
      </c>
      <c r="K860" t="s">
        <v>57</v>
      </c>
      <c r="O860">
        <v>7000</v>
      </c>
      <c r="P860" t="s">
        <v>315</v>
      </c>
      <c r="S860">
        <v>2</v>
      </c>
      <c r="T860">
        <v>22</v>
      </c>
      <c r="V860">
        <v>75</v>
      </c>
      <c r="W860" t="s">
        <v>72</v>
      </c>
      <c r="X860" t="s">
        <v>280</v>
      </c>
      <c r="Y860">
        <v>480</v>
      </c>
      <c r="AB860">
        <v>1.6</v>
      </c>
      <c r="AC860" t="s">
        <v>85</v>
      </c>
      <c r="AD860">
        <v>0.23</v>
      </c>
      <c r="AE860" t="s">
        <v>138</v>
      </c>
      <c r="AI860">
        <v>5</v>
      </c>
      <c r="AJ860" t="s">
        <v>201</v>
      </c>
      <c r="AT860" t="s">
        <v>73</v>
      </c>
      <c r="AV860" t="s">
        <v>88</v>
      </c>
    </row>
    <row r="861" spans="1:48" hidden="1" x14ac:dyDescent="0.3">
      <c r="A861" t="s">
        <v>419</v>
      </c>
      <c r="C861" t="s">
        <v>251</v>
      </c>
      <c r="D861" t="s">
        <v>81</v>
      </c>
      <c r="E861">
        <v>1000000</v>
      </c>
      <c r="H861">
        <v>14.25</v>
      </c>
      <c r="I861" t="s">
        <v>56</v>
      </c>
      <c r="J861">
        <v>1.4250000000000001E-3</v>
      </c>
      <c r="K861" t="s">
        <v>57</v>
      </c>
      <c r="O861">
        <v>7000</v>
      </c>
      <c r="P861" t="s">
        <v>315</v>
      </c>
      <c r="S861">
        <v>2</v>
      </c>
      <c r="T861">
        <v>22</v>
      </c>
      <c r="V861">
        <v>75</v>
      </c>
      <c r="W861" t="s">
        <v>420</v>
      </c>
      <c r="X861" t="s">
        <v>280</v>
      </c>
      <c r="Y861">
        <v>480</v>
      </c>
      <c r="AB861">
        <v>1.53</v>
      </c>
      <c r="AC861" t="s">
        <v>85</v>
      </c>
      <c r="AD861">
        <v>0.06</v>
      </c>
      <c r="AE861" t="s">
        <v>138</v>
      </c>
      <c r="AI861">
        <v>5</v>
      </c>
      <c r="AJ861" t="s">
        <v>201</v>
      </c>
      <c r="AV861" t="s">
        <v>88</v>
      </c>
    </row>
    <row r="862" spans="1:48" hidden="1" x14ac:dyDescent="0.3">
      <c r="A862" t="s">
        <v>419</v>
      </c>
      <c r="C862" t="s">
        <v>251</v>
      </c>
      <c r="D862" t="s">
        <v>81</v>
      </c>
      <c r="E862">
        <v>1000000</v>
      </c>
      <c r="H862">
        <v>14.25</v>
      </c>
      <c r="I862" t="s">
        <v>56</v>
      </c>
      <c r="J862">
        <v>1.4250000000000001E-3</v>
      </c>
      <c r="K862" t="s">
        <v>57</v>
      </c>
      <c r="O862">
        <v>7000</v>
      </c>
      <c r="P862" t="s">
        <v>315</v>
      </c>
      <c r="S862">
        <v>2</v>
      </c>
      <c r="T862">
        <v>22</v>
      </c>
      <c r="V862">
        <v>75</v>
      </c>
      <c r="W862" t="s">
        <v>421</v>
      </c>
      <c r="X862" t="s">
        <v>280</v>
      </c>
      <c r="Y862">
        <v>480</v>
      </c>
      <c r="AB862">
        <v>0.55000000000000004</v>
      </c>
      <c r="AC862" t="s">
        <v>85</v>
      </c>
      <c r="AD862">
        <v>0.42</v>
      </c>
      <c r="AE862" t="s">
        <v>138</v>
      </c>
      <c r="AI862">
        <v>5</v>
      </c>
      <c r="AJ862" t="s">
        <v>201</v>
      </c>
      <c r="AT862" t="s">
        <v>65</v>
      </c>
      <c r="AV862" t="s">
        <v>88</v>
      </c>
    </row>
    <row r="863" spans="1:48" hidden="1" x14ac:dyDescent="0.3">
      <c r="A863" t="s">
        <v>419</v>
      </c>
      <c r="C863" t="s">
        <v>251</v>
      </c>
      <c r="D863" t="s">
        <v>81</v>
      </c>
      <c r="E863">
        <v>1000000</v>
      </c>
      <c r="H863">
        <v>14.25</v>
      </c>
      <c r="I863" t="s">
        <v>56</v>
      </c>
      <c r="J863">
        <v>1.4250000000000001E-3</v>
      </c>
      <c r="K863" t="s">
        <v>57</v>
      </c>
      <c r="O863">
        <v>7000</v>
      </c>
      <c r="P863" t="s">
        <v>315</v>
      </c>
      <c r="S863">
        <v>2</v>
      </c>
      <c r="T863">
        <v>22</v>
      </c>
      <c r="V863">
        <v>75</v>
      </c>
      <c r="W863" t="s">
        <v>422</v>
      </c>
      <c r="X863" t="s">
        <v>280</v>
      </c>
      <c r="Y863">
        <v>480</v>
      </c>
      <c r="AB863">
        <v>5.17</v>
      </c>
      <c r="AC863" t="s">
        <v>85</v>
      </c>
      <c r="AD863">
        <v>1.5</v>
      </c>
      <c r="AE863" t="s">
        <v>138</v>
      </c>
      <c r="AI863">
        <v>5</v>
      </c>
      <c r="AJ863" t="s">
        <v>201</v>
      </c>
      <c r="AT863" t="s">
        <v>79</v>
      </c>
      <c r="AV863" t="s">
        <v>88</v>
      </c>
    </row>
    <row r="864" spans="1:48" hidden="1" x14ac:dyDescent="0.3">
      <c r="A864" t="s">
        <v>419</v>
      </c>
      <c r="C864" t="s">
        <v>251</v>
      </c>
      <c r="D864" t="s">
        <v>81</v>
      </c>
      <c r="E864">
        <v>1000000</v>
      </c>
      <c r="H864">
        <v>14.25</v>
      </c>
      <c r="I864" t="s">
        <v>56</v>
      </c>
      <c r="J864">
        <v>1.4250000000000001E-3</v>
      </c>
      <c r="K864" t="s">
        <v>57</v>
      </c>
      <c r="O864">
        <v>9000</v>
      </c>
      <c r="P864" t="s">
        <v>315</v>
      </c>
      <c r="S864">
        <v>2</v>
      </c>
      <c r="T864">
        <v>22</v>
      </c>
      <c r="V864">
        <v>85</v>
      </c>
      <c r="W864" t="s">
        <v>147</v>
      </c>
      <c r="X864" t="s">
        <v>280</v>
      </c>
      <c r="Y864">
        <v>240</v>
      </c>
      <c r="AB864">
        <v>2.84</v>
      </c>
      <c r="AC864" t="s">
        <v>85</v>
      </c>
      <c r="AD864">
        <v>0.42</v>
      </c>
      <c r="AE864" t="s">
        <v>138</v>
      </c>
      <c r="AI864">
        <v>5</v>
      </c>
      <c r="AJ864" t="s">
        <v>201</v>
      </c>
      <c r="AT864" t="s">
        <v>150</v>
      </c>
      <c r="AV864" t="s">
        <v>88</v>
      </c>
    </row>
    <row r="865" spans="1:53" hidden="1" x14ac:dyDescent="0.3">
      <c r="A865" t="s">
        <v>419</v>
      </c>
      <c r="C865" t="s">
        <v>251</v>
      </c>
      <c r="D865" t="s">
        <v>81</v>
      </c>
      <c r="E865">
        <v>1000000</v>
      </c>
      <c r="H865">
        <v>14.25</v>
      </c>
      <c r="I865" t="s">
        <v>56</v>
      </c>
      <c r="J865">
        <v>1.4250000000000001E-3</v>
      </c>
      <c r="K865" t="s">
        <v>57</v>
      </c>
      <c r="O865">
        <v>9000</v>
      </c>
      <c r="P865" t="s">
        <v>315</v>
      </c>
      <c r="S865">
        <v>2</v>
      </c>
      <c r="T865">
        <v>22</v>
      </c>
      <c r="V865">
        <v>85</v>
      </c>
      <c r="W865" t="s">
        <v>74</v>
      </c>
      <c r="X865" t="s">
        <v>280</v>
      </c>
      <c r="Y865">
        <v>240</v>
      </c>
      <c r="AB865">
        <v>0.74</v>
      </c>
      <c r="AC865" t="s">
        <v>85</v>
      </c>
      <c r="AD865">
        <v>0.23</v>
      </c>
      <c r="AE865" t="s">
        <v>138</v>
      </c>
      <c r="AI865">
        <v>5</v>
      </c>
      <c r="AJ865" t="s">
        <v>201</v>
      </c>
      <c r="AT865" t="s">
        <v>75</v>
      </c>
      <c r="AV865" t="s">
        <v>88</v>
      </c>
    </row>
    <row r="866" spans="1:53" hidden="1" x14ac:dyDescent="0.3">
      <c r="A866" t="s">
        <v>419</v>
      </c>
      <c r="C866" t="s">
        <v>251</v>
      </c>
      <c r="D866" t="s">
        <v>81</v>
      </c>
      <c r="E866">
        <v>1000000</v>
      </c>
      <c r="H866">
        <v>14.25</v>
      </c>
      <c r="I866" t="s">
        <v>56</v>
      </c>
      <c r="J866">
        <v>1.4250000000000001E-3</v>
      </c>
      <c r="K866" t="s">
        <v>57</v>
      </c>
      <c r="O866">
        <v>9000</v>
      </c>
      <c r="P866" t="s">
        <v>315</v>
      </c>
      <c r="S866">
        <v>2</v>
      </c>
      <c r="T866">
        <v>22</v>
      </c>
      <c r="V866">
        <v>85</v>
      </c>
      <c r="W866" t="s">
        <v>72</v>
      </c>
      <c r="X866" t="s">
        <v>280</v>
      </c>
      <c r="Y866">
        <v>240</v>
      </c>
      <c r="AB866">
        <v>2.06</v>
      </c>
      <c r="AC866" t="s">
        <v>85</v>
      </c>
      <c r="AD866">
        <v>0.28999999999999998</v>
      </c>
      <c r="AE866" t="s">
        <v>138</v>
      </c>
      <c r="AI866">
        <v>5</v>
      </c>
      <c r="AJ866" t="s">
        <v>201</v>
      </c>
      <c r="AT866" t="s">
        <v>73</v>
      </c>
      <c r="AV866" t="s">
        <v>88</v>
      </c>
    </row>
    <row r="867" spans="1:53" hidden="1" x14ac:dyDescent="0.3">
      <c r="A867" t="s">
        <v>419</v>
      </c>
      <c r="C867" t="s">
        <v>251</v>
      </c>
      <c r="D867" t="s">
        <v>81</v>
      </c>
      <c r="E867">
        <v>1000000</v>
      </c>
      <c r="H867">
        <v>14.25</v>
      </c>
      <c r="I867" t="s">
        <v>56</v>
      </c>
      <c r="J867">
        <v>1.4250000000000001E-3</v>
      </c>
      <c r="K867" t="s">
        <v>57</v>
      </c>
      <c r="O867">
        <v>9000</v>
      </c>
      <c r="P867" t="s">
        <v>315</v>
      </c>
      <c r="S867">
        <v>2</v>
      </c>
      <c r="T867">
        <v>22</v>
      </c>
      <c r="V867">
        <v>85</v>
      </c>
      <c r="W867" t="s">
        <v>420</v>
      </c>
      <c r="X867" t="s">
        <v>280</v>
      </c>
      <c r="Y867">
        <v>240</v>
      </c>
      <c r="AB867">
        <v>2.78</v>
      </c>
      <c r="AC867" t="s">
        <v>85</v>
      </c>
      <c r="AD867">
        <v>0.09</v>
      </c>
      <c r="AE867" t="s">
        <v>138</v>
      </c>
      <c r="AI867">
        <v>5</v>
      </c>
      <c r="AJ867" t="s">
        <v>201</v>
      </c>
      <c r="AV867" t="s">
        <v>88</v>
      </c>
    </row>
    <row r="868" spans="1:53" hidden="1" x14ac:dyDescent="0.3">
      <c r="A868" t="s">
        <v>419</v>
      </c>
      <c r="C868" t="s">
        <v>251</v>
      </c>
      <c r="D868" t="s">
        <v>81</v>
      </c>
      <c r="E868">
        <v>1000000</v>
      </c>
      <c r="H868">
        <v>14.25</v>
      </c>
      <c r="I868" t="s">
        <v>56</v>
      </c>
      <c r="J868">
        <v>1.4250000000000001E-3</v>
      </c>
      <c r="K868" t="s">
        <v>57</v>
      </c>
      <c r="O868">
        <v>9000</v>
      </c>
      <c r="P868" t="s">
        <v>315</v>
      </c>
      <c r="S868">
        <v>2</v>
      </c>
      <c r="T868">
        <v>22</v>
      </c>
      <c r="V868">
        <v>85</v>
      </c>
      <c r="W868" t="s">
        <v>421</v>
      </c>
      <c r="X868" t="s">
        <v>280</v>
      </c>
      <c r="Y868">
        <v>240</v>
      </c>
      <c r="AB868">
        <v>1.23</v>
      </c>
      <c r="AC868" t="s">
        <v>85</v>
      </c>
      <c r="AD868">
        <v>0.34</v>
      </c>
      <c r="AE868" t="s">
        <v>138</v>
      </c>
      <c r="AI868">
        <v>5</v>
      </c>
      <c r="AJ868" t="s">
        <v>201</v>
      </c>
      <c r="AT868" t="s">
        <v>65</v>
      </c>
      <c r="AV868" t="s">
        <v>88</v>
      </c>
    </row>
    <row r="869" spans="1:53" hidden="1" x14ac:dyDescent="0.3">
      <c r="A869" t="s">
        <v>419</v>
      </c>
      <c r="C869" t="s">
        <v>251</v>
      </c>
      <c r="D869" t="s">
        <v>81</v>
      </c>
      <c r="E869">
        <v>1000000</v>
      </c>
      <c r="H869">
        <v>14.25</v>
      </c>
      <c r="I869" t="s">
        <v>56</v>
      </c>
      <c r="J869">
        <v>1.4250000000000001E-3</v>
      </c>
      <c r="K869" t="s">
        <v>57</v>
      </c>
      <c r="O869">
        <v>9000</v>
      </c>
      <c r="P869" t="s">
        <v>315</v>
      </c>
      <c r="S869">
        <v>2</v>
      </c>
      <c r="T869">
        <v>22</v>
      </c>
      <c r="V869">
        <v>85</v>
      </c>
      <c r="W869" t="s">
        <v>422</v>
      </c>
      <c r="X869" t="s">
        <v>280</v>
      </c>
      <c r="Y869">
        <v>240</v>
      </c>
      <c r="AB869">
        <v>3.17</v>
      </c>
      <c r="AC869" t="s">
        <v>85</v>
      </c>
      <c r="AD869">
        <v>0.99</v>
      </c>
      <c r="AE869" t="s">
        <v>138</v>
      </c>
      <c r="AI869">
        <v>5</v>
      </c>
      <c r="AJ869" t="s">
        <v>201</v>
      </c>
      <c r="AT869" t="s">
        <v>79</v>
      </c>
      <c r="AV869" t="s">
        <v>88</v>
      </c>
    </row>
    <row r="870" spans="1:53" hidden="1" x14ac:dyDescent="0.3">
      <c r="A870" t="s">
        <v>419</v>
      </c>
      <c r="C870" t="s">
        <v>251</v>
      </c>
      <c r="D870" t="s">
        <v>81</v>
      </c>
      <c r="E870">
        <v>1000000</v>
      </c>
      <c r="H870">
        <v>14.25</v>
      </c>
      <c r="I870" t="s">
        <v>56</v>
      </c>
      <c r="J870">
        <v>1.4250000000000001E-3</v>
      </c>
      <c r="K870" t="s">
        <v>57</v>
      </c>
      <c r="O870">
        <v>9000</v>
      </c>
      <c r="P870" t="s">
        <v>315</v>
      </c>
      <c r="S870">
        <v>2</v>
      </c>
      <c r="T870">
        <v>22</v>
      </c>
      <c r="V870">
        <v>85</v>
      </c>
      <c r="W870" t="s">
        <v>147</v>
      </c>
      <c r="X870" t="s">
        <v>280</v>
      </c>
      <c r="Y870">
        <v>360</v>
      </c>
      <c r="AB870">
        <v>4.8099999999999996</v>
      </c>
      <c r="AC870" t="s">
        <v>85</v>
      </c>
      <c r="AD870">
        <v>1.67</v>
      </c>
      <c r="AE870" t="s">
        <v>138</v>
      </c>
      <c r="AI870">
        <v>5</v>
      </c>
      <c r="AJ870" t="s">
        <v>201</v>
      </c>
      <c r="AT870" t="s">
        <v>150</v>
      </c>
      <c r="AV870" t="s">
        <v>88</v>
      </c>
    </row>
    <row r="871" spans="1:53" hidden="1" x14ac:dyDescent="0.3">
      <c r="A871" t="s">
        <v>419</v>
      </c>
      <c r="C871" t="s">
        <v>251</v>
      </c>
      <c r="D871" t="s">
        <v>81</v>
      </c>
      <c r="E871">
        <v>1000000</v>
      </c>
      <c r="H871">
        <v>14.25</v>
      </c>
      <c r="I871" t="s">
        <v>56</v>
      </c>
      <c r="J871">
        <v>1.4250000000000001E-3</v>
      </c>
      <c r="K871" t="s">
        <v>57</v>
      </c>
      <c r="O871">
        <v>9000</v>
      </c>
      <c r="P871" t="s">
        <v>315</v>
      </c>
      <c r="S871">
        <v>2</v>
      </c>
      <c r="T871">
        <v>22</v>
      </c>
      <c r="V871">
        <v>85</v>
      </c>
      <c r="W871" t="s">
        <v>74</v>
      </c>
      <c r="X871" t="s">
        <v>280</v>
      </c>
      <c r="Y871">
        <v>360</v>
      </c>
      <c r="AB871">
        <v>6.34</v>
      </c>
      <c r="AC871" t="s">
        <v>85</v>
      </c>
      <c r="AD871">
        <v>0.72</v>
      </c>
      <c r="AE871" t="s">
        <v>138</v>
      </c>
      <c r="AI871">
        <v>5</v>
      </c>
      <c r="AJ871" t="s">
        <v>201</v>
      </c>
      <c r="AT871" t="s">
        <v>75</v>
      </c>
      <c r="AV871" t="s">
        <v>88</v>
      </c>
    </row>
    <row r="872" spans="1:53" hidden="1" x14ac:dyDescent="0.3">
      <c r="A872" t="s">
        <v>419</v>
      </c>
      <c r="C872" t="s">
        <v>251</v>
      </c>
      <c r="D872" t="s">
        <v>81</v>
      </c>
      <c r="E872">
        <v>1000000</v>
      </c>
      <c r="H872">
        <v>14.25</v>
      </c>
      <c r="I872" t="s">
        <v>56</v>
      </c>
      <c r="J872">
        <v>1.4250000000000001E-3</v>
      </c>
      <c r="K872" t="s">
        <v>57</v>
      </c>
      <c r="O872">
        <v>9000</v>
      </c>
      <c r="P872" t="s">
        <v>315</v>
      </c>
      <c r="S872">
        <v>2</v>
      </c>
      <c r="T872">
        <v>22</v>
      </c>
      <c r="V872">
        <v>85</v>
      </c>
      <c r="W872" t="s">
        <v>72</v>
      </c>
      <c r="X872" t="s">
        <v>280</v>
      </c>
      <c r="Y872">
        <v>360</v>
      </c>
      <c r="AA872" t="s">
        <v>94</v>
      </c>
      <c r="AB872">
        <v>7.9</v>
      </c>
      <c r="AC872" t="s">
        <v>85</v>
      </c>
      <c r="AD872">
        <v>7.0000000000000007E-2</v>
      </c>
      <c r="AE872" t="s">
        <v>138</v>
      </c>
      <c r="AI872">
        <v>5</v>
      </c>
      <c r="AJ872" t="s">
        <v>201</v>
      </c>
      <c r="AT872" t="s">
        <v>73</v>
      </c>
      <c r="AV872" t="s">
        <v>88</v>
      </c>
      <c r="AZ872">
        <v>0</v>
      </c>
      <c r="BA872">
        <v>7.9</v>
      </c>
    </row>
    <row r="873" spans="1:53" hidden="1" x14ac:dyDescent="0.3">
      <c r="A873" t="s">
        <v>419</v>
      </c>
      <c r="C873" t="s">
        <v>251</v>
      </c>
      <c r="D873" t="s">
        <v>81</v>
      </c>
      <c r="E873">
        <v>1000000</v>
      </c>
      <c r="H873">
        <v>14.25</v>
      </c>
      <c r="I873" t="s">
        <v>56</v>
      </c>
      <c r="J873">
        <v>1.4250000000000001E-3</v>
      </c>
      <c r="K873" t="s">
        <v>57</v>
      </c>
      <c r="O873">
        <v>9000</v>
      </c>
      <c r="P873" t="s">
        <v>315</v>
      </c>
      <c r="S873">
        <v>2</v>
      </c>
      <c r="T873">
        <v>22</v>
      </c>
      <c r="V873">
        <v>85</v>
      </c>
      <c r="W873" t="s">
        <v>420</v>
      </c>
      <c r="X873" t="s">
        <v>280</v>
      </c>
      <c r="Y873">
        <v>360</v>
      </c>
      <c r="AB873">
        <v>2.75</v>
      </c>
      <c r="AC873" t="s">
        <v>85</v>
      </c>
      <c r="AD873">
        <v>0.13</v>
      </c>
      <c r="AE873" t="s">
        <v>138</v>
      </c>
      <c r="AI873">
        <v>5</v>
      </c>
      <c r="AJ873" t="s">
        <v>201</v>
      </c>
      <c r="AV873" t="s">
        <v>88</v>
      </c>
    </row>
    <row r="874" spans="1:53" hidden="1" x14ac:dyDescent="0.3">
      <c r="A874" t="s">
        <v>419</v>
      </c>
      <c r="C874" t="s">
        <v>251</v>
      </c>
      <c r="D874" t="s">
        <v>81</v>
      </c>
      <c r="E874">
        <v>1000000</v>
      </c>
      <c r="H874">
        <v>14.25</v>
      </c>
      <c r="I874" t="s">
        <v>56</v>
      </c>
      <c r="J874">
        <v>1.4250000000000001E-3</v>
      </c>
      <c r="K874" t="s">
        <v>57</v>
      </c>
      <c r="O874">
        <v>9000</v>
      </c>
      <c r="P874" t="s">
        <v>315</v>
      </c>
      <c r="S874">
        <v>2</v>
      </c>
      <c r="T874">
        <v>22</v>
      </c>
      <c r="V874">
        <v>85</v>
      </c>
      <c r="W874" t="s">
        <v>421</v>
      </c>
      <c r="X874" t="s">
        <v>280</v>
      </c>
      <c r="Y874">
        <v>360</v>
      </c>
      <c r="AB874">
        <v>2.81</v>
      </c>
      <c r="AC874" t="s">
        <v>85</v>
      </c>
      <c r="AD874">
        <v>0.41</v>
      </c>
      <c r="AE874" t="s">
        <v>138</v>
      </c>
      <c r="AI874">
        <v>5</v>
      </c>
      <c r="AJ874" t="s">
        <v>201</v>
      </c>
      <c r="AT874" t="s">
        <v>65</v>
      </c>
      <c r="AV874" t="s">
        <v>88</v>
      </c>
    </row>
    <row r="875" spans="1:53" hidden="1" x14ac:dyDescent="0.3">
      <c r="A875" t="s">
        <v>419</v>
      </c>
      <c r="C875" t="s">
        <v>251</v>
      </c>
      <c r="D875" t="s">
        <v>81</v>
      </c>
      <c r="E875">
        <v>1000000</v>
      </c>
      <c r="H875">
        <v>14.25</v>
      </c>
      <c r="I875" t="s">
        <v>56</v>
      </c>
      <c r="J875">
        <v>1.4250000000000001E-3</v>
      </c>
      <c r="K875" t="s">
        <v>57</v>
      </c>
      <c r="O875">
        <v>9000</v>
      </c>
      <c r="P875" t="s">
        <v>315</v>
      </c>
      <c r="S875">
        <v>2</v>
      </c>
      <c r="T875">
        <v>22</v>
      </c>
      <c r="V875">
        <v>85</v>
      </c>
      <c r="W875" t="s">
        <v>422</v>
      </c>
      <c r="X875" t="s">
        <v>280</v>
      </c>
      <c r="Y875">
        <v>360</v>
      </c>
      <c r="AA875" t="s">
        <v>94</v>
      </c>
      <c r="AB875">
        <v>7.74</v>
      </c>
      <c r="AC875" t="s">
        <v>85</v>
      </c>
      <c r="AD875">
        <v>0.05</v>
      </c>
      <c r="AE875" t="s">
        <v>138</v>
      </c>
      <c r="AI875">
        <v>5</v>
      </c>
      <c r="AJ875" t="s">
        <v>201</v>
      </c>
      <c r="AT875" t="s">
        <v>79</v>
      </c>
      <c r="AV875" t="s">
        <v>88</v>
      </c>
      <c r="AZ875">
        <v>0</v>
      </c>
      <c r="BA875">
        <v>7.74</v>
      </c>
    </row>
    <row r="876" spans="1:53" hidden="1" x14ac:dyDescent="0.3">
      <c r="A876" t="s">
        <v>419</v>
      </c>
      <c r="C876" t="s">
        <v>251</v>
      </c>
      <c r="D876" t="s">
        <v>81</v>
      </c>
      <c r="E876">
        <v>1000000</v>
      </c>
      <c r="H876">
        <v>14.25</v>
      </c>
      <c r="I876" t="s">
        <v>56</v>
      </c>
      <c r="J876">
        <v>1.4250000000000001E-3</v>
      </c>
      <c r="K876" t="s">
        <v>57</v>
      </c>
      <c r="O876">
        <v>9000</v>
      </c>
      <c r="P876" t="s">
        <v>315</v>
      </c>
      <c r="S876">
        <v>2</v>
      </c>
      <c r="T876">
        <v>22</v>
      </c>
      <c r="V876">
        <v>85</v>
      </c>
      <c r="W876" t="s">
        <v>147</v>
      </c>
      <c r="X876" t="s">
        <v>280</v>
      </c>
      <c r="Y876">
        <v>540</v>
      </c>
      <c r="AB876">
        <v>5.68</v>
      </c>
      <c r="AC876" t="s">
        <v>85</v>
      </c>
      <c r="AD876">
        <v>1.47</v>
      </c>
      <c r="AE876" t="s">
        <v>138</v>
      </c>
      <c r="AI876">
        <v>5</v>
      </c>
      <c r="AJ876" t="s">
        <v>201</v>
      </c>
      <c r="AT876" t="s">
        <v>150</v>
      </c>
      <c r="AV876" t="s">
        <v>88</v>
      </c>
    </row>
    <row r="877" spans="1:53" hidden="1" x14ac:dyDescent="0.3">
      <c r="A877" t="s">
        <v>419</v>
      </c>
      <c r="C877" t="s">
        <v>251</v>
      </c>
      <c r="D877" t="s">
        <v>81</v>
      </c>
      <c r="E877">
        <v>1000000</v>
      </c>
      <c r="H877">
        <v>14.25</v>
      </c>
      <c r="I877" t="s">
        <v>56</v>
      </c>
      <c r="J877">
        <v>1.4250000000000001E-3</v>
      </c>
      <c r="K877" t="s">
        <v>57</v>
      </c>
      <c r="O877">
        <v>9000</v>
      </c>
      <c r="P877" t="s">
        <v>315</v>
      </c>
      <c r="S877">
        <v>2</v>
      </c>
      <c r="T877">
        <v>22</v>
      </c>
      <c r="V877">
        <v>85</v>
      </c>
      <c r="W877" t="s">
        <v>74</v>
      </c>
      <c r="X877" t="s">
        <v>280</v>
      </c>
      <c r="Y877">
        <v>540</v>
      </c>
      <c r="AA877" t="s">
        <v>94</v>
      </c>
      <c r="AB877">
        <v>6.71</v>
      </c>
      <c r="AC877" t="s">
        <v>85</v>
      </c>
      <c r="AD877">
        <v>0.08</v>
      </c>
      <c r="AE877" t="s">
        <v>138</v>
      </c>
      <c r="AI877">
        <v>5</v>
      </c>
      <c r="AJ877" t="s">
        <v>201</v>
      </c>
      <c r="AT877" t="s">
        <v>75</v>
      </c>
      <c r="AV877" t="s">
        <v>88</v>
      </c>
      <c r="AZ877">
        <v>0</v>
      </c>
      <c r="BA877">
        <v>6.71</v>
      </c>
    </row>
    <row r="878" spans="1:53" hidden="1" x14ac:dyDescent="0.3">
      <c r="A878" t="s">
        <v>419</v>
      </c>
      <c r="C878" t="s">
        <v>251</v>
      </c>
      <c r="D878" t="s">
        <v>81</v>
      </c>
      <c r="E878">
        <v>1000000</v>
      </c>
      <c r="H878">
        <v>14.25</v>
      </c>
      <c r="I878" t="s">
        <v>56</v>
      </c>
      <c r="J878">
        <v>1.4250000000000001E-3</v>
      </c>
      <c r="K878" t="s">
        <v>57</v>
      </c>
      <c r="O878">
        <v>9000</v>
      </c>
      <c r="P878" t="s">
        <v>315</v>
      </c>
      <c r="S878">
        <v>2</v>
      </c>
      <c r="T878">
        <v>22</v>
      </c>
      <c r="V878">
        <v>85</v>
      </c>
      <c r="W878" t="s">
        <v>72</v>
      </c>
      <c r="X878" t="s">
        <v>280</v>
      </c>
      <c r="Y878">
        <v>540</v>
      </c>
      <c r="AA878" t="s">
        <v>94</v>
      </c>
      <c r="AB878">
        <v>7.9</v>
      </c>
      <c r="AC878" t="s">
        <v>85</v>
      </c>
      <c r="AD878">
        <v>7.0000000000000007E-2</v>
      </c>
      <c r="AE878" t="s">
        <v>138</v>
      </c>
      <c r="AI878">
        <v>5</v>
      </c>
      <c r="AJ878" t="s">
        <v>201</v>
      </c>
      <c r="AT878" t="s">
        <v>73</v>
      </c>
      <c r="AV878" t="s">
        <v>88</v>
      </c>
      <c r="AZ878">
        <v>0</v>
      </c>
      <c r="BA878">
        <v>7.9</v>
      </c>
    </row>
    <row r="879" spans="1:53" hidden="1" x14ac:dyDescent="0.3">
      <c r="A879" t="s">
        <v>419</v>
      </c>
      <c r="C879" t="s">
        <v>251</v>
      </c>
      <c r="D879" t="s">
        <v>81</v>
      </c>
      <c r="E879">
        <v>1000000</v>
      </c>
      <c r="H879">
        <v>14.25</v>
      </c>
      <c r="I879" t="s">
        <v>56</v>
      </c>
      <c r="J879">
        <v>1.4250000000000001E-3</v>
      </c>
      <c r="K879" t="s">
        <v>57</v>
      </c>
      <c r="O879">
        <v>9000</v>
      </c>
      <c r="P879" t="s">
        <v>315</v>
      </c>
      <c r="S879">
        <v>2</v>
      </c>
      <c r="T879">
        <v>22</v>
      </c>
      <c r="V879">
        <v>85</v>
      </c>
      <c r="W879" t="s">
        <v>420</v>
      </c>
      <c r="X879" t="s">
        <v>280</v>
      </c>
      <c r="Y879">
        <v>540</v>
      </c>
      <c r="AB879">
        <v>3.78</v>
      </c>
      <c r="AC879" t="s">
        <v>85</v>
      </c>
      <c r="AD879">
        <v>0.72</v>
      </c>
      <c r="AE879" t="s">
        <v>138</v>
      </c>
      <c r="AI879">
        <v>5</v>
      </c>
      <c r="AJ879" t="s">
        <v>201</v>
      </c>
      <c r="AV879" t="s">
        <v>88</v>
      </c>
    </row>
    <row r="880" spans="1:53" hidden="1" x14ac:dyDescent="0.3">
      <c r="A880" t="s">
        <v>419</v>
      </c>
      <c r="C880" t="s">
        <v>251</v>
      </c>
      <c r="D880" t="s">
        <v>81</v>
      </c>
      <c r="E880">
        <v>1000000</v>
      </c>
      <c r="H880">
        <v>14.25</v>
      </c>
      <c r="I880" t="s">
        <v>56</v>
      </c>
      <c r="J880">
        <v>1.4250000000000001E-3</v>
      </c>
      <c r="K880" t="s">
        <v>57</v>
      </c>
      <c r="O880">
        <v>9000</v>
      </c>
      <c r="P880" t="s">
        <v>315</v>
      </c>
      <c r="S880">
        <v>2</v>
      </c>
      <c r="T880">
        <v>22</v>
      </c>
      <c r="V880">
        <v>85</v>
      </c>
      <c r="W880" t="s">
        <v>421</v>
      </c>
      <c r="X880" t="s">
        <v>280</v>
      </c>
      <c r="Y880">
        <v>540</v>
      </c>
      <c r="AB880">
        <v>3.9</v>
      </c>
      <c r="AC880" t="s">
        <v>85</v>
      </c>
      <c r="AD880">
        <v>0.19</v>
      </c>
      <c r="AE880" t="s">
        <v>138</v>
      </c>
      <c r="AI880">
        <v>5</v>
      </c>
      <c r="AJ880" t="s">
        <v>201</v>
      </c>
      <c r="AT880" t="s">
        <v>65</v>
      </c>
      <c r="AV880" t="s">
        <v>88</v>
      </c>
    </row>
    <row r="881" spans="1:53" hidden="1" x14ac:dyDescent="0.3">
      <c r="A881" t="s">
        <v>419</v>
      </c>
      <c r="C881" t="s">
        <v>251</v>
      </c>
      <c r="D881" t="s">
        <v>81</v>
      </c>
      <c r="E881">
        <v>1000000</v>
      </c>
      <c r="H881">
        <v>14.25</v>
      </c>
      <c r="I881" t="s">
        <v>56</v>
      </c>
      <c r="J881">
        <v>1.4250000000000001E-3</v>
      </c>
      <c r="K881" t="s">
        <v>57</v>
      </c>
      <c r="O881">
        <v>9000</v>
      </c>
      <c r="P881" t="s">
        <v>315</v>
      </c>
      <c r="S881">
        <v>2</v>
      </c>
      <c r="T881">
        <v>22</v>
      </c>
      <c r="V881">
        <v>85</v>
      </c>
      <c r="W881" t="s">
        <v>422</v>
      </c>
      <c r="X881" t="s">
        <v>280</v>
      </c>
      <c r="Y881">
        <v>540</v>
      </c>
      <c r="AA881" t="s">
        <v>94</v>
      </c>
      <c r="AB881">
        <v>7.74</v>
      </c>
      <c r="AC881" t="s">
        <v>85</v>
      </c>
      <c r="AD881">
        <v>0.05</v>
      </c>
      <c r="AE881" t="s">
        <v>138</v>
      </c>
      <c r="AI881">
        <v>5</v>
      </c>
      <c r="AJ881" t="s">
        <v>201</v>
      </c>
      <c r="AT881" t="s">
        <v>79</v>
      </c>
      <c r="AV881" t="s">
        <v>88</v>
      </c>
      <c r="AZ881">
        <v>0</v>
      </c>
      <c r="BA881">
        <v>7.74</v>
      </c>
    </row>
    <row r="882" spans="1:53" hidden="1" x14ac:dyDescent="0.3">
      <c r="A882" t="s">
        <v>419</v>
      </c>
      <c r="C882" t="s">
        <v>251</v>
      </c>
      <c r="D882" t="s">
        <v>81</v>
      </c>
      <c r="E882">
        <v>1000000</v>
      </c>
      <c r="H882">
        <v>14.25</v>
      </c>
      <c r="I882" t="s">
        <v>56</v>
      </c>
      <c r="J882">
        <v>1.4250000000000001E-3</v>
      </c>
      <c r="K882" t="s">
        <v>57</v>
      </c>
      <c r="O882">
        <v>9000</v>
      </c>
      <c r="P882" t="s">
        <v>315</v>
      </c>
      <c r="S882">
        <v>2</v>
      </c>
      <c r="T882">
        <v>22</v>
      </c>
      <c r="V882">
        <v>85</v>
      </c>
      <c r="W882" t="s">
        <v>147</v>
      </c>
      <c r="X882" t="s">
        <v>280</v>
      </c>
      <c r="Y882">
        <v>720</v>
      </c>
      <c r="AB882">
        <v>7.11</v>
      </c>
      <c r="AC882" t="s">
        <v>85</v>
      </c>
      <c r="AD882">
        <v>0.99</v>
      </c>
      <c r="AE882" t="s">
        <v>138</v>
      </c>
      <c r="AI882">
        <v>5</v>
      </c>
      <c r="AJ882" t="s">
        <v>201</v>
      </c>
      <c r="AT882" t="s">
        <v>150</v>
      </c>
      <c r="AV882" t="s">
        <v>88</v>
      </c>
    </row>
    <row r="883" spans="1:53" hidden="1" x14ac:dyDescent="0.3">
      <c r="A883" t="s">
        <v>419</v>
      </c>
      <c r="C883" t="s">
        <v>251</v>
      </c>
      <c r="D883" t="s">
        <v>81</v>
      </c>
      <c r="E883">
        <v>1000000</v>
      </c>
      <c r="H883">
        <v>14.25</v>
      </c>
      <c r="I883" t="s">
        <v>56</v>
      </c>
      <c r="J883">
        <v>1.4250000000000001E-3</v>
      </c>
      <c r="K883" t="s">
        <v>57</v>
      </c>
      <c r="O883">
        <v>9000</v>
      </c>
      <c r="P883" t="s">
        <v>315</v>
      </c>
      <c r="S883">
        <v>2</v>
      </c>
      <c r="T883">
        <v>22</v>
      </c>
      <c r="V883">
        <v>85</v>
      </c>
      <c r="W883" t="s">
        <v>74</v>
      </c>
      <c r="X883" t="s">
        <v>280</v>
      </c>
      <c r="Y883">
        <v>720</v>
      </c>
      <c r="AA883" t="s">
        <v>94</v>
      </c>
      <c r="AB883">
        <v>6.71</v>
      </c>
      <c r="AC883" t="s">
        <v>85</v>
      </c>
      <c r="AD883">
        <v>0.08</v>
      </c>
      <c r="AE883" t="s">
        <v>138</v>
      </c>
      <c r="AI883">
        <v>5</v>
      </c>
      <c r="AJ883" t="s">
        <v>201</v>
      </c>
      <c r="AT883" t="s">
        <v>75</v>
      </c>
      <c r="AV883" t="s">
        <v>88</v>
      </c>
      <c r="AZ883">
        <v>0</v>
      </c>
      <c r="BA883">
        <v>6.71</v>
      </c>
    </row>
    <row r="884" spans="1:53" hidden="1" x14ac:dyDescent="0.3">
      <c r="A884" t="s">
        <v>419</v>
      </c>
      <c r="C884" t="s">
        <v>251</v>
      </c>
      <c r="D884" t="s">
        <v>81</v>
      </c>
      <c r="E884">
        <v>100000</v>
      </c>
      <c r="H884">
        <v>14.25</v>
      </c>
      <c r="I884" t="s">
        <v>56</v>
      </c>
      <c r="J884">
        <v>1.4250000000000001E-3</v>
      </c>
      <c r="K884" t="s">
        <v>57</v>
      </c>
      <c r="O884">
        <v>9000</v>
      </c>
      <c r="P884" t="s">
        <v>315</v>
      </c>
      <c r="S884">
        <v>2</v>
      </c>
      <c r="T884">
        <v>22</v>
      </c>
      <c r="V884">
        <v>85</v>
      </c>
      <c r="W884" t="s">
        <v>72</v>
      </c>
      <c r="X884" t="s">
        <v>280</v>
      </c>
      <c r="Y884">
        <v>720</v>
      </c>
      <c r="AA884" t="s">
        <v>94</v>
      </c>
      <c r="AB884">
        <v>7.9</v>
      </c>
      <c r="AC884" t="s">
        <v>85</v>
      </c>
      <c r="AD884">
        <v>7.0000000000000007E-2</v>
      </c>
      <c r="AE884" t="s">
        <v>138</v>
      </c>
      <c r="AI884">
        <v>5</v>
      </c>
      <c r="AJ884" t="s">
        <v>201</v>
      </c>
      <c r="AT884" t="s">
        <v>73</v>
      </c>
      <c r="AV884" t="s">
        <v>88</v>
      </c>
      <c r="AZ884">
        <v>0</v>
      </c>
      <c r="BA884">
        <v>7.9</v>
      </c>
    </row>
    <row r="885" spans="1:53" hidden="1" x14ac:dyDescent="0.3">
      <c r="A885" t="s">
        <v>419</v>
      </c>
      <c r="C885" t="s">
        <v>251</v>
      </c>
      <c r="D885" t="s">
        <v>81</v>
      </c>
      <c r="E885">
        <v>100000</v>
      </c>
      <c r="H885">
        <v>14.25</v>
      </c>
      <c r="I885" t="s">
        <v>56</v>
      </c>
      <c r="J885">
        <v>1.4250000000000001E-3</v>
      </c>
      <c r="K885" t="s">
        <v>57</v>
      </c>
      <c r="O885">
        <v>9000</v>
      </c>
      <c r="P885" t="s">
        <v>315</v>
      </c>
      <c r="S885">
        <v>2</v>
      </c>
      <c r="T885">
        <v>22</v>
      </c>
      <c r="V885">
        <v>85</v>
      </c>
      <c r="W885" t="s">
        <v>420</v>
      </c>
      <c r="X885" t="s">
        <v>280</v>
      </c>
      <c r="Y885">
        <v>720</v>
      </c>
      <c r="AB885">
        <v>2.74</v>
      </c>
      <c r="AC885" t="s">
        <v>85</v>
      </c>
      <c r="AD885">
        <v>0.08</v>
      </c>
      <c r="AE885" t="s">
        <v>138</v>
      </c>
      <c r="AI885">
        <v>5</v>
      </c>
      <c r="AJ885" t="s">
        <v>201</v>
      </c>
      <c r="AV885" t="s">
        <v>88</v>
      </c>
    </row>
    <row r="886" spans="1:53" hidden="1" x14ac:dyDescent="0.3">
      <c r="A886" t="s">
        <v>419</v>
      </c>
      <c r="C886" t="s">
        <v>251</v>
      </c>
      <c r="D886" t="s">
        <v>81</v>
      </c>
      <c r="E886">
        <v>100000</v>
      </c>
      <c r="H886">
        <v>14.25</v>
      </c>
      <c r="I886" t="s">
        <v>56</v>
      </c>
      <c r="J886">
        <v>1.4250000000000001E-3</v>
      </c>
      <c r="K886" t="s">
        <v>57</v>
      </c>
      <c r="O886">
        <v>9000</v>
      </c>
      <c r="P886" t="s">
        <v>315</v>
      </c>
      <c r="S886">
        <v>2</v>
      </c>
      <c r="T886">
        <v>22</v>
      </c>
      <c r="V886">
        <v>85</v>
      </c>
      <c r="W886" t="s">
        <v>421</v>
      </c>
      <c r="X886" t="s">
        <v>280</v>
      </c>
      <c r="Y886">
        <v>720</v>
      </c>
      <c r="AB886">
        <v>2.5499999999999998</v>
      </c>
      <c r="AC886" t="s">
        <v>85</v>
      </c>
      <c r="AD886">
        <v>0.4</v>
      </c>
      <c r="AE886" t="s">
        <v>138</v>
      </c>
      <c r="AI886">
        <v>5</v>
      </c>
      <c r="AJ886" t="s">
        <v>201</v>
      </c>
      <c r="AT886" t="s">
        <v>65</v>
      </c>
      <c r="AV886" t="s">
        <v>88</v>
      </c>
    </row>
    <row r="887" spans="1:53" hidden="1" x14ac:dyDescent="0.3">
      <c r="A887" t="s">
        <v>419</v>
      </c>
      <c r="C887" t="s">
        <v>251</v>
      </c>
      <c r="D887" t="s">
        <v>81</v>
      </c>
      <c r="E887">
        <v>100000</v>
      </c>
      <c r="H887">
        <v>14.25</v>
      </c>
      <c r="I887" t="s">
        <v>56</v>
      </c>
      <c r="J887">
        <v>1.4250000000000001E-3</v>
      </c>
      <c r="K887" t="s">
        <v>57</v>
      </c>
      <c r="O887">
        <v>9000</v>
      </c>
      <c r="P887" t="s">
        <v>315</v>
      </c>
      <c r="S887">
        <v>2</v>
      </c>
      <c r="T887">
        <v>22</v>
      </c>
      <c r="V887">
        <v>85</v>
      </c>
      <c r="W887" t="s">
        <v>422</v>
      </c>
      <c r="X887" t="s">
        <v>280</v>
      </c>
      <c r="Y887">
        <v>720</v>
      </c>
      <c r="AA887" t="s">
        <v>94</v>
      </c>
      <c r="AB887">
        <v>7.74</v>
      </c>
      <c r="AC887" t="s">
        <v>85</v>
      </c>
      <c r="AD887">
        <v>0.05</v>
      </c>
      <c r="AE887" t="s">
        <v>138</v>
      </c>
      <c r="AI887">
        <v>5</v>
      </c>
      <c r="AJ887" t="s">
        <v>201</v>
      </c>
      <c r="AT887" t="s">
        <v>79</v>
      </c>
      <c r="AV887" t="s">
        <v>88</v>
      </c>
      <c r="AZ887">
        <v>0</v>
      </c>
      <c r="BA887">
        <v>7.74</v>
      </c>
    </row>
    <row r="888" spans="1:53" hidden="1" x14ac:dyDescent="0.3">
      <c r="A888" t="s">
        <v>419</v>
      </c>
      <c r="C888" t="s">
        <v>251</v>
      </c>
      <c r="D888" t="s">
        <v>81</v>
      </c>
      <c r="E888">
        <v>100000</v>
      </c>
      <c r="H888">
        <v>14.25</v>
      </c>
      <c r="I888" t="s">
        <v>56</v>
      </c>
      <c r="J888">
        <v>1.4250000000000001E-3</v>
      </c>
      <c r="K888" t="s">
        <v>57</v>
      </c>
      <c r="O888">
        <v>9000</v>
      </c>
      <c r="P888" t="s">
        <v>315</v>
      </c>
      <c r="S888">
        <v>2</v>
      </c>
      <c r="T888">
        <v>22</v>
      </c>
      <c r="V888">
        <v>85</v>
      </c>
      <c r="W888" t="s">
        <v>147</v>
      </c>
      <c r="X888" t="s">
        <v>280</v>
      </c>
      <c r="Y888">
        <v>240</v>
      </c>
      <c r="AB888">
        <v>2.84</v>
      </c>
      <c r="AC888" t="s">
        <v>85</v>
      </c>
      <c r="AD888">
        <v>0.42</v>
      </c>
      <c r="AE888" t="s">
        <v>138</v>
      </c>
      <c r="AI888">
        <v>5</v>
      </c>
      <c r="AJ888" t="s">
        <v>201</v>
      </c>
      <c r="AT888" t="s">
        <v>150</v>
      </c>
      <c r="AV888" t="s">
        <v>88</v>
      </c>
    </row>
    <row r="889" spans="1:53" hidden="1" x14ac:dyDescent="0.3">
      <c r="A889" t="s">
        <v>419</v>
      </c>
      <c r="C889" t="s">
        <v>251</v>
      </c>
      <c r="D889" t="s">
        <v>81</v>
      </c>
      <c r="E889">
        <v>100000</v>
      </c>
      <c r="H889">
        <v>14.25</v>
      </c>
      <c r="I889" t="s">
        <v>56</v>
      </c>
      <c r="J889">
        <v>1.4250000000000001E-3</v>
      </c>
      <c r="K889" t="s">
        <v>57</v>
      </c>
      <c r="O889">
        <v>9000</v>
      </c>
      <c r="P889" t="s">
        <v>315</v>
      </c>
      <c r="S889">
        <v>2</v>
      </c>
      <c r="T889">
        <v>22</v>
      </c>
      <c r="V889">
        <v>85</v>
      </c>
      <c r="W889" t="s">
        <v>74</v>
      </c>
      <c r="X889" t="s">
        <v>280</v>
      </c>
      <c r="Y889">
        <v>240</v>
      </c>
      <c r="AB889">
        <v>0.74</v>
      </c>
      <c r="AC889" t="s">
        <v>85</v>
      </c>
      <c r="AD889">
        <v>0.23</v>
      </c>
      <c r="AE889" t="s">
        <v>138</v>
      </c>
      <c r="AI889">
        <v>5</v>
      </c>
      <c r="AJ889" t="s">
        <v>201</v>
      </c>
      <c r="AT889" t="s">
        <v>75</v>
      </c>
      <c r="AV889" t="s">
        <v>88</v>
      </c>
    </row>
    <row r="890" spans="1:53" hidden="1" x14ac:dyDescent="0.3">
      <c r="A890" t="s">
        <v>419</v>
      </c>
      <c r="C890" t="s">
        <v>251</v>
      </c>
      <c r="D890" t="s">
        <v>81</v>
      </c>
      <c r="E890">
        <v>100000</v>
      </c>
      <c r="H890">
        <v>14.25</v>
      </c>
      <c r="I890" t="s">
        <v>56</v>
      </c>
      <c r="J890">
        <v>1.4250000000000001E-3</v>
      </c>
      <c r="K890" t="s">
        <v>57</v>
      </c>
      <c r="O890">
        <v>9000</v>
      </c>
      <c r="P890" t="s">
        <v>315</v>
      </c>
      <c r="S890">
        <v>2</v>
      </c>
      <c r="T890">
        <v>22</v>
      </c>
      <c r="V890">
        <v>85</v>
      </c>
      <c r="W890" t="s">
        <v>72</v>
      </c>
      <c r="X890" t="s">
        <v>280</v>
      </c>
      <c r="Y890">
        <v>240</v>
      </c>
      <c r="AB890">
        <v>2.06</v>
      </c>
      <c r="AC890" t="s">
        <v>85</v>
      </c>
      <c r="AD890">
        <v>0.28999999999999998</v>
      </c>
      <c r="AE890" t="s">
        <v>138</v>
      </c>
      <c r="AI890">
        <v>5</v>
      </c>
      <c r="AJ890" t="s">
        <v>201</v>
      </c>
      <c r="AT890" t="s">
        <v>73</v>
      </c>
      <c r="AV890" t="s">
        <v>88</v>
      </c>
    </row>
    <row r="891" spans="1:53" hidden="1" x14ac:dyDescent="0.3">
      <c r="A891" t="s">
        <v>419</v>
      </c>
      <c r="C891" t="s">
        <v>251</v>
      </c>
      <c r="D891" t="s">
        <v>81</v>
      </c>
      <c r="E891">
        <v>100000</v>
      </c>
      <c r="H891">
        <v>14.25</v>
      </c>
      <c r="I891" t="s">
        <v>56</v>
      </c>
      <c r="J891">
        <v>1.4250000000000001E-3</v>
      </c>
      <c r="K891" t="s">
        <v>57</v>
      </c>
      <c r="O891">
        <v>9000</v>
      </c>
      <c r="P891" t="s">
        <v>315</v>
      </c>
      <c r="S891">
        <v>2</v>
      </c>
      <c r="T891">
        <v>22</v>
      </c>
      <c r="V891">
        <v>85</v>
      </c>
      <c r="W891" t="s">
        <v>420</v>
      </c>
      <c r="X891" t="s">
        <v>280</v>
      </c>
      <c r="Y891">
        <v>240</v>
      </c>
      <c r="AB891">
        <v>2.78</v>
      </c>
      <c r="AC891" t="s">
        <v>85</v>
      </c>
      <c r="AD891">
        <v>0.09</v>
      </c>
      <c r="AE891" t="s">
        <v>138</v>
      </c>
      <c r="AI891">
        <v>5</v>
      </c>
      <c r="AJ891" t="s">
        <v>201</v>
      </c>
      <c r="AV891" t="s">
        <v>88</v>
      </c>
    </row>
    <row r="892" spans="1:53" hidden="1" x14ac:dyDescent="0.3">
      <c r="A892" t="s">
        <v>419</v>
      </c>
      <c r="C892" t="s">
        <v>251</v>
      </c>
      <c r="D892" t="s">
        <v>81</v>
      </c>
      <c r="E892">
        <v>100000</v>
      </c>
      <c r="H892">
        <v>14.25</v>
      </c>
      <c r="I892" t="s">
        <v>56</v>
      </c>
      <c r="J892">
        <v>1.4250000000000001E-3</v>
      </c>
      <c r="K892" t="s">
        <v>57</v>
      </c>
      <c r="O892">
        <v>9000</v>
      </c>
      <c r="P892" t="s">
        <v>315</v>
      </c>
      <c r="S892">
        <v>2</v>
      </c>
      <c r="T892">
        <v>22</v>
      </c>
      <c r="V892">
        <v>85</v>
      </c>
      <c r="W892" t="s">
        <v>421</v>
      </c>
      <c r="X892" t="s">
        <v>280</v>
      </c>
      <c r="Y892">
        <v>240</v>
      </c>
      <c r="AB892">
        <v>1.23</v>
      </c>
      <c r="AC892" t="s">
        <v>85</v>
      </c>
      <c r="AD892">
        <v>0.34</v>
      </c>
      <c r="AE892" t="s">
        <v>138</v>
      </c>
      <c r="AI892">
        <v>5</v>
      </c>
      <c r="AJ892" t="s">
        <v>201</v>
      </c>
      <c r="AT892" t="s">
        <v>65</v>
      </c>
      <c r="AV892" t="s">
        <v>88</v>
      </c>
    </row>
    <row r="893" spans="1:53" hidden="1" x14ac:dyDescent="0.3">
      <c r="A893" t="s">
        <v>419</v>
      </c>
      <c r="C893" t="s">
        <v>251</v>
      </c>
      <c r="D893" t="s">
        <v>81</v>
      </c>
      <c r="E893">
        <v>100000</v>
      </c>
      <c r="H893">
        <v>14.25</v>
      </c>
      <c r="I893" t="s">
        <v>56</v>
      </c>
      <c r="J893">
        <v>1.4250000000000001E-3</v>
      </c>
      <c r="K893" t="s">
        <v>57</v>
      </c>
      <c r="O893">
        <v>9000</v>
      </c>
      <c r="P893" t="s">
        <v>315</v>
      </c>
      <c r="S893">
        <v>2</v>
      </c>
      <c r="T893">
        <v>22</v>
      </c>
      <c r="V893">
        <v>85</v>
      </c>
      <c r="W893" t="s">
        <v>422</v>
      </c>
      <c r="X893" t="s">
        <v>280</v>
      </c>
      <c r="Y893">
        <v>240</v>
      </c>
      <c r="AB893">
        <v>3.17</v>
      </c>
      <c r="AC893" t="s">
        <v>85</v>
      </c>
      <c r="AD893">
        <v>0.99</v>
      </c>
      <c r="AE893" t="s">
        <v>138</v>
      </c>
      <c r="AI893">
        <v>5</v>
      </c>
      <c r="AJ893" t="s">
        <v>201</v>
      </c>
      <c r="AT893" t="s">
        <v>79</v>
      </c>
      <c r="AV893" t="s">
        <v>88</v>
      </c>
    </row>
    <row r="894" spans="1:53" hidden="1" x14ac:dyDescent="0.3">
      <c r="A894" t="s">
        <v>419</v>
      </c>
      <c r="C894" t="s">
        <v>251</v>
      </c>
      <c r="D894" t="s">
        <v>81</v>
      </c>
      <c r="E894">
        <v>100000</v>
      </c>
      <c r="H894">
        <v>14.25</v>
      </c>
      <c r="I894" t="s">
        <v>56</v>
      </c>
      <c r="J894">
        <v>1.4250000000000001E-3</v>
      </c>
      <c r="K894" t="s">
        <v>57</v>
      </c>
      <c r="O894">
        <v>9000</v>
      </c>
      <c r="P894" t="s">
        <v>315</v>
      </c>
      <c r="S894">
        <v>2</v>
      </c>
      <c r="T894">
        <v>22</v>
      </c>
      <c r="V894">
        <v>85</v>
      </c>
      <c r="W894" t="s">
        <v>147</v>
      </c>
      <c r="X894" t="s">
        <v>280</v>
      </c>
      <c r="Y894">
        <v>360</v>
      </c>
      <c r="AB894">
        <v>3.87</v>
      </c>
      <c r="AC894" t="s">
        <v>85</v>
      </c>
      <c r="AD894">
        <v>0.3</v>
      </c>
      <c r="AE894" t="s">
        <v>138</v>
      </c>
      <c r="AI894">
        <v>5</v>
      </c>
      <c r="AJ894" t="s">
        <v>201</v>
      </c>
      <c r="AT894" t="s">
        <v>150</v>
      </c>
      <c r="AV894" t="s">
        <v>88</v>
      </c>
    </row>
    <row r="895" spans="1:53" hidden="1" x14ac:dyDescent="0.3">
      <c r="A895" t="s">
        <v>419</v>
      </c>
      <c r="C895" t="s">
        <v>251</v>
      </c>
      <c r="D895" t="s">
        <v>81</v>
      </c>
      <c r="E895">
        <v>100000</v>
      </c>
      <c r="H895">
        <v>14.25</v>
      </c>
      <c r="I895" t="s">
        <v>56</v>
      </c>
      <c r="J895">
        <v>1.4250000000000001E-3</v>
      </c>
      <c r="K895" t="s">
        <v>57</v>
      </c>
      <c r="O895">
        <v>9000</v>
      </c>
      <c r="P895" t="s">
        <v>315</v>
      </c>
      <c r="S895">
        <v>2</v>
      </c>
      <c r="T895">
        <v>22</v>
      </c>
      <c r="V895">
        <v>85</v>
      </c>
      <c r="W895" t="s">
        <v>74</v>
      </c>
      <c r="X895" t="s">
        <v>280</v>
      </c>
      <c r="Y895">
        <v>360</v>
      </c>
      <c r="AB895">
        <v>1.04</v>
      </c>
      <c r="AC895" t="s">
        <v>85</v>
      </c>
      <c r="AD895">
        <v>0.14000000000000001</v>
      </c>
      <c r="AE895" t="s">
        <v>138</v>
      </c>
      <c r="AI895">
        <v>5</v>
      </c>
      <c r="AJ895" t="s">
        <v>201</v>
      </c>
      <c r="AT895" t="s">
        <v>75</v>
      </c>
      <c r="AV895" t="s">
        <v>88</v>
      </c>
    </row>
    <row r="896" spans="1:53" hidden="1" x14ac:dyDescent="0.3">
      <c r="A896" t="s">
        <v>419</v>
      </c>
      <c r="C896" t="s">
        <v>251</v>
      </c>
      <c r="D896" t="s">
        <v>81</v>
      </c>
      <c r="E896">
        <v>100000</v>
      </c>
      <c r="H896">
        <v>14.25</v>
      </c>
      <c r="I896" t="s">
        <v>56</v>
      </c>
      <c r="J896">
        <v>1.4250000000000001E-3</v>
      </c>
      <c r="K896" t="s">
        <v>57</v>
      </c>
      <c r="O896">
        <v>9000</v>
      </c>
      <c r="P896" t="s">
        <v>315</v>
      </c>
      <c r="S896">
        <v>2</v>
      </c>
      <c r="T896">
        <v>22</v>
      </c>
      <c r="V896">
        <v>85</v>
      </c>
      <c r="W896" t="s">
        <v>72</v>
      </c>
      <c r="X896" t="s">
        <v>280</v>
      </c>
      <c r="Y896">
        <v>360</v>
      </c>
      <c r="AB896">
        <v>2.15</v>
      </c>
      <c r="AC896" t="s">
        <v>85</v>
      </c>
      <c r="AD896">
        <v>0.25</v>
      </c>
      <c r="AE896" t="s">
        <v>138</v>
      </c>
      <c r="AI896">
        <v>5</v>
      </c>
      <c r="AJ896" t="s">
        <v>201</v>
      </c>
      <c r="AT896" t="s">
        <v>73</v>
      </c>
      <c r="AV896" t="s">
        <v>88</v>
      </c>
    </row>
    <row r="897" spans="1:48" hidden="1" x14ac:dyDescent="0.3">
      <c r="A897" t="s">
        <v>419</v>
      </c>
      <c r="C897" t="s">
        <v>251</v>
      </c>
      <c r="D897" t="s">
        <v>81</v>
      </c>
      <c r="E897">
        <v>100000</v>
      </c>
      <c r="H897">
        <v>14.25</v>
      </c>
      <c r="I897" t="s">
        <v>56</v>
      </c>
      <c r="J897">
        <v>1.4250000000000001E-3</v>
      </c>
      <c r="K897" t="s">
        <v>57</v>
      </c>
      <c r="O897">
        <v>9000</v>
      </c>
      <c r="P897" t="s">
        <v>315</v>
      </c>
      <c r="S897">
        <v>2</v>
      </c>
      <c r="T897">
        <v>22</v>
      </c>
      <c r="V897">
        <v>85</v>
      </c>
      <c r="W897" t="s">
        <v>420</v>
      </c>
      <c r="X897" t="s">
        <v>280</v>
      </c>
      <c r="Y897">
        <v>360</v>
      </c>
      <c r="AB897">
        <v>2.48</v>
      </c>
      <c r="AC897" t="s">
        <v>85</v>
      </c>
      <c r="AD897">
        <v>0.14000000000000001</v>
      </c>
      <c r="AE897" t="s">
        <v>138</v>
      </c>
      <c r="AI897">
        <v>5</v>
      </c>
      <c r="AJ897" t="s">
        <v>201</v>
      </c>
      <c r="AV897" t="s">
        <v>88</v>
      </c>
    </row>
    <row r="898" spans="1:48" hidden="1" x14ac:dyDescent="0.3">
      <c r="A898" t="s">
        <v>419</v>
      </c>
      <c r="C898" t="s">
        <v>251</v>
      </c>
      <c r="D898" t="s">
        <v>81</v>
      </c>
      <c r="E898">
        <v>100000</v>
      </c>
      <c r="H898">
        <v>14.25</v>
      </c>
      <c r="I898" t="s">
        <v>56</v>
      </c>
      <c r="J898">
        <v>1.4250000000000001E-3</v>
      </c>
      <c r="K898" t="s">
        <v>57</v>
      </c>
      <c r="O898">
        <v>9000</v>
      </c>
      <c r="P898" t="s">
        <v>315</v>
      </c>
      <c r="S898">
        <v>2</v>
      </c>
      <c r="T898">
        <v>22</v>
      </c>
      <c r="V898">
        <v>85</v>
      </c>
      <c r="W898" t="s">
        <v>421</v>
      </c>
      <c r="X898" t="s">
        <v>280</v>
      </c>
      <c r="Y898">
        <v>360</v>
      </c>
      <c r="AB898">
        <v>1.32</v>
      </c>
      <c r="AC898" t="s">
        <v>85</v>
      </c>
      <c r="AD898">
        <v>0.21</v>
      </c>
      <c r="AE898" t="s">
        <v>138</v>
      </c>
      <c r="AI898">
        <v>5</v>
      </c>
      <c r="AJ898" t="s">
        <v>201</v>
      </c>
      <c r="AT898" t="s">
        <v>65</v>
      </c>
      <c r="AV898" t="s">
        <v>88</v>
      </c>
    </row>
    <row r="899" spans="1:48" hidden="1" x14ac:dyDescent="0.3">
      <c r="A899" t="s">
        <v>419</v>
      </c>
      <c r="C899" t="s">
        <v>251</v>
      </c>
      <c r="D899" t="s">
        <v>81</v>
      </c>
      <c r="E899">
        <v>100000</v>
      </c>
      <c r="H899">
        <v>14.25</v>
      </c>
      <c r="I899" t="s">
        <v>56</v>
      </c>
      <c r="J899">
        <v>1.4250000000000001E-3</v>
      </c>
      <c r="K899" t="s">
        <v>57</v>
      </c>
      <c r="O899">
        <v>9000</v>
      </c>
      <c r="P899" t="s">
        <v>315</v>
      </c>
      <c r="S899">
        <v>2</v>
      </c>
      <c r="T899">
        <v>22</v>
      </c>
      <c r="V899">
        <v>85</v>
      </c>
      <c r="W899" t="s">
        <v>422</v>
      </c>
      <c r="X899" t="s">
        <v>280</v>
      </c>
      <c r="Y899">
        <v>360</v>
      </c>
      <c r="AB899">
        <v>5.3</v>
      </c>
      <c r="AC899" t="s">
        <v>85</v>
      </c>
      <c r="AD899">
        <v>1.45</v>
      </c>
      <c r="AE899" t="s">
        <v>138</v>
      </c>
      <c r="AI899">
        <v>5</v>
      </c>
      <c r="AJ899" t="s">
        <v>201</v>
      </c>
      <c r="AT899" t="s">
        <v>79</v>
      </c>
      <c r="AV899" t="s">
        <v>88</v>
      </c>
    </row>
    <row r="900" spans="1:48" hidden="1" x14ac:dyDescent="0.3">
      <c r="A900" t="s">
        <v>419</v>
      </c>
      <c r="C900" t="s">
        <v>251</v>
      </c>
      <c r="D900" t="s">
        <v>81</v>
      </c>
      <c r="E900">
        <v>100000</v>
      </c>
      <c r="H900">
        <v>14.25</v>
      </c>
      <c r="I900" t="s">
        <v>56</v>
      </c>
      <c r="J900">
        <v>1.4250000000000001E-3</v>
      </c>
      <c r="K900" t="s">
        <v>57</v>
      </c>
      <c r="O900">
        <v>9000</v>
      </c>
      <c r="P900" t="s">
        <v>315</v>
      </c>
      <c r="S900">
        <v>2</v>
      </c>
      <c r="T900">
        <v>22</v>
      </c>
      <c r="V900">
        <v>85</v>
      </c>
      <c r="W900" t="s">
        <v>147</v>
      </c>
      <c r="X900" t="s">
        <v>280</v>
      </c>
      <c r="Y900">
        <v>480</v>
      </c>
      <c r="AB900">
        <v>4.5999999999999996</v>
      </c>
      <c r="AC900" t="s">
        <v>85</v>
      </c>
      <c r="AD900">
        <v>0.21</v>
      </c>
      <c r="AE900" t="s">
        <v>138</v>
      </c>
      <c r="AI900">
        <v>5</v>
      </c>
      <c r="AJ900" t="s">
        <v>201</v>
      </c>
      <c r="AT900" t="s">
        <v>150</v>
      </c>
      <c r="AV900" t="s">
        <v>88</v>
      </c>
    </row>
    <row r="901" spans="1:48" hidden="1" x14ac:dyDescent="0.3">
      <c r="A901" t="s">
        <v>419</v>
      </c>
      <c r="C901" t="s">
        <v>251</v>
      </c>
      <c r="D901" t="s">
        <v>81</v>
      </c>
      <c r="E901">
        <v>100000</v>
      </c>
      <c r="H901">
        <v>14.25</v>
      </c>
      <c r="I901" t="s">
        <v>56</v>
      </c>
      <c r="J901">
        <v>1.4250000000000001E-3</v>
      </c>
      <c r="K901" t="s">
        <v>57</v>
      </c>
      <c r="O901">
        <v>9000</v>
      </c>
      <c r="P901" t="s">
        <v>315</v>
      </c>
      <c r="S901">
        <v>2</v>
      </c>
      <c r="T901">
        <v>22</v>
      </c>
      <c r="V901">
        <v>85</v>
      </c>
      <c r="W901" t="s">
        <v>74</v>
      </c>
      <c r="X901" t="s">
        <v>280</v>
      </c>
      <c r="Y901">
        <v>480</v>
      </c>
      <c r="AB901">
        <v>1.53</v>
      </c>
      <c r="AC901" t="s">
        <v>85</v>
      </c>
      <c r="AD901">
        <v>0.51</v>
      </c>
      <c r="AE901" t="s">
        <v>138</v>
      </c>
      <c r="AI901">
        <v>5</v>
      </c>
      <c r="AJ901" t="s">
        <v>201</v>
      </c>
      <c r="AT901" t="s">
        <v>75</v>
      </c>
      <c r="AV901" t="s">
        <v>88</v>
      </c>
    </row>
    <row r="902" spans="1:48" hidden="1" x14ac:dyDescent="0.3">
      <c r="A902" t="s">
        <v>419</v>
      </c>
      <c r="C902" t="s">
        <v>251</v>
      </c>
      <c r="D902" t="s">
        <v>81</v>
      </c>
      <c r="E902">
        <v>10000000</v>
      </c>
      <c r="H902">
        <v>14.25</v>
      </c>
      <c r="I902" t="s">
        <v>56</v>
      </c>
      <c r="J902">
        <v>1.4250000000000001E-3</v>
      </c>
      <c r="K902" t="s">
        <v>57</v>
      </c>
      <c r="O902">
        <v>9000</v>
      </c>
      <c r="P902" t="s">
        <v>315</v>
      </c>
      <c r="S902">
        <v>2</v>
      </c>
      <c r="T902">
        <v>22</v>
      </c>
      <c r="V902">
        <v>85</v>
      </c>
      <c r="W902" t="s">
        <v>72</v>
      </c>
      <c r="X902" t="s">
        <v>280</v>
      </c>
      <c r="Y902">
        <v>480</v>
      </c>
      <c r="AB902">
        <v>2.89</v>
      </c>
      <c r="AC902" t="s">
        <v>85</v>
      </c>
      <c r="AD902">
        <v>0.18</v>
      </c>
      <c r="AE902" t="s">
        <v>138</v>
      </c>
      <c r="AI902">
        <v>5</v>
      </c>
      <c r="AJ902" t="s">
        <v>201</v>
      </c>
      <c r="AT902" t="s">
        <v>73</v>
      </c>
      <c r="AV902" t="s">
        <v>88</v>
      </c>
    </row>
    <row r="903" spans="1:48" hidden="1" x14ac:dyDescent="0.3">
      <c r="A903" t="s">
        <v>419</v>
      </c>
      <c r="C903" t="s">
        <v>251</v>
      </c>
      <c r="D903" t="s">
        <v>81</v>
      </c>
      <c r="E903">
        <v>10000000</v>
      </c>
      <c r="H903">
        <v>14.25</v>
      </c>
      <c r="I903" t="s">
        <v>56</v>
      </c>
      <c r="J903">
        <v>1.4250000000000001E-3</v>
      </c>
      <c r="K903" t="s">
        <v>57</v>
      </c>
      <c r="O903">
        <v>9000</v>
      </c>
      <c r="P903" t="s">
        <v>315</v>
      </c>
      <c r="S903">
        <v>2</v>
      </c>
      <c r="T903">
        <v>22</v>
      </c>
      <c r="V903">
        <v>85</v>
      </c>
      <c r="W903" t="s">
        <v>420</v>
      </c>
      <c r="X903" t="s">
        <v>280</v>
      </c>
      <c r="Y903">
        <v>480</v>
      </c>
      <c r="AB903">
        <v>2.91</v>
      </c>
      <c r="AC903" t="s">
        <v>85</v>
      </c>
      <c r="AD903">
        <v>0.13</v>
      </c>
      <c r="AE903" t="s">
        <v>138</v>
      </c>
      <c r="AI903">
        <v>5</v>
      </c>
      <c r="AJ903" t="s">
        <v>201</v>
      </c>
      <c r="AV903" t="s">
        <v>88</v>
      </c>
    </row>
    <row r="904" spans="1:48" hidden="1" x14ac:dyDescent="0.3">
      <c r="A904" t="s">
        <v>419</v>
      </c>
      <c r="C904" t="s">
        <v>251</v>
      </c>
      <c r="D904" t="s">
        <v>81</v>
      </c>
      <c r="E904">
        <v>10000000</v>
      </c>
      <c r="H904">
        <v>14.25</v>
      </c>
      <c r="I904" t="s">
        <v>56</v>
      </c>
      <c r="J904">
        <v>1.4250000000000001E-3</v>
      </c>
      <c r="K904" t="s">
        <v>57</v>
      </c>
      <c r="O904">
        <v>9000</v>
      </c>
      <c r="P904" t="s">
        <v>315</v>
      </c>
      <c r="S904">
        <v>2</v>
      </c>
      <c r="T904">
        <v>22</v>
      </c>
      <c r="V904">
        <v>85</v>
      </c>
      <c r="W904" t="s">
        <v>421</v>
      </c>
      <c r="X904" t="s">
        <v>280</v>
      </c>
      <c r="Y904">
        <v>480</v>
      </c>
      <c r="AB904">
        <v>2.15</v>
      </c>
      <c r="AC904" t="s">
        <v>85</v>
      </c>
      <c r="AD904">
        <v>0.43</v>
      </c>
      <c r="AE904" t="s">
        <v>138</v>
      </c>
      <c r="AI904">
        <v>5</v>
      </c>
      <c r="AJ904" t="s">
        <v>201</v>
      </c>
      <c r="AT904" t="s">
        <v>65</v>
      </c>
      <c r="AV904" t="s">
        <v>88</v>
      </c>
    </row>
    <row r="905" spans="1:48" hidden="1" x14ac:dyDescent="0.3">
      <c r="A905" t="s">
        <v>419</v>
      </c>
      <c r="C905" t="s">
        <v>251</v>
      </c>
      <c r="D905" t="s">
        <v>81</v>
      </c>
      <c r="E905">
        <v>10000000</v>
      </c>
      <c r="H905">
        <v>14.25</v>
      </c>
      <c r="I905" t="s">
        <v>56</v>
      </c>
      <c r="J905">
        <v>1.4250000000000001E-3</v>
      </c>
      <c r="K905" t="s">
        <v>57</v>
      </c>
      <c r="O905">
        <v>9000</v>
      </c>
      <c r="P905" t="s">
        <v>315</v>
      </c>
      <c r="S905">
        <v>2</v>
      </c>
      <c r="T905">
        <v>22</v>
      </c>
      <c r="V905">
        <v>85</v>
      </c>
      <c r="W905" t="s">
        <v>422</v>
      </c>
      <c r="X905" t="s">
        <v>280</v>
      </c>
      <c r="Y905">
        <v>480</v>
      </c>
      <c r="AB905">
        <v>5.52</v>
      </c>
      <c r="AC905" t="s">
        <v>85</v>
      </c>
      <c r="AD905">
        <v>1.22</v>
      </c>
      <c r="AE905" t="s">
        <v>138</v>
      </c>
      <c r="AI905">
        <v>5</v>
      </c>
      <c r="AJ905" t="s">
        <v>201</v>
      </c>
      <c r="AT905" t="s">
        <v>79</v>
      </c>
      <c r="AV905" t="s">
        <v>88</v>
      </c>
    </row>
    <row r="906" spans="1:48" hidden="1" x14ac:dyDescent="0.3">
      <c r="A906" t="s">
        <v>419</v>
      </c>
      <c r="C906" t="s">
        <v>251</v>
      </c>
      <c r="D906" t="s">
        <v>81</v>
      </c>
      <c r="E906">
        <v>10000000</v>
      </c>
      <c r="H906">
        <v>14.25</v>
      </c>
      <c r="I906" t="s">
        <v>56</v>
      </c>
      <c r="J906">
        <v>1.4250000000000001E-3</v>
      </c>
      <c r="K906" t="s">
        <v>57</v>
      </c>
      <c r="O906">
        <v>9000</v>
      </c>
      <c r="P906" t="s">
        <v>315</v>
      </c>
      <c r="S906">
        <v>2</v>
      </c>
      <c r="T906">
        <v>22</v>
      </c>
      <c r="V906">
        <v>75</v>
      </c>
      <c r="W906" t="s">
        <v>147</v>
      </c>
      <c r="X906" t="s">
        <v>280</v>
      </c>
      <c r="Y906">
        <v>240</v>
      </c>
      <c r="AB906">
        <v>2.77</v>
      </c>
      <c r="AC906" t="s">
        <v>85</v>
      </c>
      <c r="AD906">
        <v>0.67</v>
      </c>
      <c r="AE906" t="s">
        <v>138</v>
      </c>
      <c r="AI906">
        <v>5</v>
      </c>
      <c r="AJ906" t="s">
        <v>201</v>
      </c>
      <c r="AT906" t="s">
        <v>150</v>
      </c>
      <c r="AV906" t="s">
        <v>88</v>
      </c>
    </row>
    <row r="907" spans="1:48" hidden="1" x14ac:dyDescent="0.3">
      <c r="A907" t="s">
        <v>419</v>
      </c>
      <c r="C907" t="s">
        <v>251</v>
      </c>
      <c r="D907" t="s">
        <v>81</v>
      </c>
      <c r="E907">
        <v>10000000</v>
      </c>
      <c r="H907">
        <v>14.25</v>
      </c>
      <c r="I907" t="s">
        <v>56</v>
      </c>
      <c r="J907">
        <v>1.4250000000000001E-3</v>
      </c>
      <c r="K907" t="s">
        <v>57</v>
      </c>
      <c r="O907">
        <v>9000</v>
      </c>
      <c r="P907" t="s">
        <v>315</v>
      </c>
      <c r="S907">
        <v>2</v>
      </c>
      <c r="T907">
        <v>22</v>
      </c>
      <c r="V907">
        <v>75</v>
      </c>
      <c r="W907" t="s">
        <v>74</v>
      </c>
      <c r="X907" t="s">
        <v>280</v>
      </c>
      <c r="Y907">
        <v>240</v>
      </c>
      <c r="AB907">
        <v>0.69</v>
      </c>
      <c r="AC907" t="s">
        <v>85</v>
      </c>
      <c r="AD907">
        <v>0.24</v>
      </c>
      <c r="AE907" t="s">
        <v>138</v>
      </c>
      <c r="AI907">
        <v>5</v>
      </c>
      <c r="AJ907" t="s">
        <v>201</v>
      </c>
      <c r="AT907" t="s">
        <v>75</v>
      </c>
      <c r="AV907" t="s">
        <v>88</v>
      </c>
    </row>
    <row r="908" spans="1:48" hidden="1" x14ac:dyDescent="0.3">
      <c r="A908" t="s">
        <v>419</v>
      </c>
      <c r="C908" t="s">
        <v>251</v>
      </c>
      <c r="D908" t="s">
        <v>81</v>
      </c>
      <c r="E908">
        <v>10000000</v>
      </c>
      <c r="H908">
        <v>14.25</v>
      </c>
      <c r="I908" t="s">
        <v>56</v>
      </c>
      <c r="J908">
        <v>1.4250000000000001E-3</v>
      </c>
      <c r="K908" t="s">
        <v>57</v>
      </c>
      <c r="O908">
        <v>9000</v>
      </c>
      <c r="P908" t="s">
        <v>315</v>
      </c>
      <c r="S908">
        <v>2</v>
      </c>
      <c r="T908">
        <v>22</v>
      </c>
      <c r="V908">
        <v>75</v>
      </c>
      <c r="W908" t="s">
        <v>72</v>
      </c>
      <c r="X908" t="s">
        <v>280</v>
      </c>
      <c r="Y908">
        <v>240</v>
      </c>
      <c r="AB908">
        <v>1.87</v>
      </c>
      <c r="AC908" t="s">
        <v>85</v>
      </c>
      <c r="AD908">
        <v>0.35</v>
      </c>
      <c r="AE908" t="s">
        <v>138</v>
      </c>
      <c r="AI908">
        <v>5</v>
      </c>
      <c r="AJ908" t="s">
        <v>201</v>
      </c>
      <c r="AT908" t="s">
        <v>73</v>
      </c>
      <c r="AV908" t="s">
        <v>88</v>
      </c>
    </row>
    <row r="909" spans="1:48" hidden="1" x14ac:dyDescent="0.3">
      <c r="A909" t="s">
        <v>419</v>
      </c>
      <c r="C909" t="s">
        <v>251</v>
      </c>
      <c r="D909" t="s">
        <v>81</v>
      </c>
      <c r="E909">
        <v>10000000</v>
      </c>
      <c r="H909">
        <v>14.25</v>
      </c>
      <c r="I909" t="s">
        <v>56</v>
      </c>
      <c r="J909">
        <v>1.4250000000000001E-3</v>
      </c>
      <c r="K909" t="s">
        <v>57</v>
      </c>
      <c r="O909">
        <v>9000</v>
      </c>
      <c r="P909" t="s">
        <v>315</v>
      </c>
      <c r="S909">
        <v>2</v>
      </c>
      <c r="T909">
        <v>22</v>
      </c>
      <c r="V909">
        <v>75</v>
      </c>
      <c r="W909" t="s">
        <v>420</v>
      </c>
      <c r="X909" t="s">
        <v>280</v>
      </c>
      <c r="Y909">
        <v>240</v>
      </c>
      <c r="AB909">
        <v>2.7</v>
      </c>
      <c r="AC909" t="s">
        <v>85</v>
      </c>
      <c r="AD909">
        <v>0.17</v>
      </c>
      <c r="AE909" t="s">
        <v>138</v>
      </c>
      <c r="AI909">
        <v>5</v>
      </c>
      <c r="AJ909" t="s">
        <v>201</v>
      </c>
      <c r="AV909" t="s">
        <v>88</v>
      </c>
    </row>
    <row r="910" spans="1:48" hidden="1" x14ac:dyDescent="0.3">
      <c r="A910" t="s">
        <v>419</v>
      </c>
      <c r="C910" t="s">
        <v>251</v>
      </c>
      <c r="D910" t="s">
        <v>81</v>
      </c>
      <c r="E910">
        <v>10000000</v>
      </c>
      <c r="H910">
        <v>14.25</v>
      </c>
      <c r="I910" t="s">
        <v>56</v>
      </c>
      <c r="J910">
        <v>1.4250000000000001E-3</v>
      </c>
      <c r="K910" t="s">
        <v>57</v>
      </c>
      <c r="O910">
        <v>9000</v>
      </c>
      <c r="P910" t="s">
        <v>315</v>
      </c>
      <c r="S910">
        <v>2</v>
      </c>
      <c r="T910">
        <v>22</v>
      </c>
      <c r="V910">
        <v>75</v>
      </c>
      <c r="W910" t="s">
        <v>421</v>
      </c>
      <c r="X910" t="s">
        <v>280</v>
      </c>
      <c r="Y910">
        <v>240</v>
      </c>
      <c r="AB910">
        <v>1.71</v>
      </c>
      <c r="AC910" t="s">
        <v>85</v>
      </c>
      <c r="AD910">
        <v>0.26</v>
      </c>
      <c r="AE910" t="s">
        <v>138</v>
      </c>
      <c r="AI910">
        <v>5</v>
      </c>
      <c r="AJ910" t="s">
        <v>201</v>
      </c>
      <c r="AT910" t="s">
        <v>65</v>
      </c>
      <c r="AV910" t="s">
        <v>88</v>
      </c>
    </row>
    <row r="911" spans="1:48" hidden="1" x14ac:dyDescent="0.3">
      <c r="A911" t="s">
        <v>419</v>
      </c>
      <c r="C911" t="s">
        <v>251</v>
      </c>
      <c r="D911" t="s">
        <v>81</v>
      </c>
      <c r="E911">
        <v>10000000</v>
      </c>
      <c r="H911">
        <v>14.25</v>
      </c>
      <c r="I911" t="s">
        <v>56</v>
      </c>
      <c r="J911">
        <v>1.4250000000000001E-3</v>
      </c>
      <c r="K911" t="s">
        <v>57</v>
      </c>
      <c r="O911">
        <v>9000</v>
      </c>
      <c r="P911" t="s">
        <v>315</v>
      </c>
      <c r="S911">
        <v>2</v>
      </c>
      <c r="T911">
        <v>22</v>
      </c>
      <c r="V911">
        <v>75</v>
      </c>
      <c r="W911" t="s">
        <v>422</v>
      </c>
      <c r="X911" t="s">
        <v>280</v>
      </c>
      <c r="Y911">
        <v>240</v>
      </c>
      <c r="AB911">
        <v>5.87</v>
      </c>
      <c r="AC911" t="s">
        <v>85</v>
      </c>
      <c r="AD911">
        <v>1.55</v>
      </c>
      <c r="AE911" t="s">
        <v>138</v>
      </c>
      <c r="AI911">
        <v>5</v>
      </c>
      <c r="AJ911" t="s">
        <v>201</v>
      </c>
      <c r="AT911" t="s">
        <v>79</v>
      </c>
      <c r="AV911" t="s">
        <v>88</v>
      </c>
    </row>
    <row r="912" spans="1:48" hidden="1" x14ac:dyDescent="0.3">
      <c r="A912" t="s">
        <v>419</v>
      </c>
      <c r="C912" t="s">
        <v>251</v>
      </c>
      <c r="D912" t="s">
        <v>81</v>
      </c>
      <c r="E912">
        <v>10000000</v>
      </c>
      <c r="H912">
        <v>14.25</v>
      </c>
      <c r="I912" t="s">
        <v>56</v>
      </c>
      <c r="J912">
        <v>1.4250000000000001E-3</v>
      </c>
      <c r="K912" t="s">
        <v>57</v>
      </c>
      <c r="O912">
        <v>9000</v>
      </c>
      <c r="P912" t="s">
        <v>315</v>
      </c>
      <c r="S912">
        <v>2</v>
      </c>
      <c r="T912">
        <v>22</v>
      </c>
      <c r="V912">
        <v>75</v>
      </c>
      <c r="W912" t="s">
        <v>147</v>
      </c>
      <c r="X912" t="s">
        <v>280</v>
      </c>
      <c r="Y912">
        <v>360</v>
      </c>
      <c r="AB912">
        <v>3.91</v>
      </c>
      <c r="AC912" t="s">
        <v>85</v>
      </c>
      <c r="AD912">
        <v>0.35</v>
      </c>
      <c r="AE912" t="s">
        <v>138</v>
      </c>
      <c r="AI912">
        <v>5</v>
      </c>
      <c r="AJ912" t="s">
        <v>201</v>
      </c>
      <c r="AT912" t="s">
        <v>150</v>
      </c>
      <c r="AV912" t="s">
        <v>88</v>
      </c>
    </row>
    <row r="913" spans="1:53" hidden="1" x14ac:dyDescent="0.3">
      <c r="A913" t="s">
        <v>419</v>
      </c>
      <c r="C913" t="s">
        <v>251</v>
      </c>
      <c r="D913" t="s">
        <v>81</v>
      </c>
      <c r="E913">
        <v>10000000</v>
      </c>
      <c r="H913">
        <v>14.25</v>
      </c>
      <c r="I913" t="s">
        <v>56</v>
      </c>
      <c r="J913">
        <v>1.4250000000000001E-3</v>
      </c>
      <c r="K913" t="s">
        <v>57</v>
      </c>
      <c r="O913">
        <v>9000</v>
      </c>
      <c r="P913" t="s">
        <v>315</v>
      </c>
      <c r="S913">
        <v>2</v>
      </c>
      <c r="T913">
        <v>22</v>
      </c>
      <c r="V913">
        <v>75</v>
      </c>
      <c r="W913" t="s">
        <v>74</v>
      </c>
      <c r="X913" t="s">
        <v>280</v>
      </c>
      <c r="Y913">
        <v>360</v>
      </c>
      <c r="AB913">
        <v>0.78</v>
      </c>
      <c r="AC913" t="s">
        <v>85</v>
      </c>
      <c r="AD913">
        <v>0.23</v>
      </c>
      <c r="AE913" t="s">
        <v>138</v>
      </c>
      <c r="AI913">
        <v>5</v>
      </c>
      <c r="AJ913" t="s">
        <v>201</v>
      </c>
      <c r="AT913" t="s">
        <v>75</v>
      </c>
      <c r="AV913" t="s">
        <v>88</v>
      </c>
    </row>
    <row r="914" spans="1:53" hidden="1" x14ac:dyDescent="0.3">
      <c r="A914" t="s">
        <v>419</v>
      </c>
      <c r="C914" t="s">
        <v>251</v>
      </c>
      <c r="D914" t="s">
        <v>81</v>
      </c>
      <c r="E914">
        <v>10000000</v>
      </c>
      <c r="H914">
        <v>14.25</v>
      </c>
      <c r="I914" t="s">
        <v>56</v>
      </c>
      <c r="J914">
        <v>1.4250000000000001E-3</v>
      </c>
      <c r="K914" t="s">
        <v>57</v>
      </c>
      <c r="O914">
        <v>9000</v>
      </c>
      <c r="P914" t="s">
        <v>315</v>
      </c>
      <c r="S914">
        <v>2</v>
      </c>
      <c r="T914">
        <v>22</v>
      </c>
      <c r="V914">
        <v>75</v>
      </c>
      <c r="W914" t="s">
        <v>72</v>
      </c>
      <c r="X914" t="s">
        <v>280</v>
      </c>
      <c r="Y914">
        <v>360</v>
      </c>
      <c r="AB914">
        <v>2.02</v>
      </c>
      <c r="AC914" t="s">
        <v>85</v>
      </c>
      <c r="AD914">
        <v>0.37</v>
      </c>
      <c r="AE914" t="s">
        <v>138</v>
      </c>
      <c r="AI914">
        <v>5</v>
      </c>
      <c r="AJ914" t="s">
        <v>201</v>
      </c>
      <c r="AT914" t="s">
        <v>73</v>
      </c>
      <c r="AV914" t="s">
        <v>88</v>
      </c>
    </row>
    <row r="915" spans="1:53" hidden="1" x14ac:dyDescent="0.3">
      <c r="A915" t="s">
        <v>419</v>
      </c>
      <c r="C915" t="s">
        <v>251</v>
      </c>
      <c r="D915" t="s">
        <v>81</v>
      </c>
      <c r="E915">
        <v>10000000</v>
      </c>
      <c r="H915">
        <v>14.25</v>
      </c>
      <c r="I915" t="s">
        <v>56</v>
      </c>
      <c r="J915">
        <v>1.4250000000000001E-3</v>
      </c>
      <c r="K915" t="s">
        <v>57</v>
      </c>
      <c r="O915">
        <v>9000</v>
      </c>
      <c r="P915" t="s">
        <v>315</v>
      </c>
      <c r="S915">
        <v>2</v>
      </c>
      <c r="T915">
        <v>22</v>
      </c>
      <c r="V915">
        <v>75</v>
      </c>
      <c r="W915" t="s">
        <v>420</v>
      </c>
      <c r="X915" t="s">
        <v>280</v>
      </c>
      <c r="Y915">
        <v>360</v>
      </c>
      <c r="AB915">
        <v>2.5</v>
      </c>
      <c r="AC915" t="s">
        <v>85</v>
      </c>
      <c r="AD915">
        <v>0.34</v>
      </c>
      <c r="AE915" t="s">
        <v>138</v>
      </c>
      <c r="AI915">
        <v>5</v>
      </c>
      <c r="AJ915" t="s">
        <v>201</v>
      </c>
      <c r="AV915" t="s">
        <v>88</v>
      </c>
    </row>
    <row r="916" spans="1:53" hidden="1" x14ac:dyDescent="0.3">
      <c r="A916" t="s">
        <v>419</v>
      </c>
      <c r="C916" t="s">
        <v>251</v>
      </c>
      <c r="D916" t="s">
        <v>81</v>
      </c>
      <c r="E916">
        <v>10000000</v>
      </c>
      <c r="H916">
        <v>14.25</v>
      </c>
      <c r="I916" t="s">
        <v>56</v>
      </c>
      <c r="J916">
        <v>1.4250000000000001E-3</v>
      </c>
      <c r="K916" t="s">
        <v>57</v>
      </c>
      <c r="O916">
        <v>9000</v>
      </c>
      <c r="P916" t="s">
        <v>315</v>
      </c>
      <c r="S916">
        <v>2</v>
      </c>
      <c r="T916">
        <v>22</v>
      </c>
      <c r="V916">
        <v>75</v>
      </c>
      <c r="W916" t="s">
        <v>421</v>
      </c>
      <c r="X916" t="s">
        <v>280</v>
      </c>
      <c r="Y916">
        <v>360</v>
      </c>
      <c r="AB916">
        <v>1.75</v>
      </c>
      <c r="AC916" t="s">
        <v>85</v>
      </c>
      <c r="AD916">
        <v>0.26</v>
      </c>
      <c r="AE916" t="s">
        <v>138</v>
      </c>
      <c r="AI916">
        <v>5</v>
      </c>
      <c r="AJ916" t="s">
        <v>201</v>
      </c>
      <c r="AT916" t="s">
        <v>65</v>
      </c>
      <c r="AV916" t="s">
        <v>88</v>
      </c>
    </row>
    <row r="917" spans="1:53" hidden="1" x14ac:dyDescent="0.3">
      <c r="A917" t="s">
        <v>419</v>
      </c>
      <c r="C917" t="s">
        <v>251</v>
      </c>
      <c r="D917" t="s">
        <v>81</v>
      </c>
      <c r="E917">
        <v>10000000</v>
      </c>
      <c r="H917">
        <v>14.25</v>
      </c>
      <c r="I917" t="s">
        <v>56</v>
      </c>
      <c r="J917">
        <v>1.4250000000000001E-3</v>
      </c>
      <c r="K917" t="s">
        <v>57</v>
      </c>
      <c r="O917">
        <v>9000</v>
      </c>
      <c r="P917" t="s">
        <v>315</v>
      </c>
      <c r="S917">
        <v>2</v>
      </c>
      <c r="T917">
        <v>22</v>
      </c>
      <c r="V917">
        <v>75</v>
      </c>
      <c r="W917" t="s">
        <v>422</v>
      </c>
      <c r="X917" t="s">
        <v>280</v>
      </c>
      <c r="Y917">
        <v>360</v>
      </c>
      <c r="AB917">
        <v>4.08</v>
      </c>
      <c r="AC917" t="s">
        <v>85</v>
      </c>
      <c r="AD917">
        <v>0.74</v>
      </c>
      <c r="AE917" t="s">
        <v>138</v>
      </c>
      <c r="AI917">
        <v>5</v>
      </c>
      <c r="AJ917" t="s">
        <v>201</v>
      </c>
      <c r="AT917" t="s">
        <v>79</v>
      </c>
      <c r="AV917" t="s">
        <v>88</v>
      </c>
    </row>
    <row r="918" spans="1:53" hidden="1" x14ac:dyDescent="0.3">
      <c r="A918" t="s">
        <v>419</v>
      </c>
      <c r="C918" t="s">
        <v>251</v>
      </c>
      <c r="D918" t="s">
        <v>81</v>
      </c>
      <c r="E918">
        <v>10000000</v>
      </c>
      <c r="H918">
        <v>14.25</v>
      </c>
      <c r="I918" t="s">
        <v>56</v>
      </c>
      <c r="J918">
        <v>1.4250000000000001E-3</v>
      </c>
      <c r="K918" t="s">
        <v>57</v>
      </c>
      <c r="O918">
        <v>9000</v>
      </c>
      <c r="P918" t="s">
        <v>315</v>
      </c>
      <c r="S918">
        <v>2</v>
      </c>
      <c r="T918">
        <v>22</v>
      </c>
      <c r="V918">
        <v>75</v>
      </c>
      <c r="W918" t="s">
        <v>147</v>
      </c>
      <c r="X918" t="s">
        <v>280</v>
      </c>
      <c r="Y918">
        <v>480</v>
      </c>
      <c r="AB918">
        <v>6.28</v>
      </c>
      <c r="AC918" t="s">
        <v>85</v>
      </c>
      <c r="AD918">
        <v>1.02</v>
      </c>
      <c r="AE918" t="s">
        <v>138</v>
      </c>
      <c r="AI918">
        <v>5</v>
      </c>
      <c r="AJ918" t="s">
        <v>201</v>
      </c>
      <c r="AT918" t="s">
        <v>150</v>
      </c>
      <c r="AV918" t="s">
        <v>88</v>
      </c>
    </row>
    <row r="919" spans="1:53" hidden="1" x14ac:dyDescent="0.3">
      <c r="A919" t="s">
        <v>419</v>
      </c>
      <c r="C919" t="s">
        <v>251</v>
      </c>
      <c r="D919" t="s">
        <v>81</v>
      </c>
      <c r="E919">
        <v>10000000</v>
      </c>
      <c r="H919">
        <v>14.25</v>
      </c>
      <c r="I919" t="s">
        <v>56</v>
      </c>
      <c r="J919">
        <v>1.4250000000000001E-3</v>
      </c>
      <c r="K919" t="s">
        <v>57</v>
      </c>
      <c r="O919">
        <v>9000</v>
      </c>
      <c r="P919" t="s">
        <v>315</v>
      </c>
      <c r="S919">
        <v>2</v>
      </c>
      <c r="T919">
        <v>22</v>
      </c>
      <c r="V919">
        <v>75</v>
      </c>
      <c r="W919" t="s">
        <v>74</v>
      </c>
      <c r="X919" t="s">
        <v>280</v>
      </c>
      <c r="Y919">
        <v>480</v>
      </c>
      <c r="AB919">
        <v>1.1399999999999999</v>
      </c>
      <c r="AC919" t="s">
        <v>85</v>
      </c>
      <c r="AD919">
        <v>0.22</v>
      </c>
      <c r="AE919" t="s">
        <v>138</v>
      </c>
      <c r="AI919">
        <v>5</v>
      </c>
      <c r="AJ919" t="s">
        <v>201</v>
      </c>
      <c r="AT919" t="s">
        <v>75</v>
      </c>
      <c r="AV919" t="s">
        <v>88</v>
      </c>
    </row>
    <row r="920" spans="1:53" hidden="1" x14ac:dyDescent="0.3">
      <c r="A920" t="s">
        <v>419</v>
      </c>
      <c r="C920" t="s">
        <v>251</v>
      </c>
      <c r="D920" t="s">
        <v>81</v>
      </c>
      <c r="E920">
        <v>10000000</v>
      </c>
      <c r="H920">
        <v>14.25</v>
      </c>
      <c r="I920" t="s">
        <v>56</v>
      </c>
      <c r="J920">
        <v>1.4250000000000001E-3</v>
      </c>
      <c r="K920" t="s">
        <v>57</v>
      </c>
      <c r="O920">
        <v>9000</v>
      </c>
      <c r="P920" t="s">
        <v>315</v>
      </c>
      <c r="S920">
        <v>2</v>
      </c>
      <c r="T920">
        <v>22</v>
      </c>
      <c r="V920">
        <v>75</v>
      </c>
      <c r="W920" t="s">
        <v>72</v>
      </c>
      <c r="X920" t="s">
        <v>280</v>
      </c>
      <c r="Y920">
        <v>480</v>
      </c>
      <c r="AB920">
        <v>2.3199999999999998</v>
      </c>
      <c r="AC920" t="s">
        <v>85</v>
      </c>
      <c r="AD920">
        <v>0.28999999999999998</v>
      </c>
      <c r="AE920" t="s">
        <v>138</v>
      </c>
      <c r="AI920">
        <v>5</v>
      </c>
      <c r="AJ920" t="s">
        <v>201</v>
      </c>
      <c r="AT920" t="s">
        <v>73</v>
      </c>
      <c r="AV920" t="s">
        <v>88</v>
      </c>
    </row>
    <row r="921" spans="1:53" hidden="1" x14ac:dyDescent="0.3">
      <c r="A921" t="s">
        <v>419</v>
      </c>
      <c r="C921" t="s">
        <v>251</v>
      </c>
      <c r="D921" t="s">
        <v>81</v>
      </c>
      <c r="E921">
        <v>10000000</v>
      </c>
      <c r="H921">
        <v>14.25</v>
      </c>
      <c r="I921" t="s">
        <v>56</v>
      </c>
      <c r="J921">
        <v>1.4250000000000001E-3</v>
      </c>
      <c r="K921" t="s">
        <v>57</v>
      </c>
      <c r="O921">
        <v>9000</v>
      </c>
      <c r="P921" t="s">
        <v>315</v>
      </c>
      <c r="S921">
        <v>2</v>
      </c>
      <c r="T921">
        <v>22</v>
      </c>
      <c r="V921">
        <v>75</v>
      </c>
      <c r="W921" t="s">
        <v>420</v>
      </c>
      <c r="X921" t="s">
        <v>280</v>
      </c>
      <c r="Y921">
        <v>480</v>
      </c>
      <c r="AB921">
        <v>3.84</v>
      </c>
      <c r="AC921" t="s">
        <v>85</v>
      </c>
      <c r="AD921">
        <v>0.44</v>
      </c>
      <c r="AE921" t="s">
        <v>138</v>
      </c>
      <c r="AI921">
        <v>5</v>
      </c>
      <c r="AJ921" t="s">
        <v>201</v>
      </c>
      <c r="AV921" t="s">
        <v>88</v>
      </c>
    </row>
    <row r="922" spans="1:53" hidden="1" x14ac:dyDescent="0.3">
      <c r="A922" t="s">
        <v>419</v>
      </c>
      <c r="C922" t="s">
        <v>251</v>
      </c>
      <c r="D922" t="s">
        <v>81</v>
      </c>
      <c r="E922">
        <v>10000000</v>
      </c>
      <c r="H922">
        <v>14.25</v>
      </c>
      <c r="I922" t="s">
        <v>56</v>
      </c>
      <c r="J922">
        <v>1.4250000000000001E-3</v>
      </c>
      <c r="K922" t="s">
        <v>57</v>
      </c>
      <c r="O922">
        <v>9000</v>
      </c>
      <c r="P922" t="s">
        <v>315</v>
      </c>
      <c r="S922">
        <v>2</v>
      </c>
      <c r="T922">
        <v>22</v>
      </c>
      <c r="V922">
        <v>75</v>
      </c>
      <c r="W922" t="s">
        <v>421</v>
      </c>
      <c r="X922" t="s">
        <v>280</v>
      </c>
      <c r="Y922">
        <v>480</v>
      </c>
      <c r="AB922">
        <v>2.8</v>
      </c>
      <c r="AC922" t="s">
        <v>85</v>
      </c>
      <c r="AD922">
        <v>0.26</v>
      </c>
      <c r="AE922" t="s">
        <v>138</v>
      </c>
      <c r="AI922">
        <v>5</v>
      </c>
      <c r="AJ922" t="s">
        <v>201</v>
      </c>
      <c r="AT922" t="s">
        <v>65</v>
      </c>
      <c r="AV922" t="s">
        <v>88</v>
      </c>
    </row>
    <row r="923" spans="1:53" hidden="1" x14ac:dyDescent="0.3">
      <c r="A923" t="s">
        <v>419</v>
      </c>
      <c r="C923" t="s">
        <v>251</v>
      </c>
      <c r="D923" t="s">
        <v>81</v>
      </c>
      <c r="E923">
        <v>10000000</v>
      </c>
      <c r="H923">
        <v>14.25</v>
      </c>
      <c r="I923" t="s">
        <v>56</v>
      </c>
      <c r="J923">
        <v>1.4250000000000001E-3</v>
      </c>
      <c r="K923" t="s">
        <v>57</v>
      </c>
      <c r="O923">
        <v>9000</v>
      </c>
      <c r="P923" t="s">
        <v>315</v>
      </c>
      <c r="S923">
        <v>2</v>
      </c>
      <c r="T923">
        <v>22</v>
      </c>
      <c r="V923">
        <v>75</v>
      </c>
      <c r="W923" t="s">
        <v>422</v>
      </c>
      <c r="X923" t="s">
        <v>280</v>
      </c>
      <c r="Y923">
        <v>480</v>
      </c>
      <c r="AB923">
        <v>6.67</v>
      </c>
      <c r="AC923" t="s">
        <v>85</v>
      </c>
      <c r="AD923">
        <v>0.86</v>
      </c>
      <c r="AE923" t="s">
        <v>138</v>
      </c>
      <c r="AI923">
        <v>5</v>
      </c>
      <c r="AJ923" t="s">
        <v>201</v>
      </c>
      <c r="AT923" t="s">
        <v>79</v>
      </c>
      <c r="AV923" t="s">
        <v>88</v>
      </c>
    </row>
    <row r="924" spans="1:53" hidden="1" x14ac:dyDescent="0.3">
      <c r="A924" t="s">
        <v>419</v>
      </c>
      <c r="C924" t="s">
        <v>251</v>
      </c>
      <c r="D924" t="s">
        <v>81</v>
      </c>
      <c r="E924">
        <v>10000000</v>
      </c>
      <c r="H924">
        <v>14.25</v>
      </c>
      <c r="I924" t="s">
        <v>56</v>
      </c>
      <c r="J924">
        <v>1.4250000000000001E-3</v>
      </c>
      <c r="K924" t="s">
        <v>57</v>
      </c>
      <c r="O924">
        <v>9000</v>
      </c>
      <c r="P924" t="s">
        <v>315</v>
      </c>
      <c r="S924">
        <v>2</v>
      </c>
      <c r="T924">
        <v>22</v>
      </c>
      <c r="V924">
        <v>85</v>
      </c>
      <c r="W924" t="s">
        <v>147</v>
      </c>
      <c r="X924" t="s">
        <v>280</v>
      </c>
      <c r="Y924">
        <v>360</v>
      </c>
      <c r="AB924">
        <v>6.53</v>
      </c>
      <c r="AC924" t="s">
        <v>85</v>
      </c>
      <c r="AD924">
        <v>1.1100000000000001</v>
      </c>
      <c r="AE924" t="s">
        <v>138</v>
      </c>
      <c r="AI924">
        <v>5</v>
      </c>
      <c r="AJ924" t="s">
        <v>201</v>
      </c>
      <c r="AT924" t="s">
        <v>150</v>
      </c>
      <c r="AV924" t="s">
        <v>88</v>
      </c>
    </row>
    <row r="925" spans="1:53" hidden="1" x14ac:dyDescent="0.3">
      <c r="A925" t="s">
        <v>419</v>
      </c>
      <c r="C925" t="s">
        <v>251</v>
      </c>
      <c r="D925" t="s">
        <v>81</v>
      </c>
      <c r="E925">
        <v>10000000</v>
      </c>
      <c r="H925">
        <v>14.25</v>
      </c>
      <c r="I925" t="s">
        <v>56</v>
      </c>
      <c r="J925">
        <v>1.4250000000000001E-3</v>
      </c>
      <c r="K925" t="s">
        <v>57</v>
      </c>
      <c r="O925">
        <v>9000</v>
      </c>
      <c r="P925" t="s">
        <v>315</v>
      </c>
      <c r="S925">
        <v>2</v>
      </c>
      <c r="T925">
        <v>22</v>
      </c>
      <c r="V925">
        <v>85</v>
      </c>
      <c r="W925" t="s">
        <v>74</v>
      </c>
      <c r="X925" t="s">
        <v>280</v>
      </c>
      <c r="Y925">
        <v>360</v>
      </c>
      <c r="AB925">
        <v>2.62</v>
      </c>
      <c r="AC925" t="s">
        <v>85</v>
      </c>
      <c r="AD925">
        <v>0.49</v>
      </c>
      <c r="AE925" t="s">
        <v>138</v>
      </c>
      <c r="AI925">
        <v>5</v>
      </c>
      <c r="AJ925" t="s">
        <v>201</v>
      </c>
      <c r="AT925" t="s">
        <v>75</v>
      </c>
      <c r="AV925" t="s">
        <v>88</v>
      </c>
    </row>
    <row r="926" spans="1:53" hidden="1" x14ac:dyDescent="0.3">
      <c r="A926" t="s">
        <v>419</v>
      </c>
      <c r="C926" t="s">
        <v>251</v>
      </c>
      <c r="D926" t="s">
        <v>81</v>
      </c>
      <c r="E926">
        <v>10000000</v>
      </c>
      <c r="H926">
        <v>14.25</v>
      </c>
      <c r="I926" t="s">
        <v>56</v>
      </c>
      <c r="J926">
        <v>1.4250000000000001E-3</v>
      </c>
      <c r="K926" t="s">
        <v>57</v>
      </c>
      <c r="O926">
        <v>9000</v>
      </c>
      <c r="P926" t="s">
        <v>315</v>
      </c>
      <c r="S926">
        <v>2</v>
      </c>
      <c r="T926">
        <v>22</v>
      </c>
      <c r="V926">
        <v>85</v>
      </c>
      <c r="W926" t="s">
        <v>72</v>
      </c>
      <c r="X926" t="s">
        <v>280</v>
      </c>
      <c r="Y926">
        <v>360</v>
      </c>
      <c r="AB926">
        <v>3.84</v>
      </c>
      <c r="AC926" t="s">
        <v>85</v>
      </c>
      <c r="AD926">
        <v>0.52</v>
      </c>
      <c r="AE926" t="s">
        <v>138</v>
      </c>
      <c r="AI926">
        <v>5</v>
      </c>
      <c r="AJ926" t="s">
        <v>201</v>
      </c>
      <c r="AT926" t="s">
        <v>73</v>
      </c>
      <c r="AV926" t="s">
        <v>88</v>
      </c>
    </row>
    <row r="927" spans="1:53" hidden="1" x14ac:dyDescent="0.3">
      <c r="A927" t="s">
        <v>419</v>
      </c>
      <c r="C927" t="s">
        <v>251</v>
      </c>
      <c r="D927" t="s">
        <v>81</v>
      </c>
      <c r="E927">
        <v>10000000</v>
      </c>
      <c r="H927">
        <v>14.25</v>
      </c>
      <c r="I927" t="s">
        <v>56</v>
      </c>
      <c r="J927">
        <v>1.4250000000000001E-3</v>
      </c>
      <c r="K927" t="s">
        <v>57</v>
      </c>
      <c r="O927">
        <v>9000</v>
      </c>
      <c r="P927" t="s">
        <v>315</v>
      </c>
      <c r="S927">
        <v>2</v>
      </c>
      <c r="T927">
        <v>22</v>
      </c>
      <c r="V927">
        <v>85</v>
      </c>
      <c r="W927" t="s">
        <v>420</v>
      </c>
      <c r="X927" t="s">
        <v>280</v>
      </c>
      <c r="Y927">
        <v>360</v>
      </c>
      <c r="AA927" t="s">
        <v>94</v>
      </c>
      <c r="AB927">
        <v>7.59</v>
      </c>
      <c r="AC927" t="s">
        <v>85</v>
      </c>
      <c r="AD927">
        <v>0.05</v>
      </c>
      <c r="AE927" t="s">
        <v>138</v>
      </c>
      <c r="AI927">
        <v>5</v>
      </c>
      <c r="AJ927" t="s">
        <v>201</v>
      </c>
      <c r="AV927" t="s">
        <v>88</v>
      </c>
      <c r="AZ927">
        <v>0</v>
      </c>
      <c r="BA927">
        <v>7.59</v>
      </c>
    </row>
    <row r="928" spans="1:53" hidden="1" x14ac:dyDescent="0.3">
      <c r="A928" t="s">
        <v>419</v>
      </c>
      <c r="C928" t="s">
        <v>251</v>
      </c>
      <c r="D928" t="s">
        <v>81</v>
      </c>
      <c r="E928">
        <v>10000000</v>
      </c>
      <c r="H928">
        <v>14.25</v>
      </c>
      <c r="I928" t="s">
        <v>56</v>
      </c>
      <c r="J928">
        <v>1.4250000000000001E-3</v>
      </c>
      <c r="K928" t="s">
        <v>57</v>
      </c>
      <c r="O928">
        <v>9000</v>
      </c>
      <c r="P928" t="s">
        <v>315</v>
      </c>
      <c r="S928">
        <v>2</v>
      </c>
      <c r="T928">
        <v>22</v>
      </c>
      <c r="V928">
        <v>85</v>
      </c>
      <c r="W928" t="s">
        <v>421</v>
      </c>
      <c r="X928" t="s">
        <v>280</v>
      </c>
      <c r="Y928">
        <v>360</v>
      </c>
      <c r="AB928">
        <v>7.17</v>
      </c>
      <c r="AC928" t="s">
        <v>85</v>
      </c>
      <c r="AD928">
        <v>0.61</v>
      </c>
      <c r="AE928" t="s">
        <v>138</v>
      </c>
      <c r="AI928">
        <v>5</v>
      </c>
      <c r="AJ928" t="s">
        <v>201</v>
      </c>
      <c r="AT928" t="s">
        <v>65</v>
      </c>
      <c r="AV928" t="s">
        <v>88</v>
      </c>
    </row>
    <row r="929" spans="1:53" hidden="1" x14ac:dyDescent="0.3">
      <c r="A929" t="s">
        <v>419</v>
      </c>
      <c r="C929" t="s">
        <v>251</v>
      </c>
      <c r="D929" t="s">
        <v>81</v>
      </c>
      <c r="E929">
        <v>10000000</v>
      </c>
      <c r="H929">
        <v>14.25</v>
      </c>
      <c r="I929" t="s">
        <v>56</v>
      </c>
      <c r="J929">
        <v>1.4250000000000001E-3</v>
      </c>
      <c r="K929" t="s">
        <v>57</v>
      </c>
      <c r="O929">
        <v>9000</v>
      </c>
      <c r="P929" t="s">
        <v>315</v>
      </c>
      <c r="S929">
        <v>2</v>
      </c>
      <c r="T929">
        <v>22</v>
      </c>
      <c r="V929">
        <v>85</v>
      </c>
      <c r="W929" t="s">
        <v>422</v>
      </c>
      <c r="X929" t="s">
        <v>280</v>
      </c>
      <c r="Y929">
        <v>360</v>
      </c>
      <c r="AA929" t="s">
        <v>94</v>
      </c>
      <c r="AB929">
        <v>6.75</v>
      </c>
      <c r="AC929" t="s">
        <v>85</v>
      </c>
      <c r="AD929">
        <v>0.14000000000000001</v>
      </c>
      <c r="AE929" t="s">
        <v>138</v>
      </c>
      <c r="AI929">
        <v>5</v>
      </c>
      <c r="AJ929" t="s">
        <v>201</v>
      </c>
      <c r="AT929" t="s">
        <v>79</v>
      </c>
      <c r="AV929" t="s">
        <v>88</v>
      </c>
      <c r="AZ929">
        <v>0</v>
      </c>
      <c r="BA929">
        <v>6.75</v>
      </c>
    </row>
    <row r="930" spans="1:53" hidden="1" x14ac:dyDescent="0.3">
      <c r="A930" t="s">
        <v>419</v>
      </c>
      <c r="C930" t="s">
        <v>251</v>
      </c>
      <c r="D930" t="s">
        <v>81</v>
      </c>
      <c r="E930">
        <v>10000000</v>
      </c>
      <c r="H930">
        <v>14.25</v>
      </c>
      <c r="I930" t="s">
        <v>56</v>
      </c>
      <c r="J930">
        <v>1.4250000000000001E-3</v>
      </c>
      <c r="K930" t="s">
        <v>57</v>
      </c>
      <c r="O930">
        <v>9000</v>
      </c>
      <c r="P930" t="s">
        <v>315</v>
      </c>
      <c r="S930">
        <v>2</v>
      </c>
      <c r="T930">
        <v>22</v>
      </c>
      <c r="V930">
        <v>85</v>
      </c>
      <c r="W930" t="s">
        <v>147</v>
      </c>
      <c r="X930" t="s">
        <v>280</v>
      </c>
      <c r="Y930">
        <v>540</v>
      </c>
      <c r="AB930">
        <v>6.89</v>
      </c>
      <c r="AC930" t="s">
        <v>85</v>
      </c>
      <c r="AD930">
        <v>1.04</v>
      </c>
      <c r="AE930" t="s">
        <v>138</v>
      </c>
      <c r="AI930">
        <v>5</v>
      </c>
      <c r="AJ930" t="s">
        <v>201</v>
      </c>
      <c r="AT930" t="s">
        <v>150</v>
      </c>
      <c r="AV930" t="s">
        <v>88</v>
      </c>
    </row>
    <row r="931" spans="1:53" hidden="1" x14ac:dyDescent="0.3">
      <c r="A931" t="s">
        <v>419</v>
      </c>
      <c r="C931" t="s">
        <v>251</v>
      </c>
      <c r="D931" t="s">
        <v>81</v>
      </c>
      <c r="E931">
        <v>10000000</v>
      </c>
      <c r="H931">
        <v>14.25</v>
      </c>
      <c r="I931" t="s">
        <v>56</v>
      </c>
      <c r="J931">
        <v>1.4250000000000001E-3</v>
      </c>
      <c r="K931" t="s">
        <v>57</v>
      </c>
      <c r="O931">
        <v>9000</v>
      </c>
      <c r="P931" t="s">
        <v>315</v>
      </c>
      <c r="S931">
        <v>2</v>
      </c>
      <c r="T931">
        <v>22</v>
      </c>
      <c r="V931">
        <v>85</v>
      </c>
      <c r="W931" t="s">
        <v>74</v>
      </c>
      <c r="X931" t="s">
        <v>280</v>
      </c>
      <c r="Y931">
        <v>540</v>
      </c>
      <c r="AB931">
        <v>3.41</v>
      </c>
      <c r="AC931" t="s">
        <v>85</v>
      </c>
      <c r="AD931">
        <v>1.53</v>
      </c>
      <c r="AE931" t="s">
        <v>138</v>
      </c>
      <c r="AI931">
        <v>5</v>
      </c>
      <c r="AJ931" t="s">
        <v>201</v>
      </c>
      <c r="AT931" t="s">
        <v>75</v>
      </c>
      <c r="AV931" t="s">
        <v>88</v>
      </c>
    </row>
    <row r="932" spans="1:53" hidden="1" x14ac:dyDescent="0.3">
      <c r="A932" t="s">
        <v>419</v>
      </c>
      <c r="C932" t="s">
        <v>251</v>
      </c>
      <c r="D932" t="s">
        <v>81</v>
      </c>
      <c r="E932">
        <v>10000000</v>
      </c>
      <c r="H932">
        <v>14.25</v>
      </c>
      <c r="I932" t="s">
        <v>56</v>
      </c>
      <c r="J932">
        <v>1.4250000000000001E-3</v>
      </c>
      <c r="K932" t="s">
        <v>57</v>
      </c>
      <c r="O932">
        <v>9000</v>
      </c>
      <c r="P932" t="s">
        <v>315</v>
      </c>
      <c r="S932">
        <v>2</v>
      </c>
      <c r="T932">
        <v>22</v>
      </c>
      <c r="V932">
        <v>85</v>
      </c>
      <c r="W932" t="s">
        <v>72</v>
      </c>
      <c r="X932" t="s">
        <v>280</v>
      </c>
      <c r="Y932">
        <v>540</v>
      </c>
      <c r="AB932">
        <v>5.14</v>
      </c>
      <c r="AC932" t="s">
        <v>85</v>
      </c>
      <c r="AD932">
        <v>0.65</v>
      </c>
      <c r="AE932" t="s">
        <v>138</v>
      </c>
      <c r="AI932">
        <v>5</v>
      </c>
      <c r="AJ932" t="s">
        <v>201</v>
      </c>
      <c r="AT932" t="s">
        <v>73</v>
      </c>
      <c r="AV932" t="s">
        <v>88</v>
      </c>
    </row>
    <row r="933" spans="1:53" hidden="1" x14ac:dyDescent="0.3">
      <c r="A933" t="s">
        <v>419</v>
      </c>
      <c r="C933" t="s">
        <v>251</v>
      </c>
      <c r="D933" t="s">
        <v>81</v>
      </c>
      <c r="E933">
        <v>10000000</v>
      </c>
      <c r="H933">
        <v>14.25</v>
      </c>
      <c r="I933" t="s">
        <v>56</v>
      </c>
      <c r="J933">
        <v>1.4250000000000001E-3</v>
      </c>
      <c r="K933" t="s">
        <v>57</v>
      </c>
      <c r="O933">
        <v>9000</v>
      </c>
      <c r="P933" t="s">
        <v>315</v>
      </c>
      <c r="S933">
        <v>2</v>
      </c>
      <c r="T933">
        <v>22</v>
      </c>
      <c r="V933">
        <v>85</v>
      </c>
      <c r="W933" t="s">
        <v>420</v>
      </c>
      <c r="X933" t="s">
        <v>280</v>
      </c>
      <c r="Y933">
        <v>540</v>
      </c>
      <c r="AA933" t="s">
        <v>94</v>
      </c>
      <c r="AB933">
        <v>7.59</v>
      </c>
      <c r="AC933" t="s">
        <v>85</v>
      </c>
      <c r="AD933">
        <v>0.05</v>
      </c>
      <c r="AE933" t="s">
        <v>138</v>
      </c>
      <c r="AI933">
        <v>5</v>
      </c>
      <c r="AJ933" t="s">
        <v>201</v>
      </c>
      <c r="AV933" t="s">
        <v>88</v>
      </c>
      <c r="AZ933">
        <v>0</v>
      </c>
      <c r="BA933">
        <v>7.59</v>
      </c>
    </row>
    <row r="934" spans="1:53" hidden="1" x14ac:dyDescent="0.3">
      <c r="A934" t="s">
        <v>419</v>
      </c>
      <c r="C934" t="s">
        <v>251</v>
      </c>
      <c r="D934" t="s">
        <v>81</v>
      </c>
      <c r="E934">
        <v>10000000</v>
      </c>
      <c r="H934">
        <v>14.25</v>
      </c>
      <c r="I934" t="s">
        <v>56</v>
      </c>
      <c r="J934">
        <v>1.4250000000000001E-3</v>
      </c>
      <c r="K934" t="s">
        <v>57</v>
      </c>
      <c r="O934">
        <v>9000</v>
      </c>
      <c r="P934" t="s">
        <v>315</v>
      </c>
      <c r="S934">
        <v>2</v>
      </c>
      <c r="T934">
        <v>22</v>
      </c>
      <c r="V934">
        <v>85</v>
      </c>
      <c r="W934" t="s">
        <v>421</v>
      </c>
      <c r="X934" t="s">
        <v>280</v>
      </c>
      <c r="Y934">
        <v>540</v>
      </c>
      <c r="AB934">
        <v>6.86</v>
      </c>
      <c r="AC934" t="s">
        <v>85</v>
      </c>
      <c r="AD934">
        <v>0.74</v>
      </c>
      <c r="AE934" t="s">
        <v>138</v>
      </c>
      <c r="AI934">
        <v>5</v>
      </c>
      <c r="AJ934" t="s">
        <v>201</v>
      </c>
      <c r="AT934" t="s">
        <v>65</v>
      </c>
      <c r="AV934" t="s">
        <v>88</v>
      </c>
    </row>
    <row r="935" spans="1:53" hidden="1" x14ac:dyDescent="0.3">
      <c r="A935" t="s">
        <v>419</v>
      </c>
      <c r="C935" t="s">
        <v>251</v>
      </c>
      <c r="D935" t="s">
        <v>81</v>
      </c>
      <c r="E935">
        <v>10000000</v>
      </c>
      <c r="H935">
        <v>14.25</v>
      </c>
      <c r="I935" t="s">
        <v>56</v>
      </c>
      <c r="J935">
        <v>1.4250000000000001E-3</v>
      </c>
      <c r="K935" t="s">
        <v>57</v>
      </c>
      <c r="O935">
        <v>9000</v>
      </c>
      <c r="P935" t="s">
        <v>315</v>
      </c>
      <c r="S935">
        <v>2</v>
      </c>
      <c r="T935">
        <v>22</v>
      </c>
      <c r="V935">
        <v>85</v>
      </c>
      <c r="W935" t="s">
        <v>422</v>
      </c>
      <c r="X935" t="s">
        <v>280</v>
      </c>
      <c r="Y935">
        <v>540</v>
      </c>
      <c r="AA935" t="s">
        <v>94</v>
      </c>
      <c r="AB935">
        <v>6.75</v>
      </c>
      <c r="AC935" t="s">
        <v>85</v>
      </c>
      <c r="AD935">
        <v>0.14000000000000001</v>
      </c>
      <c r="AE935" t="s">
        <v>138</v>
      </c>
      <c r="AI935">
        <v>5</v>
      </c>
      <c r="AJ935" t="s">
        <v>201</v>
      </c>
      <c r="AT935" t="s">
        <v>79</v>
      </c>
      <c r="AV935" t="s">
        <v>88</v>
      </c>
      <c r="AZ935">
        <v>0</v>
      </c>
      <c r="BA935">
        <v>6.75</v>
      </c>
    </row>
    <row r="936" spans="1:53" hidden="1" x14ac:dyDescent="0.3">
      <c r="A936" t="s">
        <v>419</v>
      </c>
      <c r="C936" t="s">
        <v>251</v>
      </c>
      <c r="D936" t="s">
        <v>81</v>
      </c>
      <c r="E936">
        <v>10000000</v>
      </c>
      <c r="H936">
        <v>14.25</v>
      </c>
      <c r="I936" t="s">
        <v>56</v>
      </c>
      <c r="J936">
        <v>1.4250000000000001E-3</v>
      </c>
      <c r="K936" t="s">
        <v>57</v>
      </c>
      <c r="O936">
        <v>9000</v>
      </c>
      <c r="P936" t="s">
        <v>315</v>
      </c>
      <c r="S936">
        <v>2</v>
      </c>
      <c r="T936">
        <v>22</v>
      </c>
      <c r="V936">
        <v>85</v>
      </c>
      <c r="W936" t="s">
        <v>147</v>
      </c>
      <c r="X936" t="s">
        <v>280</v>
      </c>
      <c r="Y936">
        <v>720</v>
      </c>
      <c r="AB936">
        <v>7.11</v>
      </c>
      <c r="AC936" t="s">
        <v>85</v>
      </c>
      <c r="AD936">
        <v>0.61</v>
      </c>
      <c r="AE936" t="s">
        <v>138</v>
      </c>
      <c r="AI936">
        <v>5</v>
      </c>
      <c r="AJ936" t="s">
        <v>201</v>
      </c>
      <c r="AT936" t="s">
        <v>150</v>
      </c>
      <c r="AV936" t="s">
        <v>88</v>
      </c>
    </row>
    <row r="937" spans="1:53" hidden="1" x14ac:dyDescent="0.3">
      <c r="A937" t="s">
        <v>419</v>
      </c>
      <c r="C937" t="s">
        <v>251</v>
      </c>
      <c r="D937" t="s">
        <v>81</v>
      </c>
      <c r="E937">
        <v>10000000</v>
      </c>
      <c r="H937">
        <v>14.25</v>
      </c>
      <c r="I937" t="s">
        <v>56</v>
      </c>
      <c r="J937">
        <v>1.4250000000000001E-3</v>
      </c>
      <c r="K937" t="s">
        <v>57</v>
      </c>
      <c r="O937">
        <v>9000</v>
      </c>
      <c r="P937" t="s">
        <v>315</v>
      </c>
      <c r="S937">
        <v>2</v>
      </c>
      <c r="T937">
        <v>22</v>
      </c>
      <c r="V937">
        <v>85</v>
      </c>
      <c r="W937" t="s">
        <v>74</v>
      </c>
      <c r="X937" t="s">
        <v>280</v>
      </c>
      <c r="Y937">
        <v>720</v>
      </c>
      <c r="AB937">
        <v>5.87</v>
      </c>
      <c r="AC937" t="s">
        <v>85</v>
      </c>
      <c r="AD937">
        <v>0.6</v>
      </c>
      <c r="AE937" t="s">
        <v>138</v>
      </c>
      <c r="AI937">
        <v>5</v>
      </c>
      <c r="AJ937" t="s">
        <v>201</v>
      </c>
      <c r="AT937" t="s">
        <v>75</v>
      </c>
      <c r="AV937" t="s">
        <v>88</v>
      </c>
    </row>
    <row r="938" spans="1:53" hidden="1" x14ac:dyDescent="0.3">
      <c r="A938" t="s">
        <v>419</v>
      </c>
      <c r="C938" t="s">
        <v>251</v>
      </c>
      <c r="D938" t="s">
        <v>81</v>
      </c>
      <c r="E938">
        <v>100000000</v>
      </c>
      <c r="H938">
        <v>14.25</v>
      </c>
      <c r="I938" t="s">
        <v>56</v>
      </c>
      <c r="J938">
        <v>1.4250000000000001E-3</v>
      </c>
      <c r="K938" t="s">
        <v>57</v>
      </c>
      <c r="O938">
        <v>9000</v>
      </c>
      <c r="P938" t="s">
        <v>315</v>
      </c>
      <c r="S938">
        <v>2</v>
      </c>
      <c r="T938">
        <v>22</v>
      </c>
      <c r="V938">
        <v>85</v>
      </c>
      <c r="W938" t="s">
        <v>72</v>
      </c>
      <c r="X938" t="s">
        <v>280</v>
      </c>
      <c r="Y938">
        <v>720</v>
      </c>
      <c r="AB938">
        <v>5.99</v>
      </c>
      <c r="AC938" t="s">
        <v>85</v>
      </c>
      <c r="AD938">
        <v>1.56</v>
      </c>
      <c r="AE938" t="s">
        <v>138</v>
      </c>
      <c r="AI938">
        <v>5</v>
      </c>
      <c r="AJ938" t="s">
        <v>201</v>
      </c>
      <c r="AT938" t="s">
        <v>73</v>
      </c>
      <c r="AV938" t="s">
        <v>88</v>
      </c>
    </row>
    <row r="939" spans="1:53" hidden="1" x14ac:dyDescent="0.3">
      <c r="A939" t="s">
        <v>419</v>
      </c>
      <c r="C939" t="s">
        <v>251</v>
      </c>
      <c r="D939" t="s">
        <v>81</v>
      </c>
      <c r="E939">
        <v>100000000</v>
      </c>
      <c r="H939">
        <v>14.25</v>
      </c>
      <c r="I939" t="s">
        <v>56</v>
      </c>
      <c r="J939">
        <v>1.4250000000000001E-3</v>
      </c>
      <c r="K939" t="s">
        <v>57</v>
      </c>
      <c r="O939">
        <v>9000</v>
      </c>
      <c r="P939" t="s">
        <v>315</v>
      </c>
      <c r="S939">
        <v>2</v>
      </c>
      <c r="T939">
        <v>22</v>
      </c>
      <c r="V939">
        <v>85</v>
      </c>
      <c r="W939" t="s">
        <v>420</v>
      </c>
      <c r="X939" t="s">
        <v>280</v>
      </c>
      <c r="Y939">
        <v>720</v>
      </c>
      <c r="AB939">
        <v>7.29</v>
      </c>
      <c r="AC939" t="s">
        <v>85</v>
      </c>
      <c r="AD939">
        <v>0.6</v>
      </c>
      <c r="AE939" t="s">
        <v>138</v>
      </c>
      <c r="AI939">
        <v>5</v>
      </c>
      <c r="AJ939" t="s">
        <v>201</v>
      </c>
      <c r="AV939" t="s">
        <v>88</v>
      </c>
    </row>
    <row r="940" spans="1:53" hidden="1" x14ac:dyDescent="0.3">
      <c r="A940" t="s">
        <v>419</v>
      </c>
      <c r="C940" t="s">
        <v>251</v>
      </c>
      <c r="D940" t="s">
        <v>81</v>
      </c>
      <c r="E940">
        <v>100000000</v>
      </c>
      <c r="H940">
        <v>14.25</v>
      </c>
      <c r="I940" t="s">
        <v>56</v>
      </c>
      <c r="J940">
        <v>1.4250000000000001E-3</v>
      </c>
      <c r="K940" t="s">
        <v>57</v>
      </c>
      <c r="O940">
        <v>9000</v>
      </c>
      <c r="P940" t="s">
        <v>315</v>
      </c>
      <c r="S940">
        <v>2</v>
      </c>
      <c r="T940">
        <v>22</v>
      </c>
      <c r="V940">
        <v>85</v>
      </c>
      <c r="W940" t="s">
        <v>421</v>
      </c>
      <c r="X940" t="s">
        <v>280</v>
      </c>
      <c r="Y940">
        <v>720</v>
      </c>
      <c r="AA940" t="s">
        <v>94</v>
      </c>
      <c r="AB940">
        <v>7.47</v>
      </c>
      <c r="AC940" t="s">
        <v>85</v>
      </c>
      <c r="AD940">
        <v>0.13</v>
      </c>
      <c r="AE940" t="s">
        <v>138</v>
      </c>
      <c r="AI940">
        <v>5</v>
      </c>
      <c r="AJ940" t="s">
        <v>201</v>
      </c>
      <c r="AT940" t="s">
        <v>65</v>
      </c>
      <c r="AV940" t="s">
        <v>88</v>
      </c>
      <c r="AZ940">
        <v>0</v>
      </c>
      <c r="BA940">
        <v>7.47</v>
      </c>
    </row>
    <row r="941" spans="1:53" hidden="1" x14ac:dyDescent="0.3">
      <c r="A941" t="s">
        <v>419</v>
      </c>
      <c r="C941" t="s">
        <v>251</v>
      </c>
      <c r="D941" t="s">
        <v>81</v>
      </c>
      <c r="E941">
        <v>100000000</v>
      </c>
      <c r="H941">
        <v>14.25</v>
      </c>
      <c r="I941" t="s">
        <v>56</v>
      </c>
      <c r="J941">
        <v>1.4250000000000001E-3</v>
      </c>
      <c r="K941" t="s">
        <v>57</v>
      </c>
      <c r="O941">
        <v>9000</v>
      </c>
      <c r="P941" t="s">
        <v>315</v>
      </c>
      <c r="S941">
        <v>2</v>
      </c>
      <c r="T941">
        <v>22</v>
      </c>
      <c r="V941">
        <v>85</v>
      </c>
      <c r="W941" t="s">
        <v>422</v>
      </c>
      <c r="X941" t="s">
        <v>280</v>
      </c>
      <c r="Y941">
        <v>720</v>
      </c>
      <c r="AA941" t="s">
        <v>94</v>
      </c>
      <c r="AB941">
        <v>6.75</v>
      </c>
      <c r="AC941" t="s">
        <v>85</v>
      </c>
      <c r="AD941">
        <v>0.14000000000000001</v>
      </c>
      <c r="AE941" t="s">
        <v>138</v>
      </c>
      <c r="AI941">
        <v>5</v>
      </c>
      <c r="AJ941" t="s">
        <v>201</v>
      </c>
      <c r="AT941" t="s">
        <v>79</v>
      </c>
      <c r="AV941" t="s">
        <v>88</v>
      </c>
      <c r="AZ941">
        <v>0</v>
      </c>
      <c r="BA941">
        <v>6.75</v>
      </c>
    </row>
    <row r="942" spans="1:53" hidden="1" x14ac:dyDescent="0.3">
      <c r="A942" t="s">
        <v>419</v>
      </c>
      <c r="C942" t="s">
        <v>251</v>
      </c>
      <c r="D942" t="s">
        <v>81</v>
      </c>
      <c r="E942">
        <v>100000000</v>
      </c>
      <c r="H942">
        <v>14.25</v>
      </c>
      <c r="I942" t="s">
        <v>56</v>
      </c>
      <c r="J942">
        <v>1.4250000000000001E-3</v>
      </c>
      <c r="K942" t="s">
        <v>57</v>
      </c>
      <c r="O942">
        <v>9800</v>
      </c>
      <c r="P942" t="s">
        <v>315</v>
      </c>
      <c r="S942">
        <v>2</v>
      </c>
      <c r="T942">
        <v>22</v>
      </c>
      <c r="V942">
        <v>85</v>
      </c>
      <c r="W942" t="s">
        <v>147</v>
      </c>
      <c r="X942" t="s">
        <v>280</v>
      </c>
      <c r="Y942">
        <v>360</v>
      </c>
      <c r="AB942">
        <v>5.68</v>
      </c>
      <c r="AC942" t="s">
        <v>85</v>
      </c>
      <c r="AD942">
        <v>0.94</v>
      </c>
      <c r="AE942" t="s">
        <v>138</v>
      </c>
      <c r="AI942">
        <v>5</v>
      </c>
      <c r="AJ942" t="s">
        <v>201</v>
      </c>
      <c r="AT942" t="s">
        <v>150</v>
      </c>
      <c r="AV942" t="s">
        <v>88</v>
      </c>
    </row>
    <row r="943" spans="1:53" hidden="1" x14ac:dyDescent="0.3">
      <c r="A943" t="s">
        <v>419</v>
      </c>
      <c r="C943" t="s">
        <v>251</v>
      </c>
      <c r="D943" t="s">
        <v>81</v>
      </c>
      <c r="E943">
        <v>100000000</v>
      </c>
      <c r="H943">
        <v>14.25</v>
      </c>
      <c r="I943" t="s">
        <v>56</v>
      </c>
      <c r="J943">
        <v>1.4250000000000001E-3</v>
      </c>
      <c r="K943" t="s">
        <v>57</v>
      </c>
      <c r="O943">
        <v>9800</v>
      </c>
      <c r="P943" t="s">
        <v>315</v>
      </c>
      <c r="S943">
        <v>2</v>
      </c>
      <c r="T943">
        <v>22</v>
      </c>
      <c r="V943">
        <v>85</v>
      </c>
      <c r="W943" t="s">
        <v>74</v>
      </c>
      <c r="X943" t="s">
        <v>280</v>
      </c>
      <c r="Y943">
        <v>360</v>
      </c>
      <c r="AB943">
        <v>4.54</v>
      </c>
      <c r="AC943" t="s">
        <v>85</v>
      </c>
      <c r="AD943">
        <v>1.61</v>
      </c>
      <c r="AE943" t="s">
        <v>138</v>
      </c>
      <c r="AI943">
        <v>5</v>
      </c>
      <c r="AJ943" t="s">
        <v>201</v>
      </c>
      <c r="AT943" t="s">
        <v>75</v>
      </c>
      <c r="AV943" t="s">
        <v>88</v>
      </c>
    </row>
    <row r="944" spans="1:53" hidden="1" x14ac:dyDescent="0.3">
      <c r="A944" t="s">
        <v>419</v>
      </c>
      <c r="C944" t="s">
        <v>251</v>
      </c>
      <c r="D944" t="s">
        <v>81</v>
      </c>
      <c r="E944">
        <v>100000000</v>
      </c>
      <c r="H944">
        <v>14.25</v>
      </c>
      <c r="I944" t="s">
        <v>56</v>
      </c>
      <c r="J944">
        <v>1.4250000000000001E-3</v>
      </c>
      <c r="K944" t="s">
        <v>57</v>
      </c>
      <c r="O944">
        <v>9800</v>
      </c>
      <c r="P944" t="s">
        <v>315</v>
      </c>
      <c r="S944">
        <v>2</v>
      </c>
      <c r="T944">
        <v>22</v>
      </c>
      <c r="V944">
        <v>85</v>
      </c>
      <c r="W944" t="s">
        <v>72</v>
      </c>
      <c r="X944" t="s">
        <v>280</v>
      </c>
      <c r="Y944">
        <v>360</v>
      </c>
      <c r="AB944">
        <v>4.3499999999999996</v>
      </c>
      <c r="AC944" t="s">
        <v>85</v>
      </c>
      <c r="AD944">
        <v>0.47</v>
      </c>
      <c r="AE944" t="s">
        <v>138</v>
      </c>
      <c r="AI944">
        <v>5</v>
      </c>
      <c r="AJ944" t="s">
        <v>201</v>
      </c>
      <c r="AT944" t="s">
        <v>73</v>
      </c>
      <c r="AV944" t="s">
        <v>88</v>
      </c>
    </row>
    <row r="945" spans="1:53" hidden="1" x14ac:dyDescent="0.3">
      <c r="A945" t="s">
        <v>419</v>
      </c>
      <c r="C945" t="s">
        <v>251</v>
      </c>
      <c r="D945" t="s">
        <v>81</v>
      </c>
      <c r="E945">
        <v>100000000</v>
      </c>
      <c r="H945">
        <v>14.25</v>
      </c>
      <c r="I945" t="s">
        <v>56</v>
      </c>
      <c r="J945">
        <v>1.4250000000000001E-3</v>
      </c>
      <c r="K945" t="s">
        <v>57</v>
      </c>
      <c r="O945">
        <v>9800</v>
      </c>
      <c r="P945" t="s">
        <v>315</v>
      </c>
      <c r="S945">
        <v>2</v>
      </c>
      <c r="T945">
        <v>22</v>
      </c>
      <c r="V945">
        <v>85</v>
      </c>
      <c r="W945" t="s">
        <v>420</v>
      </c>
      <c r="X945" t="s">
        <v>280</v>
      </c>
      <c r="Y945">
        <v>360</v>
      </c>
      <c r="AB945">
        <v>7.51</v>
      </c>
      <c r="AC945" t="s">
        <v>85</v>
      </c>
      <c r="AD945">
        <v>0.6</v>
      </c>
      <c r="AE945" t="s">
        <v>138</v>
      </c>
      <c r="AI945">
        <v>5</v>
      </c>
      <c r="AJ945" t="s">
        <v>201</v>
      </c>
      <c r="AV945" t="s">
        <v>88</v>
      </c>
    </row>
    <row r="946" spans="1:53" hidden="1" x14ac:dyDescent="0.3">
      <c r="A946" t="s">
        <v>419</v>
      </c>
      <c r="C946" t="s">
        <v>251</v>
      </c>
      <c r="D946" t="s">
        <v>81</v>
      </c>
      <c r="E946">
        <v>100000000</v>
      </c>
      <c r="H946">
        <v>14.25</v>
      </c>
      <c r="I946" t="s">
        <v>56</v>
      </c>
      <c r="J946">
        <v>1.4250000000000001E-3</v>
      </c>
      <c r="K946" t="s">
        <v>57</v>
      </c>
      <c r="O946">
        <v>9800</v>
      </c>
      <c r="P946" t="s">
        <v>315</v>
      </c>
      <c r="S946">
        <v>2</v>
      </c>
      <c r="T946">
        <v>22</v>
      </c>
      <c r="V946">
        <v>85</v>
      </c>
      <c r="W946" t="s">
        <v>421</v>
      </c>
      <c r="X946" t="s">
        <v>280</v>
      </c>
      <c r="Y946">
        <v>360</v>
      </c>
      <c r="AB946">
        <v>6.17</v>
      </c>
      <c r="AC946" t="s">
        <v>85</v>
      </c>
      <c r="AD946">
        <v>0.77</v>
      </c>
      <c r="AE946" t="s">
        <v>138</v>
      </c>
      <c r="AI946">
        <v>5</v>
      </c>
      <c r="AJ946" t="s">
        <v>201</v>
      </c>
      <c r="AT946" t="s">
        <v>65</v>
      </c>
      <c r="AV946" t="s">
        <v>88</v>
      </c>
    </row>
    <row r="947" spans="1:53" hidden="1" x14ac:dyDescent="0.3">
      <c r="A947" t="s">
        <v>419</v>
      </c>
      <c r="C947" t="s">
        <v>251</v>
      </c>
      <c r="D947" t="s">
        <v>81</v>
      </c>
      <c r="E947">
        <v>100000000</v>
      </c>
      <c r="H947">
        <v>14.25</v>
      </c>
      <c r="I947" t="s">
        <v>56</v>
      </c>
      <c r="J947">
        <v>1.4250000000000001E-3</v>
      </c>
      <c r="K947" t="s">
        <v>57</v>
      </c>
      <c r="O947">
        <v>9800</v>
      </c>
      <c r="P947" t="s">
        <v>315</v>
      </c>
      <c r="S947">
        <v>2</v>
      </c>
      <c r="T947">
        <v>22</v>
      </c>
      <c r="V947">
        <v>85</v>
      </c>
      <c r="W947" t="s">
        <v>422</v>
      </c>
      <c r="X947" t="s">
        <v>280</v>
      </c>
      <c r="Y947">
        <v>360</v>
      </c>
      <c r="AB947">
        <v>6.87</v>
      </c>
      <c r="AC947" t="s">
        <v>85</v>
      </c>
      <c r="AD947">
        <v>0.14000000000000001</v>
      </c>
      <c r="AE947" t="s">
        <v>138</v>
      </c>
      <c r="AI947">
        <v>5</v>
      </c>
      <c r="AJ947" t="s">
        <v>201</v>
      </c>
      <c r="AT947" t="s">
        <v>79</v>
      </c>
      <c r="AV947" t="s">
        <v>88</v>
      </c>
    </row>
    <row r="948" spans="1:53" hidden="1" x14ac:dyDescent="0.3">
      <c r="A948" t="s">
        <v>419</v>
      </c>
      <c r="C948" t="s">
        <v>251</v>
      </c>
      <c r="D948" t="s">
        <v>81</v>
      </c>
      <c r="E948">
        <v>100000000</v>
      </c>
      <c r="H948">
        <v>14.25</v>
      </c>
      <c r="I948" t="s">
        <v>56</v>
      </c>
      <c r="J948">
        <v>1.4250000000000001E-3</v>
      </c>
      <c r="K948" t="s">
        <v>57</v>
      </c>
      <c r="O948">
        <v>9800</v>
      </c>
      <c r="P948" t="s">
        <v>315</v>
      </c>
      <c r="S948">
        <v>2</v>
      </c>
      <c r="T948">
        <v>22</v>
      </c>
      <c r="V948">
        <v>85</v>
      </c>
      <c r="W948" t="s">
        <v>147</v>
      </c>
      <c r="X948" t="s">
        <v>280</v>
      </c>
      <c r="Y948">
        <v>540</v>
      </c>
      <c r="AB948">
        <v>6.59</v>
      </c>
      <c r="AC948" t="s">
        <v>85</v>
      </c>
      <c r="AD948">
        <v>1.1000000000000001</v>
      </c>
      <c r="AE948" t="s">
        <v>138</v>
      </c>
      <c r="AI948">
        <v>5</v>
      </c>
      <c r="AJ948" t="s">
        <v>201</v>
      </c>
      <c r="AT948" t="s">
        <v>150</v>
      </c>
      <c r="AV948" t="s">
        <v>88</v>
      </c>
    </row>
    <row r="949" spans="1:53" hidden="1" x14ac:dyDescent="0.3">
      <c r="A949" t="s">
        <v>419</v>
      </c>
      <c r="C949" t="s">
        <v>251</v>
      </c>
      <c r="D949" t="s">
        <v>81</v>
      </c>
      <c r="E949">
        <v>100000000</v>
      </c>
      <c r="H949">
        <v>14.25</v>
      </c>
      <c r="I949" t="s">
        <v>56</v>
      </c>
      <c r="J949">
        <v>1.4250000000000001E-3</v>
      </c>
      <c r="K949" t="s">
        <v>57</v>
      </c>
      <c r="O949">
        <v>9800</v>
      </c>
      <c r="P949" t="s">
        <v>315</v>
      </c>
      <c r="S949">
        <v>2</v>
      </c>
      <c r="T949">
        <v>22</v>
      </c>
      <c r="V949">
        <v>85</v>
      </c>
      <c r="W949" t="s">
        <v>74</v>
      </c>
      <c r="X949" t="s">
        <v>280</v>
      </c>
      <c r="Y949">
        <v>540</v>
      </c>
      <c r="AB949">
        <v>3.64</v>
      </c>
      <c r="AC949" t="s">
        <v>85</v>
      </c>
      <c r="AD949">
        <v>1.58</v>
      </c>
      <c r="AE949" t="s">
        <v>138</v>
      </c>
      <c r="AI949">
        <v>5</v>
      </c>
      <c r="AJ949" t="s">
        <v>201</v>
      </c>
      <c r="AT949" t="s">
        <v>75</v>
      </c>
      <c r="AV949" t="s">
        <v>88</v>
      </c>
    </row>
    <row r="950" spans="1:53" hidden="1" x14ac:dyDescent="0.3">
      <c r="A950" t="s">
        <v>419</v>
      </c>
      <c r="C950" t="s">
        <v>251</v>
      </c>
      <c r="D950" t="s">
        <v>81</v>
      </c>
      <c r="E950">
        <v>100000000</v>
      </c>
      <c r="H950">
        <v>14.25</v>
      </c>
      <c r="I950" t="s">
        <v>56</v>
      </c>
      <c r="J950">
        <v>1.4250000000000001E-3</v>
      </c>
      <c r="K950" t="s">
        <v>57</v>
      </c>
      <c r="O950">
        <v>9800</v>
      </c>
      <c r="P950" t="s">
        <v>315</v>
      </c>
      <c r="S950">
        <v>2</v>
      </c>
      <c r="T950">
        <v>22</v>
      </c>
      <c r="V950">
        <v>85</v>
      </c>
      <c r="W950" t="s">
        <v>72</v>
      </c>
      <c r="X950" t="s">
        <v>280</v>
      </c>
      <c r="Y950">
        <v>540</v>
      </c>
      <c r="AB950">
        <v>5.34</v>
      </c>
      <c r="AC950" t="s">
        <v>85</v>
      </c>
      <c r="AD950">
        <v>0.54</v>
      </c>
      <c r="AE950" t="s">
        <v>138</v>
      </c>
      <c r="AI950">
        <v>5</v>
      </c>
      <c r="AJ950" t="s">
        <v>201</v>
      </c>
      <c r="AT950" t="s">
        <v>73</v>
      </c>
      <c r="AV950" t="s">
        <v>88</v>
      </c>
    </row>
    <row r="951" spans="1:53" hidden="1" x14ac:dyDescent="0.3">
      <c r="A951" t="s">
        <v>419</v>
      </c>
      <c r="C951" t="s">
        <v>251</v>
      </c>
      <c r="D951" t="s">
        <v>81</v>
      </c>
      <c r="E951">
        <v>100000000</v>
      </c>
      <c r="H951">
        <v>14.25</v>
      </c>
      <c r="I951" t="s">
        <v>56</v>
      </c>
      <c r="J951">
        <v>1.4250000000000001E-3</v>
      </c>
      <c r="K951" t="s">
        <v>57</v>
      </c>
      <c r="O951">
        <v>9800</v>
      </c>
      <c r="P951" t="s">
        <v>315</v>
      </c>
      <c r="S951">
        <v>2</v>
      </c>
      <c r="T951">
        <v>22</v>
      </c>
      <c r="V951">
        <v>85</v>
      </c>
      <c r="W951" t="s">
        <v>420</v>
      </c>
      <c r="X951" t="s">
        <v>280</v>
      </c>
      <c r="Y951">
        <v>540</v>
      </c>
      <c r="AA951" t="s">
        <v>94</v>
      </c>
      <c r="AB951">
        <v>7.82</v>
      </c>
      <c r="AC951" t="s">
        <v>85</v>
      </c>
      <c r="AD951">
        <v>0.08</v>
      </c>
      <c r="AE951" t="s">
        <v>138</v>
      </c>
      <c r="AI951">
        <v>5</v>
      </c>
      <c r="AJ951" t="s">
        <v>201</v>
      </c>
      <c r="AV951" t="s">
        <v>88</v>
      </c>
      <c r="AZ951">
        <v>0</v>
      </c>
      <c r="BA951">
        <v>7.82</v>
      </c>
    </row>
    <row r="952" spans="1:53" hidden="1" x14ac:dyDescent="0.3">
      <c r="A952" t="s">
        <v>419</v>
      </c>
      <c r="C952" t="s">
        <v>251</v>
      </c>
      <c r="D952" t="s">
        <v>81</v>
      </c>
      <c r="E952">
        <v>100000000</v>
      </c>
      <c r="H952">
        <v>14.25</v>
      </c>
      <c r="I952" t="s">
        <v>56</v>
      </c>
      <c r="J952">
        <v>1.4250000000000001E-3</v>
      </c>
      <c r="K952" t="s">
        <v>57</v>
      </c>
      <c r="O952">
        <v>9800</v>
      </c>
      <c r="P952" t="s">
        <v>315</v>
      </c>
      <c r="S952">
        <v>2</v>
      </c>
      <c r="T952">
        <v>22</v>
      </c>
      <c r="V952">
        <v>85</v>
      </c>
      <c r="W952" t="s">
        <v>421</v>
      </c>
      <c r="X952" t="s">
        <v>280</v>
      </c>
      <c r="Y952">
        <v>540</v>
      </c>
      <c r="AA952" t="s">
        <v>94</v>
      </c>
      <c r="AB952">
        <v>7.65</v>
      </c>
      <c r="AC952" t="s">
        <v>85</v>
      </c>
      <c r="AD952">
        <v>0.15</v>
      </c>
      <c r="AE952" t="s">
        <v>138</v>
      </c>
      <c r="AI952">
        <v>5</v>
      </c>
      <c r="AJ952" t="s">
        <v>201</v>
      </c>
      <c r="AT952" t="s">
        <v>65</v>
      </c>
      <c r="AV952" t="s">
        <v>88</v>
      </c>
      <c r="AZ952">
        <v>0</v>
      </c>
      <c r="BA952">
        <v>7.65</v>
      </c>
    </row>
    <row r="953" spans="1:53" hidden="1" x14ac:dyDescent="0.3">
      <c r="A953" t="s">
        <v>419</v>
      </c>
      <c r="C953" t="s">
        <v>251</v>
      </c>
      <c r="D953" t="s">
        <v>81</v>
      </c>
      <c r="E953">
        <v>100000000</v>
      </c>
      <c r="H953">
        <v>14.25</v>
      </c>
      <c r="I953" t="s">
        <v>56</v>
      </c>
      <c r="J953">
        <v>1.4250000000000001E-3</v>
      </c>
      <c r="K953" t="s">
        <v>57</v>
      </c>
      <c r="O953">
        <v>9800</v>
      </c>
      <c r="P953" t="s">
        <v>315</v>
      </c>
      <c r="S953">
        <v>2</v>
      </c>
      <c r="T953">
        <v>22</v>
      </c>
      <c r="V953">
        <v>85</v>
      </c>
      <c r="W953" t="s">
        <v>422</v>
      </c>
      <c r="X953" t="s">
        <v>280</v>
      </c>
      <c r="Y953">
        <v>540</v>
      </c>
      <c r="AA953" t="s">
        <v>94</v>
      </c>
      <c r="AB953">
        <v>6.87</v>
      </c>
      <c r="AC953" t="s">
        <v>85</v>
      </c>
      <c r="AD953">
        <v>0.14000000000000001</v>
      </c>
      <c r="AE953" t="s">
        <v>138</v>
      </c>
      <c r="AI953">
        <v>5</v>
      </c>
      <c r="AJ953" t="s">
        <v>201</v>
      </c>
      <c r="AT953" t="s">
        <v>79</v>
      </c>
      <c r="AV953" t="s">
        <v>88</v>
      </c>
      <c r="AZ953">
        <v>0</v>
      </c>
      <c r="BA953">
        <v>6.87</v>
      </c>
    </row>
    <row r="954" spans="1:53" hidden="1" x14ac:dyDescent="0.3">
      <c r="A954" t="s">
        <v>419</v>
      </c>
      <c r="C954" t="s">
        <v>251</v>
      </c>
      <c r="D954" t="s">
        <v>81</v>
      </c>
      <c r="E954">
        <v>100000000</v>
      </c>
      <c r="H954">
        <v>14.25</v>
      </c>
      <c r="I954" t="s">
        <v>56</v>
      </c>
      <c r="J954">
        <v>1.4250000000000001E-3</v>
      </c>
      <c r="K954" t="s">
        <v>57</v>
      </c>
      <c r="O954">
        <v>9800</v>
      </c>
      <c r="P954" t="s">
        <v>315</v>
      </c>
      <c r="S954">
        <v>2</v>
      </c>
      <c r="T954">
        <v>22</v>
      </c>
      <c r="V954">
        <v>85</v>
      </c>
      <c r="W954" t="s">
        <v>147</v>
      </c>
      <c r="X954" t="s">
        <v>280</v>
      </c>
      <c r="Y954">
        <v>720</v>
      </c>
      <c r="AB954">
        <v>7.08</v>
      </c>
      <c r="AC954" t="s">
        <v>85</v>
      </c>
      <c r="AD954">
        <v>0.73</v>
      </c>
      <c r="AE954" t="s">
        <v>138</v>
      </c>
      <c r="AI954">
        <v>5</v>
      </c>
      <c r="AJ954" t="s">
        <v>201</v>
      </c>
      <c r="AT954" t="s">
        <v>150</v>
      </c>
      <c r="AV954" t="s">
        <v>88</v>
      </c>
    </row>
    <row r="955" spans="1:53" hidden="1" x14ac:dyDescent="0.3">
      <c r="A955" t="s">
        <v>419</v>
      </c>
      <c r="C955" t="s">
        <v>251</v>
      </c>
      <c r="D955" t="s">
        <v>81</v>
      </c>
      <c r="E955">
        <v>100000000</v>
      </c>
      <c r="H955">
        <v>14.25</v>
      </c>
      <c r="I955" t="s">
        <v>56</v>
      </c>
      <c r="J955">
        <v>1.4250000000000001E-3</v>
      </c>
      <c r="K955" t="s">
        <v>57</v>
      </c>
      <c r="O955">
        <v>9800</v>
      </c>
      <c r="P955" t="s">
        <v>315</v>
      </c>
      <c r="S955">
        <v>2</v>
      </c>
      <c r="T955">
        <v>22</v>
      </c>
      <c r="V955">
        <v>85</v>
      </c>
      <c r="W955" t="s">
        <v>74</v>
      </c>
      <c r="X955" t="s">
        <v>280</v>
      </c>
      <c r="Y955">
        <v>720</v>
      </c>
      <c r="AB955">
        <v>5.7</v>
      </c>
      <c r="AC955" t="s">
        <v>85</v>
      </c>
      <c r="AD955">
        <v>1.34</v>
      </c>
      <c r="AE955" t="s">
        <v>138</v>
      </c>
      <c r="AI955">
        <v>5</v>
      </c>
      <c r="AJ955" t="s">
        <v>201</v>
      </c>
      <c r="AT955" t="s">
        <v>75</v>
      </c>
      <c r="AV955" t="s">
        <v>88</v>
      </c>
    </row>
    <row r="956" spans="1:53" hidden="1" x14ac:dyDescent="0.3">
      <c r="A956" t="s">
        <v>419</v>
      </c>
      <c r="C956" t="s">
        <v>251</v>
      </c>
      <c r="D956" t="s">
        <v>81</v>
      </c>
      <c r="E956">
        <v>100000000</v>
      </c>
      <c r="H956">
        <v>14.25</v>
      </c>
      <c r="I956" t="s">
        <v>56</v>
      </c>
      <c r="J956">
        <v>1.4250000000000001E-3</v>
      </c>
      <c r="K956" t="s">
        <v>57</v>
      </c>
      <c r="O956">
        <v>9800</v>
      </c>
      <c r="P956" t="s">
        <v>315</v>
      </c>
      <c r="S956">
        <v>2</v>
      </c>
      <c r="T956">
        <v>22</v>
      </c>
      <c r="V956">
        <v>85</v>
      </c>
      <c r="W956" t="s">
        <v>72</v>
      </c>
      <c r="X956" t="s">
        <v>280</v>
      </c>
      <c r="Y956">
        <v>720</v>
      </c>
      <c r="AB956">
        <v>6.69</v>
      </c>
      <c r="AC956" t="s">
        <v>85</v>
      </c>
      <c r="AD956">
        <v>1.29</v>
      </c>
      <c r="AE956" t="s">
        <v>138</v>
      </c>
      <c r="AI956">
        <v>5</v>
      </c>
      <c r="AJ956" t="s">
        <v>201</v>
      </c>
      <c r="AT956" t="s">
        <v>73</v>
      </c>
      <c r="AV956" t="s">
        <v>88</v>
      </c>
    </row>
    <row r="957" spans="1:53" hidden="1" x14ac:dyDescent="0.3">
      <c r="A957" t="s">
        <v>419</v>
      </c>
      <c r="C957" t="s">
        <v>251</v>
      </c>
      <c r="D957" t="s">
        <v>81</v>
      </c>
      <c r="E957">
        <v>100000000</v>
      </c>
      <c r="H957">
        <v>14.25</v>
      </c>
      <c r="I957" t="s">
        <v>56</v>
      </c>
      <c r="J957">
        <v>1.4250000000000001E-3</v>
      </c>
      <c r="K957" t="s">
        <v>57</v>
      </c>
      <c r="O957">
        <v>9800</v>
      </c>
      <c r="P957" t="s">
        <v>315</v>
      </c>
      <c r="S957">
        <v>2</v>
      </c>
      <c r="T957">
        <v>22</v>
      </c>
      <c r="V957">
        <v>85</v>
      </c>
      <c r="W957" t="s">
        <v>420</v>
      </c>
      <c r="X957" t="s">
        <v>280</v>
      </c>
      <c r="Y957">
        <v>720</v>
      </c>
      <c r="AA957" t="s">
        <v>94</v>
      </c>
      <c r="AB957">
        <v>7.82</v>
      </c>
      <c r="AC957" t="s">
        <v>85</v>
      </c>
      <c r="AD957">
        <v>0.08</v>
      </c>
      <c r="AE957" t="s">
        <v>138</v>
      </c>
      <c r="AI957">
        <v>5</v>
      </c>
      <c r="AJ957" t="s">
        <v>201</v>
      </c>
      <c r="AV957" t="s">
        <v>88</v>
      </c>
      <c r="AZ957">
        <v>0</v>
      </c>
      <c r="BA957">
        <v>7.82</v>
      </c>
    </row>
    <row r="958" spans="1:53" hidden="1" x14ac:dyDescent="0.3">
      <c r="A958" t="s">
        <v>419</v>
      </c>
      <c r="C958" t="s">
        <v>251</v>
      </c>
      <c r="D958" t="s">
        <v>81</v>
      </c>
      <c r="E958">
        <v>100000000</v>
      </c>
      <c r="H958">
        <v>14.25</v>
      </c>
      <c r="I958" t="s">
        <v>56</v>
      </c>
      <c r="J958">
        <v>1.4250000000000001E-3</v>
      </c>
      <c r="K958" t="s">
        <v>57</v>
      </c>
      <c r="O958">
        <v>9800</v>
      </c>
      <c r="P958" t="s">
        <v>315</v>
      </c>
      <c r="S958">
        <v>2</v>
      </c>
      <c r="T958">
        <v>22</v>
      </c>
      <c r="V958">
        <v>85</v>
      </c>
      <c r="W958" t="s">
        <v>421</v>
      </c>
      <c r="X958" t="s">
        <v>280</v>
      </c>
      <c r="Y958">
        <v>720</v>
      </c>
      <c r="AB958">
        <v>6.31</v>
      </c>
      <c r="AC958" t="s">
        <v>85</v>
      </c>
      <c r="AD958">
        <v>0.69</v>
      </c>
      <c r="AE958" t="s">
        <v>138</v>
      </c>
      <c r="AI958">
        <v>5</v>
      </c>
      <c r="AJ958" t="s">
        <v>201</v>
      </c>
      <c r="AT958" t="s">
        <v>65</v>
      </c>
      <c r="AV958" t="s">
        <v>88</v>
      </c>
    </row>
    <row r="959" spans="1:53" hidden="1" x14ac:dyDescent="0.3">
      <c r="A959" t="s">
        <v>419</v>
      </c>
      <c r="C959" t="s">
        <v>251</v>
      </c>
      <c r="D959" t="s">
        <v>81</v>
      </c>
      <c r="E959">
        <v>100000000</v>
      </c>
      <c r="H959">
        <v>14.25</v>
      </c>
      <c r="I959" t="s">
        <v>56</v>
      </c>
      <c r="J959">
        <v>1.4250000000000001E-3</v>
      </c>
      <c r="K959" t="s">
        <v>57</v>
      </c>
      <c r="O959">
        <v>9800</v>
      </c>
      <c r="P959" t="s">
        <v>315</v>
      </c>
      <c r="S959">
        <v>2</v>
      </c>
      <c r="T959">
        <v>22</v>
      </c>
      <c r="V959">
        <v>85</v>
      </c>
      <c r="W959" t="s">
        <v>422</v>
      </c>
      <c r="X959" t="s">
        <v>280</v>
      </c>
      <c r="Y959">
        <v>720</v>
      </c>
      <c r="AA959" t="s">
        <v>94</v>
      </c>
      <c r="AB959">
        <v>6.87</v>
      </c>
      <c r="AC959" t="s">
        <v>85</v>
      </c>
      <c r="AD959">
        <v>0.14000000000000001</v>
      </c>
      <c r="AE959" t="s">
        <v>138</v>
      </c>
      <c r="AI959">
        <v>5</v>
      </c>
      <c r="AJ959" t="s">
        <v>201</v>
      </c>
      <c r="AT959" t="s">
        <v>79</v>
      </c>
      <c r="AV959" t="s">
        <v>88</v>
      </c>
      <c r="AZ959">
        <v>0</v>
      </c>
      <c r="BA959">
        <v>6.87</v>
      </c>
    </row>
    <row r="960" spans="1:53" hidden="1" x14ac:dyDescent="0.3">
      <c r="A960" t="s">
        <v>419</v>
      </c>
      <c r="C960" t="s">
        <v>251</v>
      </c>
      <c r="D960" t="s">
        <v>81</v>
      </c>
      <c r="E960">
        <v>100000000</v>
      </c>
      <c r="H960">
        <v>14.25</v>
      </c>
      <c r="I960" t="s">
        <v>56</v>
      </c>
      <c r="J960">
        <v>1.4250000000000001E-3</v>
      </c>
      <c r="K960" t="s">
        <v>57</v>
      </c>
      <c r="O960">
        <v>9800</v>
      </c>
      <c r="P960" t="s">
        <v>315</v>
      </c>
      <c r="S960">
        <v>2</v>
      </c>
      <c r="T960">
        <v>22</v>
      </c>
      <c r="V960">
        <v>85</v>
      </c>
      <c r="W960" t="s">
        <v>147</v>
      </c>
      <c r="X960" t="s">
        <v>280</v>
      </c>
      <c r="Y960">
        <v>360</v>
      </c>
      <c r="AA960" t="s">
        <v>94</v>
      </c>
      <c r="AB960">
        <v>7.28</v>
      </c>
      <c r="AC960" t="s">
        <v>85</v>
      </c>
      <c r="AD960">
        <v>0.15</v>
      </c>
      <c r="AE960" t="s">
        <v>138</v>
      </c>
      <c r="AI960">
        <v>5</v>
      </c>
      <c r="AJ960" t="s">
        <v>201</v>
      </c>
      <c r="AT960" t="s">
        <v>150</v>
      </c>
      <c r="AV960" t="s">
        <v>88</v>
      </c>
      <c r="AZ960">
        <v>0</v>
      </c>
      <c r="BA960">
        <v>7.28</v>
      </c>
    </row>
    <row r="961" spans="1:53" hidden="1" x14ac:dyDescent="0.3">
      <c r="A961" t="s">
        <v>419</v>
      </c>
      <c r="C961" t="s">
        <v>251</v>
      </c>
      <c r="D961" t="s">
        <v>81</v>
      </c>
      <c r="E961">
        <v>100000000</v>
      </c>
      <c r="H961">
        <v>14.25</v>
      </c>
      <c r="I961" t="s">
        <v>56</v>
      </c>
      <c r="J961">
        <v>1.4250000000000001E-3</v>
      </c>
      <c r="K961" t="s">
        <v>57</v>
      </c>
      <c r="O961">
        <v>9800</v>
      </c>
      <c r="P961" t="s">
        <v>315</v>
      </c>
      <c r="S961">
        <v>2</v>
      </c>
      <c r="T961">
        <v>22</v>
      </c>
      <c r="V961">
        <v>85</v>
      </c>
      <c r="W961" t="s">
        <v>74</v>
      </c>
      <c r="X961" t="s">
        <v>280</v>
      </c>
      <c r="Y961">
        <v>360</v>
      </c>
      <c r="AA961" t="s">
        <v>94</v>
      </c>
      <c r="AB961">
        <v>6.32</v>
      </c>
      <c r="AC961" t="s">
        <v>85</v>
      </c>
      <c r="AD961">
        <v>0.25</v>
      </c>
      <c r="AE961" t="s">
        <v>138</v>
      </c>
      <c r="AI961">
        <v>5</v>
      </c>
      <c r="AJ961" t="s">
        <v>201</v>
      </c>
      <c r="AT961" t="s">
        <v>75</v>
      </c>
      <c r="AV961" t="s">
        <v>88</v>
      </c>
      <c r="AZ961">
        <v>0</v>
      </c>
      <c r="BA961">
        <v>6.32</v>
      </c>
    </row>
    <row r="962" spans="1:53" hidden="1" x14ac:dyDescent="0.3">
      <c r="A962" t="s">
        <v>419</v>
      </c>
      <c r="C962" t="s">
        <v>251</v>
      </c>
      <c r="D962" t="s">
        <v>81</v>
      </c>
      <c r="E962">
        <v>100000000</v>
      </c>
      <c r="H962">
        <v>14.25</v>
      </c>
      <c r="I962" t="s">
        <v>56</v>
      </c>
      <c r="J962">
        <v>1.4250000000000001E-3</v>
      </c>
      <c r="K962" t="s">
        <v>57</v>
      </c>
      <c r="O962">
        <v>9800</v>
      </c>
      <c r="P962" t="s">
        <v>315</v>
      </c>
      <c r="S962">
        <v>2</v>
      </c>
      <c r="T962">
        <v>22</v>
      </c>
      <c r="V962">
        <v>85</v>
      </c>
      <c r="W962" t="s">
        <v>72</v>
      </c>
      <c r="X962" t="s">
        <v>280</v>
      </c>
      <c r="Y962">
        <v>360</v>
      </c>
      <c r="AB962">
        <v>4.97</v>
      </c>
      <c r="AC962" t="s">
        <v>85</v>
      </c>
      <c r="AD962">
        <v>0.52</v>
      </c>
      <c r="AE962" t="s">
        <v>138</v>
      </c>
      <c r="AI962">
        <v>5</v>
      </c>
      <c r="AJ962" t="s">
        <v>201</v>
      </c>
      <c r="AT962" t="s">
        <v>73</v>
      </c>
      <c r="AV962" t="s">
        <v>88</v>
      </c>
    </row>
    <row r="963" spans="1:53" hidden="1" x14ac:dyDescent="0.3">
      <c r="A963" t="s">
        <v>419</v>
      </c>
      <c r="C963" t="s">
        <v>251</v>
      </c>
      <c r="D963" t="s">
        <v>81</v>
      </c>
      <c r="E963">
        <v>100000000</v>
      </c>
      <c r="H963">
        <v>14.25</v>
      </c>
      <c r="I963" t="s">
        <v>56</v>
      </c>
      <c r="J963">
        <v>1.4250000000000001E-3</v>
      </c>
      <c r="K963" t="s">
        <v>57</v>
      </c>
      <c r="O963">
        <v>9800</v>
      </c>
      <c r="P963" t="s">
        <v>315</v>
      </c>
      <c r="S963">
        <v>2</v>
      </c>
      <c r="T963">
        <v>22</v>
      </c>
      <c r="V963">
        <v>85</v>
      </c>
      <c r="W963" t="s">
        <v>420</v>
      </c>
      <c r="X963" t="s">
        <v>280</v>
      </c>
      <c r="Y963">
        <v>360</v>
      </c>
      <c r="AB963">
        <v>3.23</v>
      </c>
      <c r="AC963" t="s">
        <v>85</v>
      </c>
      <c r="AD963">
        <v>0.26</v>
      </c>
      <c r="AE963" t="s">
        <v>138</v>
      </c>
      <c r="AI963">
        <v>5</v>
      </c>
      <c r="AJ963" t="s">
        <v>201</v>
      </c>
      <c r="AV963" t="s">
        <v>88</v>
      </c>
    </row>
    <row r="964" spans="1:53" hidden="1" x14ac:dyDescent="0.3">
      <c r="A964" t="s">
        <v>419</v>
      </c>
      <c r="C964" t="s">
        <v>251</v>
      </c>
      <c r="D964" t="s">
        <v>81</v>
      </c>
      <c r="E964">
        <v>100000000</v>
      </c>
      <c r="H964">
        <v>14.25</v>
      </c>
      <c r="I964" t="s">
        <v>56</v>
      </c>
      <c r="J964">
        <v>1.4250000000000001E-3</v>
      </c>
      <c r="K964" t="s">
        <v>57</v>
      </c>
      <c r="O964">
        <v>9800</v>
      </c>
      <c r="P964" t="s">
        <v>315</v>
      </c>
      <c r="S964">
        <v>2</v>
      </c>
      <c r="T964">
        <v>22</v>
      </c>
      <c r="V964">
        <v>85</v>
      </c>
      <c r="W964" t="s">
        <v>421</v>
      </c>
      <c r="X964" t="s">
        <v>280</v>
      </c>
      <c r="Y964">
        <v>360</v>
      </c>
      <c r="AB964">
        <v>5.86</v>
      </c>
      <c r="AC964" t="s">
        <v>85</v>
      </c>
      <c r="AD964">
        <v>1.05</v>
      </c>
      <c r="AE964" t="s">
        <v>138</v>
      </c>
      <c r="AI964">
        <v>5</v>
      </c>
      <c r="AJ964" t="s">
        <v>201</v>
      </c>
      <c r="AT964" t="s">
        <v>65</v>
      </c>
      <c r="AV964" t="s">
        <v>88</v>
      </c>
    </row>
    <row r="965" spans="1:53" hidden="1" x14ac:dyDescent="0.3">
      <c r="A965" t="s">
        <v>419</v>
      </c>
      <c r="C965" t="s">
        <v>251</v>
      </c>
      <c r="D965" t="s">
        <v>81</v>
      </c>
      <c r="E965">
        <v>100000000</v>
      </c>
      <c r="H965">
        <v>14.25</v>
      </c>
      <c r="I965" t="s">
        <v>56</v>
      </c>
      <c r="J965">
        <v>1.4250000000000001E-3</v>
      </c>
      <c r="K965" t="s">
        <v>57</v>
      </c>
      <c r="O965">
        <v>9800</v>
      </c>
      <c r="P965" t="s">
        <v>315</v>
      </c>
      <c r="S965">
        <v>2</v>
      </c>
      <c r="T965">
        <v>22</v>
      </c>
      <c r="V965">
        <v>85</v>
      </c>
      <c r="W965" t="s">
        <v>422</v>
      </c>
      <c r="X965" t="s">
        <v>280</v>
      </c>
      <c r="Y965">
        <v>360</v>
      </c>
      <c r="AA965" t="s">
        <v>94</v>
      </c>
      <c r="AB965">
        <v>5.97</v>
      </c>
      <c r="AC965" t="s">
        <v>85</v>
      </c>
      <c r="AD965">
        <v>0.13</v>
      </c>
      <c r="AE965" t="s">
        <v>138</v>
      </c>
      <c r="AI965">
        <v>5</v>
      </c>
      <c r="AJ965" t="s">
        <v>201</v>
      </c>
      <c r="AT965" t="s">
        <v>79</v>
      </c>
      <c r="AV965" t="s">
        <v>88</v>
      </c>
      <c r="AZ965">
        <v>0</v>
      </c>
      <c r="BA965">
        <v>5.97</v>
      </c>
    </row>
    <row r="966" spans="1:53" hidden="1" x14ac:dyDescent="0.3">
      <c r="A966" t="s">
        <v>419</v>
      </c>
      <c r="C966" t="s">
        <v>251</v>
      </c>
      <c r="D966" t="s">
        <v>81</v>
      </c>
      <c r="E966">
        <v>100000000</v>
      </c>
      <c r="H966">
        <v>14.25</v>
      </c>
      <c r="I966" t="s">
        <v>56</v>
      </c>
      <c r="J966">
        <v>1.4250000000000001E-3</v>
      </c>
      <c r="K966" t="s">
        <v>57</v>
      </c>
      <c r="O966">
        <v>9800</v>
      </c>
      <c r="P966" t="s">
        <v>315</v>
      </c>
      <c r="S966">
        <v>2</v>
      </c>
      <c r="T966">
        <v>22</v>
      </c>
      <c r="V966">
        <v>85</v>
      </c>
      <c r="W966" t="s">
        <v>147</v>
      </c>
      <c r="X966" t="s">
        <v>280</v>
      </c>
      <c r="Y966">
        <v>540</v>
      </c>
      <c r="AB966">
        <v>6.11</v>
      </c>
      <c r="AC966" t="s">
        <v>85</v>
      </c>
      <c r="AD966">
        <v>0.97</v>
      </c>
      <c r="AE966" t="s">
        <v>138</v>
      </c>
      <c r="AI966">
        <v>5</v>
      </c>
      <c r="AJ966" t="s">
        <v>201</v>
      </c>
      <c r="AT966" t="s">
        <v>150</v>
      </c>
      <c r="AV966" t="s">
        <v>88</v>
      </c>
    </row>
    <row r="967" spans="1:53" hidden="1" x14ac:dyDescent="0.3">
      <c r="A967" t="s">
        <v>419</v>
      </c>
      <c r="C967" t="s">
        <v>251</v>
      </c>
      <c r="D967" t="s">
        <v>81</v>
      </c>
      <c r="E967">
        <v>100000000</v>
      </c>
      <c r="H967">
        <v>14.25</v>
      </c>
      <c r="I967" t="s">
        <v>56</v>
      </c>
      <c r="J967">
        <v>1.4250000000000001E-3</v>
      </c>
      <c r="K967" t="s">
        <v>57</v>
      </c>
      <c r="O967">
        <v>9800</v>
      </c>
      <c r="P967" t="s">
        <v>315</v>
      </c>
      <c r="S967">
        <v>2</v>
      </c>
      <c r="T967">
        <v>22</v>
      </c>
      <c r="V967">
        <v>85</v>
      </c>
      <c r="W967" t="s">
        <v>74</v>
      </c>
      <c r="X967" t="s">
        <v>280</v>
      </c>
      <c r="Y967">
        <v>540</v>
      </c>
      <c r="AA967" t="s">
        <v>94</v>
      </c>
      <c r="AB967">
        <v>6.32</v>
      </c>
      <c r="AC967" t="s">
        <v>85</v>
      </c>
      <c r="AD967">
        <v>0.25</v>
      </c>
      <c r="AE967" t="s">
        <v>138</v>
      </c>
      <c r="AI967">
        <v>5</v>
      </c>
      <c r="AJ967" t="s">
        <v>201</v>
      </c>
      <c r="AT967" t="s">
        <v>75</v>
      </c>
      <c r="AV967" t="s">
        <v>88</v>
      </c>
      <c r="AZ967">
        <v>0</v>
      </c>
      <c r="BA967">
        <v>6.32</v>
      </c>
    </row>
    <row r="968" spans="1:53" hidden="1" x14ac:dyDescent="0.3">
      <c r="A968" t="s">
        <v>419</v>
      </c>
      <c r="C968" t="s">
        <v>251</v>
      </c>
      <c r="D968" t="s">
        <v>81</v>
      </c>
      <c r="E968">
        <v>100000000</v>
      </c>
      <c r="H968">
        <v>14.25</v>
      </c>
      <c r="I968" t="s">
        <v>56</v>
      </c>
      <c r="J968">
        <v>1.4250000000000001E-3</v>
      </c>
      <c r="K968" t="s">
        <v>57</v>
      </c>
      <c r="O968">
        <v>9800</v>
      </c>
      <c r="P968" t="s">
        <v>315</v>
      </c>
      <c r="S968">
        <v>2</v>
      </c>
      <c r="T968">
        <v>22</v>
      </c>
      <c r="V968">
        <v>85</v>
      </c>
      <c r="W968" t="s">
        <v>72</v>
      </c>
      <c r="X968" t="s">
        <v>280</v>
      </c>
      <c r="Y968">
        <v>540</v>
      </c>
      <c r="AB968">
        <v>6.84</v>
      </c>
      <c r="AC968" t="s">
        <v>85</v>
      </c>
      <c r="AD968">
        <v>0.75</v>
      </c>
      <c r="AE968" t="s">
        <v>138</v>
      </c>
      <c r="AI968">
        <v>5</v>
      </c>
      <c r="AJ968" t="s">
        <v>201</v>
      </c>
      <c r="AT968" t="s">
        <v>73</v>
      </c>
      <c r="AV968" t="s">
        <v>88</v>
      </c>
    </row>
    <row r="969" spans="1:53" hidden="1" x14ac:dyDescent="0.3">
      <c r="A969" t="s">
        <v>419</v>
      </c>
      <c r="C969" t="s">
        <v>251</v>
      </c>
      <c r="D969" t="s">
        <v>81</v>
      </c>
      <c r="E969">
        <v>100000000</v>
      </c>
      <c r="H969">
        <v>14.25</v>
      </c>
      <c r="I969" t="s">
        <v>56</v>
      </c>
      <c r="J969">
        <v>1.4250000000000001E-3</v>
      </c>
      <c r="K969" t="s">
        <v>57</v>
      </c>
      <c r="O969">
        <v>9800</v>
      </c>
      <c r="P969" t="s">
        <v>315</v>
      </c>
      <c r="S969">
        <v>2</v>
      </c>
      <c r="T969">
        <v>22</v>
      </c>
      <c r="V969">
        <v>85</v>
      </c>
      <c r="W969" t="s">
        <v>420</v>
      </c>
      <c r="X969" t="s">
        <v>280</v>
      </c>
      <c r="Y969">
        <v>540</v>
      </c>
      <c r="AB969">
        <v>5.98</v>
      </c>
      <c r="AC969" t="s">
        <v>85</v>
      </c>
      <c r="AD969">
        <v>0.65</v>
      </c>
      <c r="AE969" t="s">
        <v>138</v>
      </c>
      <c r="AI969">
        <v>5</v>
      </c>
      <c r="AJ969" t="s">
        <v>201</v>
      </c>
      <c r="AV969" t="s">
        <v>88</v>
      </c>
    </row>
    <row r="970" spans="1:53" hidden="1" x14ac:dyDescent="0.3">
      <c r="A970" t="s">
        <v>419</v>
      </c>
      <c r="C970" t="s">
        <v>251</v>
      </c>
      <c r="D970" t="s">
        <v>81</v>
      </c>
      <c r="E970">
        <v>100000000</v>
      </c>
      <c r="H970">
        <v>14.25</v>
      </c>
      <c r="I970" t="s">
        <v>56</v>
      </c>
      <c r="J970">
        <v>1.4250000000000001E-3</v>
      </c>
      <c r="K970" t="s">
        <v>57</v>
      </c>
      <c r="O970">
        <v>9800</v>
      </c>
      <c r="P970" t="s">
        <v>315</v>
      </c>
      <c r="S970">
        <v>2</v>
      </c>
      <c r="T970">
        <v>22</v>
      </c>
      <c r="V970">
        <v>85</v>
      </c>
      <c r="W970" t="s">
        <v>421</v>
      </c>
      <c r="X970" t="s">
        <v>280</v>
      </c>
      <c r="Y970">
        <v>540</v>
      </c>
      <c r="AB970">
        <v>6.47</v>
      </c>
      <c r="AC970" t="s">
        <v>85</v>
      </c>
      <c r="AD970">
        <v>0.81</v>
      </c>
      <c r="AE970" t="s">
        <v>138</v>
      </c>
      <c r="AI970">
        <v>5</v>
      </c>
      <c r="AJ970" t="s">
        <v>201</v>
      </c>
      <c r="AT970" t="s">
        <v>65</v>
      </c>
      <c r="AV970" t="s">
        <v>88</v>
      </c>
    </row>
    <row r="971" spans="1:53" hidden="1" x14ac:dyDescent="0.3">
      <c r="A971" t="s">
        <v>419</v>
      </c>
      <c r="C971" t="s">
        <v>251</v>
      </c>
      <c r="D971" t="s">
        <v>81</v>
      </c>
      <c r="E971">
        <v>100000000</v>
      </c>
      <c r="H971">
        <v>14.25</v>
      </c>
      <c r="I971" t="s">
        <v>56</v>
      </c>
      <c r="J971">
        <v>1.4250000000000001E-3</v>
      </c>
      <c r="K971" t="s">
        <v>57</v>
      </c>
      <c r="O971">
        <v>9800</v>
      </c>
      <c r="P971" t="s">
        <v>315</v>
      </c>
      <c r="S971">
        <v>2</v>
      </c>
      <c r="T971">
        <v>22</v>
      </c>
      <c r="V971">
        <v>85</v>
      </c>
      <c r="W971" t="s">
        <v>422</v>
      </c>
      <c r="X971" t="s">
        <v>280</v>
      </c>
      <c r="Y971">
        <v>540</v>
      </c>
      <c r="AA971" t="s">
        <v>94</v>
      </c>
      <c r="AB971">
        <v>5.97</v>
      </c>
      <c r="AC971" t="s">
        <v>85</v>
      </c>
      <c r="AD971">
        <v>0.13</v>
      </c>
      <c r="AE971" t="s">
        <v>138</v>
      </c>
      <c r="AI971">
        <v>5</v>
      </c>
      <c r="AJ971" t="s">
        <v>201</v>
      </c>
      <c r="AT971" t="s">
        <v>79</v>
      </c>
      <c r="AV971" t="s">
        <v>88</v>
      </c>
      <c r="AZ971">
        <v>0</v>
      </c>
      <c r="BA971">
        <v>5.97</v>
      </c>
    </row>
    <row r="972" spans="1:53" hidden="1" x14ac:dyDescent="0.3">
      <c r="A972" t="s">
        <v>419</v>
      </c>
      <c r="C972" t="s">
        <v>251</v>
      </c>
      <c r="D972" t="s">
        <v>81</v>
      </c>
      <c r="E972">
        <v>100000000</v>
      </c>
      <c r="H972">
        <v>14.25</v>
      </c>
      <c r="I972" t="s">
        <v>56</v>
      </c>
      <c r="J972">
        <v>1.4250000000000001E-3</v>
      </c>
      <c r="K972" t="s">
        <v>57</v>
      </c>
      <c r="O972">
        <v>9800</v>
      </c>
      <c r="P972" t="s">
        <v>315</v>
      </c>
      <c r="S972">
        <v>2</v>
      </c>
      <c r="T972">
        <v>22</v>
      </c>
      <c r="V972">
        <v>85</v>
      </c>
      <c r="W972" t="s">
        <v>147</v>
      </c>
      <c r="X972" t="s">
        <v>280</v>
      </c>
      <c r="Y972">
        <v>720</v>
      </c>
      <c r="AB972">
        <v>6.47</v>
      </c>
      <c r="AC972" t="s">
        <v>85</v>
      </c>
      <c r="AD972">
        <v>0.99</v>
      </c>
      <c r="AE972" t="s">
        <v>138</v>
      </c>
      <c r="AI972">
        <v>5</v>
      </c>
      <c r="AJ972" t="s">
        <v>201</v>
      </c>
      <c r="AT972" t="s">
        <v>150</v>
      </c>
      <c r="AV972" t="s">
        <v>88</v>
      </c>
    </row>
    <row r="973" spans="1:53" hidden="1" x14ac:dyDescent="0.3">
      <c r="A973" t="s">
        <v>419</v>
      </c>
      <c r="C973" t="s">
        <v>251</v>
      </c>
      <c r="D973" t="s">
        <v>81</v>
      </c>
      <c r="E973">
        <v>100000000</v>
      </c>
      <c r="H973">
        <v>14.25</v>
      </c>
      <c r="I973" t="s">
        <v>56</v>
      </c>
      <c r="J973">
        <v>1.4250000000000001E-3</v>
      </c>
      <c r="K973" t="s">
        <v>57</v>
      </c>
      <c r="O973">
        <v>9800</v>
      </c>
      <c r="P973" t="s">
        <v>315</v>
      </c>
      <c r="S973">
        <v>2</v>
      </c>
      <c r="T973">
        <v>22</v>
      </c>
      <c r="V973">
        <v>85</v>
      </c>
      <c r="W973" t="s">
        <v>74</v>
      </c>
      <c r="X973" t="s">
        <v>280</v>
      </c>
      <c r="Y973">
        <v>720</v>
      </c>
      <c r="AA973" t="s">
        <v>94</v>
      </c>
      <c r="AB973">
        <v>6.32</v>
      </c>
      <c r="AC973" t="s">
        <v>85</v>
      </c>
      <c r="AD973">
        <v>0.25</v>
      </c>
      <c r="AE973" t="s">
        <v>138</v>
      </c>
      <c r="AI973">
        <v>5</v>
      </c>
      <c r="AJ973" t="s">
        <v>201</v>
      </c>
      <c r="AT973" t="s">
        <v>75</v>
      </c>
      <c r="AV973" t="s">
        <v>88</v>
      </c>
      <c r="AZ973">
        <v>0</v>
      </c>
      <c r="BA973">
        <v>6.32</v>
      </c>
    </row>
    <row r="974" spans="1:53" hidden="1" x14ac:dyDescent="0.3">
      <c r="A974" t="s">
        <v>419</v>
      </c>
      <c r="C974" t="s">
        <v>251</v>
      </c>
      <c r="D974" t="s">
        <v>81</v>
      </c>
      <c r="E974">
        <v>100000000</v>
      </c>
      <c r="H974">
        <v>14.25</v>
      </c>
      <c r="I974" t="s">
        <v>56</v>
      </c>
      <c r="J974">
        <v>1.4250000000000001E-3</v>
      </c>
      <c r="K974" t="s">
        <v>57</v>
      </c>
      <c r="O974">
        <v>9800</v>
      </c>
      <c r="P974" t="s">
        <v>315</v>
      </c>
      <c r="S974">
        <v>2</v>
      </c>
      <c r="T974">
        <v>22</v>
      </c>
      <c r="V974">
        <v>85</v>
      </c>
      <c r="W974" t="s">
        <v>72</v>
      </c>
      <c r="X974" t="s">
        <v>280</v>
      </c>
      <c r="Y974">
        <v>720</v>
      </c>
      <c r="AB974">
        <v>7.05</v>
      </c>
      <c r="AC974" t="s">
        <v>85</v>
      </c>
      <c r="AD974">
        <v>0.8</v>
      </c>
      <c r="AE974" t="s">
        <v>138</v>
      </c>
      <c r="AI974">
        <v>5</v>
      </c>
      <c r="AJ974" t="s">
        <v>201</v>
      </c>
      <c r="AT974" t="s">
        <v>73</v>
      </c>
      <c r="AV974" t="s">
        <v>88</v>
      </c>
    </row>
    <row r="975" spans="1:53" hidden="1" x14ac:dyDescent="0.3">
      <c r="A975" t="s">
        <v>419</v>
      </c>
      <c r="C975" t="s">
        <v>251</v>
      </c>
      <c r="D975" t="s">
        <v>81</v>
      </c>
      <c r="E975">
        <v>100000000</v>
      </c>
      <c r="H975">
        <v>14.25</v>
      </c>
      <c r="I975" t="s">
        <v>56</v>
      </c>
      <c r="J975">
        <v>1.4250000000000001E-3</v>
      </c>
      <c r="K975" t="s">
        <v>57</v>
      </c>
      <c r="O975">
        <v>9800</v>
      </c>
      <c r="P975" t="s">
        <v>315</v>
      </c>
      <c r="S975">
        <v>2</v>
      </c>
      <c r="T975">
        <v>22</v>
      </c>
      <c r="V975">
        <v>85</v>
      </c>
      <c r="W975" t="s">
        <v>420</v>
      </c>
      <c r="X975" t="s">
        <v>280</v>
      </c>
      <c r="Y975">
        <v>720</v>
      </c>
      <c r="AA975" t="s">
        <v>94</v>
      </c>
      <c r="AB975">
        <v>7.26</v>
      </c>
      <c r="AC975" t="s">
        <v>85</v>
      </c>
      <c r="AD975">
        <v>0.15</v>
      </c>
      <c r="AE975" t="s">
        <v>138</v>
      </c>
      <c r="AI975">
        <v>5</v>
      </c>
      <c r="AJ975" t="s">
        <v>201</v>
      </c>
      <c r="AV975" t="s">
        <v>88</v>
      </c>
      <c r="AZ975">
        <v>0</v>
      </c>
      <c r="BA975">
        <v>7.26</v>
      </c>
    </row>
    <row r="976" spans="1:53" hidden="1" x14ac:dyDescent="0.3">
      <c r="A976" t="s">
        <v>419</v>
      </c>
      <c r="C976" t="s">
        <v>251</v>
      </c>
      <c r="D976" t="s">
        <v>81</v>
      </c>
      <c r="E976">
        <v>100000000</v>
      </c>
      <c r="H976">
        <v>14.25</v>
      </c>
      <c r="I976" t="s">
        <v>56</v>
      </c>
      <c r="J976">
        <v>1.4250000000000001E-3</v>
      </c>
      <c r="K976" t="s">
        <v>57</v>
      </c>
      <c r="O976">
        <v>9800</v>
      </c>
      <c r="P976" t="s">
        <v>315</v>
      </c>
      <c r="S976">
        <v>2</v>
      </c>
      <c r="T976">
        <v>22</v>
      </c>
      <c r="V976">
        <v>85</v>
      </c>
      <c r="W976" t="s">
        <v>421</v>
      </c>
      <c r="X976" t="s">
        <v>280</v>
      </c>
      <c r="Y976">
        <v>720</v>
      </c>
      <c r="AB976">
        <v>6.66</v>
      </c>
      <c r="AC976" t="s">
        <v>85</v>
      </c>
      <c r="AD976">
        <v>0.95</v>
      </c>
      <c r="AE976" t="s">
        <v>138</v>
      </c>
      <c r="AI976">
        <v>5</v>
      </c>
      <c r="AJ976" t="s">
        <v>201</v>
      </c>
      <c r="AT976" t="s">
        <v>65</v>
      </c>
      <c r="AV976" t="s">
        <v>88</v>
      </c>
    </row>
    <row r="977" spans="1:53" hidden="1" x14ac:dyDescent="0.3">
      <c r="A977" t="s">
        <v>419</v>
      </c>
      <c r="C977" t="s">
        <v>251</v>
      </c>
      <c r="D977" t="s">
        <v>81</v>
      </c>
      <c r="E977">
        <v>100000000</v>
      </c>
      <c r="H977">
        <v>14.25</v>
      </c>
      <c r="I977" t="s">
        <v>56</v>
      </c>
      <c r="J977">
        <v>1.4250000000000001E-3</v>
      </c>
      <c r="K977" t="s">
        <v>57</v>
      </c>
      <c r="O977">
        <v>9800</v>
      </c>
      <c r="P977" t="s">
        <v>315</v>
      </c>
      <c r="S977">
        <v>2</v>
      </c>
      <c r="T977">
        <v>22</v>
      </c>
      <c r="V977">
        <v>85</v>
      </c>
      <c r="W977" t="s">
        <v>422</v>
      </c>
      <c r="X977" t="s">
        <v>280</v>
      </c>
      <c r="Y977">
        <v>720</v>
      </c>
      <c r="AA977" t="s">
        <v>94</v>
      </c>
      <c r="AB977">
        <v>5.97</v>
      </c>
      <c r="AC977" t="s">
        <v>85</v>
      </c>
      <c r="AD977">
        <v>0.13</v>
      </c>
      <c r="AE977" t="s">
        <v>138</v>
      </c>
      <c r="AI977">
        <v>5</v>
      </c>
      <c r="AJ977" t="s">
        <v>201</v>
      </c>
      <c r="AT977" t="s">
        <v>79</v>
      </c>
      <c r="AV977" t="s">
        <v>88</v>
      </c>
      <c r="AZ977">
        <v>0</v>
      </c>
      <c r="BA977">
        <v>5.97</v>
      </c>
    </row>
    <row r="978" spans="1:53" hidden="1" x14ac:dyDescent="0.3">
      <c r="A978" t="s">
        <v>419</v>
      </c>
      <c r="C978" t="s">
        <v>251</v>
      </c>
      <c r="D978" t="s">
        <v>81</v>
      </c>
      <c r="E978">
        <v>100000000</v>
      </c>
      <c r="H978">
        <v>14.25</v>
      </c>
      <c r="I978" t="s">
        <v>56</v>
      </c>
      <c r="J978">
        <v>1.4250000000000001E-3</v>
      </c>
      <c r="K978" t="s">
        <v>57</v>
      </c>
      <c r="O978">
        <v>12000</v>
      </c>
      <c r="P978" t="s">
        <v>315</v>
      </c>
      <c r="S978">
        <v>2</v>
      </c>
      <c r="T978">
        <v>22</v>
      </c>
      <c r="V978">
        <v>85</v>
      </c>
      <c r="W978" t="s">
        <v>147</v>
      </c>
      <c r="X978" t="s">
        <v>280</v>
      </c>
      <c r="Y978">
        <v>360</v>
      </c>
      <c r="AB978">
        <v>6.08</v>
      </c>
      <c r="AC978" t="s">
        <v>85</v>
      </c>
      <c r="AD978">
        <v>1.26</v>
      </c>
      <c r="AE978" t="s">
        <v>138</v>
      </c>
      <c r="AI978">
        <v>5</v>
      </c>
      <c r="AJ978" t="s">
        <v>201</v>
      </c>
      <c r="AT978" t="s">
        <v>150</v>
      </c>
      <c r="AV978" t="s">
        <v>88</v>
      </c>
    </row>
    <row r="979" spans="1:53" hidden="1" x14ac:dyDescent="0.3">
      <c r="A979" t="s">
        <v>419</v>
      </c>
      <c r="C979" t="s">
        <v>251</v>
      </c>
      <c r="D979" t="s">
        <v>81</v>
      </c>
      <c r="E979">
        <v>100000000</v>
      </c>
      <c r="H979">
        <v>14.25</v>
      </c>
      <c r="I979" t="s">
        <v>56</v>
      </c>
      <c r="J979">
        <v>1.4250000000000001E-3</v>
      </c>
      <c r="K979" t="s">
        <v>57</v>
      </c>
      <c r="O979">
        <v>12000</v>
      </c>
      <c r="P979" t="s">
        <v>315</v>
      </c>
      <c r="S979">
        <v>2</v>
      </c>
      <c r="T979">
        <v>22</v>
      </c>
      <c r="V979">
        <v>85</v>
      </c>
      <c r="W979" t="s">
        <v>74</v>
      </c>
      <c r="X979" t="s">
        <v>280</v>
      </c>
      <c r="Y979">
        <v>360</v>
      </c>
      <c r="AB979">
        <v>2.8</v>
      </c>
      <c r="AC979" t="s">
        <v>85</v>
      </c>
      <c r="AD979">
        <v>0.19</v>
      </c>
      <c r="AE979" t="s">
        <v>138</v>
      </c>
      <c r="AI979">
        <v>5</v>
      </c>
      <c r="AJ979" t="s">
        <v>201</v>
      </c>
      <c r="AT979" t="s">
        <v>75</v>
      </c>
      <c r="AV979" t="s">
        <v>88</v>
      </c>
    </row>
    <row r="980" spans="1:53" hidden="1" x14ac:dyDescent="0.3">
      <c r="A980" t="s">
        <v>419</v>
      </c>
      <c r="C980" t="s">
        <v>251</v>
      </c>
      <c r="D980" t="s">
        <v>81</v>
      </c>
      <c r="E980">
        <v>100000000</v>
      </c>
      <c r="H980">
        <v>14.25</v>
      </c>
      <c r="I980" t="s">
        <v>56</v>
      </c>
      <c r="J980">
        <v>1.4250000000000001E-3</v>
      </c>
      <c r="K980" t="s">
        <v>57</v>
      </c>
      <c r="O980">
        <v>12000</v>
      </c>
      <c r="P980" t="s">
        <v>315</v>
      </c>
      <c r="S980">
        <v>2</v>
      </c>
      <c r="T980">
        <v>22</v>
      </c>
      <c r="V980">
        <v>85</v>
      </c>
      <c r="W980" t="s">
        <v>72</v>
      </c>
      <c r="X980" t="s">
        <v>280</v>
      </c>
      <c r="Y980">
        <v>360</v>
      </c>
      <c r="AB980">
        <v>3.69</v>
      </c>
      <c r="AC980" t="s">
        <v>85</v>
      </c>
      <c r="AD980">
        <v>0.14000000000000001</v>
      </c>
      <c r="AE980" t="s">
        <v>138</v>
      </c>
      <c r="AI980">
        <v>5</v>
      </c>
      <c r="AJ980" t="s">
        <v>201</v>
      </c>
      <c r="AT980" t="s">
        <v>73</v>
      </c>
      <c r="AV980" t="s">
        <v>88</v>
      </c>
    </row>
    <row r="981" spans="1:53" hidden="1" x14ac:dyDescent="0.3">
      <c r="A981" t="s">
        <v>419</v>
      </c>
      <c r="C981" t="s">
        <v>251</v>
      </c>
      <c r="D981" t="s">
        <v>81</v>
      </c>
      <c r="E981">
        <v>100000000</v>
      </c>
      <c r="H981">
        <v>14.25</v>
      </c>
      <c r="I981" t="s">
        <v>56</v>
      </c>
      <c r="J981">
        <v>1.4250000000000001E-3</v>
      </c>
      <c r="K981" t="s">
        <v>57</v>
      </c>
      <c r="O981">
        <v>12000</v>
      </c>
      <c r="P981" t="s">
        <v>315</v>
      </c>
      <c r="S981">
        <v>2</v>
      </c>
      <c r="T981">
        <v>22</v>
      </c>
      <c r="V981">
        <v>85</v>
      </c>
      <c r="W981" t="s">
        <v>420</v>
      </c>
      <c r="X981" t="s">
        <v>280</v>
      </c>
      <c r="Y981">
        <v>360</v>
      </c>
      <c r="AA981" t="s">
        <v>94</v>
      </c>
      <c r="AB981">
        <v>7.8</v>
      </c>
      <c r="AC981" t="s">
        <v>85</v>
      </c>
      <c r="AD981">
        <v>7.0000000000000007E-2</v>
      </c>
      <c r="AE981" t="s">
        <v>138</v>
      </c>
      <c r="AI981">
        <v>5</v>
      </c>
      <c r="AJ981" t="s">
        <v>201</v>
      </c>
      <c r="AV981" t="s">
        <v>88</v>
      </c>
      <c r="AZ981">
        <v>0</v>
      </c>
      <c r="BA981">
        <v>7.8</v>
      </c>
    </row>
    <row r="982" spans="1:53" hidden="1" x14ac:dyDescent="0.3">
      <c r="A982" t="s">
        <v>419</v>
      </c>
      <c r="C982" t="s">
        <v>251</v>
      </c>
      <c r="D982" t="s">
        <v>81</v>
      </c>
      <c r="E982">
        <v>100000000</v>
      </c>
      <c r="H982">
        <v>14.25</v>
      </c>
      <c r="I982" t="s">
        <v>56</v>
      </c>
      <c r="J982">
        <v>1.4250000000000001E-3</v>
      </c>
      <c r="K982" t="s">
        <v>57</v>
      </c>
      <c r="O982">
        <v>12000</v>
      </c>
      <c r="P982" t="s">
        <v>315</v>
      </c>
      <c r="S982">
        <v>2</v>
      </c>
      <c r="T982">
        <v>22</v>
      </c>
      <c r="V982">
        <v>85</v>
      </c>
      <c r="W982" t="s">
        <v>421</v>
      </c>
      <c r="X982" t="s">
        <v>280</v>
      </c>
      <c r="Y982">
        <v>360</v>
      </c>
      <c r="AB982">
        <v>4.6900000000000004</v>
      </c>
      <c r="AC982" t="s">
        <v>85</v>
      </c>
      <c r="AD982">
        <v>0.28999999999999998</v>
      </c>
      <c r="AE982" t="s">
        <v>138</v>
      </c>
      <c r="AI982">
        <v>5</v>
      </c>
      <c r="AJ982" t="s">
        <v>201</v>
      </c>
      <c r="AT982" t="s">
        <v>65</v>
      </c>
      <c r="AV982" t="s">
        <v>88</v>
      </c>
    </row>
    <row r="983" spans="1:53" hidden="1" x14ac:dyDescent="0.3">
      <c r="A983" t="s">
        <v>419</v>
      </c>
      <c r="C983" t="s">
        <v>251</v>
      </c>
      <c r="D983" t="s">
        <v>81</v>
      </c>
      <c r="E983">
        <v>100000000</v>
      </c>
      <c r="H983">
        <v>14.25</v>
      </c>
      <c r="I983" t="s">
        <v>56</v>
      </c>
      <c r="J983">
        <v>1.4250000000000001E-3</v>
      </c>
      <c r="K983" t="s">
        <v>57</v>
      </c>
      <c r="O983">
        <v>12000</v>
      </c>
      <c r="P983" t="s">
        <v>315</v>
      </c>
      <c r="S983">
        <v>2</v>
      </c>
      <c r="T983">
        <v>22</v>
      </c>
      <c r="V983">
        <v>85</v>
      </c>
      <c r="W983" t="s">
        <v>422</v>
      </c>
      <c r="X983" t="s">
        <v>280</v>
      </c>
      <c r="Y983">
        <v>360</v>
      </c>
      <c r="AA983" t="s">
        <v>94</v>
      </c>
      <c r="AB983">
        <v>6.57</v>
      </c>
      <c r="AC983" t="s">
        <v>85</v>
      </c>
      <c r="AD983">
        <v>0.06</v>
      </c>
      <c r="AE983" t="s">
        <v>138</v>
      </c>
      <c r="AI983">
        <v>5</v>
      </c>
      <c r="AJ983" t="s">
        <v>201</v>
      </c>
      <c r="AT983" t="s">
        <v>79</v>
      </c>
      <c r="AV983" t="s">
        <v>88</v>
      </c>
      <c r="AZ983">
        <v>0</v>
      </c>
      <c r="BA983">
        <v>6.57</v>
      </c>
    </row>
    <row r="984" spans="1:53" hidden="1" x14ac:dyDescent="0.3">
      <c r="A984" t="s">
        <v>419</v>
      </c>
      <c r="C984" t="s">
        <v>251</v>
      </c>
      <c r="D984" t="s">
        <v>81</v>
      </c>
      <c r="E984">
        <v>100000000</v>
      </c>
      <c r="H984">
        <v>14.25</v>
      </c>
      <c r="I984" t="s">
        <v>56</v>
      </c>
      <c r="J984">
        <v>1.4250000000000001E-3</v>
      </c>
      <c r="K984" t="s">
        <v>57</v>
      </c>
      <c r="O984">
        <v>12000</v>
      </c>
      <c r="P984" t="s">
        <v>315</v>
      </c>
      <c r="S984">
        <v>2</v>
      </c>
      <c r="T984">
        <v>22</v>
      </c>
      <c r="V984">
        <v>85</v>
      </c>
      <c r="W984" t="s">
        <v>147</v>
      </c>
      <c r="X984" t="s">
        <v>280</v>
      </c>
      <c r="Y984">
        <v>540</v>
      </c>
      <c r="AB984">
        <v>7.3</v>
      </c>
      <c r="AC984" t="s">
        <v>85</v>
      </c>
      <c r="AD984">
        <v>0.6</v>
      </c>
      <c r="AE984" t="s">
        <v>138</v>
      </c>
      <c r="AI984">
        <v>5</v>
      </c>
      <c r="AJ984" t="s">
        <v>201</v>
      </c>
      <c r="AT984" t="s">
        <v>150</v>
      </c>
      <c r="AV984" t="s">
        <v>88</v>
      </c>
    </row>
    <row r="985" spans="1:53" hidden="1" x14ac:dyDescent="0.3">
      <c r="A985" t="s">
        <v>419</v>
      </c>
      <c r="C985" t="s">
        <v>251</v>
      </c>
      <c r="D985" t="s">
        <v>81</v>
      </c>
      <c r="E985">
        <v>100000000</v>
      </c>
      <c r="H985">
        <v>14.25</v>
      </c>
      <c r="I985" t="s">
        <v>56</v>
      </c>
      <c r="J985">
        <v>1.4250000000000001E-3</v>
      </c>
      <c r="K985" t="s">
        <v>57</v>
      </c>
      <c r="O985">
        <v>12000</v>
      </c>
      <c r="P985" t="s">
        <v>315</v>
      </c>
      <c r="S985">
        <v>2</v>
      </c>
      <c r="T985">
        <v>22</v>
      </c>
      <c r="V985">
        <v>85</v>
      </c>
      <c r="W985" t="s">
        <v>74</v>
      </c>
      <c r="X985" t="s">
        <v>280</v>
      </c>
      <c r="Y985">
        <v>540</v>
      </c>
      <c r="AB985">
        <v>3.77</v>
      </c>
      <c r="AC985" t="s">
        <v>85</v>
      </c>
      <c r="AD985">
        <v>0.95</v>
      </c>
      <c r="AE985" t="s">
        <v>138</v>
      </c>
      <c r="AI985">
        <v>5</v>
      </c>
      <c r="AJ985" t="s">
        <v>201</v>
      </c>
      <c r="AT985" t="s">
        <v>75</v>
      </c>
      <c r="AV985" t="s">
        <v>88</v>
      </c>
    </row>
    <row r="986" spans="1:53" hidden="1" x14ac:dyDescent="0.3">
      <c r="A986" t="s">
        <v>419</v>
      </c>
      <c r="C986" t="s">
        <v>251</v>
      </c>
      <c r="D986" t="s">
        <v>81</v>
      </c>
      <c r="E986">
        <v>100000000</v>
      </c>
      <c r="H986">
        <v>14.25</v>
      </c>
      <c r="I986" t="s">
        <v>56</v>
      </c>
      <c r="J986">
        <v>1.4250000000000001E-3</v>
      </c>
      <c r="K986" t="s">
        <v>57</v>
      </c>
      <c r="O986">
        <v>12000</v>
      </c>
      <c r="P986" t="s">
        <v>315</v>
      </c>
      <c r="S986">
        <v>2</v>
      </c>
      <c r="T986">
        <v>22</v>
      </c>
      <c r="V986">
        <v>85</v>
      </c>
      <c r="W986" t="s">
        <v>72</v>
      </c>
      <c r="X986" t="s">
        <v>280</v>
      </c>
      <c r="Y986">
        <v>540</v>
      </c>
      <c r="AB986">
        <v>4.05</v>
      </c>
      <c r="AC986" t="s">
        <v>85</v>
      </c>
      <c r="AD986">
        <v>0.47</v>
      </c>
      <c r="AE986" t="s">
        <v>138</v>
      </c>
      <c r="AI986">
        <v>5</v>
      </c>
      <c r="AJ986" t="s">
        <v>201</v>
      </c>
      <c r="AT986" t="s">
        <v>73</v>
      </c>
      <c r="AV986" t="s">
        <v>88</v>
      </c>
    </row>
    <row r="987" spans="1:53" hidden="1" x14ac:dyDescent="0.3">
      <c r="A987" t="s">
        <v>419</v>
      </c>
      <c r="C987" t="s">
        <v>251</v>
      </c>
      <c r="D987" t="s">
        <v>81</v>
      </c>
      <c r="E987">
        <v>100000000</v>
      </c>
      <c r="H987">
        <v>14.25</v>
      </c>
      <c r="I987" t="s">
        <v>56</v>
      </c>
      <c r="J987">
        <v>1.4250000000000001E-3</v>
      </c>
      <c r="K987" t="s">
        <v>57</v>
      </c>
      <c r="O987">
        <v>12000</v>
      </c>
      <c r="P987" t="s">
        <v>315</v>
      </c>
      <c r="S987">
        <v>2</v>
      </c>
      <c r="T987">
        <v>22</v>
      </c>
      <c r="V987">
        <v>85</v>
      </c>
      <c r="W987" t="s">
        <v>420</v>
      </c>
      <c r="X987" t="s">
        <v>280</v>
      </c>
      <c r="Y987">
        <v>540</v>
      </c>
      <c r="AA987" t="s">
        <v>94</v>
      </c>
      <c r="AB987">
        <v>7.8</v>
      </c>
      <c r="AC987" t="s">
        <v>85</v>
      </c>
      <c r="AD987">
        <v>7.0000000000000007E-2</v>
      </c>
      <c r="AE987" t="s">
        <v>138</v>
      </c>
      <c r="AI987">
        <v>5</v>
      </c>
      <c r="AJ987" t="s">
        <v>201</v>
      </c>
      <c r="AV987" t="s">
        <v>88</v>
      </c>
      <c r="AZ987">
        <v>0</v>
      </c>
      <c r="BA987">
        <v>7.8</v>
      </c>
    </row>
    <row r="988" spans="1:53" hidden="1" x14ac:dyDescent="0.3">
      <c r="A988" t="s">
        <v>419</v>
      </c>
      <c r="C988" t="s">
        <v>251</v>
      </c>
      <c r="D988" t="s">
        <v>81</v>
      </c>
      <c r="E988">
        <v>100000000</v>
      </c>
      <c r="H988">
        <v>14.25</v>
      </c>
      <c r="I988" t="s">
        <v>56</v>
      </c>
      <c r="J988">
        <v>1.4250000000000001E-3</v>
      </c>
      <c r="K988" t="s">
        <v>57</v>
      </c>
      <c r="O988">
        <v>12000</v>
      </c>
      <c r="P988" t="s">
        <v>315</v>
      </c>
      <c r="S988">
        <v>2</v>
      </c>
      <c r="T988">
        <v>22</v>
      </c>
      <c r="V988">
        <v>85</v>
      </c>
      <c r="W988" t="s">
        <v>421</v>
      </c>
      <c r="X988" t="s">
        <v>280</v>
      </c>
      <c r="Y988">
        <v>540</v>
      </c>
      <c r="AB988">
        <v>6.42</v>
      </c>
      <c r="AC988" t="s">
        <v>85</v>
      </c>
      <c r="AD988">
        <v>1.1200000000000001</v>
      </c>
      <c r="AE988" t="s">
        <v>138</v>
      </c>
      <c r="AI988">
        <v>5</v>
      </c>
      <c r="AJ988" t="s">
        <v>201</v>
      </c>
      <c r="AT988" t="s">
        <v>65</v>
      </c>
      <c r="AV988" t="s">
        <v>88</v>
      </c>
    </row>
    <row r="989" spans="1:53" hidden="1" x14ac:dyDescent="0.3">
      <c r="A989" t="s">
        <v>419</v>
      </c>
      <c r="C989" t="s">
        <v>251</v>
      </c>
      <c r="D989" t="s">
        <v>81</v>
      </c>
      <c r="E989">
        <v>100000000</v>
      </c>
      <c r="H989">
        <v>14.25</v>
      </c>
      <c r="I989" t="s">
        <v>56</v>
      </c>
      <c r="J989">
        <v>1.4250000000000001E-3</v>
      </c>
      <c r="K989" t="s">
        <v>57</v>
      </c>
      <c r="O989">
        <v>12000</v>
      </c>
      <c r="P989" t="s">
        <v>315</v>
      </c>
      <c r="S989">
        <v>2</v>
      </c>
      <c r="T989">
        <v>22</v>
      </c>
      <c r="V989">
        <v>85</v>
      </c>
      <c r="W989" t="s">
        <v>422</v>
      </c>
      <c r="X989" t="s">
        <v>280</v>
      </c>
      <c r="Y989">
        <v>540</v>
      </c>
      <c r="AA989" t="s">
        <v>94</v>
      </c>
      <c r="AB989">
        <v>6.57</v>
      </c>
      <c r="AC989" t="s">
        <v>85</v>
      </c>
      <c r="AD989">
        <v>0.06</v>
      </c>
      <c r="AE989" t="s">
        <v>138</v>
      </c>
      <c r="AI989">
        <v>5</v>
      </c>
      <c r="AJ989" t="s">
        <v>201</v>
      </c>
      <c r="AT989" t="s">
        <v>79</v>
      </c>
      <c r="AV989" t="s">
        <v>88</v>
      </c>
      <c r="AZ989">
        <v>0</v>
      </c>
      <c r="BA989">
        <v>6.57</v>
      </c>
    </row>
    <row r="990" spans="1:53" hidden="1" x14ac:dyDescent="0.3">
      <c r="A990" t="s">
        <v>419</v>
      </c>
      <c r="C990" t="s">
        <v>251</v>
      </c>
      <c r="D990" t="s">
        <v>81</v>
      </c>
      <c r="E990">
        <v>100000000</v>
      </c>
      <c r="H990">
        <v>14.25</v>
      </c>
      <c r="I990" t="s">
        <v>56</v>
      </c>
      <c r="J990">
        <v>1.4250000000000001E-3</v>
      </c>
      <c r="K990" t="s">
        <v>57</v>
      </c>
      <c r="O990">
        <v>12000</v>
      </c>
      <c r="P990" t="s">
        <v>315</v>
      </c>
      <c r="S990">
        <v>2</v>
      </c>
      <c r="T990">
        <v>22</v>
      </c>
      <c r="V990">
        <v>85</v>
      </c>
      <c r="W990" t="s">
        <v>147</v>
      </c>
      <c r="X990" t="s">
        <v>280</v>
      </c>
      <c r="Y990">
        <v>720</v>
      </c>
      <c r="AA990" t="s">
        <v>94</v>
      </c>
      <c r="AB990">
        <v>7.6</v>
      </c>
      <c r="AC990" t="s">
        <v>85</v>
      </c>
      <c r="AD990">
        <v>0.08</v>
      </c>
      <c r="AE990" t="s">
        <v>138</v>
      </c>
      <c r="AI990">
        <v>5</v>
      </c>
      <c r="AJ990" t="s">
        <v>201</v>
      </c>
      <c r="AT990" t="s">
        <v>150</v>
      </c>
      <c r="AV990" t="s">
        <v>88</v>
      </c>
      <c r="AZ990">
        <v>0</v>
      </c>
      <c r="BA990">
        <v>7.6</v>
      </c>
    </row>
    <row r="991" spans="1:53" hidden="1" x14ac:dyDescent="0.3">
      <c r="A991" t="s">
        <v>419</v>
      </c>
      <c r="C991" t="s">
        <v>251</v>
      </c>
      <c r="D991" t="s">
        <v>81</v>
      </c>
      <c r="E991">
        <v>100000000</v>
      </c>
      <c r="H991">
        <v>14.25</v>
      </c>
      <c r="I991" t="s">
        <v>56</v>
      </c>
      <c r="J991">
        <v>1.4250000000000001E-3</v>
      </c>
      <c r="K991" t="s">
        <v>57</v>
      </c>
      <c r="O991">
        <v>12000</v>
      </c>
      <c r="P991" t="s">
        <v>315</v>
      </c>
      <c r="S991">
        <v>2</v>
      </c>
      <c r="T991">
        <v>22</v>
      </c>
      <c r="V991">
        <v>85</v>
      </c>
      <c r="W991" t="s">
        <v>74</v>
      </c>
      <c r="X991" t="s">
        <v>280</v>
      </c>
      <c r="Y991">
        <v>720</v>
      </c>
      <c r="AB991">
        <v>3.13</v>
      </c>
      <c r="AC991" t="s">
        <v>85</v>
      </c>
      <c r="AD991">
        <v>0.35</v>
      </c>
      <c r="AE991" t="s">
        <v>138</v>
      </c>
      <c r="AI991">
        <v>5</v>
      </c>
      <c r="AJ991" t="s">
        <v>201</v>
      </c>
      <c r="AT991" t="s">
        <v>75</v>
      </c>
      <c r="AV991" t="s">
        <v>88</v>
      </c>
    </row>
    <row r="992" spans="1:53" hidden="1" x14ac:dyDescent="0.3">
      <c r="A992" t="s">
        <v>419</v>
      </c>
      <c r="C992" t="s">
        <v>251</v>
      </c>
      <c r="D992" t="s">
        <v>81</v>
      </c>
      <c r="E992">
        <v>100000000</v>
      </c>
      <c r="H992">
        <v>14.25</v>
      </c>
      <c r="I992" t="s">
        <v>56</v>
      </c>
      <c r="J992">
        <v>1.4250000000000001E-3</v>
      </c>
      <c r="K992" t="s">
        <v>57</v>
      </c>
      <c r="O992">
        <v>12000</v>
      </c>
      <c r="P992" t="s">
        <v>315</v>
      </c>
      <c r="S992">
        <v>2</v>
      </c>
      <c r="T992">
        <v>22</v>
      </c>
      <c r="V992">
        <v>85</v>
      </c>
      <c r="W992" t="s">
        <v>72</v>
      </c>
      <c r="X992" t="s">
        <v>280</v>
      </c>
      <c r="Y992">
        <v>720</v>
      </c>
      <c r="AB992">
        <v>4.72</v>
      </c>
      <c r="AC992" t="s">
        <v>85</v>
      </c>
      <c r="AD992">
        <v>0.65</v>
      </c>
      <c r="AE992" t="s">
        <v>138</v>
      </c>
      <c r="AI992">
        <v>5</v>
      </c>
      <c r="AJ992" t="s">
        <v>201</v>
      </c>
      <c r="AT992" t="s">
        <v>73</v>
      </c>
      <c r="AV992" t="s">
        <v>88</v>
      </c>
    </row>
    <row r="993" spans="1:53" hidden="1" x14ac:dyDescent="0.3">
      <c r="A993" t="s">
        <v>419</v>
      </c>
      <c r="C993" t="s">
        <v>251</v>
      </c>
      <c r="D993" t="s">
        <v>81</v>
      </c>
      <c r="E993">
        <v>100000000</v>
      </c>
      <c r="H993">
        <v>14.25</v>
      </c>
      <c r="I993" t="s">
        <v>56</v>
      </c>
      <c r="J993">
        <v>1.4250000000000001E-3</v>
      </c>
      <c r="K993" t="s">
        <v>57</v>
      </c>
      <c r="O993">
        <v>12000</v>
      </c>
      <c r="P993" t="s">
        <v>315</v>
      </c>
      <c r="S993">
        <v>2</v>
      </c>
      <c r="T993">
        <v>22</v>
      </c>
      <c r="V993">
        <v>85</v>
      </c>
      <c r="W993" t="s">
        <v>420</v>
      </c>
      <c r="X993" t="s">
        <v>280</v>
      </c>
      <c r="Y993">
        <v>720</v>
      </c>
      <c r="AA993" t="s">
        <v>94</v>
      </c>
      <c r="AB993">
        <v>7.8</v>
      </c>
      <c r="AC993" t="s">
        <v>85</v>
      </c>
      <c r="AD993">
        <v>7.0000000000000007E-2</v>
      </c>
      <c r="AE993" t="s">
        <v>138</v>
      </c>
      <c r="AI993">
        <v>5</v>
      </c>
      <c r="AJ993" t="s">
        <v>201</v>
      </c>
      <c r="AV993" t="s">
        <v>88</v>
      </c>
      <c r="AZ993">
        <v>0</v>
      </c>
      <c r="BA993">
        <v>7.8</v>
      </c>
    </row>
    <row r="994" spans="1:53" hidden="1" x14ac:dyDescent="0.3">
      <c r="A994" t="s">
        <v>419</v>
      </c>
      <c r="C994" t="s">
        <v>251</v>
      </c>
      <c r="D994" t="s">
        <v>81</v>
      </c>
      <c r="E994">
        <v>100000000</v>
      </c>
      <c r="H994">
        <v>14.25</v>
      </c>
      <c r="I994" t="s">
        <v>56</v>
      </c>
      <c r="J994">
        <v>1.4250000000000001E-3</v>
      </c>
      <c r="K994" t="s">
        <v>57</v>
      </c>
      <c r="O994">
        <v>12000</v>
      </c>
      <c r="P994" t="s">
        <v>315</v>
      </c>
      <c r="S994">
        <v>2</v>
      </c>
      <c r="T994">
        <v>22</v>
      </c>
      <c r="V994">
        <v>85</v>
      </c>
      <c r="W994" t="s">
        <v>421</v>
      </c>
      <c r="X994" t="s">
        <v>280</v>
      </c>
      <c r="Y994">
        <v>720</v>
      </c>
      <c r="AB994">
        <v>6.26</v>
      </c>
      <c r="AC994" t="s">
        <v>85</v>
      </c>
      <c r="AD994">
        <v>1.39</v>
      </c>
      <c r="AE994" t="s">
        <v>138</v>
      </c>
      <c r="AI994">
        <v>5</v>
      </c>
      <c r="AJ994" t="s">
        <v>201</v>
      </c>
      <c r="AT994" t="s">
        <v>65</v>
      </c>
      <c r="AV994" t="s">
        <v>88</v>
      </c>
    </row>
    <row r="995" spans="1:53" hidden="1" x14ac:dyDescent="0.3">
      <c r="A995" t="s">
        <v>419</v>
      </c>
      <c r="C995" t="s">
        <v>251</v>
      </c>
      <c r="D995" t="s">
        <v>81</v>
      </c>
      <c r="E995">
        <v>100000000</v>
      </c>
      <c r="H995">
        <v>14.25</v>
      </c>
      <c r="I995" t="s">
        <v>56</v>
      </c>
      <c r="J995">
        <v>1.4250000000000001E-3</v>
      </c>
      <c r="K995" t="s">
        <v>57</v>
      </c>
      <c r="O995">
        <v>12000</v>
      </c>
      <c r="P995" t="s">
        <v>315</v>
      </c>
      <c r="S995">
        <v>2</v>
      </c>
      <c r="T995">
        <v>22</v>
      </c>
      <c r="V995">
        <v>85</v>
      </c>
      <c r="W995" t="s">
        <v>422</v>
      </c>
      <c r="X995" t="s">
        <v>280</v>
      </c>
      <c r="Y995">
        <v>720</v>
      </c>
      <c r="AA995" t="s">
        <v>94</v>
      </c>
      <c r="AB995">
        <v>6.57</v>
      </c>
      <c r="AC995" t="s">
        <v>85</v>
      </c>
      <c r="AD995">
        <v>0.06</v>
      </c>
      <c r="AE995" t="s">
        <v>138</v>
      </c>
      <c r="AI995">
        <v>5</v>
      </c>
      <c r="AJ995" t="s">
        <v>201</v>
      </c>
      <c r="AT995" t="s">
        <v>79</v>
      </c>
      <c r="AV995" t="s">
        <v>88</v>
      </c>
      <c r="AZ995">
        <v>0</v>
      </c>
      <c r="BA995">
        <v>6.57</v>
      </c>
    </row>
    <row r="996" spans="1:53" hidden="1" x14ac:dyDescent="0.3">
      <c r="A996" t="s">
        <v>213</v>
      </c>
      <c r="C996" t="s">
        <v>251</v>
      </c>
      <c r="D996" t="s">
        <v>81</v>
      </c>
      <c r="E996">
        <v>100000000</v>
      </c>
      <c r="H996">
        <v>1.8</v>
      </c>
      <c r="I996" t="s">
        <v>215</v>
      </c>
      <c r="J996">
        <v>1.1612879999999999E-3</v>
      </c>
      <c r="K996" t="s">
        <v>57</v>
      </c>
      <c r="N996" t="s">
        <v>424</v>
      </c>
      <c r="O996">
        <v>212</v>
      </c>
      <c r="P996" t="s">
        <v>262</v>
      </c>
      <c r="S996" t="s">
        <v>425</v>
      </c>
      <c r="T996">
        <v>25</v>
      </c>
      <c r="V996">
        <v>79.3</v>
      </c>
      <c r="W996" t="s">
        <v>217</v>
      </c>
      <c r="X996" t="s">
        <v>426</v>
      </c>
      <c r="Y996">
        <v>2160</v>
      </c>
      <c r="AB996">
        <v>7.41</v>
      </c>
      <c r="AC996" t="s">
        <v>85</v>
      </c>
      <c r="AD996" t="s">
        <v>427</v>
      </c>
      <c r="AE996" t="s">
        <v>138</v>
      </c>
      <c r="AI996">
        <v>5</v>
      </c>
      <c r="AJ996" t="s">
        <v>201</v>
      </c>
      <c r="AT996" t="s">
        <v>221</v>
      </c>
      <c r="AU996">
        <v>0</v>
      </c>
      <c r="AV996" t="s">
        <v>428</v>
      </c>
      <c r="AX996">
        <v>212</v>
      </c>
    </row>
    <row r="997" spans="1:53" hidden="1" x14ac:dyDescent="0.3">
      <c r="A997" t="s">
        <v>213</v>
      </c>
      <c r="C997" t="s">
        <v>251</v>
      </c>
      <c r="D997" t="s">
        <v>81</v>
      </c>
      <c r="E997">
        <v>100000000</v>
      </c>
      <c r="H997">
        <v>1.8</v>
      </c>
      <c r="I997" t="s">
        <v>215</v>
      </c>
      <c r="J997">
        <v>1.1612879999999999E-3</v>
      </c>
      <c r="K997" t="s">
        <v>57</v>
      </c>
      <c r="N997" t="s">
        <v>424</v>
      </c>
      <c r="O997">
        <v>212</v>
      </c>
      <c r="P997" t="s">
        <v>262</v>
      </c>
      <c r="S997" t="s">
        <v>425</v>
      </c>
      <c r="T997">
        <v>25</v>
      </c>
      <c r="V997">
        <v>82.8</v>
      </c>
      <c r="W997" t="s">
        <v>217</v>
      </c>
      <c r="X997" t="s">
        <v>426</v>
      </c>
      <c r="Y997">
        <v>2160</v>
      </c>
      <c r="AB997">
        <v>7.4</v>
      </c>
      <c r="AC997" t="s">
        <v>85</v>
      </c>
      <c r="AD997" t="s">
        <v>429</v>
      </c>
      <c r="AE997" t="s">
        <v>138</v>
      </c>
      <c r="AH997">
        <v>7.77</v>
      </c>
      <c r="AI997">
        <v>5</v>
      </c>
      <c r="AJ997" t="s">
        <v>201</v>
      </c>
      <c r="AT997" t="s">
        <v>221</v>
      </c>
      <c r="AU997">
        <v>0</v>
      </c>
      <c r="AV997" t="s">
        <v>428</v>
      </c>
      <c r="AX997">
        <v>212</v>
      </c>
      <c r="BA997">
        <v>7.77</v>
      </c>
    </row>
    <row r="998" spans="1:53" hidden="1" x14ac:dyDescent="0.3">
      <c r="A998" t="s">
        <v>213</v>
      </c>
      <c r="C998" t="s">
        <v>251</v>
      </c>
      <c r="D998" t="s">
        <v>81</v>
      </c>
      <c r="E998">
        <v>100000000</v>
      </c>
      <c r="H998">
        <v>1.8</v>
      </c>
      <c r="I998" t="s">
        <v>215</v>
      </c>
      <c r="J998">
        <v>1.1612879999999999E-3</v>
      </c>
      <c r="K998" t="s">
        <v>57</v>
      </c>
      <c r="N998" t="s">
        <v>424</v>
      </c>
      <c r="O998">
        <v>212</v>
      </c>
      <c r="P998" t="s">
        <v>262</v>
      </c>
      <c r="S998" t="s">
        <v>425</v>
      </c>
      <c r="T998">
        <v>25</v>
      </c>
      <c r="V998">
        <v>54.5</v>
      </c>
      <c r="W998" t="s">
        <v>430</v>
      </c>
      <c r="X998" t="s">
        <v>426</v>
      </c>
      <c r="Y998">
        <v>2160</v>
      </c>
      <c r="AB998">
        <v>5.87</v>
      </c>
      <c r="AC998" t="s">
        <v>85</v>
      </c>
      <c r="AD998" t="s">
        <v>431</v>
      </c>
      <c r="AE998" t="s">
        <v>138</v>
      </c>
      <c r="AI998">
        <v>5</v>
      </c>
      <c r="AJ998" t="s">
        <v>201</v>
      </c>
      <c r="AU998">
        <v>0</v>
      </c>
      <c r="AV998" t="s">
        <v>428</v>
      </c>
      <c r="AX998">
        <v>212</v>
      </c>
    </row>
    <row r="999" spans="1:53" hidden="1" x14ac:dyDescent="0.3">
      <c r="A999" t="s">
        <v>213</v>
      </c>
      <c r="C999" t="s">
        <v>251</v>
      </c>
      <c r="D999" t="s">
        <v>81</v>
      </c>
      <c r="E999">
        <v>100000000</v>
      </c>
      <c r="H999">
        <v>1.8</v>
      </c>
      <c r="I999" t="s">
        <v>215</v>
      </c>
      <c r="J999">
        <v>1.1612879999999999E-3</v>
      </c>
      <c r="K999" t="s">
        <v>57</v>
      </c>
      <c r="N999" t="s">
        <v>424</v>
      </c>
      <c r="O999">
        <v>100</v>
      </c>
      <c r="P999" t="s">
        <v>262</v>
      </c>
      <c r="S999" t="s">
        <v>425</v>
      </c>
      <c r="T999">
        <v>25</v>
      </c>
      <c r="V999">
        <v>76.900000000000006</v>
      </c>
      <c r="W999" t="s">
        <v>217</v>
      </c>
      <c r="X999" t="s">
        <v>426</v>
      </c>
      <c r="Y999">
        <v>2160</v>
      </c>
      <c r="AB999">
        <v>1.45</v>
      </c>
      <c r="AC999" t="s">
        <v>85</v>
      </c>
      <c r="AD999" t="s">
        <v>237</v>
      </c>
      <c r="AE999" t="s">
        <v>138</v>
      </c>
      <c r="AI999">
        <v>5</v>
      </c>
      <c r="AJ999" t="s">
        <v>201</v>
      </c>
      <c r="AT999" t="s">
        <v>221</v>
      </c>
      <c r="AU999">
        <v>0</v>
      </c>
      <c r="AV999" t="s">
        <v>428</v>
      </c>
      <c r="AX999">
        <v>100</v>
      </c>
    </row>
    <row r="1000" spans="1:53" hidden="1" x14ac:dyDescent="0.3">
      <c r="A1000" t="s">
        <v>213</v>
      </c>
      <c r="C1000" t="s">
        <v>251</v>
      </c>
      <c r="D1000" t="s">
        <v>81</v>
      </c>
      <c r="E1000">
        <v>100000000</v>
      </c>
      <c r="H1000">
        <v>1.8</v>
      </c>
      <c r="I1000" t="s">
        <v>215</v>
      </c>
      <c r="J1000">
        <v>1.1612879999999999E-3</v>
      </c>
      <c r="K1000" t="s">
        <v>57</v>
      </c>
      <c r="N1000" t="s">
        <v>424</v>
      </c>
      <c r="O1000">
        <v>100</v>
      </c>
      <c r="P1000" t="s">
        <v>262</v>
      </c>
      <c r="S1000" t="s">
        <v>425</v>
      </c>
      <c r="T1000">
        <v>25</v>
      </c>
      <c r="V1000">
        <v>85.1</v>
      </c>
      <c r="W1000" t="s">
        <v>217</v>
      </c>
      <c r="X1000" t="s">
        <v>426</v>
      </c>
      <c r="Y1000">
        <v>2160</v>
      </c>
      <c r="AB1000">
        <v>1</v>
      </c>
      <c r="AC1000" t="s">
        <v>85</v>
      </c>
      <c r="AD1000" t="s">
        <v>248</v>
      </c>
      <c r="AE1000" t="s">
        <v>138</v>
      </c>
      <c r="AI1000">
        <v>5</v>
      </c>
      <c r="AJ1000" t="s">
        <v>201</v>
      </c>
      <c r="AT1000" t="s">
        <v>221</v>
      </c>
      <c r="AU1000">
        <v>0</v>
      </c>
      <c r="AV1000" t="s">
        <v>428</v>
      </c>
      <c r="AX1000">
        <v>100</v>
      </c>
    </row>
    <row r="1001" spans="1:53" hidden="1" x14ac:dyDescent="0.3">
      <c r="A1001" t="s">
        <v>213</v>
      </c>
      <c r="C1001" t="s">
        <v>251</v>
      </c>
      <c r="D1001" t="s">
        <v>81</v>
      </c>
      <c r="E1001">
        <v>100000000</v>
      </c>
      <c r="H1001">
        <v>1.8</v>
      </c>
      <c r="I1001" t="s">
        <v>215</v>
      </c>
      <c r="J1001">
        <v>1.1612879999999999E-3</v>
      </c>
      <c r="K1001" t="s">
        <v>57</v>
      </c>
      <c r="N1001" t="s">
        <v>424</v>
      </c>
      <c r="O1001">
        <v>180</v>
      </c>
      <c r="P1001" t="s">
        <v>262</v>
      </c>
      <c r="S1001" t="s">
        <v>425</v>
      </c>
      <c r="T1001">
        <v>25</v>
      </c>
      <c r="V1001">
        <v>82</v>
      </c>
      <c r="W1001" t="s">
        <v>217</v>
      </c>
      <c r="X1001" t="s">
        <v>426</v>
      </c>
      <c r="Y1001">
        <v>2160</v>
      </c>
      <c r="AB1001">
        <v>6.68</v>
      </c>
      <c r="AC1001" t="s">
        <v>85</v>
      </c>
      <c r="AD1001" t="s">
        <v>432</v>
      </c>
      <c r="AE1001" t="s">
        <v>138</v>
      </c>
      <c r="AI1001">
        <v>5</v>
      </c>
      <c r="AJ1001" t="s">
        <v>201</v>
      </c>
      <c r="AT1001" t="s">
        <v>221</v>
      </c>
      <c r="AU1001">
        <v>0</v>
      </c>
      <c r="AV1001" t="s">
        <v>428</v>
      </c>
      <c r="AX1001">
        <v>180</v>
      </c>
    </row>
    <row r="1002" spans="1:53" hidden="1" x14ac:dyDescent="0.3">
      <c r="A1002" t="s">
        <v>213</v>
      </c>
      <c r="C1002" t="s">
        <v>251</v>
      </c>
      <c r="D1002" t="s">
        <v>81</v>
      </c>
      <c r="E1002">
        <v>100000000</v>
      </c>
      <c r="H1002">
        <v>1.8</v>
      </c>
      <c r="I1002" t="s">
        <v>215</v>
      </c>
      <c r="J1002">
        <v>1.1612879999999999E-3</v>
      </c>
      <c r="K1002" t="s">
        <v>57</v>
      </c>
      <c r="N1002" t="s">
        <v>424</v>
      </c>
      <c r="O1002">
        <v>140</v>
      </c>
      <c r="P1002" t="s">
        <v>262</v>
      </c>
      <c r="S1002" t="s">
        <v>425</v>
      </c>
      <c r="T1002">
        <v>25</v>
      </c>
      <c r="V1002">
        <v>82.9</v>
      </c>
      <c r="W1002" t="s">
        <v>217</v>
      </c>
      <c r="X1002" t="s">
        <v>426</v>
      </c>
      <c r="Y1002">
        <v>2160</v>
      </c>
      <c r="AB1002">
        <v>3.46</v>
      </c>
      <c r="AC1002" t="s">
        <v>85</v>
      </c>
      <c r="AD1002" t="s">
        <v>240</v>
      </c>
      <c r="AE1002" t="s">
        <v>138</v>
      </c>
      <c r="AI1002">
        <v>5</v>
      </c>
      <c r="AJ1002" t="s">
        <v>201</v>
      </c>
      <c r="AT1002" t="s">
        <v>221</v>
      </c>
      <c r="AU1002">
        <v>0</v>
      </c>
      <c r="AV1002" t="s">
        <v>428</v>
      </c>
      <c r="AX1002">
        <v>140</v>
      </c>
    </row>
    <row r="1003" spans="1:53" hidden="1" x14ac:dyDescent="0.3">
      <c r="A1003" t="s">
        <v>213</v>
      </c>
      <c r="C1003" t="s">
        <v>251</v>
      </c>
      <c r="D1003" t="s">
        <v>81</v>
      </c>
      <c r="E1003">
        <v>100000000</v>
      </c>
      <c r="H1003">
        <v>1.8</v>
      </c>
      <c r="I1003" t="s">
        <v>215</v>
      </c>
      <c r="J1003">
        <v>1.1612879999999999E-3</v>
      </c>
      <c r="K1003" t="s">
        <v>57</v>
      </c>
      <c r="N1003" t="s">
        <v>424</v>
      </c>
      <c r="O1003">
        <v>212</v>
      </c>
      <c r="P1003" t="s">
        <v>262</v>
      </c>
      <c r="S1003" t="s">
        <v>425</v>
      </c>
      <c r="T1003">
        <v>25</v>
      </c>
      <c r="V1003">
        <v>76.2</v>
      </c>
      <c r="W1003" t="s">
        <v>217</v>
      </c>
      <c r="X1003" t="s">
        <v>426</v>
      </c>
      <c r="Y1003">
        <v>1440</v>
      </c>
      <c r="AB1003">
        <v>3.25</v>
      </c>
      <c r="AC1003" t="s">
        <v>85</v>
      </c>
      <c r="AD1003" t="s">
        <v>433</v>
      </c>
      <c r="AE1003" t="s">
        <v>138</v>
      </c>
      <c r="AI1003">
        <v>5</v>
      </c>
      <c r="AJ1003" t="s">
        <v>201</v>
      </c>
      <c r="AT1003" t="s">
        <v>221</v>
      </c>
      <c r="AU1003">
        <v>0</v>
      </c>
      <c r="AV1003" t="s">
        <v>428</v>
      </c>
      <c r="AX1003">
        <v>212</v>
      </c>
    </row>
    <row r="1004" spans="1:53" hidden="1" x14ac:dyDescent="0.3">
      <c r="A1004" t="s">
        <v>213</v>
      </c>
      <c r="C1004" t="s">
        <v>251</v>
      </c>
      <c r="D1004" t="s">
        <v>81</v>
      </c>
      <c r="E1004">
        <v>100000000</v>
      </c>
      <c r="H1004">
        <v>1.8</v>
      </c>
      <c r="I1004" t="s">
        <v>215</v>
      </c>
      <c r="J1004">
        <v>1.1612879999999999E-3</v>
      </c>
      <c r="K1004" t="s">
        <v>57</v>
      </c>
      <c r="N1004" t="s">
        <v>424</v>
      </c>
      <c r="O1004">
        <v>212</v>
      </c>
      <c r="P1004" t="s">
        <v>262</v>
      </c>
      <c r="S1004" t="s">
        <v>425</v>
      </c>
      <c r="T1004">
        <v>25</v>
      </c>
      <c r="V1004">
        <v>79.3</v>
      </c>
      <c r="W1004" t="s">
        <v>434</v>
      </c>
      <c r="X1004" t="s">
        <v>426</v>
      </c>
      <c r="Y1004">
        <v>2160</v>
      </c>
      <c r="AA1004" t="s">
        <v>94</v>
      </c>
      <c r="AB1004">
        <v>7.74</v>
      </c>
      <c r="AC1004" t="s">
        <v>85</v>
      </c>
      <c r="AD1004" t="s">
        <v>365</v>
      </c>
      <c r="AE1004" t="s">
        <v>138</v>
      </c>
      <c r="AI1004">
        <v>5</v>
      </c>
      <c r="AJ1004" t="s">
        <v>201</v>
      </c>
      <c r="AU1004">
        <v>0</v>
      </c>
      <c r="AV1004" t="s">
        <v>428</v>
      </c>
      <c r="AX1004">
        <v>212</v>
      </c>
      <c r="AZ1004">
        <v>0</v>
      </c>
      <c r="BA1004">
        <v>7.74</v>
      </c>
    </row>
    <row r="1005" spans="1:53" hidden="1" x14ac:dyDescent="0.3">
      <c r="A1005" t="s">
        <v>213</v>
      </c>
      <c r="C1005" t="s">
        <v>251</v>
      </c>
      <c r="D1005" t="s">
        <v>81</v>
      </c>
      <c r="E1005">
        <v>100000000</v>
      </c>
      <c r="H1005">
        <v>1.8</v>
      </c>
      <c r="I1005" t="s">
        <v>215</v>
      </c>
      <c r="J1005">
        <v>1.1612879999999999E-3</v>
      </c>
      <c r="K1005" t="s">
        <v>57</v>
      </c>
      <c r="N1005" t="s">
        <v>424</v>
      </c>
      <c r="O1005">
        <v>212</v>
      </c>
      <c r="P1005" t="s">
        <v>262</v>
      </c>
      <c r="S1005" t="s">
        <v>425</v>
      </c>
      <c r="T1005">
        <v>25</v>
      </c>
      <c r="V1005">
        <v>82.8</v>
      </c>
      <c r="W1005" t="s">
        <v>434</v>
      </c>
      <c r="X1005" t="s">
        <v>426</v>
      </c>
      <c r="Y1005">
        <v>2160</v>
      </c>
      <c r="AA1005" t="s">
        <v>94</v>
      </c>
      <c r="AB1005">
        <v>7.9</v>
      </c>
      <c r="AC1005" t="s">
        <v>85</v>
      </c>
      <c r="AD1005" t="s">
        <v>236</v>
      </c>
      <c r="AE1005" t="s">
        <v>138</v>
      </c>
      <c r="AI1005">
        <v>5</v>
      </c>
      <c r="AJ1005" t="s">
        <v>201</v>
      </c>
      <c r="AU1005">
        <v>0</v>
      </c>
      <c r="AV1005" t="s">
        <v>428</v>
      </c>
      <c r="AX1005">
        <v>212</v>
      </c>
      <c r="AZ1005">
        <v>0</v>
      </c>
      <c r="BA1005">
        <v>7.9</v>
      </c>
    </row>
    <row r="1006" spans="1:53" hidden="1" x14ac:dyDescent="0.3">
      <c r="A1006" t="s">
        <v>213</v>
      </c>
      <c r="C1006" t="s">
        <v>251</v>
      </c>
      <c r="D1006" t="s">
        <v>81</v>
      </c>
      <c r="E1006">
        <v>100000000</v>
      </c>
      <c r="H1006">
        <v>1.8</v>
      </c>
      <c r="I1006" t="s">
        <v>215</v>
      </c>
      <c r="J1006">
        <v>1.1612879999999999E-3</v>
      </c>
      <c r="K1006" t="s">
        <v>57</v>
      </c>
      <c r="N1006" t="s">
        <v>424</v>
      </c>
      <c r="O1006">
        <v>212</v>
      </c>
      <c r="P1006" t="s">
        <v>262</v>
      </c>
      <c r="S1006" t="s">
        <v>425</v>
      </c>
      <c r="T1006">
        <v>25</v>
      </c>
      <c r="V1006">
        <v>54.5</v>
      </c>
      <c r="W1006" t="s">
        <v>435</v>
      </c>
      <c r="X1006" t="s">
        <v>426</v>
      </c>
      <c r="Y1006">
        <v>2160</v>
      </c>
      <c r="AB1006">
        <v>7.46</v>
      </c>
      <c r="AC1006" t="s">
        <v>85</v>
      </c>
      <c r="AD1006" t="s">
        <v>328</v>
      </c>
      <c r="AE1006" t="s">
        <v>138</v>
      </c>
      <c r="AI1006">
        <v>5</v>
      </c>
      <c r="AJ1006" t="s">
        <v>201</v>
      </c>
      <c r="AU1006">
        <v>0</v>
      </c>
      <c r="AV1006" t="s">
        <v>428</v>
      </c>
      <c r="AX1006">
        <v>212</v>
      </c>
    </row>
    <row r="1007" spans="1:53" hidden="1" x14ac:dyDescent="0.3">
      <c r="A1007" t="s">
        <v>213</v>
      </c>
      <c r="C1007" t="s">
        <v>251</v>
      </c>
      <c r="D1007" t="s">
        <v>81</v>
      </c>
      <c r="E1007">
        <v>100000000</v>
      </c>
      <c r="H1007">
        <v>1.8</v>
      </c>
      <c r="I1007" t="s">
        <v>215</v>
      </c>
      <c r="J1007">
        <v>1.1612879999999999E-3</v>
      </c>
      <c r="K1007" t="s">
        <v>57</v>
      </c>
      <c r="N1007" t="s">
        <v>424</v>
      </c>
      <c r="O1007">
        <v>100</v>
      </c>
      <c r="P1007" t="s">
        <v>262</v>
      </c>
      <c r="S1007" t="s">
        <v>425</v>
      </c>
      <c r="T1007">
        <v>25</v>
      </c>
      <c r="V1007">
        <v>76.900000000000006</v>
      </c>
      <c r="W1007" t="s">
        <v>434</v>
      </c>
      <c r="X1007" t="s">
        <v>426</v>
      </c>
      <c r="Y1007">
        <v>2160</v>
      </c>
      <c r="AB1007">
        <v>2.34</v>
      </c>
      <c r="AC1007" t="s">
        <v>85</v>
      </c>
      <c r="AD1007" t="s">
        <v>436</v>
      </c>
      <c r="AE1007" t="s">
        <v>138</v>
      </c>
      <c r="AI1007">
        <v>5</v>
      </c>
      <c r="AJ1007" t="s">
        <v>201</v>
      </c>
      <c r="AU1007">
        <v>0</v>
      </c>
      <c r="AV1007" t="s">
        <v>428</v>
      </c>
      <c r="AX1007">
        <v>100</v>
      </c>
    </row>
    <row r="1008" spans="1:53" hidden="1" x14ac:dyDescent="0.3">
      <c r="A1008" t="s">
        <v>213</v>
      </c>
      <c r="C1008" t="s">
        <v>251</v>
      </c>
      <c r="D1008" t="s">
        <v>81</v>
      </c>
      <c r="E1008">
        <v>100000000</v>
      </c>
      <c r="H1008">
        <v>1.8</v>
      </c>
      <c r="I1008" t="s">
        <v>215</v>
      </c>
      <c r="J1008">
        <v>1.1612879999999999E-3</v>
      </c>
      <c r="K1008" t="s">
        <v>57</v>
      </c>
      <c r="N1008" t="s">
        <v>424</v>
      </c>
      <c r="O1008">
        <v>100</v>
      </c>
      <c r="P1008" t="s">
        <v>262</v>
      </c>
      <c r="S1008" t="s">
        <v>425</v>
      </c>
      <c r="T1008">
        <v>25</v>
      </c>
      <c r="V1008">
        <v>85.1</v>
      </c>
      <c r="W1008" t="s">
        <v>434</v>
      </c>
      <c r="X1008" t="s">
        <v>426</v>
      </c>
      <c r="Y1008">
        <v>2160</v>
      </c>
      <c r="AB1008">
        <v>1.4</v>
      </c>
      <c r="AC1008" t="s">
        <v>85</v>
      </c>
      <c r="AD1008" t="s">
        <v>437</v>
      </c>
      <c r="AE1008" t="s">
        <v>138</v>
      </c>
      <c r="AI1008">
        <v>5</v>
      </c>
      <c r="AJ1008" t="s">
        <v>201</v>
      </c>
      <c r="AU1008">
        <v>0</v>
      </c>
      <c r="AV1008" t="s">
        <v>428</v>
      </c>
      <c r="AX1008">
        <v>100</v>
      </c>
    </row>
    <row r="1009" spans="1:50" hidden="1" x14ac:dyDescent="0.3">
      <c r="A1009" t="s">
        <v>213</v>
      </c>
      <c r="C1009" t="s">
        <v>251</v>
      </c>
      <c r="D1009" t="s">
        <v>81</v>
      </c>
      <c r="E1009">
        <v>100000000</v>
      </c>
      <c r="H1009">
        <v>1.8</v>
      </c>
      <c r="I1009" t="s">
        <v>215</v>
      </c>
      <c r="J1009">
        <v>1.1612879999999999E-3</v>
      </c>
      <c r="K1009" t="s">
        <v>57</v>
      </c>
      <c r="N1009" t="s">
        <v>424</v>
      </c>
      <c r="O1009">
        <v>180</v>
      </c>
      <c r="P1009" t="s">
        <v>262</v>
      </c>
      <c r="S1009" t="s">
        <v>425</v>
      </c>
      <c r="T1009">
        <v>25</v>
      </c>
      <c r="V1009">
        <v>82</v>
      </c>
      <c r="W1009" t="s">
        <v>434</v>
      </c>
      <c r="X1009" t="s">
        <v>426</v>
      </c>
      <c r="Y1009">
        <v>2160</v>
      </c>
      <c r="AB1009">
        <v>6.26</v>
      </c>
      <c r="AC1009" t="s">
        <v>85</v>
      </c>
      <c r="AD1009" t="s">
        <v>438</v>
      </c>
      <c r="AE1009" t="s">
        <v>138</v>
      </c>
      <c r="AI1009">
        <v>5</v>
      </c>
      <c r="AJ1009" t="s">
        <v>201</v>
      </c>
      <c r="AU1009">
        <v>0</v>
      </c>
      <c r="AV1009" t="s">
        <v>428</v>
      </c>
      <c r="AX1009">
        <v>180</v>
      </c>
    </row>
    <row r="1010" spans="1:50" hidden="1" x14ac:dyDescent="0.3">
      <c r="A1010" t="s">
        <v>213</v>
      </c>
      <c r="C1010" t="s">
        <v>251</v>
      </c>
      <c r="D1010" t="s">
        <v>81</v>
      </c>
      <c r="E1010">
        <v>100000000</v>
      </c>
      <c r="H1010">
        <v>1.8</v>
      </c>
      <c r="I1010" t="s">
        <v>215</v>
      </c>
      <c r="J1010">
        <v>1.1612879999999999E-3</v>
      </c>
      <c r="K1010" t="s">
        <v>57</v>
      </c>
      <c r="N1010" t="s">
        <v>424</v>
      </c>
      <c r="O1010">
        <v>140</v>
      </c>
      <c r="P1010" t="s">
        <v>262</v>
      </c>
      <c r="S1010" t="s">
        <v>425</v>
      </c>
      <c r="T1010">
        <v>25</v>
      </c>
      <c r="V1010">
        <v>82.9</v>
      </c>
      <c r="W1010" t="s">
        <v>434</v>
      </c>
      <c r="X1010" t="s">
        <v>426</v>
      </c>
      <c r="Y1010">
        <v>2160</v>
      </c>
      <c r="AB1010">
        <v>6.19</v>
      </c>
      <c r="AC1010" t="s">
        <v>85</v>
      </c>
      <c r="AD1010" t="s">
        <v>439</v>
      </c>
      <c r="AE1010" t="s">
        <v>138</v>
      </c>
      <c r="AI1010">
        <v>5</v>
      </c>
      <c r="AJ1010" t="s">
        <v>201</v>
      </c>
      <c r="AU1010">
        <v>0</v>
      </c>
      <c r="AV1010" t="s">
        <v>428</v>
      </c>
      <c r="AX1010">
        <v>140</v>
      </c>
    </row>
    <row r="1011" spans="1:50" hidden="1" x14ac:dyDescent="0.3">
      <c r="A1011" t="s">
        <v>213</v>
      </c>
      <c r="C1011" t="s">
        <v>251</v>
      </c>
      <c r="D1011" t="s">
        <v>81</v>
      </c>
      <c r="E1011">
        <v>100000000</v>
      </c>
      <c r="H1011">
        <v>1.8</v>
      </c>
      <c r="I1011" t="s">
        <v>215</v>
      </c>
      <c r="J1011">
        <v>1.1612879999999999E-3</v>
      </c>
      <c r="K1011" t="s">
        <v>57</v>
      </c>
      <c r="N1011" t="s">
        <v>424</v>
      </c>
      <c r="O1011">
        <v>212</v>
      </c>
      <c r="P1011" t="s">
        <v>262</v>
      </c>
      <c r="S1011" t="s">
        <v>425</v>
      </c>
      <c r="T1011">
        <v>25</v>
      </c>
      <c r="V1011">
        <v>76.2</v>
      </c>
      <c r="W1011" t="s">
        <v>434</v>
      </c>
      <c r="X1011" t="s">
        <v>426</v>
      </c>
      <c r="Y1011">
        <v>1440</v>
      </c>
      <c r="AB1011">
        <v>7.17</v>
      </c>
      <c r="AC1011" t="s">
        <v>85</v>
      </c>
      <c r="AD1011" t="s">
        <v>440</v>
      </c>
      <c r="AE1011" t="s">
        <v>138</v>
      </c>
      <c r="AI1011">
        <v>5</v>
      </c>
      <c r="AJ1011" t="s">
        <v>201</v>
      </c>
      <c r="AU1011">
        <v>0</v>
      </c>
      <c r="AV1011" t="s">
        <v>428</v>
      </c>
      <c r="AX1011">
        <v>212</v>
      </c>
    </row>
    <row r="1012" spans="1:50" hidden="1" x14ac:dyDescent="0.3">
      <c r="A1012" t="s">
        <v>213</v>
      </c>
      <c r="C1012" t="s">
        <v>251</v>
      </c>
      <c r="D1012" t="s">
        <v>81</v>
      </c>
      <c r="E1012">
        <v>100000000</v>
      </c>
      <c r="H1012">
        <v>1.8</v>
      </c>
      <c r="I1012" t="s">
        <v>215</v>
      </c>
      <c r="J1012">
        <v>1.1612879999999999E-3</v>
      </c>
      <c r="K1012" t="s">
        <v>57</v>
      </c>
      <c r="N1012" t="s">
        <v>424</v>
      </c>
      <c r="O1012">
        <v>212</v>
      </c>
      <c r="P1012" t="s">
        <v>262</v>
      </c>
      <c r="S1012" t="s">
        <v>425</v>
      </c>
      <c r="T1012">
        <v>25</v>
      </c>
      <c r="V1012">
        <v>79.3</v>
      </c>
      <c r="W1012" t="s">
        <v>217</v>
      </c>
      <c r="X1012" t="s">
        <v>426</v>
      </c>
      <c r="Y1012">
        <v>2160</v>
      </c>
      <c r="AB1012">
        <v>2.13</v>
      </c>
      <c r="AC1012" t="s">
        <v>85</v>
      </c>
      <c r="AD1012" t="s">
        <v>418</v>
      </c>
      <c r="AE1012" t="s">
        <v>138</v>
      </c>
      <c r="AI1012">
        <v>5</v>
      </c>
      <c r="AJ1012" t="s">
        <v>201</v>
      </c>
      <c r="AT1012" t="s">
        <v>221</v>
      </c>
      <c r="AU1012">
        <v>0</v>
      </c>
      <c r="AV1012" t="s">
        <v>428</v>
      </c>
      <c r="AX1012">
        <v>212</v>
      </c>
    </row>
    <row r="1013" spans="1:50" hidden="1" x14ac:dyDescent="0.3">
      <c r="A1013" t="s">
        <v>213</v>
      </c>
      <c r="C1013" t="s">
        <v>251</v>
      </c>
      <c r="D1013" t="s">
        <v>81</v>
      </c>
      <c r="E1013">
        <v>100000000</v>
      </c>
      <c r="H1013">
        <v>1.8</v>
      </c>
      <c r="I1013" t="s">
        <v>215</v>
      </c>
      <c r="J1013">
        <v>1.1612879999999999E-3</v>
      </c>
      <c r="K1013" t="s">
        <v>57</v>
      </c>
      <c r="N1013" t="s">
        <v>424</v>
      </c>
      <c r="O1013">
        <v>212</v>
      </c>
      <c r="P1013" t="s">
        <v>262</v>
      </c>
      <c r="S1013" t="s">
        <v>425</v>
      </c>
      <c r="T1013">
        <v>25</v>
      </c>
      <c r="V1013">
        <v>82.8</v>
      </c>
      <c r="W1013" t="s">
        <v>217</v>
      </c>
      <c r="X1013" t="s">
        <v>426</v>
      </c>
      <c r="Y1013">
        <v>2160</v>
      </c>
      <c r="AB1013">
        <v>1.46</v>
      </c>
      <c r="AC1013" t="s">
        <v>85</v>
      </c>
      <c r="AD1013" t="s">
        <v>365</v>
      </c>
      <c r="AE1013" t="s">
        <v>138</v>
      </c>
      <c r="AI1013">
        <v>5</v>
      </c>
      <c r="AJ1013" t="s">
        <v>201</v>
      </c>
      <c r="AT1013" t="s">
        <v>221</v>
      </c>
      <c r="AU1013">
        <v>0</v>
      </c>
      <c r="AV1013" t="s">
        <v>428</v>
      </c>
      <c r="AX1013">
        <v>212</v>
      </c>
    </row>
    <row r="1014" spans="1:50" hidden="1" x14ac:dyDescent="0.3">
      <c r="A1014" t="s">
        <v>213</v>
      </c>
      <c r="C1014" t="s">
        <v>251</v>
      </c>
      <c r="D1014" t="s">
        <v>81</v>
      </c>
      <c r="E1014">
        <v>100000000</v>
      </c>
      <c r="H1014">
        <v>1.8</v>
      </c>
      <c r="I1014" t="s">
        <v>215</v>
      </c>
      <c r="J1014">
        <v>1.1612879999999999E-3</v>
      </c>
      <c r="K1014" t="s">
        <v>57</v>
      </c>
      <c r="N1014" t="s">
        <v>424</v>
      </c>
      <c r="O1014">
        <v>212</v>
      </c>
      <c r="P1014" t="s">
        <v>262</v>
      </c>
      <c r="S1014" t="s">
        <v>425</v>
      </c>
      <c r="T1014">
        <v>25</v>
      </c>
      <c r="V1014">
        <v>54.5</v>
      </c>
      <c r="W1014" t="s">
        <v>430</v>
      </c>
      <c r="X1014" t="s">
        <v>426</v>
      </c>
      <c r="Y1014">
        <v>2160</v>
      </c>
      <c r="AB1014">
        <v>0.78</v>
      </c>
      <c r="AC1014" t="s">
        <v>85</v>
      </c>
      <c r="AD1014" t="s">
        <v>418</v>
      </c>
      <c r="AE1014" t="s">
        <v>138</v>
      </c>
      <c r="AI1014">
        <v>5</v>
      </c>
      <c r="AJ1014" t="s">
        <v>201</v>
      </c>
      <c r="AU1014">
        <v>0</v>
      </c>
      <c r="AV1014" t="s">
        <v>428</v>
      </c>
      <c r="AX1014">
        <v>212</v>
      </c>
    </row>
    <row r="1015" spans="1:50" hidden="1" x14ac:dyDescent="0.3">
      <c r="A1015" t="s">
        <v>213</v>
      </c>
      <c r="C1015" t="s">
        <v>251</v>
      </c>
      <c r="D1015" t="s">
        <v>81</v>
      </c>
      <c r="E1015">
        <v>100000000</v>
      </c>
      <c r="H1015">
        <v>1.8</v>
      </c>
      <c r="I1015" t="s">
        <v>215</v>
      </c>
      <c r="J1015">
        <v>1.1612879999999999E-3</v>
      </c>
      <c r="K1015" t="s">
        <v>57</v>
      </c>
      <c r="N1015" t="s">
        <v>424</v>
      </c>
      <c r="O1015">
        <v>100</v>
      </c>
      <c r="P1015" t="s">
        <v>262</v>
      </c>
      <c r="S1015" t="s">
        <v>425</v>
      </c>
      <c r="T1015">
        <v>25</v>
      </c>
      <c r="V1015">
        <v>76.900000000000006</v>
      </c>
      <c r="W1015" t="s">
        <v>217</v>
      </c>
      <c r="X1015" t="s">
        <v>426</v>
      </c>
      <c r="Y1015">
        <v>2160</v>
      </c>
      <c r="AB1015">
        <v>0.32</v>
      </c>
      <c r="AC1015" t="s">
        <v>85</v>
      </c>
      <c r="AD1015" t="s">
        <v>103</v>
      </c>
      <c r="AE1015" t="s">
        <v>138</v>
      </c>
      <c r="AI1015">
        <v>5</v>
      </c>
      <c r="AJ1015" t="s">
        <v>201</v>
      </c>
      <c r="AT1015" t="s">
        <v>221</v>
      </c>
      <c r="AU1015">
        <v>0</v>
      </c>
      <c r="AV1015" t="s">
        <v>428</v>
      </c>
      <c r="AX1015">
        <v>100</v>
      </c>
    </row>
    <row r="1016" spans="1:50" hidden="1" x14ac:dyDescent="0.3">
      <c r="A1016" t="s">
        <v>213</v>
      </c>
      <c r="C1016" t="s">
        <v>251</v>
      </c>
      <c r="D1016" t="s">
        <v>81</v>
      </c>
      <c r="E1016">
        <v>100000000</v>
      </c>
      <c r="H1016">
        <v>1.8</v>
      </c>
      <c r="I1016" t="s">
        <v>215</v>
      </c>
      <c r="J1016">
        <v>1.1612879999999999E-3</v>
      </c>
      <c r="K1016" t="s">
        <v>57</v>
      </c>
      <c r="N1016" t="s">
        <v>424</v>
      </c>
      <c r="O1016">
        <v>100</v>
      </c>
      <c r="P1016" t="s">
        <v>262</v>
      </c>
      <c r="S1016" t="s">
        <v>425</v>
      </c>
      <c r="T1016">
        <v>25</v>
      </c>
      <c r="V1016">
        <v>85.1</v>
      </c>
      <c r="W1016" t="s">
        <v>217</v>
      </c>
      <c r="X1016" t="s">
        <v>426</v>
      </c>
      <c r="Y1016">
        <v>2160</v>
      </c>
      <c r="AB1016">
        <v>0</v>
      </c>
      <c r="AC1016" t="s">
        <v>85</v>
      </c>
      <c r="AD1016" t="s">
        <v>194</v>
      </c>
      <c r="AE1016" t="s">
        <v>138</v>
      </c>
      <c r="AI1016">
        <v>5</v>
      </c>
      <c r="AJ1016" t="s">
        <v>201</v>
      </c>
      <c r="AT1016" t="s">
        <v>221</v>
      </c>
      <c r="AU1016">
        <v>0</v>
      </c>
      <c r="AV1016" t="s">
        <v>428</v>
      </c>
      <c r="AX1016">
        <v>100</v>
      </c>
    </row>
    <row r="1017" spans="1:50" hidden="1" x14ac:dyDescent="0.3">
      <c r="A1017" t="s">
        <v>213</v>
      </c>
      <c r="C1017" t="s">
        <v>251</v>
      </c>
      <c r="D1017" t="s">
        <v>81</v>
      </c>
      <c r="E1017">
        <v>100000000</v>
      </c>
      <c r="H1017">
        <v>1.8</v>
      </c>
      <c r="I1017" t="s">
        <v>215</v>
      </c>
      <c r="J1017">
        <v>1.1612879999999999E-3</v>
      </c>
      <c r="K1017" t="s">
        <v>57</v>
      </c>
      <c r="N1017" t="s">
        <v>424</v>
      </c>
      <c r="O1017">
        <v>180</v>
      </c>
      <c r="P1017" t="s">
        <v>262</v>
      </c>
      <c r="S1017" t="s">
        <v>425</v>
      </c>
      <c r="T1017">
        <v>25</v>
      </c>
      <c r="V1017">
        <v>82</v>
      </c>
      <c r="W1017" t="s">
        <v>217</v>
      </c>
      <c r="X1017" t="s">
        <v>426</v>
      </c>
      <c r="Y1017">
        <v>2160</v>
      </c>
      <c r="AB1017">
        <v>0.88</v>
      </c>
      <c r="AC1017" t="s">
        <v>85</v>
      </c>
      <c r="AD1017" t="s">
        <v>231</v>
      </c>
      <c r="AE1017" t="s">
        <v>138</v>
      </c>
      <c r="AI1017">
        <v>5</v>
      </c>
      <c r="AJ1017" t="s">
        <v>201</v>
      </c>
      <c r="AT1017" t="s">
        <v>221</v>
      </c>
      <c r="AU1017">
        <v>0</v>
      </c>
      <c r="AV1017" t="s">
        <v>428</v>
      </c>
      <c r="AX1017">
        <v>180</v>
      </c>
    </row>
    <row r="1018" spans="1:50" hidden="1" x14ac:dyDescent="0.3">
      <c r="A1018" t="s">
        <v>213</v>
      </c>
      <c r="C1018" t="s">
        <v>251</v>
      </c>
      <c r="D1018" t="s">
        <v>81</v>
      </c>
      <c r="E1018">
        <v>100000000</v>
      </c>
      <c r="H1018">
        <v>1.8</v>
      </c>
      <c r="I1018" t="s">
        <v>215</v>
      </c>
      <c r="J1018">
        <v>1.1612879999999999E-3</v>
      </c>
      <c r="K1018" t="s">
        <v>57</v>
      </c>
      <c r="N1018" t="s">
        <v>424</v>
      </c>
      <c r="O1018">
        <v>140</v>
      </c>
      <c r="P1018" t="s">
        <v>262</v>
      </c>
      <c r="S1018" t="s">
        <v>425</v>
      </c>
      <c r="T1018">
        <v>25</v>
      </c>
      <c r="V1018">
        <v>82.9</v>
      </c>
      <c r="W1018" t="s">
        <v>217</v>
      </c>
      <c r="X1018" t="s">
        <v>426</v>
      </c>
      <c r="Y1018">
        <v>2160</v>
      </c>
      <c r="AB1018">
        <v>1.69</v>
      </c>
      <c r="AC1018" t="s">
        <v>85</v>
      </c>
      <c r="AD1018" t="s">
        <v>103</v>
      </c>
      <c r="AE1018" t="s">
        <v>138</v>
      </c>
      <c r="AI1018">
        <v>5</v>
      </c>
      <c r="AJ1018" t="s">
        <v>201</v>
      </c>
      <c r="AT1018" t="s">
        <v>221</v>
      </c>
      <c r="AU1018">
        <v>0</v>
      </c>
      <c r="AV1018" t="s">
        <v>428</v>
      </c>
      <c r="AX1018">
        <v>140</v>
      </c>
    </row>
    <row r="1019" spans="1:50" hidden="1" x14ac:dyDescent="0.3">
      <c r="A1019" t="s">
        <v>213</v>
      </c>
      <c r="C1019" t="s">
        <v>251</v>
      </c>
      <c r="D1019" t="s">
        <v>81</v>
      </c>
      <c r="E1019">
        <v>100000000</v>
      </c>
      <c r="H1019">
        <v>1.8</v>
      </c>
      <c r="I1019" t="s">
        <v>215</v>
      </c>
      <c r="J1019">
        <v>1.1612879999999999E-3</v>
      </c>
      <c r="K1019" t="s">
        <v>57</v>
      </c>
      <c r="N1019" t="s">
        <v>424</v>
      </c>
      <c r="O1019">
        <v>212</v>
      </c>
      <c r="P1019" t="s">
        <v>262</v>
      </c>
      <c r="S1019" t="s">
        <v>425</v>
      </c>
      <c r="T1019">
        <v>25</v>
      </c>
      <c r="V1019">
        <v>76.2</v>
      </c>
      <c r="W1019" t="s">
        <v>217</v>
      </c>
      <c r="X1019" t="s">
        <v>426</v>
      </c>
      <c r="Y1019">
        <v>1440</v>
      </c>
      <c r="AB1019">
        <v>0.67</v>
      </c>
      <c r="AC1019" t="s">
        <v>85</v>
      </c>
      <c r="AD1019" t="s">
        <v>228</v>
      </c>
      <c r="AE1019" t="s">
        <v>138</v>
      </c>
      <c r="AI1019">
        <v>5</v>
      </c>
      <c r="AJ1019" t="s">
        <v>201</v>
      </c>
      <c r="AT1019" t="s">
        <v>221</v>
      </c>
      <c r="AU1019">
        <v>0</v>
      </c>
      <c r="AV1019" t="s">
        <v>428</v>
      </c>
      <c r="AX1019">
        <v>212</v>
      </c>
    </row>
    <row r="1020" spans="1:50" hidden="1" x14ac:dyDescent="0.3">
      <c r="A1020" t="s">
        <v>213</v>
      </c>
      <c r="C1020" t="s">
        <v>251</v>
      </c>
      <c r="D1020" t="s">
        <v>81</v>
      </c>
      <c r="E1020">
        <v>100000000</v>
      </c>
      <c r="H1020">
        <v>1.8</v>
      </c>
      <c r="I1020" t="s">
        <v>215</v>
      </c>
      <c r="J1020">
        <v>1.1612879999999999E-3</v>
      </c>
      <c r="K1020" t="s">
        <v>57</v>
      </c>
      <c r="N1020" t="s">
        <v>424</v>
      </c>
      <c r="O1020">
        <v>212</v>
      </c>
      <c r="P1020" t="s">
        <v>262</v>
      </c>
      <c r="S1020" t="s">
        <v>425</v>
      </c>
      <c r="T1020">
        <v>25</v>
      </c>
      <c r="V1020">
        <v>79.3</v>
      </c>
      <c r="W1020" t="s">
        <v>434</v>
      </c>
      <c r="X1020" t="s">
        <v>426</v>
      </c>
      <c r="Y1020">
        <v>2160</v>
      </c>
      <c r="AB1020">
        <v>1.47</v>
      </c>
      <c r="AC1020" t="s">
        <v>85</v>
      </c>
      <c r="AD1020" t="s">
        <v>418</v>
      </c>
      <c r="AE1020" t="s">
        <v>138</v>
      </c>
      <c r="AI1020">
        <v>5</v>
      </c>
      <c r="AJ1020" t="s">
        <v>201</v>
      </c>
      <c r="AU1020">
        <v>0</v>
      </c>
      <c r="AV1020" t="s">
        <v>428</v>
      </c>
      <c r="AX1020">
        <v>212</v>
      </c>
    </row>
    <row r="1021" spans="1:50" hidden="1" x14ac:dyDescent="0.3">
      <c r="A1021" t="s">
        <v>213</v>
      </c>
      <c r="C1021" t="s">
        <v>251</v>
      </c>
      <c r="D1021" t="s">
        <v>81</v>
      </c>
      <c r="E1021">
        <v>100000000</v>
      </c>
      <c r="H1021">
        <v>1.8</v>
      </c>
      <c r="I1021" t="s">
        <v>215</v>
      </c>
      <c r="J1021">
        <v>1.1612879999999999E-3</v>
      </c>
      <c r="K1021" t="s">
        <v>57</v>
      </c>
      <c r="N1021" t="s">
        <v>424</v>
      </c>
      <c r="O1021">
        <v>212</v>
      </c>
      <c r="P1021" t="s">
        <v>262</v>
      </c>
      <c r="S1021" t="s">
        <v>425</v>
      </c>
      <c r="T1021">
        <v>25</v>
      </c>
      <c r="V1021">
        <v>82.8</v>
      </c>
      <c r="W1021" t="s">
        <v>434</v>
      </c>
      <c r="X1021" t="s">
        <v>426</v>
      </c>
      <c r="Y1021">
        <v>2160</v>
      </c>
      <c r="AB1021">
        <v>0.54</v>
      </c>
      <c r="AC1021" t="s">
        <v>85</v>
      </c>
      <c r="AD1021" t="s">
        <v>418</v>
      </c>
      <c r="AE1021" t="s">
        <v>138</v>
      </c>
      <c r="AI1021">
        <v>5</v>
      </c>
      <c r="AJ1021" t="s">
        <v>201</v>
      </c>
      <c r="AU1021">
        <v>0</v>
      </c>
      <c r="AV1021" t="s">
        <v>428</v>
      </c>
      <c r="AX1021">
        <v>212</v>
      </c>
    </row>
    <row r="1022" spans="1:50" hidden="1" x14ac:dyDescent="0.3">
      <c r="A1022" t="s">
        <v>213</v>
      </c>
      <c r="C1022" t="s">
        <v>251</v>
      </c>
      <c r="D1022" t="s">
        <v>81</v>
      </c>
      <c r="E1022">
        <v>100000000</v>
      </c>
      <c r="H1022">
        <v>1.8</v>
      </c>
      <c r="I1022" t="s">
        <v>215</v>
      </c>
      <c r="J1022">
        <v>1.1612879999999999E-3</v>
      </c>
      <c r="K1022" t="s">
        <v>57</v>
      </c>
      <c r="N1022" t="s">
        <v>424</v>
      </c>
      <c r="O1022">
        <v>212</v>
      </c>
      <c r="P1022" t="s">
        <v>262</v>
      </c>
      <c r="S1022" t="s">
        <v>425</v>
      </c>
      <c r="T1022">
        <v>25</v>
      </c>
      <c r="V1022">
        <v>54.5</v>
      </c>
      <c r="W1022" t="s">
        <v>435</v>
      </c>
      <c r="X1022" t="s">
        <v>426</v>
      </c>
      <c r="Y1022">
        <v>2160</v>
      </c>
      <c r="AB1022">
        <v>0.51</v>
      </c>
      <c r="AC1022" t="s">
        <v>85</v>
      </c>
      <c r="AD1022" t="s">
        <v>365</v>
      </c>
      <c r="AE1022" t="s">
        <v>138</v>
      </c>
      <c r="AI1022">
        <v>5</v>
      </c>
      <c r="AJ1022" t="s">
        <v>201</v>
      </c>
      <c r="AU1022">
        <v>0</v>
      </c>
      <c r="AV1022" t="s">
        <v>428</v>
      </c>
      <c r="AX1022">
        <v>212</v>
      </c>
    </row>
    <row r="1023" spans="1:50" hidden="1" x14ac:dyDescent="0.3">
      <c r="A1023" t="s">
        <v>213</v>
      </c>
      <c r="C1023" t="s">
        <v>251</v>
      </c>
      <c r="D1023" t="s">
        <v>81</v>
      </c>
      <c r="E1023">
        <v>100000000</v>
      </c>
      <c r="H1023">
        <v>1.8</v>
      </c>
      <c r="I1023" t="s">
        <v>215</v>
      </c>
      <c r="J1023">
        <v>1.1612879999999999E-3</v>
      </c>
      <c r="K1023" t="s">
        <v>57</v>
      </c>
      <c r="N1023" t="s">
        <v>424</v>
      </c>
      <c r="O1023">
        <v>100</v>
      </c>
      <c r="P1023" t="s">
        <v>262</v>
      </c>
      <c r="S1023" t="s">
        <v>425</v>
      </c>
      <c r="T1023">
        <v>25</v>
      </c>
      <c r="V1023">
        <v>76.900000000000006</v>
      </c>
      <c r="W1023" t="s">
        <v>434</v>
      </c>
      <c r="X1023" t="s">
        <v>426</v>
      </c>
      <c r="Y1023">
        <v>2160</v>
      </c>
      <c r="AB1023">
        <v>0.06</v>
      </c>
      <c r="AC1023" t="s">
        <v>85</v>
      </c>
      <c r="AD1023" t="s">
        <v>237</v>
      </c>
      <c r="AE1023" t="s">
        <v>138</v>
      </c>
      <c r="AI1023">
        <v>5</v>
      </c>
      <c r="AJ1023" t="s">
        <v>201</v>
      </c>
      <c r="AU1023">
        <v>0</v>
      </c>
      <c r="AV1023" t="s">
        <v>428</v>
      </c>
      <c r="AX1023">
        <v>100</v>
      </c>
    </row>
    <row r="1024" spans="1:50" hidden="1" x14ac:dyDescent="0.3">
      <c r="A1024" t="s">
        <v>213</v>
      </c>
      <c r="C1024" t="s">
        <v>251</v>
      </c>
      <c r="D1024" t="s">
        <v>81</v>
      </c>
      <c r="E1024">
        <v>100000000</v>
      </c>
      <c r="H1024">
        <v>1.8</v>
      </c>
      <c r="I1024" t="s">
        <v>215</v>
      </c>
      <c r="J1024">
        <v>1.1612879999999999E-3</v>
      </c>
      <c r="K1024" t="s">
        <v>57</v>
      </c>
      <c r="N1024" t="s">
        <v>424</v>
      </c>
      <c r="O1024">
        <v>100</v>
      </c>
      <c r="P1024" t="s">
        <v>262</v>
      </c>
      <c r="S1024" t="s">
        <v>425</v>
      </c>
      <c r="T1024">
        <v>25</v>
      </c>
      <c r="V1024">
        <v>85.1</v>
      </c>
      <c r="W1024" t="s">
        <v>434</v>
      </c>
      <c r="X1024" t="s">
        <v>426</v>
      </c>
      <c r="Y1024">
        <v>2160</v>
      </c>
      <c r="AB1024">
        <v>0.27</v>
      </c>
      <c r="AC1024" t="s">
        <v>85</v>
      </c>
      <c r="AD1024" t="s">
        <v>228</v>
      </c>
      <c r="AE1024" t="s">
        <v>138</v>
      </c>
      <c r="AI1024">
        <v>5</v>
      </c>
      <c r="AJ1024" t="s">
        <v>201</v>
      </c>
      <c r="AU1024">
        <v>0</v>
      </c>
      <c r="AV1024" t="s">
        <v>428</v>
      </c>
      <c r="AX1024">
        <v>100</v>
      </c>
    </row>
    <row r="1025" spans="1:53" hidden="1" x14ac:dyDescent="0.3">
      <c r="A1025" t="s">
        <v>213</v>
      </c>
      <c r="C1025" t="s">
        <v>251</v>
      </c>
      <c r="D1025" t="s">
        <v>81</v>
      </c>
      <c r="E1025">
        <v>100000000</v>
      </c>
      <c r="H1025">
        <v>1.8</v>
      </c>
      <c r="I1025" t="s">
        <v>215</v>
      </c>
      <c r="J1025">
        <v>1.1612879999999999E-3</v>
      </c>
      <c r="K1025" t="s">
        <v>57</v>
      </c>
      <c r="N1025" t="s">
        <v>424</v>
      </c>
      <c r="O1025">
        <v>180</v>
      </c>
      <c r="P1025" t="s">
        <v>262</v>
      </c>
      <c r="S1025" t="s">
        <v>425</v>
      </c>
      <c r="T1025">
        <v>25</v>
      </c>
      <c r="V1025">
        <v>82</v>
      </c>
      <c r="W1025" t="s">
        <v>434</v>
      </c>
      <c r="X1025" t="s">
        <v>426</v>
      </c>
      <c r="Y1025">
        <v>2160</v>
      </c>
      <c r="AB1025">
        <v>0.14000000000000001</v>
      </c>
      <c r="AC1025" t="s">
        <v>85</v>
      </c>
      <c r="AD1025" t="s">
        <v>248</v>
      </c>
      <c r="AE1025" t="s">
        <v>138</v>
      </c>
      <c r="AI1025">
        <v>5</v>
      </c>
      <c r="AJ1025" t="s">
        <v>201</v>
      </c>
      <c r="AU1025">
        <v>0</v>
      </c>
      <c r="AV1025" t="s">
        <v>428</v>
      </c>
      <c r="AX1025">
        <v>180</v>
      </c>
    </row>
    <row r="1026" spans="1:53" hidden="1" x14ac:dyDescent="0.3">
      <c r="A1026" t="s">
        <v>213</v>
      </c>
      <c r="C1026" t="s">
        <v>251</v>
      </c>
      <c r="D1026" t="s">
        <v>81</v>
      </c>
      <c r="E1026">
        <v>100000000</v>
      </c>
      <c r="H1026">
        <v>1.8</v>
      </c>
      <c r="I1026" t="s">
        <v>215</v>
      </c>
      <c r="J1026">
        <v>1.1612879999999999E-3</v>
      </c>
      <c r="K1026" t="s">
        <v>57</v>
      </c>
      <c r="N1026" t="s">
        <v>424</v>
      </c>
      <c r="O1026">
        <v>140</v>
      </c>
      <c r="P1026" t="s">
        <v>262</v>
      </c>
      <c r="S1026" t="s">
        <v>425</v>
      </c>
      <c r="T1026">
        <v>25</v>
      </c>
      <c r="V1026">
        <v>82.9</v>
      </c>
      <c r="W1026" t="s">
        <v>434</v>
      </c>
      <c r="X1026" t="s">
        <v>426</v>
      </c>
      <c r="Y1026">
        <v>2160</v>
      </c>
      <c r="AB1026">
        <v>0.03</v>
      </c>
      <c r="AC1026" t="s">
        <v>85</v>
      </c>
      <c r="AD1026" t="s">
        <v>227</v>
      </c>
      <c r="AE1026" t="s">
        <v>138</v>
      </c>
      <c r="AI1026">
        <v>5</v>
      </c>
      <c r="AJ1026" t="s">
        <v>201</v>
      </c>
      <c r="AU1026">
        <v>0</v>
      </c>
      <c r="AV1026" t="s">
        <v>428</v>
      </c>
      <c r="AX1026">
        <v>140</v>
      </c>
    </row>
    <row r="1027" spans="1:53" hidden="1" x14ac:dyDescent="0.3">
      <c r="A1027" t="s">
        <v>213</v>
      </c>
      <c r="C1027" t="s">
        <v>251</v>
      </c>
      <c r="D1027" t="s">
        <v>81</v>
      </c>
      <c r="E1027">
        <v>100000000</v>
      </c>
      <c r="H1027">
        <v>1.8</v>
      </c>
      <c r="I1027" t="s">
        <v>215</v>
      </c>
      <c r="J1027">
        <v>1.1612879999999999E-3</v>
      </c>
      <c r="K1027" t="s">
        <v>57</v>
      </c>
      <c r="N1027" t="s">
        <v>424</v>
      </c>
      <c r="O1027">
        <v>212</v>
      </c>
      <c r="P1027" t="s">
        <v>262</v>
      </c>
      <c r="S1027" t="s">
        <v>425</v>
      </c>
      <c r="T1027">
        <v>25</v>
      </c>
      <c r="V1027">
        <v>76.2</v>
      </c>
      <c r="W1027" t="s">
        <v>434</v>
      </c>
      <c r="X1027" t="s">
        <v>426</v>
      </c>
      <c r="Y1027">
        <v>1440</v>
      </c>
      <c r="AB1027">
        <v>0</v>
      </c>
      <c r="AC1027" t="s">
        <v>85</v>
      </c>
      <c r="AD1027" t="s">
        <v>194</v>
      </c>
      <c r="AE1027" t="s">
        <v>138</v>
      </c>
      <c r="AI1027">
        <v>5</v>
      </c>
      <c r="AJ1027" t="s">
        <v>201</v>
      </c>
      <c r="AU1027">
        <v>0</v>
      </c>
      <c r="AV1027" t="s">
        <v>428</v>
      </c>
      <c r="AX1027">
        <v>212</v>
      </c>
    </row>
    <row r="1028" spans="1:53" hidden="1" x14ac:dyDescent="0.3">
      <c r="A1028" t="s">
        <v>441</v>
      </c>
      <c r="C1028" t="s">
        <v>251</v>
      </c>
      <c r="D1028" t="s">
        <v>81</v>
      </c>
      <c r="E1028">
        <v>100000000</v>
      </c>
      <c r="O1028">
        <v>365</v>
      </c>
      <c r="P1028" t="s">
        <v>277</v>
      </c>
      <c r="S1028">
        <v>0.3</v>
      </c>
      <c r="T1028">
        <v>21.7</v>
      </c>
      <c r="V1028">
        <v>90.5</v>
      </c>
      <c r="W1028" t="s">
        <v>147</v>
      </c>
      <c r="X1028" t="s">
        <v>255</v>
      </c>
      <c r="Y1028">
        <v>330</v>
      </c>
      <c r="AA1028" t="s">
        <v>184</v>
      </c>
      <c r="AB1028">
        <v>7.7</v>
      </c>
      <c r="AC1028" t="s">
        <v>85</v>
      </c>
      <c r="AI1028">
        <v>3</v>
      </c>
      <c r="AJ1028" t="s">
        <v>201</v>
      </c>
      <c r="AT1028" t="s">
        <v>150</v>
      </c>
      <c r="AY1028">
        <v>365</v>
      </c>
      <c r="AZ1028">
        <v>0</v>
      </c>
      <c r="BA1028">
        <v>7.7</v>
      </c>
    </row>
    <row r="1029" spans="1:53" hidden="1" x14ac:dyDescent="0.3">
      <c r="A1029" t="s">
        <v>441</v>
      </c>
      <c r="C1029" t="s">
        <v>251</v>
      </c>
      <c r="D1029" t="s">
        <v>81</v>
      </c>
      <c r="E1029">
        <v>100000000</v>
      </c>
      <c r="H1029">
        <v>4</v>
      </c>
      <c r="I1029" t="s">
        <v>56</v>
      </c>
      <c r="J1029">
        <v>4.0000000000000002E-4</v>
      </c>
      <c r="K1029" t="s">
        <v>57</v>
      </c>
      <c r="O1029">
        <v>365</v>
      </c>
      <c r="P1029" t="s">
        <v>277</v>
      </c>
      <c r="S1029">
        <v>0.3</v>
      </c>
      <c r="T1029">
        <v>21.7</v>
      </c>
      <c r="V1029">
        <v>90.5</v>
      </c>
      <c r="W1029" t="s">
        <v>442</v>
      </c>
      <c r="X1029" t="s">
        <v>255</v>
      </c>
      <c r="Y1029">
        <v>330</v>
      </c>
      <c r="AA1029" t="s">
        <v>184</v>
      </c>
      <c r="AB1029">
        <v>7.9</v>
      </c>
      <c r="AC1029" t="s">
        <v>85</v>
      </c>
      <c r="AI1029">
        <v>3</v>
      </c>
      <c r="AJ1029" t="s">
        <v>201</v>
      </c>
      <c r="AV1029" t="s">
        <v>88</v>
      </c>
      <c r="AY1029">
        <v>365</v>
      </c>
      <c r="AZ1029">
        <v>0</v>
      </c>
      <c r="BA1029">
        <v>7.9</v>
      </c>
    </row>
    <row r="1030" spans="1:53" hidden="1" x14ac:dyDescent="0.3">
      <c r="A1030" t="s">
        <v>441</v>
      </c>
      <c r="C1030" t="s">
        <v>251</v>
      </c>
      <c r="D1030" t="s">
        <v>81</v>
      </c>
      <c r="E1030">
        <v>100000000</v>
      </c>
      <c r="H1030">
        <v>9.75</v>
      </c>
      <c r="I1030" t="s">
        <v>56</v>
      </c>
      <c r="J1030">
        <v>9.7500000000000006E-4</v>
      </c>
      <c r="K1030" t="s">
        <v>57</v>
      </c>
      <c r="O1030">
        <v>365</v>
      </c>
      <c r="P1030" t="s">
        <v>277</v>
      </c>
      <c r="S1030">
        <v>0.3</v>
      </c>
      <c r="T1030">
        <v>21.7</v>
      </c>
      <c r="V1030">
        <v>90.5</v>
      </c>
      <c r="W1030" t="s">
        <v>443</v>
      </c>
      <c r="X1030" t="s">
        <v>255</v>
      </c>
      <c r="Y1030">
        <v>330</v>
      </c>
      <c r="AA1030" t="s">
        <v>184</v>
      </c>
      <c r="AB1030">
        <v>7.9</v>
      </c>
      <c r="AC1030" t="s">
        <v>85</v>
      </c>
      <c r="AI1030">
        <v>3</v>
      </c>
      <c r="AJ1030" t="s">
        <v>201</v>
      </c>
      <c r="AT1030" t="s">
        <v>65</v>
      </c>
      <c r="AV1030" t="s">
        <v>88</v>
      </c>
      <c r="AY1030">
        <v>365</v>
      </c>
      <c r="AZ1030">
        <v>0</v>
      </c>
      <c r="BA1030">
        <v>7.9</v>
      </c>
    </row>
    <row r="1031" spans="1:53" hidden="1" x14ac:dyDescent="0.3">
      <c r="A1031" t="s">
        <v>441</v>
      </c>
      <c r="C1031" t="s">
        <v>251</v>
      </c>
      <c r="D1031" t="s">
        <v>81</v>
      </c>
      <c r="E1031">
        <v>100000000</v>
      </c>
      <c r="O1031">
        <v>365</v>
      </c>
      <c r="P1031" t="s">
        <v>277</v>
      </c>
      <c r="S1031">
        <v>0.3</v>
      </c>
      <c r="T1031">
        <v>21.7</v>
      </c>
      <c r="V1031">
        <v>90.5</v>
      </c>
      <c r="W1031" t="s">
        <v>147</v>
      </c>
      <c r="X1031" t="s">
        <v>255</v>
      </c>
      <c r="Y1031">
        <v>330</v>
      </c>
      <c r="AA1031" t="s">
        <v>184</v>
      </c>
      <c r="AB1031">
        <v>8.4</v>
      </c>
      <c r="AC1031" t="s">
        <v>85</v>
      </c>
      <c r="AI1031">
        <v>3</v>
      </c>
      <c r="AJ1031" t="s">
        <v>201</v>
      </c>
      <c r="AT1031" t="s">
        <v>150</v>
      </c>
      <c r="AY1031">
        <v>365</v>
      </c>
      <c r="AZ1031">
        <v>0</v>
      </c>
      <c r="BA1031">
        <v>8.4</v>
      </c>
    </row>
    <row r="1032" spans="1:53" hidden="1" x14ac:dyDescent="0.3">
      <c r="A1032" t="s">
        <v>441</v>
      </c>
      <c r="C1032" t="s">
        <v>251</v>
      </c>
      <c r="D1032" t="s">
        <v>81</v>
      </c>
      <c r="E1032">
        <v>100000000</v>
      </c>
      <c r="H1032">
        <v>4</v>
      </c>
      <c r="I1032" t="s">
        <v>56</v>
      </c>
      <c r="J1032">
        <v>4.0000000000000002E-4</v>
      </c>
      <c r="K1032" t="s">
        <v>57</v>
      </c>
      <c r="O1032">
        <v>365</v>
      </c>
      <c r="P1032" t="s">
        <v>277</v>
      </c>
      <c r="S1032">
        <v>0.3</v>
      </c>
      <c r="T1032">
        <v>21.7</v>
      </c>
      <c r="V1032">
        <v>90.5</v>
      </c>
      <c r="W1032" t="s">
        <v>442</v>
      </c>
      <c r="X1032" t="s">
        <v>255</v>
      </c>
      <c r="Y1032">
        <v>330</v>
      </c>
      <c r="AA1032" t="s">
        <v>184</v>
      </c>
      <c r="AB1032">
        <v>8.5</v>
      </c>
      <c r="AC1032" t="s">
        <v>85</v>
      </c>
      <c r="AI1032">
        <v>3</v>
      </c>
      <c r="AJ1032" t="s">
        <v>201</v>
      </c>
      <c r="AV1032" t="s">
        <v>88</v>
      </c>
      <c r="AY1032">
        <v>365</v>
      </c>
      <c r="AZ1032">
        <v>0</v>
      </c>
      <c r="BA1032">
        <v>8.5</v>
      </c>
    </row>
    <row r="1033" spans="1:53" hidden="1" x14ac:dyDescent="0.3">
      <c r="A1033" t="s">
        <v>441</v>
      </c>
      <c r="C1033" t="s">
        <v>251</v>
      </c>
      <c r="D1033" t="s">
        <v>81</v>
      </c>
      <c r="E1033">
        <v>100000000</v>
      </c>
      <c r="H1033">
        <v>9.75</v>
      </c>
      <c r="I1033" t="s">
        <v>56</v>
      </c>
      <c r="J1033">
        <v>9.7500000000000006E-4</v>
      </c>
      <c r="K1033" t="s">
        <v>57</v>
      </c>
      <c r="O1033">
        <v>365</v>
      </c>
      <c r="P1033" t="s">
        <v>277</v>
      </c>
      <c r="S1033">
        <v>0.3</v>
      </c>
      <c r="T1033">
        <v>21.7</v>
      </c>
      <c r="V1033">
        <v>90.5</v>
      </c>
      <c r="W1033" t="s">
        <v>443</v>
      </c>
      <c r="X1033" t="s">
        <v>255</v>
      </c>
      <c r="Y1033">
        <v>330</v>
      </c>
      <c r="AA1033" t="s">
        <v>184</v>
      </c>
      <c r="AB1033">
        <v>8.1999999999999993</v>
      </c>
      <c r="AC1033" t="s">
        <v>85</v>
      </c>
      <c r="AI1033">
        <v>3</v>
      </c>
      <c r="AJ1033" t="s">
        <v>201</v>
      </c>
      <c r="AT1033" t="s">
        <v>65</v>
      </c>
      <c r="AV1033" t="s">
        <v>88</v>
      </c>
      <c r="AY1033">
        <v>365</v>
      </c>
      <c r="AZ1033">
        <v>0</v>
      </c>
      <c r="BA1033">
        <v>8.1999999999999993</v>
      </c>
    </row>
    <row r="1034" spans="1:53" hidden="1" x14ac:dyDescent="0.3">
      <c r="A1034" t="s">
        <v>441</v>
      </c>
      <c r="C1034" t="s">
        <v>251</v>
      </c>
      <c r="D1034" t="s">
        <v>81</v>
      </c>
      <c r="E1034">
        <v>100000000</v>
      </c>
      <c r="O1034">
        <v>365</v>
      </c>
      <c r="P1034" t="s">
        <v>277</v>
      </c>
      <c r="S1034">
        <v>0.3</v>
      </c>
      <c r="T1034">
        <v>21.7</v>
      </c>
      <c r="V1034">
        <v>90.5</v>
      </c>
      <c r="W1034" t="s">
        <v>147</v>
      </c>
      <c r="X1034" t="s">
        <v>255</v>
      </c>
      <c r="Y1034">
        <v>330</v>
      </c>
      <c r="AA1034" t="s">
        <v>184</v>
      </c>
      <c r="AB1034">
        <v>7.6</v>
      </c>
      <c r="AC1034" t="s">
        <v>85</v>
      </c>
      <c r="AI1034">
        <v>3</v>
      </c>
      <c r="AJ1034" t="s">
        <v>201</v>
      </c>
      <c r="AT1034" t="s">
        <v>150</v>
      </c>
      <c r="AY1034">
        <v>365</v>
      </c>
      <c r="AZ1034">
        <v>0</v>
      </c>
      <c r="BA1034">
        <v>7.6</v>
      </c>
    </row>
    <row r="1035" spans="1:53" hidden="1" x14ac:dyDescent="0.3">
      <c r="A1035" t="s">
        <v>441</v>
      </c>
      <c r="C1035" t="s">
        <v>251</v>
      </c>
      <c r="D1035" t="s">
        <v>81</v>
      </c>
      <c r="E1035">
        <v>100000000</v>
      </c>
      <c r="H1035">
        <v>4</v>
      </c>
      <c r="I1035" t="s">
        <v>56</v>
      </c>
      <c r="J1035">
        <v>4.0000000000000002E-4</v>
      </c>
      <c r="K1035" t="s">
        <v>57</v>
      </c>
      <c r="O1035">
        <v>365</v>
      </c>
      <c r="P1035" t="s">
        <v>277</v>
      </c>
      <c r="S1035">
        <v>0.3</v>
      </c>
      <c r="T1035">
        <v>21.7</v>
      </c>
      <c r="V1035">
        <v>90.5</v>
      </c>
      <c r="W1035" t="s">
        <v>442</v>
      </c>
      <c r="X1035" t="s">
        <v>255</v>
      </c>
      <c r="Y1035">
        <v>330</v>
      </c>
      <c r="AA1035" t="s">
        <v>184</v>
      </c>
      <c r="AB1035">
        <v>7.8</v>
      </c>
      <c r="AC1035" t="s">
        <v>85</v>
      </c>
      <c r="AI1035">
        <v>3</v>
      </c>
      <c r="AJ1035" t="s">
        <v>201</v>
      </c>
      <c r="AV1035" t="s">
        <v>88</v>
      </c>
      <c r="AY1035">
        <v>365</v>
      </c>
      <c r="AZ1035">
        <v>0</v>
      </c>
      <c r="BA1035">
        <v>7.8</v>
      </c>
    </row>
    <row r="1036" spans="1:53" hidden="1" x14ac:dyDescent="0.3">
      <c r="A1036" t="s">
        <v>441</v>
      </c>
      <c r="C1036" t="s">
        <v>251</v>
      </c>
      <c r="D1036" t="s">
        <v>81</v>
      </c>
      <c r="E1036">
        <v>100000000</v>
      </c>
      <c r="H1036">
        <v>9.75</v>
      </c>
      <c r="I1036" t="s">
        <v>56</v>
      </c>
      <c r="J1036">
        <v>9.7500000000000006E-4</v>
      </c>
      <c r="K1036" t="s">
        <v>57</v>
      </c>
      <c r="O1036">
        <v>365</v>
      </c>
      <c r="P1036" t="s">
        <v>277</v>
      </c>
      <c r="S1036">
        <v>0.3</v>
      </c>
      <c r="T1036">
        <v>21.7</v>
      </c>
      <c r="V1036">
        <v>90.5</v>
      </c>
      <c r="W1036" t="s">
        <v>443</v>
      </c>
      <c r="X1036" t="s">
        <v>255</v>
      </c>
      <c r="Y1036">
        <v>330</v>
      </c>
      <c r="AA1036" t="s">
        <v>184</v>
      </c>
      <c r="AB1036">
        <v>7.7</v>
      </c>
      <c r="AC1036" t="s">
        <v>85</v>
      </c>
      <c r="AI1036">
        <v>3</v>
      </c>
      <c r="AJ1036" t="s">
        <v>201</v>
      </c>
      <c r="AT1036" t="s">
        <v>65</v>
      </c>
      <c r="AV1036" t="s">
        <v>88</v>
      </c>
      <c r="AY1036">
        <v>365</v>
      </c>
      <c r="AZ1036">
        <v>0</v>
      </c>
      <c r="BA1036">
        <v>7.7</v>
      </c>
    </row>
    <row r="1037" spans="1:53" hidden="1" x14ac:dyDescent="0.3">
      <c r="A1037" t="s">
        <v>441</v>
      </c>
      <c r="C1037" t="s">
        <v>251</v>
      </c>
      <c r="D1037" t="s">
        <v>81</v>
      </c>
      <c r="E1037">
        <v>100000000</v>
      </c>
      <c r="O1037">
        <v>365</v>
      </c>
      <c r="P1037" t="s">
        <v>277</v>
      </c>
      <c r="S1037">
        <v>0.3</v>
      </c>
      <c r="T1037">
        <v>21.7</v>
      </c>
      <c r="V1037">
        <v>90.5</v>
      </c>
      <c r="W1037" t="s">
        <v>444</v>
      </c>
      <c r="X1037" t="s">
        <v>255</v>
      </c>
      <c r="Y1037">
        <v>330</v>
      </c>
      <c r="AB1037">
        <v>0</v>
      </c>
      <c r="AC1037" t="s">
        <v>297</v>
      </c>
      <c r="AE1037" t="s">
        <v>297</v>
      </c>
      <c r="AI1037">
        <v>16</v>
      </c>
      <c r="AJ1037" t="s">
        <v>201</v>
      </c>
      <c r="AY1037">
        <v>365</v>
      </c>
      <c r="AZ1037">
        <v>0</v>
      </c>
    </row>
    <row r="1038" spans="1:53" hidden="1" x14ac:dyDescent="0.3">
      <c r="A1038" t="s">
        <v>445</v>
      </c>
      <c r="C1038" t="s">
        <v>251</v>
      </c>
      <c r="D1038" t="s">
        <v>81</v>
      </c>
      <c r="E1038">
        <v>100000000</v>
      </c>
      <c r="H1038">
        <v>35.1</v>
      </c>
      <c r="I1038" t="s">
        <v>446</v>
      </c>
      <c r="J1038">
        <v>3.5099999999999999E-5</v>
      </c>
      <c r="K1038" t="s">
        <v>57</v>
      </c>
      <c r="O1038">
        <v>50000</v>
      </c>
      <c r="P1038" t="s">
        <v>277</v>
      </c>
      <c r="T1038">
        <v>37</v>
      </c>
      <c r="V1038">
        <v>50</v>
      </c>
      <c r="W1038" t="s">
        <v>73</v>
      </c>
      <c r="X1038" t="s">
        <v>447</v>
      </c>
      <c r="Y1038">
        <v>1440</v>
      </c>
      <c r="AB1038">
        <v>5.59156162613787</v>
      </c>
      <c r="AC1038" t="s">
        <v>85</v>
      </c>
      <c r="AI1038">
        <v>5</v>
      </c>
      <c r="AT1038" t="s">
        <v>73</v>
      </c>
      <c r="AV1038" t="s">
        <v>448</v>
      </c>
      <c r="AX1038">
        <v>194.5</v>
      </c>
    </row>
    <row r="1039" spans="1:53" hidden="1" x14ac:dyDescent="0.3">
      <c r="A1039" t="s">
        <v>445</v>
      </c>
      <c r="C1039" t="s">
        <v>251</v>
      </c>
      <c r="D1039" t="s">
        <v>81</v>
      </c>
      <c r="E1039">
        <v>100000000</v>
      </c>
      <c r="H1039">
        <v>169</v>
      </c>
      <c r="I1039" t="s">
        <v>446</v>
      </c>
      <c r="J1039">
        <v>1.6899999999999999E-4</v>
      </c>
      <c r="K1039" t="s">
        <v>57</v>
      </c>
      <c r="O1039">
        <v>50000</v>
      </c>
      <c r="P1039" t="s">
        <v>277</v>
      </c>
      <c r="T1039">
        <v>37</v>
      </c>
      <c r="V1039">
        <v>50</v>
      </c>
      <c r="W1039" t="s">
        <v>150</v>
      </c>
      <c r="X1039" t="s">
        <v>447</v>
      </c>
      <c r="Y1039">
        <v>1440</v>
      </c>
      <c r="AB1039">
        <v>3.8726424315572001</v>
      </c>
      <c r="AC1039" t="s">
        <v>85</v>
      </c>
      <c r="AI1039">
        <v>5</v>
      </c>
      <c r="AT1039" t="s">
        <v>150</v>
      </c>
      <c r="AV1039" t="s">
        <v>448</v>
      </c>
      <c r="AX1039">
        <v>194.5</v>
      </c>
    </row>
    <row r="1040" spans="1:53" hidden="1" x14ac:dyDescent="0.3">
      <c r="A1040" t="s">
        <v>445</v>
      </c>
      <c r="B1040" t="s">
        <v>449</v>
      </c>
      <c r="C1040" t="s">
        <v>251</v>
      </c>
      <c r="D1040" t="s">
        <v>81</v>
      </c>
      <c r="E1040">
        <v>100000000</v>
      </c>
      <c r="H1040">
        <v>35.1</v>
      </c>
      <c r="I1040" t="s">
        <v>446</v>
      </c>
      <c r="J1040">
        <v>3.5099999999999999E-5</v>
      </c>
      <c r="K1040" t="s">
        <v>57</v>
      </c>
      <c r="O1040">
        <v>50000</v>
      </c>
      <c r="P1040" t="s">
        <v>277</v>
      </c>
      <c r="T1040">
        <v>37</v>
      </c>
      <c r="V1040">
        <v>50</v>
      </c>
      <c r="W1040" t="s">
        <v>73</v>
      </c>
      <c r="X1040" t="s">
        <v>447</v>
      </c>
      <c r="Y1040">
        <v>1440</v>
      </c>
      <c r="AB1040">
        <v>5.71466940919482</v>
      </c>
      <c r="AC1040" t="s">
        <v>85</v>
      </c>
      <c r="AI1040">
        <v>5</v>
      </c>
      <c r="AT1040" t="s">
        <v>73</v>
      </c>
      <c r="AV1040" t="s">
        <v>448</v>
      </c>
      <c r="AX1040">
        <v>194.5</v>
      </c>
    </row>
    <row r="1041" spans="1:50" hidden="1" x14ac:dyDescent="0.3">
      <c r="A1041" t="s">
        <v>445</v>
      </c>
      <c r="B1041" t="s">
        <v>449</v>
      </c>
      <c r="C1041" t="s">
        <v>251</v>
      </c>
      <c r="D1041" t="s">
        <v>81</v>
      </c>
      <c r="E1041">
        <v>100000000</v>
      </c>
      <c r="H1041">
        <v>169</v>
      </c>
      <c r="I1041" t="s">
        <v>446</v>
      </c>
      <c r="J1041">
        <v>1.6899999999999999E-4</v>
      </c>
      <c r="K1041" t="s">
        <v>57</v>
      </c>
      <c r="O1041">
        <v>50000</v>
      </c>
      <c r="P1041" t="s">
        <v>277</v>
      </c>
      <c r="T1041">
        <v>37</v>
      </c>
      <c r="V1041">
        <v>50</v>
      </c>
      <c r="W1041" t="s">
        <v>150</v>
      </c>
      <c r="X1041" t="s">
        <v>447</v>
      </c>
      <c r="Y1041">
        <v>1440</v>
      </c>
      <c r="AB1041">
        <v>1.5819401120243299</v>
      </c>
      <c r="AC1041" t="s">
        <v>85</v>
      </c>
      <c r="AI1041">
        <v>5</v>
      </c>
      <c r="AT1041" t="s">
        <v>150</v>
      </c>
      <c r="AV1041" t="s">
        <v>448</v>
      </c>
      <c r="AX1041">
        <v>194.5</v>
      </c>
    </row>
    <row r="1042" spans="1:50" hidden="1" x14ac:dyDescent="0.3">
      <c r="A1042" t="s">
        <v>445</v>
      </c>
      <c r="B1042" t="s">
        <v>450</v>
      </c>
      <c r="C1042" t="s">
        <v>251</v>
      </c>
      <c r="D1042" t="s">
        <v>81</v>
      </c>
      <c r="E1042">
        <v>100000000</v>
      </c>
      <c r="H1042">
        <v>35.1</v>
      </c>
      <c r="I1042" t="s">
        <v>446</v>
      </c>
      <c r="J1042">
        <v>3.5099999999999999E-5</v>
      </c>
      <c r="K1042" t="s">
        <v>57</v>
      </c>
      <c r="O1042">
        <v>50000</v>
      </c>
      <c r="P1042" t="s">
        <v>277</v>
      </c>
      <c r="T1042">
        <v>37</v>
      </c>
      <c r="V1042">
        <v>50</v>
      </c>
      <c r="W1042" t="s">
        <v>73</v>
      </c>
      <c r="X1042" t="s">
        <v>447</v>
      </c>
      <c r="Y1042">
        <v>1440</v>
      </c>
      <c r="AB1042">
        <v>5.5931935437260298</v>
      </c>
      <c r="AC1042" t="s">
        <v>85</v>
      </c>
      <c r="AI1042">
        <v>5</v>
      </c>
      <c r="AT1042" t="s">
        <v>73</v>
      </c>
      <c r="AV1042" t="s">
        <v>448</v>
      </c>
      <c r="AX1042">
        <v>194.5</v>
      </c>
    </row>
    <row r="1043" spans="1:50" hidden="1" x14ac:dyDescent="0.3">
      <c r="A1043" t="s">
        <v>445</v>
      </c>
      <c r="B1043" t="s">
        <v>450</v>
      </c>
      <c r="C1043" t="s">
        <v>251</v>
      </c>
      <c r="D1043" t="s">
        <v>81</v>
      </c>
      <c r="E1043">
        <v>100000000</v>
      </c>
      <c r="H1043">
        <v>169</v>
      </c>
      <c r="I1043" t="s">
        <v>446</v>
      </c>
      <c r="J1043">
        <v>1.6899999999999999E-4</v>
      </c>
      <c r="K1043" t="s">
        <v>57</v>
      </c>
      <c r="O1043">
        <v>50000</v>
      </c>
      <c r="P1043" t="s">
        <v>277</v>
      </c>
      <c r="T1043">
        <v>37</v>
      </c>
      <c r="V1043">
        <v>50</v>
      </c>
      <c r="W1043" t="s">
        <v>150</v>
      </c>
      <c r="X1043" t="s">
        <v>447</v>
      </c>
      <c r="Y1043">
        <v>1440</v>
      </c>
      <c r="AB1043">
        <v>0.35856289257392299</v>
      </c>
      <c r="AC1043" t="s">
        <v>85</v>
      </c>
      <c r="AI1043">
        <v>5</v>
      </c>
      <c r="AT1043" t="s">
        <v>150</v>
      </c>
      <c r="AV1043" t="s">
        <v>448</v>
      </c>
      <c r="AX1043">
        <v>194.5</v>
      </c>
    </row>
    <row r="1044" spans="1:50" hidden="1" x14ac:dyDescent="0.3">
      <c r="A1044" t="s">
        <v>445</v>
      </c>
      <c r="B1044" t="s">
        <v>451</v>
      </c>
      <c r="C1044" t="s">
        <v>251</v>
      </c>
      <c r="D1044" t="s">
        <v>81</v>
      </c>
      <c r="E1044">
        <v>100000000</v>
      </c>
      <c r="H1044">
        <v>35.1</v>
      </c>
      <c r="I1044" t="s">
        <v>446</v>
      </c>
      <c r="J1044">
        <v>3.5099999999999999E-5</v>
      </c>
      <c r="K1044" t="s">
        <v>57</v>
      </c>
      <c r="O1044">
        <v>50000</v>
      </c>
      <c r="P1044" t="s">
        <v>277</v>
      </c>
      <c r="T1044">
        <v>37</v>
      </c>
      <c r="V1044">
        <v>50</v>
      </c>
      <c r="W1044" t="s">
        <v>73</v>
      </c>
      <c r="X1044" t="s">
        <v>447</v>
      </c>
      <c r="Y1044">
        <v>1440</v>
      </c>
      <c r="AB1044">
        <v>5.1043832286469399</v>
      </c>
      <c r="AC1044" t="s">
        <v>85</v>
      </c>
      <c r="AI1044">
        <v>5</v>
      </c>
      <c r="AT1044" t="s">
        <v>73</v>
      </c>
      <c r="AV1044" t="s">
        <v>448</v>
      </c>
      <c r="AX1044">
        <v>194.5</v>
      </c>
    </row>
    <row r="1045" spans="1:50" hidden="1" x14ac:dyDescent="0.3">
      <c r="A1045" t="s">
        <v>445</v>
      </c>
      <c r="B1045" t="s">
        <v>451</v>
      </c>
      <c r="C1045" t="s">
        <v>251</v>
      </c>
      <c r="D1045" t="s">
        <v>81</v>
      </c>
      <c r="E1045">
        <v>100000000</v>
      </c>
      <c r="H1045">
        <v>169</v>
      </c>
      <c r="I1045" t="s">
        <v>446</v>
      </c>
      <c r="J1045">
        <v>1.6899999999999999E-4</v>
      </c>
      <c r="K1045" t="s">
        <v>57</v>
      </c>
      <c r="O1045">
        <v>50000</v>
      </c>
      <c r="P1045" t="s">
        <v>277</v>
      </c>
      <c r="T1045">
        <v>37</v>
      </c>
      <c r="V1045">
        <v>50</v>
      </c>
      <c r="W1045" t="s">
        <v>150</v>
      </c>
      <c r="X1045" t="s">
        <v>447</v>
      </c>
      <c r="Y1045">
        <v>1440</v>
      </c>
      <c r="AB1045">
        <v>0.13172634781943299</v>
      </c>
      <c r="AC1045" t="s">
        <v>85</v>
      </c>
      <c r="AI1045">
        <v>5</v>
      </c>
      <c r="AT1045" t="s">
        <v>150</v>
      </c>
      <c r="AV1045" t="s">
        <v>448</v>
      </c>
      <c r="AX1045">
        <v>194.5</v>
      </c>
    </row>
    <row r="1046" spans="1:50" hidden="1" x14ac:dyDescent="0.3">
      <c r="A1046" t="s">
        <v>445</v>
      </c>
      <c r="B1046" t="s">
        <v>449</v>
      </c>
      <c r="C1046" t="s">
        <v>251</v>
      </c>
      <c r="D1046" t="s">
        <v>81</v>
      </c>
      <c r="E1046">
        <v>100000000</v>
      </c>
      <c r="H1046">
        <v>169</v>
      </c>
      <c r="I1046" t="s">
        <v>446</v>
      </c>
      <c r="J1046">
        <v>1.6899999999999999E-4</v>
      </c>
      <c r="K1046" t="s">
        <v>57</v>
      </c>
      <c r="O1046">
        <v>5000</v>
      </c>
      <c r="P1046" t="s">
        <v>277</v>
      </c>
      <c r="T1046">
        <v>30</v>
      </c>
      <c r="V1046">
        <v>50</v>
      </c>
      <c r="W1046" t="s">
        <v>150</v>
      </c>
      <c r="X1046" t="s">
        <v>447</v>
      </c>
      <c r="Y1046">
        <v>1440</v>
      </c>
      <c r="AB1046">
        <v>0.24367875404606601</v>
      </c>
      <c r="AC1046" t="s">
        <v>85</v>
      </c>
      <c r="AI1046">
        <v>5</v>
      </c>
      <c r="AT1046" t="s">
        <v>150</v>
      </c>
      <c r="AV1046" t="s">
        <v>448</v>
      </c>
      <c r="AX1046">
        <v>19.45</v>
      </c>
    </row>
    <row r="1047" spans="1:50" hidden="1" x14ac:dyDescent="0.3">
      <c r="A1047" t="s">
        <v>445</v>
      </c>
      <c r="B1047" t="s">
        <v>449</v>
      </c>
      <c r="C1047" t="s">
        <v>251</v>
      </c>
      <c r="D1047" t="s">
        <v>81</v>
      </c>
      <c r="E1047">
        <v>100000000</v>
      </c>
      <c r="H1047">
        <v>169</v>
      </c>
      <c r="I1047" t="s">
        <v>446</v>
      </c>
      <c r="J1047">
        <v>1.6899999999999999E-4</v>
      </c>
      <c r="K1047" t="s">
        <v>57</v>
      </c>
      <c r="O1047">
        <v>5000</v>
      </c>
      <c r="P1047" t="s">
        <v>277</v>
      </c>
      <c r="T1047">
        <v>30</v>
      </c>
      <c r="V1047">
        <v>50</v>
      </c>
      <c r="W1047" t="s">
        <v>150</v>
      </c>
      <c r="X1047" t="s">
        <v>447</v>
      </c>
      <c r="Y1047">
        <v>2880</v>
      </c>
      <c r="AB1047">
        <v>0.82694563024815904</v>
      </c>
      <c r="AC1047" t="s">
        <v>85</v>
      </c>
      <c r="AI1047">
        <v>5</v>
      </c>
      <c r="AT1047" t="s">
        <v>150</v>
      </c>
      <c r="AV1047" t="s">
        <v>448</v>
      </c>
      <c r="AX1047">
        <v>19.45</v>
      </c>
    </row>
    <row r="1048" spans="1:50" hidden="1" x14ac:dyDescent="0.3">
      <c r="A1048" t="s">
        <v>445</v>
      </c>
      <c r="B1048" t="s">
        <v>449</v>
      </c>
      <c r="C1048" t="s">
        <v>251</v>
      </c>
      <c r="D1048" t="s">
        <v>81</v>
      </c>
      <c r="E1048">
        <v>100000000</v>
      </c>
      <c r="H1048">
        <v>169</v>
      </c>
      <c r="I1048" t="s">
        <v>446</v>
      </c>
      <c r="J1048">
        <v>1.6899999999999999E-4</v>
      </c>
      <c r="K1048" t="s">
        <v>57</v>
      </c>
      <c r="O1048">
        <v>5000</v>
      </c>
      <c r="P1048" t="s">
        <v>277</v>
      </c>
      <c r="T1048">
        <v>37</v>
      </c>
      <c r="V1048">
        <v>50</v>
      </c>
      <c r="W1048" t="s">
        <v>150</v>
      </c>
      <c r="X1048" t="s">
        <v>447</v>
      </c>
      <c r="Y1048">
        <v>1440</v>
      </c>
      <c r="AB1048">
        <v>0.62935685133930597</v>
      </c>
      <c r="AC1048" t="s">
        <v>85</v>
      </c>
      <c r="AI1048">
        <v>5</v>
      </c>
      <c r="AT1048" t="s">
        <v>150</v>
      </c>
      <c r="AV1048" t="s">
        <v>448</v>
      </c>
      <c r="AX1048">
        <v>19.45</v>
      </c>
    </row>
    <row r="1049" spans="1:50" hidden="1" x14ac:dyDescent="0.3">
      <c r="A1049" t="s">
        <v>445</v>
      </c>
      <c r="B1049" t="s">
        <v>449</v>
      </c>
      <c r="C1049" t="s">
        <v>251</v>
      </c>
      <c r="D1049" t="s">
        <v>81</v>
      </c>
      <c r="E1049">
        <v>100000000</v>
      </c>
      <c r="H1049">
        <v>169</v>
      </c>
      <c r="I1049" t="s">
        <v>446</v>
      </c>
      <c r="J1049">
        <v>1.6899999999999999E-4</v>
      </c>
      <c r="K1049" t="s">
        <v>57</v>
      </c>
      <c r="O1049">
        <v>5000</v>
      </c>
      <c r="P1049" t="s">
        <v>277</v>
      </c>
      <c r="T1049">
        <v>37</v>
      </c>
      <c r="V1049">
        <v>50</v>
      </c>
      <c r="W1049" t="s">
        <v>150</v>
      </c>
      <c r="X1049" t="s">
        <v>447</v>
      </c>
      <c r="Y1049">
        <v>2880</v>
      </c>
      <c r="AB1049">
        <v>1.23302997607543</v>
      </c>
      <c r="AC1049" t="s">
        <v>85</v>
      </c>
      <c r="AI1049">
        <v>5</v>
      </c>
      <c r="AT1049" t="s">
        <v>150</v>
      </c>
      <c r="AV1049" t="s">
        <v>448</v>
      </c>
      <c r="AX1049">
        <v>19.45</v>
      </c>
    </row>
    <row r="1050" spans="1:50" hidden="1" x14ac:dyDescent="0.3">
      <c r="A1050" t="s">
        <v>445</v>
      </c>
      <c r="B1050" t="s">
        <v>449</v>
      </c>
      <c r="C1050" t="s">
        <v>251</v>
      </c>
      <c r="D1050" t="s">
        <v>81</v>
      </c>
      <c r="E1050">
        <v>100000000</v>
      </c>
      <c r="H1050">
        <v>169</v>
      </c>
      <c r="I1050" t="s">
        <v>446</v>
      </c>
      <c r="J1050">
        <v>1.6899999999999999E-4</v>
      </c>
      <c r="K1050" t="s">
        <v>57</v>
      </c>
      <c r="O1050">
        <v>10000</v>
      </c>
      <c r="P1050" t="s">
        <v>277</v>
      </c>
      <c r="T1050">
        <v>30</v>
      </c>
      <c r="V1050">
        <v>50</v>
      </c>
      <c r="W1050" t="s">
        <v>150</v>
      </c>
      <c r="X1050" t="s">
        <v>447</v>
      </c>
      <c r="Y1050">
        <v>1440</v>
      </c>
      <c r="AB1050">
        <v>0.61070976216165396</v>
      </c>
      <c r="AC1050" t="s">
        <v>85</v>
      </c>
      <c r="AI1050">
        <v>5</v>
      </c>
      <c r="AT1050" t="s">
        <v>150</v>
      </c>
      <c r="AV1050" t="s">
        <v>448</v>
      </c>
      <c r="AX1050">
        <v>38.9</v>
      </c>
    </row>
    <row r="1051" spans="1:50" hidden="1" x14ac:dyDescent="0.3">
      <c r="A1051" t="s">
        <v>445</v>
      </c>
      <c r="B1051" t="s">
        <v>449</v>
      </c>
      <c r="C1051" t="s">
        <v>251</v>
      </c>
      <c r="D1051" t="s">
        <v>81</v>
      </c>
      <c r="E1051">
        <v>100000000</v>
      </c>
      <c r="H1051">
        <v>169</v>
      </c>
      <c r="I1051" t="s">
        <v>446</v>
      </c>
      <c r="J1051">
        <v>1.6899999999999999E-4</v>
      </c>
      <c r="K1051" t="s">
        <v>57</v>
      </c>
      <c r="O1051">
        <v>10000</v>
      </c>
      <c r="P1051" t="s">
        <v>277</v>
      </c>
      <c r="T1051">
        <v>30</v>
      </c>
      <c r="V1051">
        <v>50</v>
      </c>
      <c r="W1051" t="s">
        <v>150</v>
      </c>
      <c r="X1051" t="s">
        <v>447</v>
      </c>
      <c r="Y1051">
        <v>2880</v>
      </c>
      <c r="AB1051">
        <v>1.8513393066566399</v>
      </c>
      <c r="AC1051" t="s">
        <v>85</v>
      </c>
      <c r="AI1051">
        <v>5</v>
      </c>
      <c r="AT1051" t="s">
        <v>150</v>
      </c>
      <c r="AV1051" t="s">
        <v>448</v>
      </c>
      <c r="AX1051">
        <v>38.9</v>
      </c>
    </row>
    <row r="1052" spans="1:50" hidden="1" x14ac:dyDescent="0.3">
      <c r="A1052" t="s">
        <v>445</v>
      </c>
      <c r="B1052" t="s">
        <v>449</v>
      </c>
      <c r="C1052" t="s">
        <v>251</v>
      </c>
      <c r="D1052" t="s">
        <v>81</v>
      </c>
      <c r="E1052">
        <v>100000000</v>
      </c>
      <c r="H1052">
        <v>169</v>
      </c>
      <c r="I1052" t="s">
        <v>446</v>
      </c>
      <c r="J1052">
        <v>1.6899999999999999E-4</v>
      </c>
      <c r="K1052" t="s">
        <v>57</v>
      </c>
      <c r="O1052">
        <v>10000</v>
      </c>
      <c r="P1052" t="s">
        <v>277</v>
      </c>
      <c r="T1052">
        <v>37</v>
      </c>
      <c r="V1052">
        <v>50</v>
      </c>
      <c r="W1052" t="s">
        <v>150</v>
      </c>
      <c r="X1052" t="s">
        <v>447</v>
      </c>
      <c r="Y1052">
        <v>1440</v>
      </c>
      <c r="AB1052">
        <v>1.12987287141717</v>
      </c>
      <c r="AC1052" t="s">
        <v>85</v>
      </c>
      <c r="AI1052">
        <v>5</v>
      </c>
      <c r="AT1052" t="s">
        <v>150</v>
      </c>
      <c r="AV1052" t="s">
        <v>448</v>
      </c>
      <c r="AX1052">
        <v>38.9</v>
      </c>
    </row>
    <row r="1053" spans="1:50" hidden="1" x14ac:dyDescent="0.3">
      <c r="A1053" t="s">
        <v>445</v>
      </c>
      <c r="B1053" t="s">
        <v>449</v>
      </c>
      <c r="C1053" t="s">
        <v>251</v>
      </c>
      <c r="D1053" t="s">
        <v>81</v>
      </c>
      <c r="E1053">
        <v>100000000</v>
      </c>
      <c r="H1053">
        <v>169</v>
      </c>
      <c r="I1053" t="s">
        <v>446</v>
      </c>
      <c r="J1053">
        <v>1.6899999999999999E-4</v>
      </c>
      <c r="K1053" t="s">
        <v>57</v>
      </c>
      <c r="O1053">
        <v>10000</v>
      </c>
      <c r="P1053" t="s">
        <v>277</v>
      </c>
      <c r="T1053">
        <v>37</v>
      </c>
      <c r="V1053">
        <v>50</v>
      </c>
      <c r="W1053" t="s">
        <v>150</v>
      </c>
      <c r="X1053" t="s">
        <v>447</v>
      </c>
      <c r="Y1053">
        <v>2880</v>
      </c>
      <c r="AB1053">
        <v>1.4558099169676599</v>
      </c>
      <c r="AC1053" t="s">
        <v>85</v>
      </c>
      <c r="AI1053">
        <v>5</v>
      </c>
      <c r="AT1053" t="s">
        <v>150</v>
      </c>
      <c r="AV1053" t="s">
        <v>448</v>
      </c>
      <c r="AX1053">
        <v>38.9</v>
      </c>
    </row>
    <row r="1054" spans="1:50" hidden="1" x14ac:dyDescent="0.3">
      <c r="A1054" t="s">
        <v>445</v>
      </c>
      <c r="B1054" t="s">
        <v>449</v>
      </c>
      <c r="C1054" t="s">
        <v>251</v>
      </c>
      <c r="D1054" t="s">
        <v>81</v>
      </c>
      <c r="E1054">
        <v>100000000</v>
      </c>
      <c r="H1054">
        <v>169</v>
      </c>
      <c r="I1054" t="s">
        <v>446</v>
      </c>
      <c r="J1054">
        <v>1.6899999999999999E-4</v>
      </c>
      <c r="K1054" t="s">
        <v>57</v>
      </c>
      <c r="O1054">
        <v>20000</v>
      </c>
      <c r="P1054" t="s">
        <v>277</v>
      </c>
      <c r="T1054">
        <v>30</v>
      </c>
      <c r="V1054">
        <v>50</v>
      </c>
      <c r="W1054" t="s">
        <v>150</v>
      </c>
      <c r="X1054" t="s">
        <v>447</v>
      </c>
      <c r="Y1054">
        <v>1440</v>
      </c>
      <c r="AB1054">
        <v>1.5324388985316699</v>
      </c>
      <c r="AC1054" t="s">
        <v>85</v>
      </c>
      <c r="AI1054">
        <v>5</v>
      </c>
      <c r="AT1054" t="s">
        <v>150</v>
      </c>
      <c r="AV1054" t="s">
        <v>448</v>
      </c>
      <c r="AX1054">
        <v>77.8</v>
      </c>
    </row>
    <row r="1055" spans="1:50" hidden="1" x14ac:dyDescent="0.3">
      <c r="A1055" t="s">
        <v>445</v>
      </c>
      <c r="B1055" t="s">
        <v>449</v>
      </c>
      <c r="C1055" t="s">
        <v>251</v>
      </c>
      <c r="D1055" t="s">
        <v>81</v>
      </c>
      <c r="E1055">
        <v>100000000</v>
      </c>
      <c r="H1055">
        <v>169</v>
      </c>
      <c r="I1055" t="s">
        <v>446</v>
      </c>
      <c r="J1055">
        <v>1.6899999999999999E-4</v>
      </c>
      <c r="K1055" t="s">
        <v>57</v>
      </c>
      <c r="O1055">
        <v>20000</v>
      </c>
      <c r="P1055" t="s">
        <v>277</v>
      </c>
      <c r="T1055">
        <v>30</v>
      </c>
      <c r="V1055">
        <v>50</v>
      </c>
      <c r="W1055" t="s">
        <v>150</v>
      </c>
      <c r="X1055" t="s">
        <v>447</v>
      </c>
      <c r="Y1055">
        <v>2880</v>
      </c>
      <c r="AB1055">
        <v>2.18769057559693</v>
      </c>
      <c r="AC1055" t="s">
        <v>85</v>
      </c>
      <c r="AI1055">
        <v>5</v>
      </c>
      <c r="AT1055" t="s">
        <v>150</v>
      </c>
      <c r="AV1055" t="s">
        <v>448</v>
      </c>
      <c r="AX1055">
        <v>77.8</v>
      </c>
    </row>
    <row r="1056" spans="1:50" hidden="1" x14ac:dyDescent="0.3">
      <c r="A1056" t="s">
        <v>445</v>
      </c>
      <c r="B1056" t="s">
        <v>449</v>
      </c>
      <c r="C1056" t="s">
        <v>251</v>
      </c>
      <c r="D1056" t="s">
        <v>81</v>
      </c>
      <c r="E1056">
        <v>100000000</v>
      </c>
      <c r="H1056">
        <v>169</v>
      </c>
      <c r="I1056" t="s">
        <v>446</v>
      </c>
      <c r="J1056">
        <v>1.6899999999999999E-4</v>
      </c>
      <c r="K1056" t="s">
        <v>57</v>
      </c>
      <c r="O1056">
        <v>20000</v>
      </c>
      <c r="P1056" t="s">
        <v>277</v>
      </c>
      <c r="T1056">
        <v>37</v>
      </c>
      <c r="V1056">
        <v>50</v>
      </c>
      <c r="W1056" t="s">
        <v>150</v>
      </c>
      <c r="X1056" t="s">
        <v>447</v>
      </c>
      <c r="Y1056">
        <v>1440</v>
      </c>
      <c r="AB1056">
        <v>1.4250598114180999</v>
      </c>
      <c r="AC1056" t="s">
        <v>85</v>
      </c>
      <c r="AI1056">
        <v>5</v>
      </c>
      <c r="AT1056" t="s">
        <v>150</v>
      </c>
      <c r="AV1056" t="s">
        <v>448</v>
      </c>
      <c r="AX1056">
        <v>77.8</v>
      </c>
    </row>
    <row r="1057" spans="1:50" hidden="1" x14ac:dyDescent="0.3">
      <c r="A1057" t="s">
        <v>445</v>
      </c>
      <c r="B1057" t="s">
        <v>449</v>
      </c>
      <c r="C1057" t="s">
        <v>251</v>
      </c>
      <c r="D1057" t="s">
        <v>81</v>
      </c>
      <c r="E1057">
        <v>100000000</v>
      </c>
      <c r="H1057">
        <v>169</v>
      </c>
      <c r="I1057" t="s">
        <v>446</v>
      </c>
      <c r="J1057">
        <v>1.6899999999999999E-4</v>
      </c>
      <c r="K1057" t="s">
        <v>57</v>
      </c>
      <c r="O1057">
        <v>20000</v>
      </c>
      <c r="P1057" t="s">
        <v>277</v>
      </c>
      <c r="T1057">
        <v>37</v>
      </c>
      <c r="V1057">
        <v>50</v>
      </c>
      <c r="W1057" t="s">
        <v>150</v>
      </c>
      <c r="X1057" t="s">
        <v>447</v>
      </c>
      <c r="Y1057">
        <v>2880</v>
      </c>
      <c r="AB1057">
        <v>1.87448984378664</v>
      </c>
      <c r="AC1057" t="s">
        <v>85</v>
      </c>
      <c r="AI1057">
        <v>5</v>
      </c>
      <c r="AT1057" t="s">
        <v>150</v>
      </c>
      <c r="AV1057" t="s">
        <v>448</v>
      </c>
      <c r="AX1057">
        <v>77.8</v>
      </c>
    </row>
    <row r="1058" spans="1:50" hidden="1" x14ac:dyDescent="0.3">
      <c r="A1058" t="s">
        <v>445</v>
      </c>
      <c r="B1058" t="s">
        <v>449</v>
      </c>
      <c r="C1058" t="s">
        <v>251</v>
      </c>
      <c r="D1058" t="s">
        <v>81</v>
      </c>
      <c r="E1058">
        <v>100000000</v>
      </c>
      <c r="H1058">
        <v>169</v>
      </c>
      <c r="I1058" t="s">
        <v>446</v>
      </c>
      <c r="J1058">
        <v>1.6899999999999999E-4</v>
      </c>
      <c r="K1058" t="s">
        <v>57</v>
      </c>
      <c r="O1058">
        <v>50000</v>
      </c>
      <c r="P1058" t="s">
        <v>277</v>
      </c>
      <c r="T1058">
        <v>30</v>
      </c>
      <c r="V1058">
        <v>50</v>
      </c>
      <c r="W1058" t="s">
        <v>150</v>
      </c>
      <c r="X1058" t="s">
        <v>447</v>
      </c>
      <c r="Y1058">
        <v>1440</v>
      </c>
      <c r="AB1058">
        <v>2.3411596378477202</v>
      </c>
      <c r="AC1058" t="s">
        <v>85</v>
      </c>
      <c r="AI1058">
        <v>5</v>
      </c>
      <c r="AT1058" t="s">
        <v>150</v>
      </c>
      <c r="AV1058" t="s">
        <v>448</v>
      </c>
      <c r="AX1058">
        <v>194.5</v>
      </c>
    </row>
    <row r="1059" spans="1:50" hidden="1" x14ac:dyDescent="0.3">
      <c r="A1059" t="s">
        <v>445</v>
      </c>
      <c r="B1059" t="s">
        <v>449</v>
      </c>
      <c r="C1059" t="s">
        <v>251</v>
      </c>
      <c r="D1059" t="s">
        <v>81</v>
      </c>
      <c r="E1059">
        <v>100000000</v>
      </c>
      <c r="H1059">
        <v>169</v>
      </c>
      <c r="I1059" t="s">
        <v>446</v>
      </c>
      <c r="J1059">
        <v>1.6899999999999999E-4</v>
      </c>
      <c r="K1059" t="s">
        <v>57</v>
      </c>
      <c r="O1059">
        <v>50000</v>
      </c>
      <c r="P1059" t="s">
        <v>277</v>
      </c>
      <c r="T1059">
        <v>30</v>
      </c>
      <c r="V1059">
        <v>50</v>
      </c>
      <c r="W1059" t="s">
        <v>150</v>
      </c>
      <c r="X1059" t="s">
        <v>447</v>
      </c>
      <c r="Y1059">
        <v>2880</v>
      </c>
      <c r="AB1059">
        <v>2.7086832105831</v>
      </c>
      <c r="AC1059" t="s">
        <v>85</v>
      </c>
      <c r="AI1059">
        <v>5</v>
      </c>
      <c r="AT1059" t="s">
        <v>150</v>
      </c>
      <c r="AV1059" t="s">
        <v>448</v>
      </c>
      <c r="AX1059">
        <v>194.5</v>
      </c>
    </row>
    <row r="1060" spans="1:50" hidden="1" x14ac:dyDescent="0.3">
      <c r="A1060" t="s">
        <v>445</v>
      </c>
      <c r="B1060" t="s">
        <v>449</v>
      </c>
      <c r="C1060" t="s">
        <v>251</v>
      </c>
      <c r="D1060" t="s">
        <v>81</v>
      </c>
      <c r="E1060">
        <v>100000000</v>
      </c>
      <c r="H1060">
        <v>169</v>
      </c>
      <c r="I1060" t="s">
        <v>446</v>
      </c>
      <c r="J1060">
        <v>1.6899999999999999E-4</v>
      </c>
      <c r="K1060" t="s">
        <v>57</v>
      </c>
      <c r="O1060">
        <v>50000</v>
      </c>
      <c r="P1060" t="s">
        <v>277</v>
      </c>
      <c r="T1060">
        <v>37</v>
      </c>
      <c r="V1060">
        <v>50</v>
      </c>
      <c r="W1060" t="s">
        <v>150</v>
      </c>
      <c r="X1060" t="s">
        <v>447</v>
      </c>
      <c r="Y1060">
        <v>1440</v>
      </c>
      <c r="AB1060">
        <v>2.1515926256039601</v>
      </c>
      <c r="AC1060" t="s">
        <v>85</v>
      </c>
      <c r="AI1060">
        <v>5</v>
      </c>
      <c r="AT1060" t="s">
        <v>150</v>
      </c>
      <c r="AV1060" t="s">
        <v>448</v>
      </c>
      <c r="AX1060">
        <v>194.5</v>
      </c>
    </row>
    <row r="1061" spans="1:50" hidden="1" x14ac:dyDescent="0.3">
      <c r="A1061" t="s">
        <v>445</v>
      </c>
      <c r="B1061" t="s">
        <v>449</v>
      </c>
      <c r="C1061" t="s">
        <v>251</v>
      </c>
      <c r="D1061" t="s">
        <v>81</v>
      </c>
      <c r="E1061">
        <v>100000000</v>
      </c>
      <c r="H1061">
        <v>169</v>
      </c>
      <c r="I1061" t="s">
        <v>446</v>
      </c>
      <c r="J1061">
        <v>1.6899999999999999E-4</v>
      </c>
      <c r="K1061" t="s">
        <v>57</v>
      </c>
      <c r="O1061">
        <v>50000</v>
      </c>
      <c r="P1061" t="s">
        <v>277</v>
      </c>
      <c r="T1061">
        <v>37</v>
      </c>
      <c r="V1061">
        <v>50</v>
      </c>
      <c r="W1061" t="s">
        <v>150</v>
      </c>
      <c r="X1061" t="s">
        <v>447</v>
      </c>
      <c r="Y1061">
        <v>2880</v>
      </c>
      <c r="AB1061">
        <v>2.2724116902003</v>
      </c>
      <c r="AC1061" t="s">
        <v>85</v>
      </c>
      <c r="AI1061">
        <v>5</v>
      </c>
      <c r="AT1061" t="s">
        <v>150</v>
      </c>
      <c r="AV1061" t="s">
        <v>448</v>
      </c>
      <c r="AX1061">
        <v>194.5</v>
      </c>
    </row>
    <row r="1062" spans="1:50" hidden="1" x14ac:dyDescent="0.3">
      <c r="A1062" t="s">
        <v>445</v>
      </c>
      <c r="B1062" t="s">
        <v>449</v>
      </c>
      <c r="C1062" t="s">
        <v>251</v>
      </c>
      <c r="D1062" t="s">
        <v>81</v>
      </c>
      <c r="E1062">
        <v>100000000</v>
      </c>
      <c r="H1062">
        <v>35.1</v>
      </c>
      <c r="I1062" t="s">
        <v>446</v>
      </c>
      <c r="J1062">
        <v>3.5099999999999999E-5</v>
      </c>
      <c r="K1062" t="s">
        <v>57</v>
      </c>
      <c r="O1062">
        <v>5000</v>
      </c>
      <c r="P1062" t="s">
        <v>277</v>
      </c>
      <c r="T1062">
        <v>30</v>
      </c>
      <c r="V1062">
        <v>50</v>
      </c>
      <c r="W1062" t="s">
        <v>73</v>
      </c>
      <c r="X1062" t="s">
        <v>447</v>
      </c>
      <c r="Y1062">
        <v>1440</v>
      </c>
      <c r="AB1062">
        <v>0.207920792079207</v>
      </c>
      <c r="AC1062" t="s">
        <v>85</v>
      </c>
      <c r="AI1062">
        <v>5</v>
      </c>
      <c r="AT1062" t="s">
        <v>73</v>
      </c>
      <c r="AV1062" t="s">
        <v>448</v>
      </c>
      <c r="AX1062">
        <v>19.45</v>
      </c>
    </row>
    <row r="1063" spans="1:50" hidden="1" x14ac:dyDescent="0.3">
      <c r="A1063" t="s">
        <v>445</v>
      </c>
      <c r="B1063" t="s">
        <v>449</v>
      </c>
      <c r="C1063" t="s">
        <v>251</v>
      </c>
      <c r="D1063" t="s">
        <v>81</v>
      </c>
      <c r="E1063">
        <v>100000000</v>
      </c>
      <c r="H1063">
        <v>35.1</v>
      </c>
      <c r="I1063" t="s">
        <v>446</v>
      </c>
      <c r="J1063">
        <v>3.5099999999999999E-5</v>
      </c>
      <c r="K1063" t="s">
        <v>57</v>
      </c>
      <c r="O1063">
        <v>5000</v>
      </c>
      <c r="P1063" t="s">
        <v>277</v>
      </c>
      <c r="T1063">
        <v>30</v>
      </c>
      <c r="V1063">
        <v>50</v>
      </c>
      <c r="W1063" t="s">
        <v>73</v>
      </c>
      <c r="X1063" t="s">
        <v>447</v>
      </c>
      <c r="Y1063">
        <v>2880</v>
      </c>
      <c r="AB1063">
        <v>0.92409240924092295</v>
      </c>
      <c r="AC1063" t="s">
        <v>85</v>
      </c>
      <c r="AI1063">
        <v>5</v>
      </c>
      <c r="AT1063" t="s">
        <v>73</v>
      </c>
      <c r="AV1063" t="s">
        <v>448</v>
      </c>
      <c r="AX1063">
        <v>19.45</v>
      </c>
    </row>
    <row r="1064" spans="1:50" hidden="1" x14ac:dyDescent="0.3">
      <c r="A1064" t="s">
        <v>445</v>
      </c>
      <c r="B1064" t="s">
        <v>449</v>
      </c>
      <c r="C1064" t="s">
        <v>251</v>
      </c>
      <c r="D1064" t="s">
        <v>81</v>
      </c>
      <c r="E1064">
        <v>100000000</v>
      </c>
      <c r="H1064">
        <v>35.1</v>
      </c>
      <c r="I1064" t="s">
        <v>446</v>
      </c>
      <c r="J1064">
        <v>3.5099999999999999E-5</v>
      </c>
      <c r="K1064" t="s">
        <v>57</v>
      </c>
      <c r="O1064">
        <v>5000</v>
      </c>
      <c r="P1064" t="s">
        <v>277</v>
      </c>
      <c r="T1064">
        <v>37</v>
      </c>
      <c r="V1064">
        <v>50</v>
      </c>
      <c r="W1064" t="s">
        <v>73</v>
      </c>
      <c r="X1064" t="s">
        <v>447</v>
      </c>
      <c r="Y1064">
        <v>1440</v>
      </c>
      <c r="AB1064">
        <v>0.53135313531353101</v>
      </c>
      <c r="AC1064" t="s">
        <v>85</v>
      </c>
      <c r="AI1064">
        <v>5</v>
      </c>
      <c r="AT1064" t="s">
        <v>73</v>
      </c>
      <c r="AV1064" t="s">
        <v>448</v>
      </c>
      <c r="AX1064">
        <v>19.45</v>
      </c>
    </row>
    <row r="1065" spans="1:50" hidden="1" x14ac:dyDescent="0.3">
      <c r="A1065" t="s">
        <v>445</v>
      </c>
      <c r="B1065" t="s">
        <v>449</v>
      </c>
      <c r="C1065" t="s">
        <v>251</v>
      </c>
      <c r="D1065" t="s">
        <v>81</v>
      </c>
      <c r="E1065">
        <v>100000000</v>
      </c>
      <c r="H1065">
        <v>35.1</v>
      </c>
      <c r="I1065" t="s">
        <v>446</v>
      </c>
      <c r="J1065">
        <v>3.5099999999999999E-5</v>
      </c>
      <c r="K1065" t="s">
        <v>57</v>
      </c>
      <c r="O1065">
        <v>5000</v>
      </c>
      <c r="P1065" t="s">
        <v>277</v>
      </c>
      <c r="T1065">
        <v>37</v>
      </c>
      <c r="V1065">
        <v>50</v>
      </c>
      <c r="W1065" t="s">
        <v>73</v>
      </c>
      <c r="X1065" t="s">
        <v>447</v>
      </c>
      <c r="Y1065">
        <v>2880</v>
      </c>
      <c r="AB1065">
        <v>1.7095709570957001</v>
      </c>
      <c r="AC1065" t="s">
        <v>85</v>
      </c>
      <c r="AI1065">
        <v>5</v>
      </c>
      <c r="AT1065" t="s">
        <v>73</v>
      </c>
      <c r="AV1065" t="s">
        <v>448</v>
      </c>
      <c r="AX1065">
        <v>19.45</v>
      </c>
    </row>
    <row r="1066" spans="1:50" hidden="1" x14ac:dyDescent="0.3">
      <c r="A1066" t="s">
        <v>445</v>
      </c>
      <c r="B1066" t="s">
        <v>449</v>
      </c>
      <c r="C1066" t="s">
        <v>251</v>
      </c>
      <c r="D1066" t="s">
        <v>81</v>
      </c>
      <c r="E1066">
        <v>100000000</v>
      </c>
      <c r="H1066">
        <v>35.1</v>
      </c>
      <c r="I1066" t="s">
        <v>446</v>
      </c>
      <c r="J1066">
        <v>3.5099999999999999E-5</v>
      </c>
      <c r="K1066" t="s">
        <v>57</v>
      </c>
      <c r="O1066">
        <v>10000</v>
      </c>
      <c r="P1066" t="s">
        <v>277</v>
      </c>
      <c r="T1066">
        <v>30</v>
      </c>
      <c r="V1066">
        <v>50</v>
      </c>
      <c r="W1066" t="s">
        <v>73</v>
      </c>
      <c r="X1066" t="s">
        <v>447</v>
      </c>
      <c r="Y1066">
        <v>1440</v>
      </c>
      <c r="AB1066">
        <v>0.55445544554455295</v>
      </c>
      <c r="AC1066" t="s">
        <v>85</v>
      </c>
      <c r="AI1066">
        <v>5</v>
      </c>
      <c r="AT1066" t="s">
        <v>73</v>
      </c>
      <c r="AV1066" t="s">
        <v>448</v>
      </c>
      <c r="AX1066">
        <v>38.9</v>
      </c>
    </row>
    <row r="1067" spans="1:50" hidden="1" x14ac:dyDescent="0.3">
      <c r="A1067" t="s">
        <v>445</v>
      </c>
      <c r="B1067" t="s">
        <v>449</v>
      </c>
      <c r="C1067" t="s">
        <v>251</v>
      </c>
      <c r="D1067" t="s">
        <v>81</v>
      </c>
      <c r="E1067">
        <v>100000000</v>
      </c>
      <c r="H1067">
        <v>35.1</v>
      </c>
      <c r="I1067" t="s">
        <v>446</v>
      </c>
      <c r="J1067">
        <v>3.5099999999999999E-5</v>
      </c>
      <c r="K1067" t="s">
        <v>57</v>
      </c>
      <c r="O1067">
        <v>10000</v>
      </c>
      <c r="P1067" t="s">
        <v>277</v>
      </c>
      <c r="T1067">
        <v>30</v>
      </c>
      <c r="V1067">
        <v>50</v>
      </c>
      <c r="W1067" t="s">
        <v>73</v>
      </c>
      <c r="X1067" t="s">
        <v>447</v>
      </c>
      <c r="Y1067">
        <v>2880</v>
      </c>
      <c r="AB1067">
        <v>2.47194719471947</v>
      </c>
      <c r="AC1067" t="s">
        <v>85</v>
      </c>
      <c r="AI1067">
        <v>5</v>
      </c>
      <c r="AT1067" t="s">
        <v>73</v>
      </c>
      <c r="AV1067" t="s">
        <v>448</v>
      </c>
      <c r="AX1067">
        <v>38.9</v>
      </c>
    </row>
    <row r="1068" spans="1:50" hidden="1" x14ac:dyDescent="0.3">
      <c r="A1068" t="s">
        <v>445</v>
      </c>
      <c r="B1068" t="s">
        <v>449</v>
      </c>
      <c r="C1068" t="s">
        <v>251</v>
      </c>
      <c r="D1068" t="s">
        <v>81</v>
      </c>
      <c r="E1068">
        <v>100000000</v>
      </c>
      <c r="H1068">
        <v>35.1</v>
      </c>
      <c r="I1068" t="s">
        <v>446</v>
      </c>
      <c r="J1068">
        <v>3.5099999999999999E-5</v>
      </c>
      <c r="K1068" t="s">
        <v>57</v>
      </c>
      <c r="O1068">
        <v>10000</v>
      </c>
      <c r="P1068" t="s">
        <v>277</v>
      </c>
      <c r="T1068">
        <v>37</v>
      </c>
      <c r="V1068">
        <v>50</v>
      </c>
      <c r="W1068" t="s">
        <v>73</v>
      </c>
      <c r="X1068" t="s">
        <v>447</v>
      </c>
      <c r="Y1068">
        <v>1440</v>
      </c>
      <c r="AB1068">
        <v>1.73267326732673</v>
      </c>
      <c r="AC1068" t="s">
        <v>85</v>
      </c>
      <c r="AI1068">
        <v>5</v>
      </c>
      <c r="AT1068" t="s">
        <v>73</v>
      </c>
      <c r="AV1068" t="s">
        <v>448</v>
      </c>
      <c r="AX1068">
        <v>38.9</v>
      </c>
    </row>
    <row r="1069" spans="1:50" hidden="1" x14ac:dyDescent="0.3">
      <c r="A1069" t="s">
        <v>445</v>
      </c>
      <c r="B1069" t="s">
        <v>449</v>
      </c>
      <c r="C1069" t="s">
        <v>251</v>
      </c>
      <c r="D1069" t="s">
        <v>81</v>
      </c>
      <c r="E1069">
        <v>100000000</v>
      </c>
      <c r="H1069">
        <v>35.1</v>
      </c>
      <c r="I1069" t="s">
        <v>446</v>
      </c>
      <c r="J1069">
        <v>3.5099999999999999E-5</v>
      </c>
      <c r="K1069" t="s">
        <v>57</v>
      </c>
      <c r="O1069">
        <v>10000</v>
      </c>
      <c r="P1069" t="s">
        <v>277</v>
      </c>
      <c r="T1069">
        <v>37</v>
      </c>
      <c r="V1069">
        <v>50</v>
      </c>
      <c r="W1069" t="s">
        <v>73</v>
      </c>
      <c r="X1069" t="s">
        <v>447</v>
      </c>
      <c r="Y1069">
        <v>2880</v>
      </c>
      <c r="AB1069">
        <v>3.9042904290428901</v>
      </c>
      <c r="AC1069" t="s">
        <v>85</v>
      </c>
      <c r="AI1069">
        <v>5</v>
      </c>
      <c r="AT1069" t="s">
        <v>73</v>
      </c>
      <c r="AV1069" t="s">
        <v>448</v>
      </c>
      <c r="AX1069">
        <v>38.9</v>
      </c>
    </row>
    <row r="1070" spans="1:50" hidden="1" x14ac:dyDescent="0.3">
      <c r="A1070" t="s">
        <v>445</v>
      </c>
      <c r="B1070" t="s">
        <v>449</v>
      </c>
      <c r="C1070" t="s">
        <v>251</v>
      </c>
      <c r="D1070" t="s">
        <v>81</v>
      </c>
      <c r="E1070">
        <v>100000000</v>
      </c>
      <c r="H1070">
        <v>35.1</v>
      </c>
      <c r="I1070" t="s">
        <v>446</v>
      </c>
      <c r="J1070">
        <v>3.5099999999999999E-5</v>
      </c>
      <c r="K1070" t="s">
        <v>57</v>
      </c>
      <c r="O1070">
        <v>20000</v>
      </c>
      <c r="P1070" t="s">
        <v>277</v>
      </c>
      <c r="T1070">
        <v>30</v>
      </c>
      <c r="V1070">
        <v>50</v>
      </c>
      <c r="W1070" t="s">
        <v>73</v>
      </c>
      <c r="X1070" t="s">
        <v>447</v>
      </c>
      <c r="Y1070">
        <v>1440</v>
      </c>
      <c r="AB1070">
        <v>2.21782178217821</v>
      </c>
      <c r="AC1070" t="s">
        <v>85</v>
      </c>
      <c r="AI1070">
        <v>5</v>
      </c>
      <c r="AT1070" t="s">
        <v>73</v>
      </c>
      <c r="AV1070" t="s">
        <v>448</v>
      </c>
      <c r="AX1070">
        <v>77.8</v>
      </c>
    </row>
    <row r="1071" spans="1:50" hidden="1" x14ac:dyDescent="0.3">
      <c r="A1071" t="s">
        <v>445</v>
      </c>
      <c r="B1071" t="s">
        <v>449</v>
      </c>
      <c r="C1071" t="s">
        <v>251</v>
      </c>
      <c r="D1071" t="s">
        <v>81</v>
      </c>
      <c r="E1071">
        <v>100000000</v>
      </c>
      <c r="H1071">
        <v>35.1</v>
      </c>
      <c r="I1071" t="s">
        <v>446</v>
      </c>
      <c r="J1071">
        <v>3.5099999999999999E-5</v>
      </c>
      <c r="K1071" t="s">
        <v>57</v>
      </c>
      <c r="O1071">
        <v>20000</v>
      </c>
      <c r="P1071" t="s">
        <v>277</v>
      </c>
      <c r="T1071">
        <v>30</v>
      </c>
      <c r="V1071">
        <v>50</v>
      </c>
      <c r="W1071" t="s">
        <v>73</v>
      </c>
      <c r="X1071" t="s">
        <v>447</v>
      </c>
      <c r="Y1071">
        <v>2880</v>
      </c>
      <c r="AB1071">
        <v>5.0594059405940399</v>
      </c>
      <c r="AC1071" t="s">
        <v>85</v>
      </c>
      <c r="AI1071">
        <v>5</v>
      </c>
      <c r="AT1071" t="s">
        <v>73</v>
      </c>
      <c r="AV1071" t="s">
        <v>448</v>
      </c>
      <c r="AX1071">
        <v>77.8</v>
      </c>
    </row>
    <row r="1072" spans="1:50" hidden="1" x14ac:dyDescent="0.3">
      <c r="A1072" t="s">
        <v>445</v>
      </c>
      <c r="B1072" t="s">
        <v>449</v>
      </c>
      <c r="C1072" t="s">
        <v>251</v>
      </c>
      <c r="D1072" t="s">
        <v>81</v>
      </c>
      <c r="E1072">
        <v>100000000</v>
      </c>
      <c r="H1072">
        <v>35.1</v>
      </c>
      <c r="I1072" t="s">
        <v>446</v>
      </c>
      <c r="J1072">
        <v>3.5099999999999999E-5</v>
      </c>
      <c r="K1072" t="s">
        <v>57</v>
      </c>
      <c r="O1072">
        <v>20000</v>
      </c>
      <c r="P1072" t="s">
        <v>277</v>
      </c>
      <c r="T1072">
        <v>37</v>
      </c>
      <c r="V1072">
        <v>50</v>
      </c>
      <c r="W1072" t="s">
        <v>73</v>
      </c>
      <c r="X1072" t="s">
        <v>447</v>
      </c>
      <c r="Y1072">
        <v>1440</v>
      </c>
      <c r="AB1072">
        <v>2.1947194719471801</v>
      </c>
      <c r="AC1072" t="s">
        <v>85</v>
      </c>
      <c r="AI1072">
        <v>5</v>
      </c>
      <c r="AT1072" t="s">
        <v>73</v>
      </c>
      <c r="AV1072" t="s">
        <v>448</v>
      </c>
      <c r="AX1072">
        <v>77.8</v>
      </c>
    </row>
    <row r="1073" spans="1:53" hidden="1" x14ac:dyDescent="0.3">
      <c r="A1073" t="s">
        <v>445</v>
      </c>
      <c r="B1073" t="s">
        <v>449</v>
      </c>
      <c r="C1073" t="s">
        <v>251</v>
      </c>
      <c r="D1073" t="s">
        <v>81</v>
      </c>
      <c r="E1073">
        <v>100000000</v>
      </c>
      <c r="H1073">
        <v>35.1</v>
      </c>
      <c r="I1073" t="s">
        <v>446</v>
      </c>
      <c r="J1073">
        <v>3.5099999999999999E-5</v>
      </c>
      <c r="K1073" t="s">
        <v>57</v>
      </c>
      <c r="O1073">
        <v>20000</v>
      </c>
      <c r="P1073" t="s">
        <v>277</v>
      </c>
      <c r="T1073">
        <v>37</v>
      </c>
      <c r="V1073">
        <v>50</v>
      </c>
      <c r="W1073" t="s">
        <v>73</v>
      </c>
      <c r="X1073" t="s">
        <v>447</v>
      </c>
      <c r="Y1073">
        <v>2880</v>
      </c>
      <c r="AB1073">
        <v>5.0363036303630304</v>
      </c>
      <c r="AC1073" t="s">
        <v>85</v>
      </c>
      <c r="AI1073">
        <v>5</v>
      </c>
      <c r="AT1073" t="s">
        <v>73</v>
      </c>
      <c r="AV1073" t="s">
        <v>448</v>
      </c>
      <c r="AX1073">
        <v>77.8</v>
      </c>
    </row>
    <row r="1074" spans="1:53" hidden="1" x14ac:dyDescent="0.3">
      <c r="A1074" t="s">
        <v>445</v>
      </c>
      <c r="B1074" t="s">
        <v>449</v>
      </c>
      <c r="C1074" t="s">
        <v>251</v>
      </c>
      <c r="D1074" t="s">
        <v>81</v>
      </c>
      <c r="E1074">
        <v>100000000</v>
      </c>
      <c r="H1074">
        <v>35.1</v>
      </c>
      <c r="I1074" t="s">
        <v>446</v>
      </c>
      <c r="J1074">
        <v>3.5099999999999999E-5</v>
      </c>
      <c r="K1074" t="s">
        <v>57</v>
      </c>
      <c r="O1074">
        <v>50000</v>
      </c>
      <c r="P1074" t="s">
        <v>277</v>
      </c>
      <c r="T1074">
        <v>30</v>
      </c>
      <c r="V1074">
        <v>50</v>
      </c>
      <c r="W1074" t="s">
        <v>73</v>
      </c>
      <c r="X1074" t="s">
        <v>447</v>
      </c>
      <c r="Y1074">
        <v>1440</v>
      </c>
      <c r="AB1074">
        <v>4.8052805280528004</v>
      </c>
      <c r="AC1074" t="s">
        <v>85</v>
      </c>
      <c r="AI1074">
        <v>5</v>
      </c>
      <c r="AT1074" t="s">
        <v>73</v>
      </c>
      <c r="AV1074" t="s">
        <v>448</v>
      </c>
      <c r="AX1074">
        <v>194.5</v>
      </c>
    </row>
    <row r="1075" spans="1:53" hidden="1" x14ac:dyDescent="0.3">
      <c r="A1075" t="s">
        <v>445</v>
      </c>
      <c r="B1075" t="s">
        <v>449</v>
      </c>
      <c r="C1075" t="s">
        <v>251</v>
      </c>
      <c r="D1075" t="s">
        <v>81</v>
      </c>
      <c r="E1075">
        <v>100000000</v>
      </c>
      <c r="H1075">
        <v>35.1</v>
      </c>
      <c r="I1075" t="s">
        <v>446</v>
      </c>
      <c r="J1075">
        <v>3.5099999999999999E-5</v>
      </c>
      <c r="K1075" t="s">
        <v>57</v>
      </c>
      <c r="O1075">
        <v>50000</v>
      </c>
      <c r="P1075" t="s">
        <v>277</v>
      </c>
      <c r="T1075">
        <v>30</v>
      </c>
      <c r="V1075">
        <v>50</v>
      </c>
      <c r="W1075" t="s">
        <v>73</v>
      </c>
      <c r="X1075" t="s">
        <v>447</v>
      </c>
      <c r="Y1075">
        <v>2880</v>
      </c>
      <c r="AB1075">
        <v>6.1221122112211201</v>
      </c>
      <c r="AC1075" t="s">
        <v>85</v>
      </c>
      <c r="AI1075">
        <v>5</v>
      </c>
      <c r="AT1075" t="s">
        <v>73</v>
      </c>
      <c r="AV1075" t="s">
        <v>448</v>
      </c>
      <c r="AX1075">
        <v>194.5</v>
      </c>
    </row>
    <row r="1076" spans="1:53" hidden="1" x14ac:dyDescent="0.3">
      <c r="A1076" t="s">
        <v>445</v>
      </c>
      <c r="B1076" t="s">
        <v>449</v>
      </c>
      <c r="C1076" t="s">
        <v>251</v>
      </c>
      <c r="D1076" t="s">
        <v>81</v>
      </c>
      <c r="E1076">
        <v>100000000</v>
      </c>
      <c r="H1076">
        <v>35.1</v>
      </c>
      <c r="I1076" t="s">
        <v>446</v>
      </c>
      <c r="J1076">
        <v>3.5099999999999999E-5</v>
      </c>
      <c r="K1076" t="s">
        <v>57</v>
      </c>
      <c r="O1076">
        <v>50000</v>
      </c>
      <c r="P1076" t="s">
        <v>277</v>
      </c>
      <c r="T1076">
        <v>37</v>
      </c>
      <c r="V1076">
        <v>50</v>
      </c>
      <c r="W1076" t="s">
        <v>73</v>
      </c>
      <c r="X1076" t="s">
        <v>447</v>
      </c>
      <c r="Y1076">
        <v>1440</v>
      </c>
      <c r="AB1076">
        <v>5.2442244224422403</v>
      </c>
      <c r="AC1076" t="s">
        <v>85</v>
      </c>
      <c r="AI1076">
        <v>5</v>
      </c>
      <c r="AT1076" t="s">
        <v>73</v>
      </c>
      <c r="AV1076" t="s">
        <v>448</v>
      </c>
      <c r="AX1076">
        <v>194.5</v>
      </c>
    </row>
    <row r="1077" spans="1:53" hidden="1" x14ac:dyDescent="0.3">
      <c r="A1077" t="s">
        <v>445</v>
      </c>
      <c r="B1077" t="s">
        <v>449</v>
      </c>
      <c r="C1077" t="s">
        <v>251</v>
      </c>
      <c r="D1077" t="s">
        <v>81</v>
      </c>
      <c r="E1077">
        <v>100000000</v>
      </c>
      <c r="H1077">
        <v>35.1</v>
      </c>
      <c r="I1077" t="s">
        <v>446</v>
      </c>
      <c r="J1077">
        <v>3.5099999999999999E-5</v>
      </c>
      <c r="K1077" t="s">
        <v>57</v>
      </c>
      <c r="O1077">
        <v>50000</v>
      </c>
      <c r="P1077" t="s">
        <v>277</v>
      </c>
      <c r="T1077">
        <v>37</v>
      </c>
      <c r="V1077">
        <v>50</v>
      </c>
      <c r="W1077" t="s">
        <v>73</v>
      </c>
      <c r="X1077" t="s">
        <v>447</v>
      </c>
      <c r="Y1077">
        <v>2880</v>
      </c>
      <c r="AB1077">
        <v>6.2145214521451999</v>
      </c>
      <c r="AC1077" t="s">
        <v>85</v>
      </c>
      <c r="AI1077">
        <v>5</v>
      </c>
      <c r="AT1077" t="s">
        <v>73</v>
      </c>
      <c r="AV1077" t="s">
        <v>448</v>
      </c>
      <c r="AX1077">
        <v>194.5</v>
      </c>
    </row>
    <row r="1078" spans="1:53" hidden="1" x14ac:dyDescent="0.3">
      <c r="A1078" t="s">
        <v>452</v>
      </c>
      <c r="C1078" t="s">
        <v>251</v>
      </c>
      <c r="D1078" t="s">
        <v>81</v>
      </c>
      <c r="E1078">
        <v>100000000</v>
      </c>
      <c r="H1078">
        <v>25</v>
      </c>
      <c r="I1078" t="s">
        <v>56</v>
      </c>
      <c r="J1078">
        <v>2.5000000000000001E-3</v>
      </c>
      <c r="K1078" t="s">
        <v>57</v>
      </c>
      <c r="O1078">
        <v>1110</v>
      </c>
      <c r="P1078" t="s">
        <v>453</v>
      </c>
      <c r="T1078">
        <v>22</v>
      </c>
      <c r="V1078">
        <v>50</v>
      </c>
      <c r="W1078" t="s">
        <v>454</v>
      </c>
      <c r="X1078" t="s">
        <v>255</v>
      </c>
      <c r="Y1078">
        <v>120</v>
      </c>
      <c r="AB1078">
        <v>3.91</v>
      </c>
      <c r="AC1078" t="s">
        <v>85</v>
      </c>
      <c r="AV1078" t="s">
        <v>88</v>
      </c>
      <c r="AW1078">
        <v>1110</v>
      </c>
    </row>
    <row r="1079" spans="1:53" hidden="1" x14ac:dyDescent="0.3">
      <c r="A1079" t="s">
        <v>452</v>
      </c>
      <c r="C1079" t="s">
        <v>251</v>
      </c>
      <c r="D1079" t="s">
        <v>81</v>
      </c>
      <c r="E1079">
        <v>100000000</v>
      </c>
      <c r="H1079">
        <v>25</v>
      </c>
      <c r="I1079" t="s">
        <v>56</v>
      </c>
      <c r="J1079">
        <v>2.5000000000000001E-3</v>
      </c>
      <c r="K1079" t="s">
        <v>57</v>
      </c>
      <c r="O1079">
        <v>2760</v>
      </c>
      <c r="P1079" t="s">
        <v>453</v>
      </c>
      <c r="T1079">
        <v>22</v>
      </c>
      <c r="V1079">
        <v>50</v>
      </c>
      <c r="W1079" t="s">
        <v>454</v>
      </c>
      <c r="X1079" t="s">
        <v>255</v>
      </c>
      <c r="Y1079">
        <v>120</v>
      </c>
      <c r="AB1079">
        <v>5.45</v>
      </c>
      <c r="AC1079" t="s">
        <v>85</v>
      </c>
      <c r="AV1079" t="s">
        <v>88</v>
      </c>
      <c r="AW1079">
        <v>2760</v>
      </c>
    </row>
    <row r="1080" spans="1:53" hidden="1" x14ac:dyDescent="0.3">
      <c r="A1080" t="s">
        <v>452</v>
      </c>
      <c r="C1080" t="s">
        <v>251</v>
      </c>
      <c r="D1080" t="s">
        <v>81</v>
      </c>
      <c r="E1080">
        <v>100000000</v>
      </c>
      <c r="H1080">
        <v>25</v>
      </c>
      <c r="I1080" t="s">
        <v>56</v>
      </c>
      <c r="J1080">
        <v>2.5000000000000001E-3</v>
      </c>
      <c r="K1080" t="s">
        <v>57</v>
      </c>
      <c r="O1080">
        <v>3035</v>
      </c>
      <c r="P1080" t="s">
        <v>453</v>
      </c>
      <c r="T1080">
        <v>22</v>
      </c>
      <c r="V1080">
        <v>50</v>
      </c>
      <c r="W1080" t="s">
        <v>454</v>
      </c>
      <c r="X1080" t="s">
        <v>255</v>
      </c>
      <c r="Y1080">
        <v>240</v>
      </c>
      <c r="AA1080" t="s">
        <v>184</v>
      </c>
      <c r="AB1080">
        <v>6.94</v>
      </c>
      <c r="AC1080" t="s">
        <v>85</v>
      </c>
      <c r="AV1080" t="s">
        <v>88</v>
      </c>
      <c r="AW1080">
        <v>3035</v>
      </c>
      <c r="AZ1080">
        <v>0</v>
      </c>
      <c r="BA1080">
        <v>6.94</v>
      </c>
    </row>
    <row r="1081" spans="1:53" hidden="1" x14ac:dyDescent="0.3">
      <c r="A1081" t="s">
        <v>452</v>
      </c>
      <c r="C1081" t="s">
        <v>251</v>
      </c>
      <c r="D1081" t="s">
        <v>81</v>
      </c>
      <c r="E1081">
        <v>100000000</v>
      </c>
      <c r="H1081">
        <v>25</v>
      </c>
      <c r="I1081" t="s">
        <v>56</v>
      </c>
      <c r="J1081">
        <v>2.5000000000000001E-3</v>
      </c>
      <c r="K1081" t="s">
        <v>57</v>
      </c>
      <c r="O1081">
        <v>560</v>
      </c>
      <c r="P1081" t="s">
        <v>453</v>
      </c>
      <c r="T1081">
        <v>22</v>
      </c>
      <c r="V1081">
        <v>50</v>
      </c>
      <c r="W1081" t="s">
        <v>454</v>
      </c>
      <c r="X1081" t="s">
        <v>255</v>
      </c>
      <c r="Y1081">
        <v>360</v>
      </c>
      <c r="AB1081">
        <v>5.23</v>
      </c>
      <c r="AC1081" t="s">
        <v>85</v>
      </c>
      <c r="AV1081" t="s">
        <v>88</v>
      </c>
      <c r="AW1081">
        <v>560</v>
      </c>
    </row>
    <row r="1082" spans="1:53" hidden="1" x14ac:dyDescent="0.3">
      <c r="A1082" t="s">
        <v>452</v>
      </c>
      <c r="C1082" t="s">
        <v>251</v>
      </c>
      <c r="D1082" t="s">
        <v>81</v>
      </c>
      <c r="E1082">
        <v>100000000</v>
      </c>
      <c r="H1082">
        <v>25</v>
      </c>
      <c r="I1082" t="s">
        <v>56</v>
      </c>
      <c r="J1082">
        <v>2.5000000000000001E-3</v>
      </c>
      <c r="K1082" t="s">
        <v>57</v>
      </c>
      <c r="O1082">
        <v>1450</v>
      </c>
      <c r="P1082" t="s">
        <v>453</v>
      </c>
      <c r="T1082">
        <v>22</v>
      </c>
      <c r="V1082">
        <v>50</v>
      </c>
      <c r="W1082" t="s">
        <v>454</v>
      </c>
      <c r="X1082" t="s">
        <v>255</v>
      </c>
      <c r="Y1082">
        <v>360</v>
      </c>
      <c r="AB1082">
        <v>7.03</v>
      </c>
      <c r="AC1082" t="s">
        <v>85</v>
      </c>
      <c r="AV1082" t="s">
        <v>88</v>
      </c>
      <c r="AW1082">
        <v>1450</v>
      </c>
    </row>
    <row r="1083" spans="1:53" hidden="1" x14ac:dyDescent="0.3">
      <c r="A1083" t="s">
        <v>452</v>
      </c>
      <c r="C1083" t="s">
        <v>251</v>
      </c>
      <c r="D1083" t="s">
        <v>81</v>
      </c>
      <c r="E1083">
        <v>100000000</v>
      </c>
      <c r="H1083">
        <v>25</v>
      </c>
      <c r="I1083" t="s">
        <v>56</v>
      </c>
      <c r="J1083">
        <v>2.5000000000000001E-3</v>
      </c>
      <c r="K1083" t="s">
        <v>57</v>
      </c>
      <c r="O1083">
        <v>3070</v>
      </c>
      <c r="P1083" t="s">
        <v>453</v>
      </c>
      <c r="T1083">
        <v>22</v>
      </c>
      <c r="V1083">
        <v>50</v>
      </c>
      <c r="W1083" t="s">
        <v>454</v>
      </c>
      <c r="X1083" t="s">
        <v>255</v>
      </c>
      <c r="Y1083">
        <v>360</v>
      </c>
      <c r="AA1083" t="s">
        <v>184</v>
      </c>
      <c r="AB1083">
        <v>7.31</v>
      </c>
      <c r="AC1083" t="s">
        <v>85</v>
      </c>
      <c r="AV1083" t="s">
        <v>88</v>
      </c>
      <c r="AW1083">
        <v>3070</v>
      </c>
      <c r="AZ1083">
        <v>0</v>
      </c>
      <c r="BA1083">
        <v>7.31</v>
      </c>
    </row>
    <row r="1084" spans="1:53" hidden="1" x14ac:dyDescent="0.3">
      <c r="A1084" t="s">
        <v>452</v>
      </c>
      <c r="C1084" t="s">
        <v>251</v>
      </c>
      <c r="D1084" t="s">
        <v>81</v>
      </c>
      <c r="E1084">
        <v>100000000</v>
      </c>
      <c r="O1084">
        <v>1110</v>
      </c>
      <c r="P1084" t="s">
        <v>453</v>
      </c>
      <c r="T1084">
        <v>22</v>
      </c>
      <c r="V1084">
        <v>50</v>
      </c>
      <c r="W1084" t="s">
        <v>455</v>
      </c>
      <c r="X1084" t="s">
        <v>255</v>
      </c>
      <c r="Y1084">
        <v>120</v>
      </c>
      <c r="AB1084">
        <v>0</v>
      </c>
      <c r="AC1084" t="s">
        <v>297</v>
      </c>
      <c r="AW1084">
        <v>1110</v>
      </c>
      <c r="AZ1084">
        <v>0</v>
      </c>
    </row>
    <row r="1085" spans="1:53" hidden="1" x14ac:dyDescent="0.3">
      <c r="A1085" t="s">
        <v>452</v>
      </c>
      <c r="C1085" t="s">
        <v>251</v>
      </c>
      <c r="D1085" t="s">
        <v>81</v>
      </c>
      <c r="E1085">
        <v>100000000</v>
      </c>
      <c r="O1085">
        <v>2760</v>
      </c>
      <c r="P1085" t="s">
        <v>453</v>
      </c>
      <c r="T1085">
        <v>22</v>
      </c>
      <c r="V1085">
        <v>50</v>
      </c>
      <c r="W1085" t="s">
        <v>455</v>
      </c>
      <c r="X1085" t="s">
        <v>255</v>
      </c>
      <c r="Y1085">
        <v>120</v>
      </c>
      <c r="AB1085">
        <v>0</v>
      </c>
      <c r="AC1085" t="s">
        <v>297</v>
      </c>
      <c r="AW1085">
        <v>2760</v>
      </c>
      <c r="AZ1085">
        <v>0</v>
      </c>
    </row>
    <row r="1086" spans="1:53" hidden="1" x14ac:dyDescent="0.3">
      <c r="A1086" t="s">
        <v>452</v>
      </c>
      <c r="C1086" t="s">
        <v>251</v>
      </c>
      <c r="D1086" t="s">
        <v>81</v>
      </c>
      <c r="E1086">
        <v>100000000</v>
      </c>
      <c r="O1086">
        <v>3035</v>
      </c>
      <c r="P1086" t="s">
        <v>453</v>
      </c>
      <c r="T1086">
        <v>22</v>
      </c>
      <c r="V1086">
        <v>50</v>
      </c>
      <c r="W1086" t="s">
        <v>455</v>
      </c>
      <c r="X1086" t="s">
        <v>255</v>
      </c>
      <c r="Y1086">
        <v>240</v>
      </c>
      <c r="AB1086">
        <v>0</v>
      </c>
      <c r="AC1086" t="s">
        <v>297</v>
      </c>
      <c r="AW1086">
        <v>3035</v>
      </c>
      <c r="AZ1086">
        <v>0</v>
      </c>
    </row>
    <row r="1087" spans="1:53" hidden="1" x14ac:dyDescent="0.3">
      <c r="A1087" t="s">
        <v>452</v>
      </c>
      <c r="C1087" t="s">
        <v>251</v>
      </c>
      <c r="D1087" t="s">
        <v>81</v>
      </c>
      <c r="E1087">
        <v>100000000</v>
      </c>
      <c r="O1087">
        <v>560</v>
      </c>
      <c r="P1087" t="s">
        <v>453</v>
      </c>
      <c r="T1087">
        <v>22</v>
      </c>
      <c r="V1087">
        <v>50</v>
      </c>
      <c r="W1087" t="s">
        <v>455</v>
      </c>
      <c r="X1087" t="s">
        <v>255</v>
      </c>
      <c r="Y1087">
        <v>360</v>
      </c>
      <c r="AB1087">
        <v>0</v>
      </c>
      <c r="AC1087" t="s">
        <v>297</v>
      </c>
      <c r="AW1087">
        <v>560</v>
      </c>
      <c r="AZ1087">
        <v>0</v>
      </c>
    </row>
    <row r="1088" spans="1:53" hidden="1" x14ac:dyDescent="0.3">
      <c r="A1088" t="s">
        <v>452</v>
      </c>
      <c r="C1088" t="s">
        <v>251</v>
      </c>
      <c r="D1088" t="s">
        <v>81</v>
      </c>
      <c r="E1088">
        <v>100000000</v>
      </c>
      <c r="O1088">
        <v>1450</v>
      </c>
      <c r="P1088" t="s">
        <v>453</v>
      </c>
      <c r="T1088">
        <v>22</v>
      </c>
      <c r="V1088">
        <v>50</v>
      </c>
      <c r="W1088" t="s">
        <v>455</v>
      </c>
      <c r="X1088" t="s">
        <v>255</v>
      </c>
      <c r="Y1088">
        <v>360</v>
      </c>
      <c r="AB1088">
        <v>0</v>
      </c>
      <c r="AC1088" t="s">
        <v>297</v>
      </c>
      <c r="AW1088">
        <v>1450</v>
      </c>
      <c r="AZ1088">
        <v>0</v>
      </c>
    </row>
    <row r="1089" spans="1:52" hidden="1" x14ac:dyDescent="0.3">
      <c r="A1089" t="s">
        <v>452</v>
      </c>
      <c r="C1089" t="s">
        <v>251</v>
      </c>
      <c r="D1089" t="s">
        <v>81</v>
      </c>
      <c r="E1089">
        <v>100000000</v>
      </c>
      <c r="O1089">
        <v>3070</v>
      </c>
      <c r="P1089" t="s">
        <v>453</v>
      </c>
      <c r="T1089">
        <v>22</v>
      </c>
      <c r="V1089">
        <v>50</v>
      </c>
      <c r="W1089" t="s">
        <v>455</v>
      </c>
      <c r="X1089" t="s">
        <v>255</v>
      </c>
      <c r="Y1089">
        <v>360</v>
      </c>
      <c r="AB1089">
        <v>0</v>
      </c>
      <c r="AC1089" t="s">
        <v>297</v>
      </c>
      <c r="AW1089">
        <v>3070</v>
      </c>
      <c r="AZ1089">
        <v>0</v>
      </c>
    </row>
    <row r="1090" spans="1:52" hidden="1" x14ac:dyDescent="0.3">
      <c r="A1090" t="s">
        <v>452</v>
      </c>
      <c r="C1090" t="s">
        <v>251</v>
      </c>
      <c r="D1090" t="s">
        <v>81</v>
      </c>
      <c r="E1090">
        <v>100000000</v>
      </c>
      <c r="O1090">
        <v>1110</v>
      </c>
      <c r="P1090" t="s">
        <v>453</v>
      </c>
      <c r="T1090">
        <v>22</v>
      </c>
      <c r="V1090">
        <v>50</v>
      </c>
      <c r="W1090" t="s">
        <v>455</v>
      </c>
      <c r="X1090" t="s">
        <v>255</v>
      </c>
      <c r="Y1090">
        <v>120</v>
      </c>
      <c r="AA1090" t="s">
        <v>94</v>
      </c>
      <c r="AB1090">
        <v>1</v>
      </c>
      <c r="AC1090" t="s">
        <v>297</v>
      </c>
      <c r="AW1090">
        <v>1110</v>
      </c>
      <c r="AZ1090">
        <v>1</v>
      </c>
    </row>
    <row r="1091" spans="1:52" hidden="1" x14ac:dyDescent="0.3">
      <c r="A1091" t="s">
        <v>452</v>
      </c>
      <c r="C1091" t="s">
        <v>251</v>
      </c>
      <c r="D1091" t="s">
        <v>81</v>
      </c>
      <c r="E1091">
        <v>100000000</v>
      </c>
      <c r="O1091">
        <v>2760</v>
      </c>
      <c r="P1091" t="s">
        <v>453</v>
      </c>
      <c r="T1091">
        <v>22</v>
      </c>
      <c r="V1091">
        <v>50</v>
      </c>
      <c r="W1091" t="s">
        <v>455</v>
      </c>
      <c r="X1091" t="s">
        <v>255</v>
      </c>
      <c r="Y1091">
        <v>120</v>
      </c>
      <c r="AA1091" t="s">
        <v>94</v>
      </c>
      <c r="AB1091">
        <v>1</v>
      </c>
      <c r="AC1091" t="s">
        <v>297</v>
      </c>
      <c r="AW1091">
        <v>2760</v>
      </c>
      <c r="AZ1091">
        <v>1</v>
      </c>
    </row>
    <row r="1092" spans="1:52" hidden="1" x14ac:dyDescent="0.3">
      <c r="A1092" t="s">
        <v>452</v>
      </c>
      <c r="C1092" t="s">
        <v>251</v>
      </c>
      <c r="D1092" t="s">
        <v>81</v>
      </c>
      <c r="E1092">
        <v>100000000</v>
      </c>
      <c r="O1092">
        <v>3035</v>
      </c>
      <c r="P1092" t="s">
        <v>453</v>
      </c>
      <c r="T1092">
        <v>22</v>
      </c>
      <c r="V1092">
        <v>50</v>
      </c>
      <c r="W1092" t="s">
        <v>455</v>
      </c>
      <c r="X1092" t="s">
        <v>255</v>
      </c>
      <c r="Y1092">
        <v>240</v>
      </c>
      <c r="AB1092">
        <v>0</v>
      </c>
      <c r="AC1092" t="s">
        <v>297</v>
      </c>
      <c r="AW1092">
        <v>3035</v>
      </c>
      <c r="AZ1092">
        <v>0</v>
      </c>
    </row>
    <row r="1093" spans="1:52" hidden="1" x14ac:dyDescent="0.3">
      <c r="A1093" t="s">
        <v>452</v>
      </c>
      <c r="C1093" t="s">
        <v>251</v>
      </c>
      <c r="D1093" t="s">
        <v>81</v>
      </c>
      <c r="E1093">
        <v>100000000</v>
      </c>
      <c r="O1093">
        <v>560</v>
      </c>
      <c r="P1093" t="s">
        <v>453</v>
      </c>
      <c r="T1093">
        <v>22</v>
      </c>
      <c r="V1093">
        <v>50</v>
      </c>
      <c r="W1093" t="s">
        <v>455</v>
      </c>
      <c r="X1093" t="s">
        <v>255</v>
      </c>
      <c r="Y1093">
        <v>360</v>
      </c>
      <c r="AA1093" t="s">
        <v>94</v>
      </c>
      <c r="AB1093">
        <v>1</v>
      </c>
      <c r="AC1093" t="s">
        <v>297</v>
      </c>
      <c r="AW1093">
        <v>560</v>
      </c>
      <c r="AZ1093">
        <v>1</v>
      </c>
    </row>
    <row r="1094" spans="1:52" hidden="1" x14ac:dyDescent="0.3">
      <c r="A1094" t="s">
        <v>452</v>
      </c>
      <c r="C1094" t="s">
        <v>251</v>
      </c>
      <c r="D1094" t="s">
        <v>81</v>
      </c>
      <c r="E1094">
        <v>100000000</v>
      </c>
      <c r="O1094">
        <v>1450</v>
      </c>
      <c r="P1094" t="s">
        <v>453</v>
      </c>
      <c r="T1094">
        <v>22</v>
      </c>
      <c r="V1094">
        <v>50</v>
      </c>
      <c r="W1094" t="s">
        <v>455</v>
      </c>
      <c r="X1094" t="s">
        <v>255</v>
      </c>
      <c r="Y1094">
        <v>360</v>
      </c>
      <c r="AB1094">
        <v>0</v>
      </c>
      <c r="AC1094" t="s">
        <v>297</v>
      </c>
      <c r="AW1094">
        <v>1450</v>
      </c>
      <c r="AZ1094">
        <v>0</v>
      </c>
    </row>
    <row r="1095" spans="1:52" hidden="1" x14ac:dyDescent="0.3">
      <c r="A1095" t="s">
        <v>452</v>
      </c>
      <c r="C1095" t="s">
        <v>251</v>
      </c>
      <c r="D1095" t="s">
        <v>81</v>
      </c>
      <c r="E1095">
        <v>100000000</v>
      </c>
      <c r="O1095">
        <v>3070</v>
      </c>
      <c r="P1095" t="s">
        <v>453</v>
      </c>
      <c r="T1095">
        <v>22</v>
      </c>
      <c r="V1095">
        <v>50</v>
      </c>
      <c r="W1095" t="s">
        <v>455</v>
      </c>
      <c r="X1095" t="s">
        <v>255</v>
      </c>
      <c r="Y1095">
        <v>360</v>
      </c>
      <c r="AB1095">
        <v>0</v>
      </c>
      <c r="AC1095" t="s">
        <v>297</v>
      </c>
      <c r="AW1095">
        <v>3070</v>
      </c>
      <c r="AZ1095">
        <v>0</v>
      </c>
    </row>
    <row r="1096" spans="1:52" hidden="1" x14ac:dyDescent="0.3">
      <c r="A1096" t="s">
        <v>456</v>
      </c>
      <c r="C1096" t="s">
        <v>251</v>
      </c>
      <c r="D1096" t="s">
        <v>81</v>
      </c>
      <c r="E1096">
        <v>100000000</v>
      </c>
      <c r="H1096">
        <v>14.25</v>
      </c>
      <c r="I1096" t="s">
        <v>56</v>
      </c>
      <c r="J1096">
        <v>1.4250000000000001E-3</v>
      </c>
      <c r="K1096" t="s">
        <v>57</v>
      </c>
      <c r="L1096" t="s">
        <v>112</v>
      </c>
      <c r="O1096">
        <v>400</v>
      </c>
      <c r="P1096" t="s">
        <v>457</v>
      </c>
      <c r="T1096">
        <v>22</v>
      </c>
      <c r="V1096">
        <v>40</v>
      </c>
      <c r="W1096" t="s">
        <v>147</v>
      </c>
      <c r="Y1096">
        <v>1440</v>
      </c>
      <c r="AB1096">
        <v>0.69</v>
      </c>
      <c r="AC1096" t="s">
        <v>85</v>
      </c>
      <c r="AD1096">
        <v>0.12</v>
      </c>
      <c r="AE1096" t="s">
        <v>138</v>
      </c>
      <c r="AI1096">
        <v>5</v>
      </c>
      <c r="AJ1096" t="s">
        <v>201</v>
      </c>
      <c r="AT1096" t="s">
        <v>150</v>
      </c>
      <c r="AV1096" t="s">
        <v>88</v>
      </c>
    </row>
    <row r="1097" spans="1:52" hidden="1" x14ac:dyDescent="0.3">
      <c r="A1097" t="s">
        <v>456</v>
      </c>
      <c r="C1097" t="s">
        <v>251</v>
      </c>
      <c r="D1097" t="s">
        <v>81</v>
      </c>
      <c r="E1097">
        <v>100000000</v>
      </c>
      <c r="H1097">
        <v>14.25</v>
      </c>
      <c r="I1097" t="s">
        <v>56</v>
      </c>
      <c r="J1097">
        <v>1.4250000000000001E-3</v>
      </c>
      <c r="K1097" t="s">
        <v>57</v>
      </c>
      <c r="L1097" t="s">
        <v>112</v>
      </c>
      <c r="O1097">
        <v>400</v>
      </c>
      <c r="P1097" t="s">
        <v>457</v>
      </c>
      <c r="T1097">
        <v>22</v>
      </c>
      <c r="V1097">
        <v>40</v>
      </c>
      <c r="W1097" t="s">
        <v>458</v>
      </c>
      <c r="Y1097">
        <v>1440</v>
      </c>
      <c r="AB1097">
        <v>0.82</v>
      </c>
      <c r="AC1097" t="s">
        <v>85</v>
      </c>
      <c r="AD1097">
        <v>0.27</v>
      </c>
      <c r="AE1097" t="s">
        <v>138</v>
      </c>
      <c r="AI1097">
        <v>5</v>
      </c>
      <c r="AJ1097" t="s">
        <v>201</v>
      </c>
      <c r="AT1097" t="s">
        <v>75</v>
      </c>
      <c r="AV1097" t="s">
        <v>88</v>
      </c>
    </row>
    <row r="1098" spans="1:52" hidden="1" x14ac:dyDescent="0.3">
      <c r="A1098" t="s">
        <v>456</v>
      </c>
      <c r="C1098" t="s">
        <v>251</v>
      </c>
      <c r="D1098" t="s">
        <v>81</v>
      </c>
      <c r="E1098">
        <v>100000000</v>
      </c>
      <c r="H1098">
        <v>14.25</v>
      </c>
      <c r="I1098" t="s">
        <v>56</v>
      </c>
      <c r="J1098">
        <v>1.4250000000000001E-3</v>
      </c>
      <c r="K1098" t="s">
        <v>57</v>
      </c>
      <c r="L1098" t="s">
        <v>112</v>
      </c>
      <c r="O1098">
        <v>400</v>
      </c>
      <c r="P1098" t="s">
        <v>457</v>
      </c>
      <c r="T1098">
        <v>22</v>
      </c>
      <c r="V1098">
        <v>40</v>
      </c>
      <c r="W1098" t="s">
        <v>147</v>
      </c>
      <c r="Y1098">
        <v>2880</v>
      </c>
      <c r="AB1098">
        <v>1.22</v>
      </c>
      <c r="AC1098" t="s">
        <v>85</v>
      </c>
      <c r="AD1098">
        <v>0.09</v>
      </c>
      <c r="AE1098" t="s">
        <v>138</v>
      </c>
      <c r="AI1098">
        <v>5</v>
      </c>
      <c r="AJ1098" t="s">
        <v>201</v>
      </c>
      <c r="AT1098" t="s">
        <v>150</v>
      </c>
      <c r="AV1098" t="s">
        <v>88</v>
      </c>
    </row>
    <row r="1099" spans="1:52" hidden="1" x14ac:dyDescent="0.3">
      <c r="A1099" t="s">
        <v>456</v>
      </c>
      <c r="C1099" t="s">
        <v>251</v>
      </c>
      <c r="D1099" t="s">
        <v>81</v>
      </c>
      <c r="E1099">
        <v>100000000</v>
      </c>
      <c r="H1099">
        <v>14.25</v>
      </c>
      <c r="I1099" t="s">
        <v>56</v>
      </c>
      <c r="J1099">
        <v>1.4250000000000001E-3</v>
      </c>
      <c r="K1099" t="s">
        <v>57</v>
      </c>
      <c r="L1099" t="s">
        <v>112</v>
      </c>
      <c r="O1099">
        <v>400</v>
      </c>
      <c r="P1099" t="s">
        <v>457</v>
      </c>
      <c r="T1099">
        <v>22</v>
      </c>
      <c r="V1099">
        <v>40</v>
      </c>
      <c r="W1099" t="s">
        <v>458</v>
      </c>
      <c r="Y1099">
        <v>2880</v>
      </c>
      <c r="AB1099">
        <v>0.89</v>
      </c>
      <c r="AC1099" t="s">
        <v>85</v>
      </c>
      <c r="AD1099">
        <v>0.12</v>
      </c>
      <c r="AE1099" t="s">
        <v>138</v>
      </c>
      <c r="AI1099">
        <v>5</v>
      </c>
      <c r="AJ1099" t="s">
        <v>201</v>
      </c>
      <c r="AT1099" t="s">
        <v>75</v>
      </c>
      <c r="AV1099" t="s">
        <v>88</v>
      </c>
    </row>
    <row r="1100" spans="1:52" hidden="1" x14ac:dyDescent="0.3">
      <c r="A1100" t="s">
        <v>456</v>
      </c>
      <c r="C1100" t="s">
        <v>251</v>
      </c>
      <c r="D1100" t="s">
        <v>81</v>
      </c>
      <c r="E1100">
        <v>100000000</v>
      </c>
      <c r="H1100">
        <v>14.25</v>
      </c>
      <c r="I1100" t="s">
        <v>56</v>
      </c>
      <c r="J1100">
        <v>1.4250000000000001E-3</v>
      </c>
      <c r="K1100" t="s">
        <v>57</v>
      </c>
      <c r="L1100" t="s">
        <v>112</v>
      </c>
      <c r="O1100">
        <v>400</v>
      </c>
      <c r="P1100" t="s">
        <v>457</v>
      </c>
      <c r="T1100">
        <v>22</v>
      </c>
      <c r="V1100">
        <v>40</v>
      </c>
      <c r="W1100" t="s">
        <v>147</v>
      </c>
      <c r="Y1100">
        <v>4320</v>
      </c>
      <c r="AB1100">
        <v>0.99</v>
      </c>
      <c r="AC1100" t="s">
        <v>85</v>
      </c>
      <c r="AD1100">
        <v>0.08</v>
      </c>
      <c r="AE1100" t="s">
        <v>138</v>
      </c>
      <c r="AI1100">
        <v>5</v>
      </c>
      <c r="AJ1100" t="s">
        <v>201</v>
      </c>
      <c r="AT1100" t="s">
        <v>150</v>
      </c>
      <c r="AV1100" t="s">
        <v>88</v>
      </c>
    </row>
    <row r="1101" spans="1:52" hidden="1" x14ac:dyDescent="0.3">
      <c r="A1101" t="s">
        <v>456</v>
      </c>
      <c r="C1101" t="s">
        <v>251</v>
      </c>
      <c r="D1101" t="s">
        <v>81</v>
      </c>
      <c r="E1101">
        <v>100000000</v>
      </c>
      <c r="H1101">
        <v>14.25</v>
      </c>
      <c r="I1101" t="s">
        <v>56</v>
      </c>
      <c r="J1101">
        <v>1.4250000000000001E-3</v>
      </c>
      <c r="K1101" t="s">
        <v>57</v>
      </c>
      <c r="L1101" t="s">
        <v>112</v>
      </c>
      <c r="O1101">
        <v>400</v>
      </c>
      <c r="P1101" t="s">
        <v>457</v>
      </c>
      <c r="T1101">
        <v>22</v>
      </c>
      <c r="V1101">
        <v>40</v>
      </c>
      <c r="W1101" t="s">
        <v>458</v>
      </c>
      <c r="Y1101">
        <v>4320</v>
      </c>
      <c r="AB1101">
        <v>1.03</v>
      </c>
      <c r="AC1101" t="s">
        <v>85</v>
      </c>
      <c r="AD1101">
        <v>0.13</v>
      </c>
      <c r="AE1101" t="s">
        <v>138</v>
      </c>
      <c r="AI1101">
        <v>5</v>
      </c>
      <c r="AJ1101" t="s">
        <v>201</v>
      </c>
      <c r="AT1101" t="s">
        <v>75</v>
      </c>
      <c r="AV1101" t="s">
        <v>88</v>
      </c>
    </row>
    <row r="1102" spans="1:52" hidden="1" x14ac:dyDescent="0.3">
      <c r="A1102" t="s">
        <v>456</v>
      </c>
      <c r="C1102" t="s">
        <v>251</v>
      </c>
      <c r="D1102" t="s">
        <v>81</v>
      </c>
      <c r="E1102">
        <v>100000000</v>
      </c>
      <c r="H1102">
        <v>14.25</v>
      </c>
      <c r="I1102" t="s">
        <v>56</v>
      </c>
      <c r="J1102">
        <v>1.4250000000000001E-3</v>
      </c>
      <c r="K1102" t="s">
        <v>57</v>
      </c>
      <c r="L1102" t="s">
        <v>112</v>
      </c>
      <c r="O1102">
        <v>400</v>
      </c>
      <c r="P1102" t="s">
        <v>457</v>
      </c>
      <c r="T1102">
        <v>22</v>
      </c>
      <c r="V1102">
        <v>75</v>
      </c>
      <c r="W1102" t="s">
        <v>147</v>
      </c>
      <c r="Y1102">
        <v>1440</v>
      </c>
      <c r="AB1102">
        <v>0.91</v>
      </c>
      <c r="AC1102" t="s">
        <v>85</v>
      </c>
      <c r="AD1102">
        <v>0.31</v>
      </c>
      <c r="AE1102" t="s">
        <v>138</v>
      </c>
      <c r="AI1102">
        <v>5</v>
      </c>
      <c r="AJ1102" t="s">
        <v>201</v>
      </c>
      <c r="AT1102" t="s">
        <v>150</v>
      </c>
      <c r="AV1102" t="s">
        <v>88</v>
      </c>
    </row>
    <row r="1103" spans="1:52" hidden="1" x14ac:dyDescent="0.3">
      <c r="A1103" t="s">
        <v>456</v>
      </c>
      <c r="C1103" t="s">
        <v>251</v>
      </c>
      <c r="D1103" t="s">
        <v>81</v>
      </c>
      <c r="E1103">
        <v>100000000</v>
      </c>
      <c r="H1103">
        <v>14.25</v>
      </c>
      <c r="I1103" t="s">
        <v>56</v>
      </c>
      <c r="J1103">
        <v>1.4250000000000001E-3</v>
      </c>
      <c r="K1103" t="s">
        <v>57</v>
      </c>
      <c r="L1103" t="s">
        <v>112</v>
      </c>
      <c r="O1103">
        <v>400</v>
      </c>
      <c r="P1103" t="s">
        <v>457</v>
      </c>
      <c r="T1103">
        <v>22</v>
      </c>
      <c r="V1103">
        <v>75</v>
      </c>
      <c r="W1103" t="s">
        <v>458</v>
      </c>
      <c r="Y1103">
        <v>1440</v>
      </c>
      <c r="AB1103">
        <v>0.43</v>
      </c>
      <c r="AC1103" t="s">
        <v>85</v>
      </c>
      <c r="AD1103">
        <v>0.22</v>
      </c>
      <c r="AE1103" t="s">
        <v>138</v>
      </c>
      <c r="AI1103">
        <v>5</v>
      </c>
      <c r="AJ1103" t="s">
        <v>201</v>
      </c>
      <c r="AT1103" t="s">
        <v>75</v>
      </c>
      <c r="AV1103" t="s">
        <v>88</v>
      </c>
    </row>
    <row r="1104" spans="1:52" hidden="1" x14ac:dyDescent="0.3">
      <c r="A1104" t="s">
        <v>456</v>
      </c>
      <c r="C1104" t="s">
        <v>251</v>
      </c>
      <c r="D1104" t="s">
        <v>81</v>
      </c>
      <c r="E1104">
        <v>100000000</v>
      </c>
      <c r="H1104">
        <v>14.25</v>
      </c>
      <c r="I1104" t="s">
        <v>56</v>
      </c>
      <c r="J1104">
        <v>1.4250000000000001E-3</v>
      </c>
      <c r="K1104" t="s">
        <v>57</v>
      </c>
      <c r="L1104" t="s">
        <v>112</v>
      </c>
      <c r="O1104">
        <v>400</v>
      </c>
      <c r="P1104" t="s">
        <v>457</v>
      </c>
      <c r="T1104">
        <v>22</v>
      </c>
      <c r="V1104">
        <v>75</v>
      </c>
      <c r="W1104" t="s">
        <v>147</v>
      </c>
      <c r="Y1104">
        <v>2880</v>
      </c>
      <c r="AB1104">
        <v>0.78</v>
      </c>
      <c r="AC1104" t="s">
        <v>85</v>
      </c>
      <c r="AD1104">
        <v>0.19</v>
      </c>
      <c r="AE1104" t="s">
        <v>138</v>
      </c>
      <c r="AI1104">
        <v>5</v>
      </c>
      <c r="AJ1104" t="s">
        <v>201</v>
      </c>
      <c r="AT1104" t="s">
        <v>150</v>
      </c>
      <c r="AV1104" t="s">
        <v>88</v>
      </c>
    </row>
    <row r="1105" spans="1:53" hidden="1" x14ac:dyDescent="0.3">
      <c r="A1105" t="s">
        <v>456</v>
      </c>
      <c r="C1105" t="s">
        <v>251</v>
      </c>
      <c r="D1105" t="s">
        <v>81</v>
      </c>
      <c r="E1105">
        <v>100000000</v>
      </c>
      <c r="H1105">
        <v>14.25</v>
      </c>
      <c r="I1105" t="s">
        <v>56</v>
      </c>
      <c r="J1105">
        <v>1.4250000000000001E-3</v>
      </c>
      <c r="K1105" t="s">
        <v>57</v>
      </c>
      <c r="L1105" t="s">
        <v>112</v>
      </c>
      <c r="O1105">
        <v>400</v>
      </c>
      <c r="P1105" t="s">
        <v>457</v>
      </c>
      <c r="T1105">
        <v>22</v>
      </c>
      <c r="V1105">
        <v>75</v>
      </c>
      <c r="W1105" t="s">
        <v>458</v>
      </c>
      <c r="Y1105">
        <v>2880</v>
      </c>
      <c r="AB1105">
        <v>1.06</v>
      </c>
      <c r="AC1105" t="s">
        <v>85</v>
      </c>
      <c r="AD1105">
        <v>0.14000000000000001</v>
      </c>
      <c r="AE1105" t="s">
        <v>138</v>
      </c>
      <c r="AI1105">
        <v>5</v>
      </c>
      <c r="AJ1105" t="s">
        <v>201</v>
      </c>
      <c r="AT1105" t="s">
        <v>75</v>
      </c>
      <c r="AV1105" t="s">
        <v>88</v>
      </c>
    </row>
    <row r="1106" spans="1:53" hidden="1" x14ac:dyDescent="0.3">
      <c r="A1106" t="s">
        <v>456</v>
      </c>
      <c r="C1106" t="s">
        <v>251</v>
      </c>
      <c r="D1106" t="s">
        <v>81</v>
      </c>
      <c r="E1106">
        <v>100000000</v>
      </c>
      <c r="H1106">
        <v>14.25</v>
      </c>
      <c r="I1106" t="s">
        <v>56</v>
      </c>
      <c r="J1106">
        <v>1.4250000000000001E-3</v>
      </c>
      <c r="K1106" t="s">
        <v>57</v>
      </c>
      <c r="L1106" t="s">
        <v>112</v>
      </c>
      <c r="O1106">
        <v>400</v>
      </c>
      <c r="P1106" t="s">
        <v>457</v>
      </c>
      <c r="T1106">
        <v>22</v>
      </c>
      <c r="V1106">
        <v>75</v>
      </c>
      <c r="W1106" t="s">
        <v>147</v>
      </c>
      <c r="Y1106">
        <v>4320</v>
      </c>
      <c r="AB1106">
        <v>1.1000000000000001</v>
      </c>
      <c r="AC1106" t="s">
        <v>85</v>
      </c>
      <c r="AD1106">
        <v>0.12</v>
      </c>
      <c r="AE1106" t="s">
        <v>138</v>
      </c>
      <c r="AI1106">
        <v>5</v>
      </c>
      <c r="AJ1106" t="s">
        <v>201</v>
      </c>
      <c r="AT1106" t="s">
        <v>150</v>
      </c>
      <c r="AV1106" t="s">
        <v>88</v>
      </c>
    </row>
    <row r="1107" spans="1:53" hidden="1" x14ac:dyDescent="0.3">
      <c r="A1107" t="s">
        <v>456</v>
      </c>
      <c r="C1107" t="s">
        <v>251</v>
      </c>
      <c r="D1107" t="s">
        <v>81</v>
      </c>
      <c r="E1107">
        <v>100000000</v>
      </c>
      <c r="H1107">
        <v>14.25</v>
      </c>
      <c r="I1107" t="s">
        <v>56</v>
      </c>
      <c r="J1107">
        <v>1.4250000000000001E-3</v>
      </c>
      <c r="K1107" t="s">
        <v>57</v>
      </c>
      <c r="L1107" t="s">
        <v>112</v>
      </c>
      <c r="O1107">
        <v>400</v>
      </c>
      <c r="P1107" t="s">
        <v>457</v>
      </c>
      <c r="T1107">
        <v>22</v>
      </c>
      <c r="V1107">
        <v>75</v>
      </c>
      <c r="W1107" t="s">
        <v>458</v>
      </c>
      <c r="Y1107">
        <v>4320</v>
      </c>
      <c r="AB1107">
        <v>0.76</v>
      </c>
      <c r="AC1107" t="s">
        <v>85</v>
      </c>
      <c r="AD1107">
        <v>0.25</v>
      </c>
      <c r="AE1107" t="s">
        <v>138</v>
      </c>
      <c r="AI1107">
        <v>5</v>
      </c>
      <c r="AJ1107" t="s">
        <v>201</v>
      </c>
      <c r="AT1107" t="s">
        <v>75</v>
      </c>
      <c r="AV1107" t="s">
        <v>88</v>
      </c>
    </row>
    <row r="1108" spans="1:53" hidden="1" x14ac:dyDescent="0.3">
      <c r="A1108" t="s">
        <v>456</v>
      </c>
      <c r="C1108" t="s">
        <v>251</v>
      </c>
      <c r="D1108" t="s">
        <v>81</v>
      </c>
      <c r="E1108">
        <v>100000000</v>
      </c>
      <c r="H1108">
        <v>14.25</v>
      </c>
      <c r="I1108" t="s">
        <v>56</v>
      </c>
      <c r="J1108">
        <v>1.4250000000000001E-3</v>
      </c>
      <c r="K1108" t="s">
        <v>57</v>
      </c>
      <c r="L1108" t="s">
        <v>112</v>
      </c>
      <c r="O1108">
        <v>9000</v>
      </c>
      <c r="P1108" t="s">
        <v>315</v>
      </c>
      <c r="T1108">
        <v>22</v>
      </c>
      <c r="V1108">
        <v>75</v>
      </c>
      <c r="W1108" t="s">
        <v>147</v>
      </c>
      <c r="Y1108">
        <v>240</v>
      </c>
      <c r="AB1108">
        <v>1.76</v>
      </c>
      <c r="AC1108" t="s">
        <v>85</v>
      </c>
      <c r="AD1108">
        <v>0.42</v>
      </c>
      <c r="AE1108" t="s">
        <v>138</v>
      </c>
      <c r="AI1108">
        <v>5</v>
      </c>
      <c r="AJ1108" t="s">
        <v>201</v>
      </c>
      <c r="AT1108" t="s">
        <v>150</v>
      </c>
      <c r="AV1108" t="s">
        <v>88</v>
      </c>
    </row>
    <row r="1109" spans="1:53" hidden="1" x14ac:dyDescent="0.3">
      <c r="A1109" t="s">
        <v>456</v>
      </c>
      <c r="C1109" t="s">
        <v>251</v>
      </c>
      <c r="D1109" t="s">
        <v>81</v>
      </c>
      <c r="E1109">
        <v>100000000</v>
      </c>
      <c r="H1109">
        <v>14.25</v>
      </c>
      <c r="I1109" t="s">
        <v>56</v>
      </c>
      <c r="J1109">
        <v>1.4250000000000001E-3</v>
      </c>
      <c r="K1109" t="s">
        <v>57</v>
      </c>
      <c r="L1109" t="s">
        <v>112</v>
      </c>
      <c r="O1109">
        <v>9000</v>
      </c>
      <c r="P1109" t="s">
        <v>315</v>
      </c>
      <c r="T1109">
        <v>22</v>
      </c>
      <c r="V1109">
        <v>75</v>
      </c>
      <c r="W1109" t="s">
        <v>458</v>
      </c>
      <c r="Y1109">
        <v>240</v>
      </c>
      <c r="AB1109">
        <v>4.4000000000000004</v>
      </c>
      <c r="AC1109" t="s">
        <v>85</v>
      </c>
      <c r="AD1109">
        <v>0.7</v>
      </c>
      <c r="AE1109" t="s">
        <v>138</v>
      </c>
      <c r="AI1109">
        <v>5</v>
      </c>
      <c r="AJ1109" t="s">
        <v>201</v>
      </c>
      <c r="AT1109" t="s">
        <v>75</v>
      </c>
      <c r="AV1109" t="s">
        <v>88</v>
      </c>
    </row>
    <row r="1110" spans="1:53" hidden="1" x14ac:dyDescent="0.3">
      <c r="A1110" t="s">
        <v>456</v>
      </c>
      <c r="C1110" t="s">
        <v>251</v>
      </c>
      <c r="D1110" t="s">
        <v>81</v>
      </c>
      <c r="E1110">
        <v>100000000</v>
      </c>
      <c r="H1110">
        <v>14.25</v>
      </c>
      <c r="I1110" t="s">
        <v>56</v>
      </c>
      <c r="J1110">
        <v>1.4250000000000001E-3</v>
      </c>
      <c r="K1110" t="s">
        <v>57</v>
      </c>
      <c r="L1110" t="s">
        <v>112</v>
      </c>
      <c r="O1110">
        <v>9000</v>
      </c>
      <c r="P1110" t="s">
        <v>315</v>
      </c>
      <c r="T1110">
        <v>22</v>
      </c>
      <c r="V1110">
        <v>75</v>
      </c>
      <c r="W1110" t="s">
        <v>147</v>
      </c>
      <c r="Y1110">
        <v>360</v>
      </c>
      <c r="AB1110">
        <v>2.2400000000000002</v>
      </c>
      <c r="AC1110" t="s">
        <v>85</v>
      </c>
      <c r="AD1110">
        <v>0.3</v>
      </c>
      <c r="AE1110" t="s">
        <v>138</v>
      </c>
      <c r="AI1110">
        <v>5</v>
      </c>
      <c r="AJ1110" t="s">
        <v>201</v>
      </c>
      <c r="AT1110" t="s">
        <v>150</v>
      </c>
      <c r="AV1110" t="s">
        <v>88</v>
      </c>
    </row>
    <row r="1111" spans="1:53" hidden="1" x14ac:dyDescent="0.3">
      <c r="A1111" t="s">
        <v>456</v>
      </c>
      <c r="C1111" t="s">
        <v>251</v>
      </c>
      <c r="D1111" t="s">
        <v>81</v>
      </c>
      <c r="E1111">
        <v>100000000</v>
      </c>
      <c r="H1111">
        <v>14.25</v>
      </c>
      <c r="I1111" t="s">
        <v>56</v>
      </c>
      <c r="J1111">
        <v>1.4250000000000001E-3</v>
      </c>
      <c r="K1111" t="s">
        <v>57</v>
      </c>
      <c r="L1111" t="s">
        <v>112</v>
      </c>
      <c r="O1111">
        <v>9000</v>
      </c>
      <c r="P1111" t="s">
        <v>315</v>
      </c>
      <c r="T1111">
        <v>22</v>
      </c>
      <c r="V1111">
        <v>75</v>
      </c>
      <c r="W1111" t="s">
        <v>458</v>
      </c>
      <c r="Y1111">
        <v>360</v>
      </c>
      <c r="AB1111">
        <v>4.75</v>
      </c>
      <c r="AC1111" t="s">
        <v>85</v>
      </c>
      <c r="AD1111">
        <v>0.52</v>
      </c>
      <c r="AE1111" t="s">
        <v>138</v>
      </c>
      <c r="AI1111">
        <v>5</v>
      </c>
      <c r="AJ1111" t="s">
        <v>201</v>
      </c>
      <c r="AT1111" t="s">
        <v>75</v>
      </c>
      <c r="AV1111" t="s">
        <v>88</v>
      </c>
    </row>
    <row r="1112" spans="1:53" hidden="1" x14ac:dyDescent="0.3">
      <c r="A1112" t="s">
        <v>456</v>
      </c>
      <c r="C1112" t="s">
        <v>251</v>
      </c>
      <c r="D1112" t="s">
        <v>81</v>
      </c>
      <c r="E1112">
        <v>100000000</v>
      </c>
      <c r="H1112">
        <v>14.25</v>
      </c>
      <c r="I1112" t="s">
        <v>56</v>
      </c>
      <c r="J1112">
        <v>1.4250000000000001E-3</v>
      </c>
      <c r="K1112" t="s">
        <v>57</v>
      </c>
      <c r="L1112" t="s">
        <v>112</v>
      </c>
      <c r="O1112">
        <v>9000</v>
      </c>
      <c r="P1112" t="s">
        <v>315</v>
      </c>
      <c r="T1112">
        <v>22</v>
      </c>
      <c r="V1112">
        <v>75</v>
      </c>
      <c r="W1112" t="s">
        <v>147</v>
      </c>
      <c r="Y1112">
        <v>480</v>
      </c>
      <c r="AB1112">
        <v>3.62</v>
      </c>
      <c r="AC1112" t="s">
        <v>85</v>
      </c>
      <c r="AD1112">
        <v>0.89</v>
      </c>
      <c r="AE1112" t="s">
        <v>138</v>
      </c>
      <c r="AI1112">
        <v>5</v>
      </c>
      <c r="AJ1112" t="s">
        <v>201</v>
      </c>
      <c r="AT1112" t="s">
        <v>150</v>
      </c>
      <c r="AV1112" t="s">
        <v>88</v>
      </c>
    </row>
    <row r="1113" spans="1:53" hidden="1" x14ac:dyDescent="0.3">
      <c r="A1113" t="s">
        <v>456</v>
      </c>
      <c r="C1113" t="s">
        <v>251</v>
      </c>
      <c r="D1113" t="s">
        <v>81</v>
      </c>
      <c r="E1113">
        <v>100000000</v>
      </c>
      <c r="H1113">
        <v>14.25</v>
      </c>
      <c r="I1113" t="s">
        <v>56</v>
      </c>
      <c r="J1113">
        <v>1.4250000000000001E-3</v>
      </c>
      <c r="K1113" t="s">
        <v>57</v>
      </c>
      <c r="L1113" t="s">
        <v>112</v>
      </c>
      <c r="O1113">
        <v>9000</v>
      </c>
      <c r="P1113" t="s">
        <v>315</v>
      </c>
      <c r="T1113">
        <v>22</v>
      </c>
      <c r="V1113">
        <v>75</v>
      </c>
      <c r="W1113" t="s">
        <v>458</v>
      </c>
      <c r="Y1113">
        <v>480</v>
      </c>
      <c r="AA1113" t="s">
        <v>94</v>
      </c>
      <c r="AB1113">
        <v>7.71</v>
      </c>
      <c r="AC1113" t="s">
        <v>85</v>
      </c>
      <c r="AD1113">
        <v>0.3</v>
      </c>
      <c r="AE1113" t="s">
        <v>138</v>
      </c>
      <c r="AI1113">
        <v>5</v>
      </c>
      <c r="AJ1113" t="s">
        <v>201</v>
      </c>
      <c r="AT1113" t="s">
        <v>75</v>
      </c>
      <c r="AV1113" t="s">
        <v>88</v>
      </c>
      <c r="AZ1113">
        <v>0</v>
      </c>
      <c r="BA1113">
        <v>7.71</v>
      </c>
    </row>
    <row r="1114" spans="1:53" hidden="1" x14ac:dyDescent="0.3">
      <c r="A1114" t="s">
        <v>456</v>
      </c>
      <c r="C1114" t="s">
        <v>251</v>
      </c>
      <c r="D1114" t="s">
        <v>81</v>
      </c>
      <c r="E1114">
        <v>100000000</v>
      </c>
      <c r="H1114">
        <v>14.25</v>
      </c>
      <c r="I1114" t="s">
        <v>56</v>
      </c>
      <c r="J1114">
        <v>1.4250000000000001E-3</v>
      </c>
      <c r="K1114" t="s">
        <v>57</v>
      </c>
      <c r="L1114" t="s">
        <v>112</v>
      </c>
      <c r="O1114">
        <v>9000</v>
      </c>
      <c r="P1114" t="s">
        <v>315</v>
      </c>
      <c r="T1114">
        <v>22</v>
      </c>
      <c r="V1114">
        <v>85</v>
      </c>
      <c r="W1114" t="s">
        <v>147</v>
      </c>
      <c r="Y1114">
        <v>240</v>
      </c>
      <c r="AA1114" t="s">
        <v>94</v>
      </c>
      <c r="AB1114">
        <v>7.68</v>
      </c>
      <c r="AC1114" t="s">
        <v>85</v>
      </c>
      <c r="AD1114">
        <v>0.09</v>
      </c>
      <c r="AE1114" t="s">
        <v>138</v>
      </c>
      <c r="AI1114">
        <v>5</v>
      </c>
      <c r="AJ1114" t="s">
        <v>201</v>
      </c>
      <c r="AT1114" t="s">
        <v>150</v>
      </c>
      <c r="AV1114" t="s">
        <v>88</v>
      </c>
      <c r="AZ1114">
        <v>0</v>
      </c>
      <c r="BA1114">
        <v>7.68</v>
      </c>
    </row>
    <row r="1115" spans="1:53" hidden="1" x14ac:dyDescent="0.3">
      <c r="A1115" t="s">
        <v>456</v>
      </c>
      <c r="C1115" t="s">
        <v>251</v>
      </c>
      <c r="D1115" t="s">
        <v>81</v>
      </c>
      <c r="E1115">
        <v>100000000</v>
      </c>
      <c r="H1115">
        <v>14.25</v>
      </c>
      <c r="I1115" t="s">
        <v>56</v>
      </c>
      <c r="J1115">
        <v>1.4250000000000001E-3</v>
      </c>
      <c r="K1115" t="s">
        <v>57</v>
      </c>
      <c r="L1115" t="s">
        <v>112</v>
      </c>
      <c r="O1115">
        <v>9000</v>
      </c>
      <c r="P1115" t="s">
        <v>315</v>
      </c>
      <c r="T1115">
        <v>22</v>
      </c>
      <c r="V1115">
        <v>85</v>
      </c>
      <c r="W1115" t="s">
        <v>458</v>
      </c>
      <c r="Y1115">
        <v>240</v>
      </c>
      <c r="AA1115" t="s">
        <v>94</v>
      </c>
      <c r="AB1115">
        <v>6.44</v>
      </c>
      <c r="AC1115" t="s">
        <v>85</v>
      </c>
      <c r="AD1115">
        <v>0.13</v>
      </c>
      <c r="AE1115" t="s">
        <v>138</v>
      </c>
      <c r="AI1115">
        <v>5</v>
      </c>
      <c r="AJ1115" t="s">
        <v>201</v>
      </c>
      <c r="AT1115" t="s">
        <v>75</v>
      </c>
      <c r="AV1115" t="s">
        <v>88</v>
      </c>
      <c r="AZ1115">
        <v>0</v>
      </c>
      <c r="BA1115">
        <v>6.44</v>
      </c>
    </row>
    <row r="1116" spans="1:53" hidden="1" x14ac:dyDescent="0.3">
      <c r="A1116" t="s">
        <v>456</v>
      </c>
      <c r="C1116" t="s">
        <v>251</v>
      </c>
      <c r="D1116" t="s">
        <v>81</v>
      </c>
      <c r="E1116">
        <v>100000000</v>
      </c>
      <c r="H1116">
        <v>14.25</v>
      </c>
      <c r="I1116" t="s">
        <v>56</v>
      </c>
      <c r="J1116">
        <v>1.4250000000000001E-3</v>
      </c>
      <c r="K1116" t="s">
        <v>57</v>
      </c>
      <c r="L1116" t="s">
        <v>112</v>
      </c>
      <c r="O1116">
        <v>9000</v>
      </c>
      <c r="P1116" t="s">
        <v>315</v>
      </c>
      <c r="T1116">
        <v>22</v>
      </c>
      <c r="V1116">
        <v>85</v>
      </c>
      <c r="W1116" t="s">
        <v>147</v>
      </c>
      <c r="Y1116">
        <v>360</v>
      </c>
      <c r="AA1116" t="s">
        <v>94</v>
      </c>
      <c r="AB1116">
        <v>7.68</v>
      </c>
      <c r="AC1116" t="s">
        <v>85</v>
      </c>
      <c r="AD1116">
        <v>0.09</v>
      </c>
      <c r="AE1116" t="s">
        <v>138</v>
      </c>
      <c r="AI1116">
        <v>5</v>
      </c>
      <c r="AJ1116" t="s">
        <v>201</v>
      </c>
      <c r="AT1116" t="s">
        <v>150</v>
      </c>
      <c r="AV1116" t="s">
        <v>88</v>
      </c>
      <c r="AZ1116">
        <v>0</v>
      </c>
      <c r="BA1116">
        <v>7.68</v>
      </c>
    </row>
    <row r="1117" spans="1:53" hidden="1" x14ac:dyDescent="0.3">
      <c r="A1117" t="s">
        <v>456</v>
      </c>
      <c r="C1117" t="s">
        <v>251</v>
      </c>
      <c r="D1117" t="s">
        <v>81</v>
      </c>
      <c r="E1117">
        <v>100000000</v>
      </c>
      <c r="H1117">
        <v>14.25</v>
      </c>
      <c r="I1117" t="s">
        <v>56</v>
      </c>
      <c r="J1117">
        <v>1.4250000000000001E-3</v>
      </c>
      <c r="K1117" t="s">
        <v>57</v>
      </c>
      <c r="L1117" t="s">
        <v>112</v>
      </c>
      <c r="O1117">
        <v>9000</v>
      </c>
      <c r="P1117" t="s">
        <v>315</v>
      </c>
      <c r="T1117">
        <v>22</v>
      </c>
      <c r="V1117">
        <v>85</v>
      </c>
      <c r="W1117" t="s">
        <v>458</v>
      </c>
      <c r="Y1117">
        <v>360</v>
      </c>
      <c r="AA1117" t="s">
        <v>94</v>
      </c>
      <c r="AB1117">
        <v>6.44</v>
      </c>
      <c r="AC1117" t="s">
        <v>85</v>
      </c>
      <c r="AD1117">
        <v>0.13</v>
      </c>
      <c r="AE1117" t="s">
        <v>138</v>
      </c>
      <c r="AI1117">
        <v>5</v>
      </c>
      <c r="AJ1117" t="s">
        <v>201</v>
      </c>
      <c r="AT1117" t="s">
        <v>75</v>
      </c>
      <c r="AV1117" t="s">
        <v>88</v>
      </c>
      <c r="AZ1117">
        <v>0</v>
      </c>
      <c r="BA1117">
        <v>6.44</v>
      </c>
    </row>
    <row r="1118" spans="1:53" hidden="1" x14ac:dyDescent="0.3">
      <c r="A1118" t="s">
        <v>456</v>
      </c>
      <c r="C1118" t="s">
        <v>251</v>
      </c>
      <c r="D1118" t="s">
        <v>81</v>
      </c>
      <c r="E1118">
        <v>100000000</v>
      </c>
      <c r="H1118">
        <v>14.25</v>
      </c>
      <c r="I1118" t="s">
        <v>56</v>
      </c>
      <c r="J1118">
        <v>1.4250000000000001E-3</v>
      </c>
      <c r="K1118" t="s">
        <v>57</v>
      </c>
      <c r="L1118" t="s">
        <v>112</v>
      </c>
      <c r="O1118">
        <v>9000</v>
      </c>
      <c r="P1118" t="s">
        <v>315</v>
      </c>
      <c r="T1118">
        <v>22</v>
      </c>
      <c r="V1118">
        <v>85</v>
      </c>
      <c r="W1118" t="s">
        <v>147</v>
      </c>
      <c r="Y1118">
        <v>480</v>
      </c>
      <c r="AA1118" t="s">
        <v>94</v>
      </c>
      <c r="AB1118">
        <v>7.68</v>
      </c>
      <c r="AC1118" t="s">
        <v>85</v>
      </c>
      <c r="AD1118">
        <v>0.09</v>
      </c>
      <c r="AE1118" t="s">
        <v>138</v>
      </c>
      <c r="AI1118">
        <v>5</v>
      </c>
      <c r="AJ1118" t="s">
        <v>201</v>
      </c>
      <c r="AT1118" t="s">
        <v>150</v>
      </c>
      <c r="AV1118" t="s">
        <v>88</v>
      </c>
      <c r="AZ1118">
        <v>0</v>
      </c>
      <c r="BA1118">
        <v>7.68</v>
      </c>
    </row>
    <row r="1119" spans="1:53" hidden="1" x14ac:dyDescent="0.3">
      <c r="A1119" t="s">
        <v>456</v>
      </c>
      <c r="C1119" t="s">
        <v>251</v>
      </c>
      <c r="D1119" t="s">
        <v>81</v>
      </c>
      <c r="E1119">
        <v>100000000</v>
      </c>
      <c r="H1119">
        <v>14.25</v>
      </c>
      <c r="I1119" t="s">
        <v>56</v>
      </c>
      <c r="J1119">
        <v>1.4250000000000001E-3</v>
      </c>
      <c r="K1119" t="s">
        <v>57</v>
      </c>
      <c r="L1119" t="s">
        <v>112</v>
      </c>
      <c r="O1119">
        <v>9000</v>
      </c>
      <c r="P1119" t="s">
        <v>315</v>
      </c>
      <c r="T1119">
        <v>22</v>
      </c>
      <c r="V1119">
        <v>85</v>
      </c>
      <c r="W1119" t="s">
        <v>458</v>
      </c>
      <c r="Y1119">
        <v>480</v>
      </c>
      <c r="AA1119" t="s">
        <v>94</v>
      </c>
      <c r="AB1119">
        <v>6.44</v>
      </c>
      <c r="AC1119" t="s">
        <v>85</v>
      </c>
      <c r="AD1119">
        <v>0.13</v>
      </c>
      <c r="AE1119" t="s">
        <v>138</v>
      </c>
      <c r="AI1119">
        <v>5</v>
      </c>
      <c r="AJ1119" t="s">
        <v>201</v>
      </c>
      <c r="AT1119" t="s">
        <v>75</v>
      </c>
      <c r="AV1119" t="s">
        <v>88</v>
      </c>
      <c r="AZ1119">
        <v>0</v>
      </c>
      <c r="BA1119">
        <v>6.44</v>
      </c>
    </row>
    <row r="1120" spans="1:53" hidden="1" x14ac:dyDescent="0.3">
      <c r="A1120" t="s">
        <v>459</v>
      </c>
      <c r="C1120" t="s">
        <v>251</v>
      </c>
      <c r="D1120" t="s">
        <v>81</v>
      </c>
      <c r="E1120">
        <v>100000000</v>
      </c>
      <c r="H1120">
        <v>14.25</v>
      </c>
      <c r="I1120" t="s">
        <v>56</v>
      </c>
      <c r="J1120">
        <v>1.4250000000000001E-3</v>
      </c>
      <c r="K1120" t="s">
        <v>57</v>
      </c>
      <c r="O1120">
        <v>3000</v>
      </c>
      <c r="P1120" t="s">
        <v>277</v>
      </c>
      <c r="T1120">
        <v>28.5</v>
      </c>
      <c r="V1120">
        <v>70</v>
      </c>
      <c r="W1120" t="s">
        <v>460</v>
      </c>
      <c r="X1120" t="s">
        <v>280</v>
      </c>
      <c r="Y1120">
        <v>180</v>
      </c>
      <c r="AA1120" t="s">
        <v>94</v>
      </c>
      <c r="AB1120">
        <v>7.72</v>
      </c>
      <c r="AC1120" t="s">
        <v>85</v>
      </c>
      <c r="AI1120">
        <v>3</v>
      </c>
      <c r="AJ1120" t="s">
        <v>461</v>
      </c>
      <c r="AT1120" t="s">
        <v>73</v>
      </c>
      <c r="AV1120" t="s">
        <v>88</v>
      </c>
      <c r="AW1120">
        <v>3000</v>
      </c>
      <c r="AZ1120">
        <v>0</v>
      </c>
      <c r="BA1120">
        <v>7.72</v>
      </c>
    </row>
    <row r="1121" spans="1:53" hidden="1" x14ac:dyDescent="0.3">
      <c r="A1121" t="s">
        <v>459</v>
      </c>
      <c r="C1121" t="s">
        <v>251</v>
      </c>
      <c r="D1121" t="s">
        <v>81</v>
      </c>
      <c r="E1121">
        <v>100000000</v>
      </c>
      <c r="H1121">
        <v>14.25</v>
      </c>
      <c r="I1121" t="s">
        <v>56</v>
      </c>
      <c r="J1121">
        <v>1.4250000000000001E-3</v>
      </c>
      <c r="K1121" t="s">
        <v>57</v>
      </c>
      <c r="O1121">
        <v>3000</v>
      </c>
      <c r="P1121" t="s">
        <v>277</v>
      </c>
      <c r="T1121">
        <v>28.5</v>
      </c>
      <c r="V1121">
        <v>70</v>
      </c>
      <c r="W1121" t="s">
        <v>462</v>
      </c>
      <c r="X1121" t="s">
        <v>280</v>
      </c>
      <c r="Y1121">
        <v>180</v>
      </c>
      <c r="AA1121" t="s">
        <v>94</v>
      </c>
      <c r="AB1121">
        <v>7.14</v>
      </c>
      <c r="AC1121" t="s">
        <v>85</v>
      </c>
      <c r="AI1121">
        <v>3</v>
      </c>
      <c r="AT1121" t="s">
        <v>212</v>
      </c>
      <c r="AV1121" t="s">
        <v>88</v>
      </c>
      <c r="AW1121">
        <v>3000</v>
      </c>
      <c r="AZ1121">
        <v>0</v>
      </c>
      <c r="BA1121">
        <v>7.14</v>
      </c>
    </row>
    <row r="1122" spans="1:53" hidden="1" x14ac:dyDescent="0.3">
      <c r="A1122" t="s">
        <v>459</v>
      </c>
      <c r="C1122" t="s">
        <v>251</v>
      </c>
      <c r="D1122" t="s">
        <v>81</v>
      </c>
      <c r="E1122">
        <v>100000000</v>
      </c>
      <c r="H1122">
        <v>14.25</v>
      </c>
      <c r="I1122" t="s">
        <v>56</v>
      </c>
      <c r="J1122">
        <v>1.4250000000000001E-3</v>
      </c>
      <c r="K1122" t="s">
        <v>57</v>
      </c>
      <c r="O1122">
        <v>3000</v>
      </c>
      <c r="P1122" t="s">
        <v>277</v>
      </c>
      <c r="T1122">
        <v>28.5</v>
      </c>
      <c r="V1122">
        <v>70</v>
      </c>
      <c r="W1122" t="s">
        <v>147</v>
      </c>
      <c r="X1122" t="s">
        <v>280</v>
      </c>
      <c r="Y1122">
        <v>180</v>
      </c>
      <c r="AA1122" t="s">
        <v>94</v>
      </c>
      <c r="AB1122">
        <v>7.75</v>
      </c>
      <c r="AC1122" t="s">
        <v>85</v>
      </c>
      <c r="AI1122">
        <v>3</v>
      </c>
      <c r="AT1122" t="s">
        <v>150</v>
      </c>
      <c r="AV1122" t="s">
        <v>88</v>
      </c>
      <c r="AW1122">
        <v>3000</v>
      </c>
      <c r="AZ1122">
        <v>0</v>
      </c>
      <c r="BA1122">
        <v>7.75</v>
      </c>
    </row>
    <row r="1123" spans="1:53" hidden="1" x14ac:dyDescent="0.3">
      <c r="A1123" t="s">
        <v>459</v>
      </c>
      <c r="C1123" t="s">
        <v>251</v>
      </c>
      <c r="D1123" t="s">
        <v>81</v>
      </c>
      <c r="E1123">
        <v>100000000</v>
      </c>
      <c r="H1123">
        <v>14.25</v>
      </c>
      <c r="I1123" t="s">
        <v>56</v>
      </c>
      <c r="J1123">
        <v>1.4250000000000001E-3</v>
      </c>
      <c r="K1123" t="s">
        <v>57</v>
      </c>
      <c r="O1123">
        <v>3000</v>
      </c>
      <c r="P1123" t="s">
        <v>277</v>
      </c>
      <c r="T1123">
        <v>28.5</v>
      </c>
      <c r="V1123">
        <v>70</v>
      </c>
      <c r="W1123" t="s">
        <v>463</v>
      </c>
      <c r="X1123" t="s">
        <v>280</v>
      </c>
      <c r="Y1123">
        <v>180</v>
      </c>
      <c r="AA1123" t="s">
        <v>94</v>
      </c>
      <c r="AB1123">
        <v>7.89</v>
      </c>
      <c r="AC1123" t="s">
        <v>85</v>
      </c>
      <c r="AI1123">
        <v>3</v>
      </c>
      <c r="AT1123" t="s">
        <v>360</v>
      </c>
      <c r="AV1123" t="s">
        <v>88</v>
      </c>
      <c r="AW1123">
        <v>3000</v>
      </c>
      <c r="AZ1123">
        <v>0</v>
      </c>
      <c r="BA1123">
        <v>7.89</v>
      </c>
    </row>
    <row r="1124" spans="1:53" hidden="1" x14ac:dyDescent="0.3">
      <c r="A1124" t="s">
        <v>459</v>
      </c>
      <c r="C1124" t="s">
        <v>251</v>
      </c>
      <c r="D1124" t="s">
        <v>81</v>
      </c>
      <c r="E1124">
        <v>100000000</v>
      </c>
      <c r="H1124">
        <v>14.25</v>
      </c>
      <c r="I1124" t="s">
        <v>56</v>
      </c>
      <c r="J1124">
        <v>1.4250000000000001E-3</v>
      </c>
      <c r="K1124" t="s">
        <v>57</v>
      </c>
      <c r="O1124">
        <v>3000</v>
      </c>
      <c r="P1124" t="s">
        <v>277</v>
      </c>
      <c r="T1124">
        <v>28.5</v>
      </c>
      <c r="V1124">
        <v>70</v>
      </c>
      <c r="W1124" t="s">
        <v>464</v>
      </c>
      <c r="X1124" t="s">
        <v>280</v>
      </c>
      <c r="Y1124">
        <v>180</v>
      </c>
      <c r="AA1124" t="s">
        <v>94</v>
      </c>
      <c r="AB1124">
        <v>7.84</v>
      </c>
      <c r="AC1124" t="s">
        <v>85</v>
      </c>
      <c r="AI1124">
        <v>3</v>
      </c>
      <c r="AT1124" t="s">
        <v>65</v>
      </c>
      <c r="AV1124" t="s">
        <v>88</v>
      </c>
      <c r="AW1124">
        <v>3000</v>
      </c>
      <c r="AZ1124">
        <v>0</v>
      </c>
      <c r="BA1124">
        <v>7.84</v>
      </c>
    </row>
    <row r="1125" spans="1:53" hidden="1" x14ac:dyDescent="0.3">
      <c r="A1125" t="s">
        <v>459</v>
      </c>
      <c r="C1125" t="s">
        <v>251</v>
      </c>
      <c r="D1125" t="s">
        <v>81</v>
      </c>
      <c r="E1125">
        <v>100000000</v>
      </c>
      <c r="H1125">
        <v>14.25</v>
      </c>
      <c r="I1125" t="s">
        <v>56</v>
      </c>
      <c r="J1125">
        <v>1.4250000000000001E-3</v>
      </c>
      <c r="K1125" t="s">
        <v>57</v>
      </c>
      <c r="O1125">
        <v>3000</v>
      </c>
      <c r="P1125" t="s">
        <v>277</v>
      </c>
      <c r="T1125">
        <v>28.5</v>
      </c>
      <c r="V1125">
        <v>70</v>
      </c>
      <c r="W1125" t="s">
        <v>465</v>
      </c>
      <c r="X1125" t="s">
        <v>280</v>
      </c>
      <c r="Y1125">
        <v>180</v>
      </c>
      <c r="AA1125" t="s">
        <v>94</v>
      </c>
      <c r="AB1125">
        <v>7.62</v>
      </c>
      <c r="AC1125" t="s">
        <v>85</v>
      </c>
      <c r="AI1125">
        <v>3</v>
      </c>
      <c r="AT1125" t="s">
        <v>79</v>
      </c>
      <c r="AV1125" t="s">
        <v>88</v>
      </c>
      <c r="AW1125">
        <v>3000</v>
      </c>
      <c r="AZ1125">
        <v>0</v>
      </c>
      <c r="BA1125">
        <v>7.62</v>
      </c>
    </row>
    <row r="1126" spans="1:53" hidden="1" x14ac:dyDescent="0.3">
      <c r="A1126" t="s">
        <v>459</v>
      </c>
      <c r="C1126" t="s">
        <v>251</v>
      </c>
      <c r="D1126" t="s">
        <v>81</v>
      </c>
      <c r="E1126">
        <v>100000000</v>
      </c>
      <c r="H1126">
        <v>14.25</v>
      </c>
      <c r="I1126" t="s">
        <v>56</v>
      </c>
      <c r="J1126">
        <v>1.4250000000000001E-3</v>
      </c>
      <c r="K1126" t="s">
        <v>57</v>
      </c>
      <c r="O1126">
        <v>3000</v>
      </c>
      <c r="P1126" t="s">
        <v>277</v>
      </c>
      <c r="T1126">
        <v>28.5</v>
      </c>
      <c r="V1126">
        <v>70</v>
      </c>
      <c r="W1126" t="s">
        <v>466</v>
      </c>
      <c r="X1126" t="s">
        <v>280</v>
      </c>
      <c r="Y1126">
        <v>180</v>
      </c>
      <c r="AA1126" t="s">
        <v>94</v>
      </c>
      <c r="AB1126">
        <v>7.77</v>
      </c>
      <c r="AC1126" t="s">
        <v>85</v>
      </c>
      <c r="AI1126">
        <v>3</v>
      </c>
      <c r="AT1126" t="s">
        <v>358</v>
      </c>
      <c r="AV1126" t="s">
        <v>88</v>
      </c>
      <c r="AW1126">
        <v>3000</v>
      </c>
      <c r="AZ1126">
        <v>0</v>
      </c>
      <c r="BA1126">
        <v>7.77</v>
      </c>
    </row>
    <row r="1127" spans="1:53" hidden="1" x14ac:dyDescent="0.3">
      <c r="A1127" t="s">
        <v>459</v>
      </c>
      <c r="C1127" t="s">
        <v>251</v>
      </c>
      <c r="D1127" t="s">
        <v>81</v>
      </c>
      <c r="E1127">
        <v>100000000</v>
      </c>
      <c r="H1127">
        <v>14.25</v>
      </c>
      <c r="I1127" t="s">
        <v>56</v>
      </c>
      <c r="J1127">
        <v>1.4250000000000001E-3</v>
      </c>
      <c r="K1127" t="s">
        <v>57</v>
      </c>
      <c r="O1127">
        <v>3000</v>
      </c>
      <c r="P1127" t="s">
        <v>277</v>
      </c>
      <c r="T1127">
        <v>28.5</v>
      </c>
      <c r="V1127">
        <v>70</v>
      </c>
      <c r="W1127" t="s">
        <v>460</v>
      </c>
      <c r="X1127" t="s">
        <v>280</v>
      </c>
      <c r="Y1127">
        <v>180</v>
      </c>
      <c r="AA1127" t="s">
        <v>94</v>
      </c>
      <c r="AB1127">
        <v>6.91</v>
      </c>
      <c r="AC1127" t="s">
        <v>85</v>
      </c>
      <c r="AI1127">
        <v>3</v>
      </c>
      <c r="AJ1127" t="s">
        <v>461</v>
      </c>
      <c r="AT1127" t="s">
        <v>73</v>
      </c>
      <c r="AV1127" t="s">
        <v>88</v>
      </c>
      <c r="AW1127">
        <v>3000</v>
      </c>
      <c r="AZ1127">
        <v>0</v>
      </c>
      <c r="BA1127">
        <v>6.91</v>
      </c>
    </row>
    <row r="1128" spans="1:53" hidden="1" x14ac:dyDescent="0.3">
      <c r="A1128" t="s">
        <v>459</v>
      </c>
      <c r="C1128" t="s">
        <v>251</v>
      </c>
      <c r="D1128" t="s">
        <v>81</v>
      </c>
      <c r="E1128">
        <v>100000000</v>
      </c>
      <c r="H1128">
        <v>14.25</v>
      </c>
      <c r="I1128" t="s">
        <v>56</v>
      </c>
      <c r="J1128">
        <v>1.4250000000000001E-3</v>
      </c>
      <c r="K1128" t="s">
        <v>57</v>
      </c>
      <c r="O1128">
        <v>3000</v>
      </c>
      <c r="P1128" t="s">
        <v>277</v>
      </c>
      <c r="T1128">
        <v>28.5</v>
      </c>
      <c r="V1128">
        <v>70</v>
      </c>
      <c r="W1128" t="s">
        <v>462</v>
      </c>
      <c r="X1128" t="s">
        <v>280</v>
      </c>
      <c r="Y1128">
        <v>180</v>
      </c>
      <c r="AA1128" t="s">
        <v>94</v>
      </c>
      <c r="AB1128">
        <v>6.77</v>
      </c>
      <c r="AC1128" t="s">
        <v>85</v>
      </c>
      <c r="AI1128">
        <v>3</v>
      </c>
      <c r="AT1128" t="s">
        <v>212</v>
      </c>
      <c r="AV1128" t="s">
        <v>88</v>
      </c>
      <c r="AW1128">
        <v>3000</v>
      </c>
      <c r="AZ1128">
        <v>0</v>
      </c>
      <c r="BA1128">
        <v>6.77</v>
      </c>
    </row>
    <row r="1129" spans="1:53" hidden="1" x14ac:dyDescent="0.3">
      <c r="A1129" t="s">
        <v>459</v>
      </c>
      <c r="C1129" t="s">
        <v>251</v>
      </c>
      <c r="D1129" t="s">
        <v>81</v>
      </c>
      <c r="E1129">
        <v>100000000</v>
      </c>
      <c r="H1129">
        <v>14.25</v>
      </c>
      <c r="I1129" t="s">
        <v>56</v>
      </c>
      <c r="J1129">
        <v>1.4250000000000001E-3</v>
      </c>
      <c r="K1129" t="s">
        <v>57</v>
      </c>
      <c r="O1129">
        <v>3000</v>
      </c>
      <c r="P1129" t="s">
        <v>277</v>
      </c>
      <c r="T1129">
        <v>28.5</v>
      </c>
      <c r="V1129">
        <v>70</v>
      </c>
      <c r="W1129" t="s">
        <v>147</v>
      </c>
      <c r="X1129" t="s">
        <v>280</v>
      </c>
      <c r="Y1129">
        <v>180</v>
      </c>
      <c r="AA1129" t="s">
        <v>94</v>
      </c>
      <c r="AB1129">
        <v>7.13</v>
      </c>
      <c r="AC1129" t="s">
        <v>85</v>
      </c>
      <c r="AI1129">
        <v>3</v>
      </c>
      <c r="AT1129" t="s">
        <v>150</v>
      </c>
      <c r="AV1129" t="s">
        <v>88</v>
      </c>
      <c r="AW1129">
        <v>3000</v>
      </c>
      <c r="AZ1129">
        <v>0</v>
      </c>
      <c r="BA1129">
        <v>7.13</v>
      </c>
    </row>
    <row r="1130" spans="1:53" hidden="1" x14ac:dyDescent="0.3">
      <c r="A1130" t="s">
        <v>459</v>
      </c>
      <c r="C1130" t="s">
        <v>251</v>
      </c>
      <c r="D1130" t="s">
        <v>81</v>
      </c>
      <c r="E1130">
        <v>100000000</v>
      </c>
      <c r="H1130">
        <v>14.25</v>
      </c>
      <c r="I1130" t="s">
        <v>56</v>
      </c>
      <c r="J1130">
        <v>1.4250000000000001E-3</v>
      </c>
      <c r="K1130" t="s">
        <v>57</v>
      </c>
      <c r="O1130">
        <v>3000</v>
      </c>
      <c r="P1130" t="s">
        <v>277</v>
      </c>
      <c r="T1130">
        <v>28.5</v>
      </c>
      <c r="V1130">
        <v>70</v>
      </c>
      <c r="W1130" t="s">
        <v>463</v>
      </c>
      <c r="X1130" t="s">
        <v>280</v>
      </c>
      <c r="Y1130">
        <v>180</v>
      </c>
      <c r="AA1130" t="s">
        <v>94</v>
      </c>
      <c r="AB1130">
        <v>7.39</v>
      </c>
      <c r="AC1130" t="s">
        <v>85</v>
      </c>
      <c r="AI1130">
        <v>3</v>
      </c>
      <c r="AT1130" t="s">
        <v>360</v>
      </c>
      <c r="AV1130" t="s">
        <v>88</v>
      </c>
      <c r="AW1130">
        <v>3000</v>
      </c>
      <c r="AZ1130">
        <v>0</v>
      </c>
      <c r="BA1130">
        <v>7.39</v>
      </c>
    </row>
    <row r="1131" spans="1:53" hidden="1" x14ac:dyDescent="0.3">
      <c r="A1131" t="s">
        <v>459</v>
      </c>
      <c r="C1131" t="s">
        <v>251</v>
      </c>
      <c r="D1131" t="s">
        <v>81</v>
      </c>
      <c r="E1131">
        <v>100000000</v>
      </c>
      <c r="H1131">
        <v>14.25</v>
      </c>
      <c r="I1131" t="s">
        <v>56</v>
      </c>
      <c r="J1131">
        <v>1.4250000000000001E-3</v>
      </c>
      <c r="K1131" t="s">
        <v>57</v>
      </c>
      <c r="O1131">
        <v>3000</v>
      </c>
      <c r="P1131" t="s">
        <v>277</v>
      </c>
      <c r="T1131">
        <v>28.5</v>
      </c>
      <c r="V1131">
        <v>70</v>
      </c>
      <c r="W1131" t="s">
        <v>464</v>
      </c>
      <c r="X1131" t="s">
        <v>280</v>
      </c>
      <c r="Y1131">
        <v>180</v>
      </c>
      <c r="AA1131" t="s">
        <v>94</v>
      </c>
      <c r="AB1131">
        <v>7.08</v>
      </c>
      <c r="AC1131" t="s">
        <v>85</v>
      </c>
      <c r="AI1131">
        <v>3</v>
      </c>
      <c r="AT1131" t="s">
        <v>65</v>
      </c>
      <c r="AV1131" t="s">
        <v>88</v>
      </c>
      <c r="AW1131">
        <v>3000</v>
      </c>
      <c r="AZ1131">
        <v>0</v>
      </c>
      <c r="BA1131">
        <v>7.08</v>
      </c>
    </row>
    <row r="1132" spans="1:53" hidden="1" x14ac:dyDescent="0.3">
      <c r="A1132" t="s">
        <v>459</v>
      </c>
      <c r="C1132" t="s">
        <v>251</v>
      </c>
      <c r="D1132" t="s">
        <v>81</v>
      </c>
      <c r="E1132">
        <v>100000000</v>
      </c>
      <c r="H1132">
        <v>14.25</v>
      </c>
      <c r="I1132" t="s">
        <v>56</v>
      </c>
      <c r="J1132">
        <v>1.4250000000000001E-3</v>
      </c>
      <c r="K1132" t="s">
        <v>57</v>
      </c>
      <c r="O1132">
        <v>3000</v>
      </c>
      <c r="P1132" t="s">
        <v>277</v>
      </c>
      <c r="T1132">
        <v>28.5</v>
      </c>
      <c r="V1132">
        <v>70</v>
      </c>
      <c r="W1132" t="s">
        <v>465</v>
      </c>
      <c r="X1132" t="s">
        <v>280</v>
      </c>
      <c r="Y1132">
        <v>180</v>
      </c>
      <c r="AA1132" t="s">
        <v>94</v>
      </c>
      <c r="AB1132">
        <v>6.73</v>
      </c>
      <c r="AC1132" t="s">
        <v>85</v>
      </c>
      <c r="AI1132">
        <v>3</v>
      </c>
      <c r="AT1132" t="s">
        <v>79</v>
      </c>
      <c r="AV1132" t="s">
        <v>88</v>
      </c>
      <c r="AW1132">
        <v>3000</v>
      </c>
      <c r="AZ1132">
        <v>0</v>
      </c>
      <c r="BA1132">
        <v>6.73</v>
      </c>
    </row>
    <row r="1133" spans="1:53" hidden="1" x14ac:dyDescent="0.3">
      <c r="A1133" t="s">
        <v>459</v>
      </c>
      <c r="C1133" t="s">
        <v>251</v>
      </c>
      <c r="D1133" t="s">
        <v>81</v>
      </c>
      <c r="E1133">
        <v>100000000</v>
      </c>
      <c r="H1133">
        <v>14.25</v>
      </c>
      <c r="I1133" t="s">
        <v>56</v>
      </c>
      <c r="J1133">
        <v>1.4250000000000001E-3</v>
      </c>
      <c r="K1133" t="s">
        <v>57</v>
      </c>
      <c r="O1133">
        <v>3000</v>
      </c>
      <c r="P1133" t="s">
        <v>277</v>
      </c>
      <c r="T1133">
        <v>28.5</v>
      </c>
      <c r="V1133">
        <v>70</v>
      </c>
      <c r="W1133" t="s">
        <v>466</v>
      </c>
      <c r="X1133" t="s">
        <v>280</v>
      </c>
      <c r="Y1133">
        <v>180</v>
      </c>
      <c r="AA1133" t="s">
        <v>94</v>
      </c>
      <c r="AB1133">
        <v>7.29</v>
      </c>
      <c r="AC1133" t="s">
        <v>85</v>
      </c>
      <c r="AI1133">
        <v>3</v>
      </c>
      <c r="AT1133" t="s">
        <v>358</v>
      </c>
      <c r="AV1133" t="s">
        <v>88</v>
      </c>
      <c r="AW1133">
        <v>3000</v>
      </c>
      <c r="AZ1133">
        <v>0</v>
      </c>
      <c r="BA1133">
        <v>7.29</v>
      </c>
    </row>
    <row r="1134" spans="1:53" hidden="1" x14ac:dyDescent="0.3">
      <c r="A1134" t="s">
        <v>459</v>
      </c>
      <c r="C1134" t="s">
        <v>251</v>
      </c>
      <c r="D1134" t="s">
        <v>81</v>
      </c>
      <c r="E1134">
        <v>100000000</v>
      </c>
      <c r="H1134">
        <v>14.25</v>
      </c>
      <c r="I1134" t="s">
        <v>56</v>
      </c>
      <c r="J1134">
        <v>1.4250000000000001E-3</v>
      </c>
      <c r="K1134" t="s">
        <v>57</v>
      </c>
      <c r="O1134">
        <v>3000</v>
      </c>
      <c r="P1134" t="s">
        <v>277</v>
      </c>
      <c r="T1134">
        <v>28.5</v>
      </c>
      <c r="V1134">
        <v>70</v>
      </c>
      <c r="W1134" t="s">
        <v>460</v>
      </c>
      <c r="X1134" t="s">
        <v>280</v>
      </c>
      <c r="Y1134">
        <v>180</v>
      </c>
      <c r="AA1134" t="s">
        <v>94</v>
      </c>
      <c r="AB1134">
        <v>7.33</v>
      </c>
      <c r="AC1134" t="s">
        <v>85</v>
      </c>
      <c r="AI1134">
        <v>3</v>
      </c>
      <c r="AJ1134" t="s">
        <v>461</v>
      </c>
      <c r="AT1134" t="s">
        <v>73</v>
      </c>
      <c r="AV1134" t="s">
        <v>88</v>
      </c>
      <c r="AW1134">
        <v>3000</v>
      </c>
      <c r="AZ1134">
        <v>0</v>
      </c>
      <c r="BA1134">
        <v>7.33</v>
      </c>
    </row>
    <row r="1135" spans="1:53" hidden="1" x14ac:dyDescent="0.3">
      <c r="A1135" t="s">
        <v>459</v>
      </c>
      <c r="C1135" t="s">
        <v>251</v>
      </c>
      <c r="D1135" t="s">
        <v>81</v>
      </c>
      <c r="E1135">
        <v>100000000</v>
      </c>
      <c r="H1135">
        <v>14.25</v>
      </c>
      <c r="I1135" t="s">
        <v>56</v>
      </c>
      <c r="J1135">
        <v>1.4250000000000001E-3</v>
      </c>
      <c r="K1135" t="s">
        <v>57</v>
      </c>
      <c r="O1135">
        <v>3000</v>
      </c>
      <c r="P1135" t="s">
        <v>277</v>
      </c>
      <c r="T1135">
        <v>28.5</v>
      </c>
      <c r="V1135">
        <v>70</v>
      </c>
      <c r="W1135" t="s">
        <v>462</v>
      </c>
      <c r="X1135" t="s">
        <v>280</v>
      </c>
      <c r="Y1135">
        <v>180</v>
      </c>
      <c r="AA1135" t="s">
        <v>94</v>
      </c>
      <c r="AB1135">
        <v>6.25</v>
      </c>
      <c r="AC1135" t="s">
        <v>85</v>
      </c>
      <c r="AI1135">
        <v>3</v>
      </c>
      <c r="AT1135" t="s">
        <v>212</v>
      </c>
      <c r="AV1135" t="s">
        <v>88</v>
      </c>
      <c r="AW1135">
        <v>3000</v>
      </c>
      <c r="AZ1135">
        <v>0</v>
      </c>
      <c r="BA1135">
        <v>6.25</v>
      </c>
    </row>
    <row r="1136" spans="1:53" hidden="1" x14ac:dyDescent="0.3">
      <c r="A1136" t="s">
        <v>459</v>
      </c>
      <c r="C1136" t="s">
        <v>251</v>
      </c>
      <c r="D1136" t="s">
        <v>81</v>
      </c>
      <c r="E1136">
        <v>100000000</v>
      </c>
      <c r="H1136">
        <v>14.25</v>
      </c>
      <c r="I1136" t="s">
        <v>56</v>
      </c>
      <c r="J1136">
        <v>1.4250000000000001E-3</v>
      </c>
      <c r="K1136" t="s">
        <v>57</v>
      </c>
      <c r="O1136">
        <v>3000</v>
      </c>
      <c r="P1136" t="s">
        <v>277</v>
      </c>
      <c r="T1136">
        <v>28.5</v>
      </c>
      <c r="V1136">
        <v>70</v>
      </c>
      <c r="W1136" t="s">
        <v>147</v>
      </c>
      <c r="X1136" t="s">
        <v>280</v>
      </c>
      <c r="Y1136">
        <v>180</v>
      </c>
      <c r="AA1136" t="s">
        <v>94</v>
      </c>
      <c r="AB1136">
        <v>7.07</v>
      </c>
      <c r="AC1136" t="s">
        <v>85</v>
      </c>
      <c r="AI1136">
        <v>3</v>
      </c>
      <c r="AT1136" t="s">
        <v>150</v>
      </c>
      <c r="AV1136" t="s">
        <v>88</v>
      </c>
      <c r="AW1136">
        <v>3000</v>
      </c>
      <c r="AZ1136">
        <v>0</v>
      </c>
      <c r="BA1136">
        <v>7.07</v>
      </c>
    </row>
    <row r="1137" spans="1:53" hidden="1" x14ac:dyDescent="0.3">
      <c r="A1137" t="s">
        <v>459</v>
      </c>
      <c r="C1137" t="s">
        <v>251</v>
      </c>
      <c r="D1137" t="s">
        <v>81</v>
      </c>
      <c r="E1137">
        <v>100000000</v>
      </c>
      <c r="H1137">
        <v>14.25</v>
      </c>
      <c r="I1137" t="s">
        <v>56</v>
      </c>
      <c r="J1137">
        <v>1.4250000000000001E-3</v>
      </c>
      <c r="K1137" t="s">
        <v>57</v>
      </c>
      <c r="O1137">
        <v>3000</v>
      </c>
      <c r="P1137" t="s">
        <v>277</v>
      </c>
      <c r="T1137">
        <v>28.5</v>
      </c>
      <c r="V1137">
        <v>70</v>
      </c>
      <c r="W1137" t="s">
        <v>463</v>
      </c>
      <c r="X1137" t="s">
        <v>280</v>
      </c>
      <c r="Y1137">
        <v>180</v>
      </c>
      <c r="AA1137" t="s">
        <v>94</v>
      </c>
      <c r="AB1137">
        <v>6.75</v>
      </c>
      <c r="AC1137" t="s">
        <v>85</v>
      </c>
      <c r="AI1137">
        <v>3</v>
      </c>
      <c r="AT1137" t="s">
        <v>360</v>
      </c>
      <c r="AV1137" t="s">
        <v>88</v>
      </c>
      <c r="AW1137">
        <v>3000</v>
      </c>
      <c r="AZ1137">
        <v>0</v>
      </c>
      <c r="BA1137">
        <v>6.75</v>
      </c>
    </row>
    <row r="1138" spans="1:53" hidden="1" x14ac:dyDescent="0.3">
      <c r="A1138" t="s">
        <v>459</v>
      </c>
      <c r="C1138" t="s">
        <v>251</v>
      </c>
      <c r="D1138" t="s">
        <v>81</v>
      </c>
      <c r="E1138">
        <v>100000000</v>
      </c>
      <c r="H1138">
        <v>14.25</v>
      </c>
      <c r="I1138" t="s">
        <v>56</v>
      </c>
      <c r="J1138">
        <v>1.4250000000000001E-3</v>
      </c>
      <c r="K1138" t="s">
        <v>57</v>
      </c>
      <c r="O1138">
        <v>3000</v>
      </c>
      <c r="P1138" t="s">
        <v>277</v>
      </c>
      <c r="T1138">
        <v>28.5</v>
      </c>
      <c r="V1138">
        <v>70</v>
      </c>
      <c r="W1138" t="s">
        <v>464</v>
      </c>
      <c r="X1138" t="s">
        <v>280</v>
      </c>
      <c r="Y1138">
        <v>180</v>
      </c>
      <c r="AA1138" t="s">
        <v>94</v>
      </c>
      <c r="AB1138">
        <v>7.48</v>
      </c>
      <c r="AC1138" t="s">
        <v>85</v>
      </c>
      <c r="AI1138">
        <v>3</v>
      </c>
      <c r="AT1138" t="s">
        <v>65</v>
      </c>
      <c r="AV1138" t="s">
        <v>88</v>
      </c>
      <c r="AW1138">
        <v>3000</v>
      </c>
      <c r="AZ1138">
        <v>0</v>
      </c>
      <c r="BA1138">
        <v>7.48</v>
      </c>
    </row>
    <row r="1139" spans="1:53" hidden="1" x14ac:dyDescent="0.3">
      <c r="A1139" t="s">
        <v>459</v>
      </c>
      <c r="C1139" t="s">
        <v>251</v>
      </c>
      <c r="D1139" t="s">
        <v>81</v>
      </c>
      <c r="E1139">
        <v>100000000</v>
      </c>
      <c r="H1139">
        <v>14.25</v>
      </c>
      <c r="I1139" t="s">
        <v>56</v>
      </c>
      <c r="J1139">
        <v>1.4250000000000001E-3</v>
      </c>
      <c r="K1139" t="s">
        <v>57</v>
      </c>
      <c r="O1139">
        <v>3000</v>
      </c>
      <c r="P1139" t="s">
        <v>277</v>
      </c>
      <c r="T1139">
        <v>28.5</v>
      </c>
      <c r="V1139">
        <v>70</v>
      </c>
      <c r="W1139" t="s">
        <v>465</v>
      </c>
      <c r="X1139" t="s">
        <v>280</v>
      </c>
      <c r="Y1139">
        <v>180</v>
      </c>
      <c r="AA1139" t="s">
        <v>94</v>
      </c>
      <c r="AB1139">
        <v>6.58</v>
      </c>
      <c r="AC1139" t="s">
        <v>85</v>
      </c>
      <c r="AI1139">
        <v>3</v>
      </c>
      <c r="AT1139" t="s">
        <v>79</v>
      </c>
      <c r="AV1139" t="s">
        <v>88</v>
      </c>
      <c r="AW1139">
        <v>3000</v>
      </c>
      <c r="AZ1139">
        <v>0</v>
      </c>
      <c r="BA1139">
        <v>6.58</v>
      </c>
    </row>
    <row r="1140" spans="1:53" hidden="1" x14ac:dyDescent="0.3">
      <c r="A1140" t="s">
        <v>459</v>
      </c>
      <c r="C1140" t="s">
        <v>251</v>
      </c>
      <c r="D1140" t="s">
        <v>81</v>
      </c>
      <c r="E1140">
        <v>100000000</v>
      </c>
      <c r="H1140">
        <v>14.25</v>
      </c>
      <c r="I1140" t="s">
        <v>56</v>
      </c>
      <c r="J1140">
        <v>1.4250000000000001E-3</v>
      </c>
      <c r="K1140" t="s">
        <v>57</v>
      </c>
      <c r="O1140">
        <v>3000</v>
      </c>
      <c r="P1140" t="s">
        <v>277</v>
      </c>
      <c r="T1140">
        <v>28.5</v>
      </c>
      <c r="V1140">
        <v>70</v>
      </c>
      <c r="W1140" t="s">
        <v>466</v>
      </c>
      <c r="X1140" t="s">
        <v>280</v>
      </c>
      <c r="Y1140">
        <v>180</v>
      </c>
      <c r="AA1140" t="s">
        <v>94</v>
      </c>
      <c r="AB1140">
        <v>6.63</v>
      </c>
      <c r="AC1140" t="s">
        <v>85</v>
      </c>
      <c r="AI1140">
        <v>3</v>
      </c>
      <c r="AT1140" t="s">
        <v>358</v>
      </c>
      <c r="AV1140" t="s">
        <v>88</v>
      </c>
      <c r="AW1140">
        <v>3000</v>
      </c>
      <c r="AZ1140">
        <v>0</v>
      </c>
      <c r="BA1140">
        <v>6.63</v>
      </c>
    </row>
    <row r="1141" spans="1:53" hidden="1" x14ac:dyDescent="0.3">
      <c r="A1141" t="s">
        <v>467</v>
      </c>
      <c r="C1141" t="s">
        <v>251</v>
      </c>
      <c r="D1141" t="s">
        <v>81</v>
      </c>
      <c r="E1141">
        <v>100000000</v>
      </c>
      <c r="H1141">
        <v>14.25</v>
      </c>
      <c r="I1141" t="s">
        <v>56</v>
      </c>
      <c r="J1141">
        <v>1.4250000000000001E-3</v>
      </c>
      <c r="K1141" t="s">
        <v>57</v>
      </c>
      <c r="N1141" t="s">
        <v>314</v>
      </c>
      <c r="O1141">
        <v>3000</v>
      </c>
      <c r="P1141" t="s">
        <v>315</v>
      </c>
      <c r="S1141">
        <v>2</v>
      </c>
      <c r="T1141">
        <v>22</v>
      </c>
      <c r="U1141" t="s">
        <v>120</v>
      </c>
      <c r="V1141">
        <v>75</v>
      </c>
      <c r="W1141" t="s">
        <v>468</v>
      </c>
      <c r="X1141" t="s">
        <v>280</v>
      </c>
      <c r="Y1141">
        <v>180</v>
      </c>
      <c r="AA1141" t="s">
        <v>94</v>
      </c>
      <c r="AB1141">
        <v>6.8</v>
      </c>
      <c r="AC1141" t="s">
        <v>85</v>
      </c>
      <c r="AI1141">
        <v>5</v>
      </c>
      <c r="AT1141" t="s">
        <v>318</v>
      </c>
      <c r="AV1141" t="s">
        <v>88</v>
      </c>
      <c r="AW1141">
        <v>3000</v>
      </c>
      <c r="AZ1141">
        <v>0</v>
      </c>
      <c r="BA1141">
        <v>6.8</v>
      </c>
    </row>
    <row r="1142" spans="1:53" hidden="1" x14ac:dyDescent="0.3">
      <c r="A1142" t="s">
        <v>467</v>
      </c>
      <c r="C1142" t="s">
        <v>251</v>
      </c>
      <c r="D1142" t="s">
        <v>81</v>
      </c>
      <c r="E1142">
        <v>100000000</v>
      </c>
      <c r="H1142">
        <v>14.25</v>
      </c>
      <c r="I1142" t="s">
        <v>56</v>
      </c>
      <c r="J1142">
        <v>1.4250000000000001E-3</v>
      </c>
      <c r="K1142" t="s">
        <v>57</v>
      </c>
      <c r="N1142" t="s">
        <v>314</v>
      </c>
      <c r="O1142">
        <v>3000</v>
      </c>
      <c r="P1142" t="s">
        <v>315</v>
      </c>
      <c r="S1142">
        <v>2</v>
      </c>
      <c r="T1142">
        <v>22</v>
      </c>
      <c r="U1142" t="s">
        <v>120</v>
      </c>
      <c r="V1142">
        <v>75</v>
      </c>
      <c r="W1142" t="s">
        <v>468</v>
      </c>
      <c r="X1142" t="s">
        <v>280</v>
      </c>
      <c r="Y1142">
        <v>180</v>
      </c>
      <c r="AA1142" t="s">
        <v>94</v>
      </c>
      <c r="AB1142">
        <v>7</v>
      </c>
      <c r="AC1142" t="s">
        <v>85</v>
      </c>
      <c r="AI1142">
        <v>5</v>
      </c>
      <c r="AT1142" t="s">
        <v>318</v>
      </c>
      <c r="AV1142" t="s">
        <v>88</v>
      </c>
      <c r="AW1142">
        <v>3000</v>
      </c>
      <c r="AZ1142">
        <v>0</v>
      </c>
      <c r="BA1142">
        <v>7</v>
      </c>
    </row>
    <row r="1143" spans="1:53" hidden="1" x14ac:dyDescent="0.3">
      <c r="A1143" t="s">
        <v>467</v>
      </c>
      <c r="C1143" t="s">
        <v>251</v>
      </c>
      <c r="D1143" t="s">
        <v>81</v>
      </c>
      <c r="E1143">
        <v>100000000</v>
      </c>
      <c r="H1143">
        <v>14.25</v>
      </c>
      <c r="I1143" t="s">
        <v>56</v>
      </c>
      <c r="J1143">
        <v>1.4250000000000001E-3</v>
      </c>
      <c r="K1143" t="s">
        <v>57</v>
      </c>
      <c r="N1143" t="s">
        <v>314</v>
      </c>
      <c r="O1143">
        <v>3000</v>
      </c>
      <c r="P1143" t="s">
        <v>315</v>
      </c>
      <c r="S1143">
        <v>2</v>
      </c>
      <c r="T1143">
        <v>22</v>
      </c>
      <c r="U1143" t="s">
        <v>120</v>
      </c>
      <c r="V1143">
        <v>75</v>
      </c>
      <c r="W1143" t="s">
        <v>468</v>
      </c>
      <c r="X1143" t="s">
        <v>280</v>
      </c>
      <c r="Y1143">
        <v>180</v>
      </c>
      <c r="AA1143" t="s">
        <v>94</v>
      </c>
      <c r="AB1143">
        <v>6.5</v>
      </c>
      <c r="AC1143" t="s">
        <v>85</v>
      </c>
      <c r="AI1143">
        <v>5</v>
      </c>
      <c r="AT1143" t="s">
        <v>318</v>
      </c>
      <c r="AV1143" t="s">
        <v>88</v>
      </c>
      <c r="AW1143">
        <v>3000</v>
      </c>
      <c r="AZ1143">
        <v>0</v>
      </c>
      <c r="BA1143">
        <v>6.5</v>
      </c>
    </row>
    <row r="1144" spans="1:53" hidden="1" x14ac:dyDescent="0.3">
      <c r="A1144" t="s">
        <v>467</v>
      </c>
      <c r="C1144" t="s">
        <v>251</v>
      </c>
      <c r="D1144" t="s">
        <v>81</v>
      </c>
      <c r="E1144">
        <v>100000000</v>
      </c>
      <c r="H1144">
        <v>14.25</v>
      </c>
      <c r="I1144" t="s">
        <v>56</v>
      </c>
      <c r="J1144">
        <v>1.4250000000000001E-3</v>
      </c>
      <c r="K1144" t="s">
        <v>57</v>
      </c>
      <c r="N1144" t="s">
        <v>314</v>
      </c>
      <c r="O1144">
        <v>300</v>
      </c>
      <c r="P1144" t="s">
        <v>315</v>
      </c>
      <c r="S1144">
        <v>2</v>
      </c>
      <c r="T1144">
        <v>22</v>
      </c>
      <c r="U1144" t="s">
        <v>120</v>
      </c>
      <c r="V1144">
        <v>75</v>
      </c>
      <c r="W1144" t="s">
        <v>468</v>
      </c>
      <c r="X1144" t="s">
        <v>280</v>
      </c>
      <c r="Y1144">
        <v>180</v>
      </c>
      <c r="AB1144">
        <v>3.6</v>
      </c>
      <c r="AC1144" t="s">
        <v>85</v>
      </c>
      <c r="AD1144" t="s">
        <v>321</v>
      </c>
      <c r="AE1144" t="s">
        <v>63</v>
      </c>
      <c r="AI1144">
        <v>5</v>
      </c>
      <c r="AT1144" t="s">
        <v>318</v>
      </c>
      <c r="AV1144" t="s">
        <v>88</v>
      </c>
      <c r="AW1144">
        <v>300</v>
      </c>
    </row>
    <row r="1145" spans="1:53" hidden="1" x14ac:dyDescent="0.3">
      <c r="A1145" t="s">
        <v>467</v>
      </c>
      <c r="C1145" t="s">
        <v>251</v>
      </c>
      <c r="D1145" t="s">
        <v>81</v>
      </c>
      <c r="E1145">
        <v>100000000</v>
      </c>
      <c r="H1145">
        <v>14.25</v>
      </c>
      <c r="I1145" t="s">
        <v>56</v>
      </c>
      <c r="J1145">
        <v>1.4250000000000001E-3</v>
      </c>
      <c r="K1145" t="s">
        <v>57</v>
      </c>
      <c r="N1145" t="s">
        <v>314</v>
      </c>
      <c r="O1145">
        <v>300</v>
      </c>
      <c r="P1145" t="s">
        <v>315</v>
      </c>
      <c r="S1145">
        <v>2</v>
      </c>
      <c r="T1145">
        <v>22</v>
      </c>
      <c r="U1145" t="s">
        <v>120</v>
      </c>
      <c r="V1145">
        <v>75</v>
      </c>
      <c r="W1145" t="s">
        <v>468</v>
      </c>
      <c r="X1145" t="s">
        <v>280</v>
      </c>
      <c r="Y1145">
        <v>180</v>
      </c>
      <c r="AB1145">
        <v>3.5</v>
      </c>
      <c r="AC1145" t="s">
        <v>85</v>
      </c>
      <c r="AD1145" t="s">
        <v>321</v>
      </c>
      <c r="AE1145" t="s">
        <v>63</v>
      </c>
      <c r="AI1145">
        <v>5</v>
      </c>
      <c r="AT1145" t="s">
        <v>318</v>
      </c>
      <c r="AV1145" t="s">
        <v>88</v>
      </c>
      <c r="AW1145">
        <v>300</v>
      </c>
    </row>
    <row r="1146" spans="1:53" hidden="1" x14ac:dyDescent="0.3">
      <c r="A1146" t="s">
        <v>467</v>
      </c>
      <c r="C1146" t="s">
        <v>251</v>
      </c>
      <c r="D1146" t="s">
        <v>81</v>
      </c>
      <c r="E1146">
        <v>100000000</v>
      </c>
      <c r="H1146">
        <v>14.25</v>
      </c>
      <c r="I1146" t="s">
        <v>56</v>
      </c>
      <c r="J1146">
        <v>1.4250000000000001E-3</v>
      </c>
      <c r="K1146" t="s">
        <v>57</v>
      </c>
      <c r="N1146" t="s">
        <v>314</v>
      </c>
      <c r="O1146">
        <v>300</v>
      </c>
      <c r="P1146" t="s">
        <v>315</v>
      </c>
      <c r="S1146">
        <v>2</v>
      </c>
      <c r="T1146">
        <v>22</v>
      </c>
      <c r="U1146" t="s">
        <v>120</v>
      </c>
      <c r="V1146">
        <v>75</v>
      </c>
      <c r="W1146" t="s">
        <v>468</v>
      </c>
      <c r="X1146" t="s">
        <v>280</v>
      </c>
      <c r="Y1146">
        <v>180</v>
      </c>
      <c r="AB1146">
        <v>3.9</v>
      </c>
      <c r="AC1146" t="s">
        <v>85</v>
      </c>
      <c r="AD1146" t="s">
        <v>98</v>
      </c>
      <c r="AE1146" t="s">
        <v>63</v>
      </c>
      <c r="AI1146">
        <v>5</v>
      </c>
      <c r="AT1146" t="s">
        <v>318</v>
      </c>
      <c r="AV1146" t="s">
        <v>88</v>
      </c>
      <c r="AW1146">
        <v>300</v>
      </c>
    </row>
    <row r="1147" spans="1:53" hidden="1" x14ac:dyDescent="0.3">
      <c r="A1147" t="s">
        <v>467</v>
      </c>
      <c r="C1147" t="s">
        <v>251</v>
      </c>
      <c r="D1147" t="s">
        <v>81</v>
      </c>
      <c r="E1147">
        <v>100000000</v>
      </c>
      <c r="H1147">
        <v>14.25</v>
      </c>
      <c r="I1147" t="s">
        <v>56</v>
      </c>
      <c r="J1147">
        <v>1.4250000000000001E-3</v>
      </c>
      <c r="K1147" t="s">
        <v>57</v>
      </c>
      <c r="N1147" t="s">
        <v>314</v>
      </c>
      <c r="O1147">
        <v>150</v>
      </c>
      <c r="P1147" t="s">
        <v>315</v>
      </c>
      <c r="S1147">
        <v>2</v>
      </c>
      <c r="T1147">
        <v>22</v>
      </c>
      <c r="U1147" t="s">
        <v>120</v>
      </c>
      <c r="V1147">
        <v>75</v>
      </c>
      <c r="W1147" t="s">
        <v>468</v>
      </c>
      <c r="X1147" t="s">
        <v>280</v>
      </c>
      <c r="Y1147">
        <v>180</v>
      </c>
      <c r="AB1147">
        <v>2.2999999999999901</v>
      </c>
      <c r="AC1147" t="s">
        <v>85</v>
      </c>
      <c r="AD1147" t="s">
        <v>194</v>
      </c>
      <c r="AE1147" t="s">
        <v>63</v>
      </c>
      <c r="AI1147">
        <v>5</v>
      </c>
      <c r="AT1147" t="s">
        <v>318</v>
      </c>
      <c r="AV1147" t="s">
        <v>88</v>
      </c>
      <c r="AW1147">
        <v>150</v>
      </c>
    </row>
    <row r="1148" spans="1:53" hidden="1" x14ac:dyDescent="0.3">
      <c r="A1148" t="s">
        <v>467</v>
      </c>
      <c r="C1148" t="s">
        <v>251</v>
      </c>
      <c r="D1148" t="s">
        <v>81</v>
      </c>
      <c r="E1148">
        <v>100000000</v>
      </c>
      <c r="H1148">
        <v>14.25</v>
      </c>
      <c r="I1148" t="s">
        <v>56</v>
      </c>
      <c r="J1148">
        <v>1.4250000000000001E-3</v>
      </c>
      <c r="K1148" t="s">
        <v>57</v>
      </c>
      <c r="N1148" t="s">
        <v>314</v>
      </c>
      <c r="O1148">
        <v>150</v>
      </c>
      <c r="P1148" t="s">
        <v>315</v>
      </c>
      <c r="S1148">
        <v>2</v>
      </c>
      <c r="T1148">
        <v>22</v>
      </c>
      <c r="U1148" t="s">
        <v>120</v>
      </c>
      <c r="V1148">
        <v>75</v>
      </c>
      <c r="W1148" t="s">
        <v>468</v>
      </c>
      <c r="X1148" t="s">
        <v>280</v>
      </c>
      <c r="Y1148">
        <v>180</v>
      </c>
      <c r="AB1148">
        <v>2.9</v>
      </c>
      <c r="AC1148" t="s">
        <v>85</v>
      </c>
      <c r="AD1148" t="s">
        <v>314</v>
      </c>
      <c r="AE1148" t="s">
        <v>63</v>
      </c>
      <c r="AI1148">
        <v>5</v>
      </c>
      <c r="AT1148" t="s">
        <v>318</v>
      </c>
      <c r="AV1148" t="s">
        <v>88</v>
      </c>
      <c r="AW1148">
        <v>150</v>
      </c>
    </row>
    <row r="1149" spans="1:53" hidden="1" x14ac:dyDescent="0.3">
      <c r="A1149" t="s">
        <v>467</v>
      </c>
      <c r="C1149" t="s">
        <v>251</v>
      </c>
      <c r="D1149" t="s">
        <v>81</v>
      </c>
      <c r="E1149">
        <v>100000000</v>
      </c>
      <c r="H1149">
        <v>14.25</v>
      </c>
      <c r="I1149" t="s">
        <v>56</v>
      </c>
      <c r="J1149">
        <v>1.4250000000000001E-3</v>
      </c>
      <c r="K1149" t="s">
        <v>57</v>
      </c>
      <c r="N1149" t="s">
        <v>314</v>
      </c>
      <c r="O1149">
        <v>150</v>
      </c>
      <c r="P1149" t="s">
        <v>315</v>
      </c>
      <c r="S1149">
        <v>2</v>
      </c>
      <c r="T1149">
        <v>22</v>
      </c>
      <c r="U1149" t="s">
        <v>120</v>
      </c>
      <c r="V1149">
        <v>75</v>
      </c>
      <c r="W1149" t="s">
        <v>468</v>
      </c>
      <c r="X1149" t="s">
        <v>280</v>
      </c>
      <c r="Y1149">
        <v>180</v>
      </c>
      <c r="AB1149">
        <v>4.8</v>
      </c>
      <c r="AC1149" t="s">
        <v>85</v>
      </c>
      <c r="AD1149" t="s">
        <v>98</v>
      </c>
      <c r="AE1149" t="s">
        <v>63</v>
      </c>
      <c r="AI1149">
        <v>5</v>
      </c>
      <c r="AT1149" t="s">
        <v>318</v>
      </c>
      <c r="AV1149" t="s">
        <v>88</v>
      </c>
      <c r="AW1149">
        <v>150</v>
      </c>
    </row>
    <row r="1150" spans="1:53" hidden="1" x14ac:dyDescent="0.3">
      <c r="A1150" t="s">
        <v>467</v>
      </c>
      <c r="C1150" t="s">
        <v>251</v>
      </c>
      <c r="D1150" t="s">
        <v>81</v>
      </c>
      <c r="E1150">
        <v>100000000</v>
      </c>
      <c r="H1150">
        <v>14.25</v>
      </c>
      <c r="I1150" t="s">
        <v>56</v>
      </c>
      <c r="J1150">
        <v>1.4250000000000001E-3</v>
      </c>
      <c r="K1150" t="s">
        <v>57</v>
      </c>
      <c r="N1150" t="s">
        <v>314</v>
      </c>
      <c r="O1150">
        <v>3000</v>
      </c>
      <c r="P1150" t="s">
        <v>315</v>
      </c>
      <c r="S1150">
        <v>2</v>
      </c>
      <c r="T1150">
        <v>22</v>
      </c>
      <c r="U1150" t="s">
        <v>120</v>
      </c>
      <c r="V1150">
        <v>75</v>
      </c>
      <c r="W1150" t="s">
        <v>469</v>
      </c>
      <c r="X1150" t="s">
        <v>280</v>
      </c>
      <c r="Y1150">
        <v>180</v>
      </c>
      <c r="AA1150" t="s">
        <v>94</v>
      </c>
      <c r="AB1150">
        <v>6.5</v>
      </c>
      <c r="AC1150" t="s">
        <v>85</v>
      </c>
      <c r="AI1150">
        <v>5</v>
      </c>
      <c r="AT1150" t="s">
        <v>65</v>
      </c>
      <c r="AV1150" t="s">
        <v>88</v>
      </c>
      <c r="AW1150">
        <v>3000</v>
      </c>
      <c r="AZ1150">
        <v>0</v>
      </c>
      <c r="BA1150">
        <v>6.5</v>
      </c>
    </row>
    <row r="1151" spans="1:53" hidden="1" x14ac:dyDescent="0.3">
      <c r="A1151" t="s">
        <v>467</v>
      </c>
      <c r="C1151" t="s">
        <v>251</v>
      </c>
      <c r="D1151" t="s">
        <v>81</v>
      </c>
      <c r="E1151">
        <v>100000000</v>
      </c>
      <c r="H1151">
        <v>14.25</v>
      </c>
      <c r="I1151" t="s">
        <v>56</v>
      </c>
      <c r="J1151">
        <v>1.4250000000000001E-3</v>
      </c>
      <c r="K1151" t="s">
        <v>57</v>
      </c>
      <c r="N1151" t="s">
        <v>314</v>
      </c>
      <c r="O1151">
        <v>3000</v>
      </c>
      <c r="P1151" t="s">
        <v>315</v>
      </c>
      <c r="S1151">
        <v>2</v>
      </c>
      <c r="T1151">
        <v>22</v>
      </c>
      <c r="U1151" t="s">
        <v>120</v>
      </c>
      <c r="V1151">
        <v>75</v>
      </c>
      <c r="W1151" t="s">
        <v>469</v>
      </c>
      <c r="X1151" t="s">
        <v>280</v>
      </c>
      <c r="Y1151">
        <v>180</v>
      </c>
      <c r="AA1151" t="s">
        <v>94</v>
      </c>
      <c r="AB1151">
        <v>6.6</v>
      </c>
      <c r="AC1151" t="s">
        <v>85</v>
      </c>
      <c r="AI1151">
        <v>5</v>
      </c>
      <c r="AT1151" t="s">
        <v>65</v>
      </c>
      <c r="AV1151" t="s">
        <v>88</v>
      </c>
      <c r="AW1151">
        <v>3000</v>
      </c>
      <c r="AZ1151">
        <v>0</v>
      </c>
      <c r="BA1151">
        <v>6.6</v>
      </c>
    </row>
    <row r="1152" spans="1:53" hidden="1" x14ac:dyDescent="0.3">
      <c r="A1152" t="s">
        <v>467</v>
      </c>
      <c r="C1152" t="s">
        <v>251</v>
      </c>
      <c r="D1152" t="s">
        <v>81</v>
      </c>
      <c r="E1152">
        <v>100000000</v>
      </c>
      <c r="H1152">
        <v>14.25</v>
      </c>
      <c r="I1152" t="s">
        <v>56</v>
      </c>
      <c r="J1152">
        <v>1.4250000000000001E-3</v>
      </c>
      <c r="K1152" t="s">
        <v>57</v>
      </c>
      <c r="N1152" t="s">
        <v>314</v>
      </c>
      <c r="O1152">
        <v>3000</v>
      </c>
      <c r="P1152" t="s">
        <v>315</v>
      </c>
      <c r="S1152">
        <v>2</v>
      </c>
      <c r="T1152">
        <v>22</v>
      </c>
      <c r="U1152" t="s">
        <v>120</v>
      </c>
      <c r="V1152">
        <v>75</v>
      </c>
      <c r="W1152" t="s">
        <v>469</v>
      </c>
      <c r="X1152" t="s">
        <v>280</v>
      </c>
      <c r="Y1152">
        <v>180</v>
      </c>
      <c r="AA1152" t="s">
        <v>94</v>
      </c>
      <c r="AB1152">
        <v>6.6</v>
      </c>
      <c r="AC1152" t="s">
        <v>85</v>
      </c>
      <c r="AI1152">
        <v>5</v>
      </c>
      <c r="AT1152" t="s">
        <v>65</v>
      </c>
      <c r="AV1152" t="s">
        <v>88</v>
      </c>
      <c r="AW1152">
        <v>3000</v>
      </c>
      <c r="AZ1152">
        <v>0</v>
      </c>
      <c r="BA1152">
        <v>6.6</v>
      </c>
    </row>
    <row r="1153" spans="1:53" hidden="1" x14ac:dyDescent="0.3">
      <c r="A1153" t="s">
        <v>467</v>
      </c>
      <c r="C1153" t="s">
        <v>251</v>
      </c>
      <c r="D1153" t="s">
        <v>81</v>
      </c>
      <c r="E1153">
        <v>100000000</v>
      </c>
      <c r="H1153">
        <v>14.25</v>
      </c>
      <c r="I1153" t="s">
        <v>56</v>
      </c>
      <c r="J1153">
        <v>1.4250000000000001E-3</v>
      </c>
      <c r="K1153" t="s">
        <v>57</v>
      </c>
      <c r="N1153" t="s">
        <v>314</v>
      </c>
      <c r="O1153">
        <v>300</v>
      </c>
      <c r="P1153" t="s">
        <v>315</v>
      </c>
      <c r="S1153">
        <v>2</v>
      </c>
      <c r="T1153">
        <v>22</v>
      </c>
      <c r="U1153" t="s">
        <v>120</v>
      </c>
      <c r="V1153">
        <v>75</v>
      </c>
      <c r="W1153" t="s">
        <v>469</v>
      </c>
      <c r="X1153" t="s">
        <v>280</v>
      </c>
      <c r="Y1153">
        <v>180</v>
      </c>
      <c r="AA1153" t="s">
        <v>94</v>
      </c>
      <c r="AB1153">
        <v>5.8</v>
      </c>
      <c r="AC1153" t="s">
        <v>85</v>
      </c>
      <c r="AI1153">
        <v>5</v>
      </c>
      <c r="AT1153" t="s">
        <v>65</v>
      </c>
      <c r="AV1153" t="s">
        <v>88</v>
      </c>
      <c r="AW1153">
        <v>300</v>
      </c>
      <c r="AZ1153">
        <v>0</v>
      </c>
      <c r="BA1153">
        <v>5.8</v>
      </c>
    </row>
    <row r="1154" spans="1:53" hidden="1" x14ac:dyDescent="0.3">
      <c r="A1154" t="s">
        <v>467</v>
      </c>
      <c r="C1154" t="s">
        <v>251</v>
      </c>
      <c r="D1154" t="s">
        <v>81</v>
      </c>
      <c r="E1154">
        <v>100000000</v>
      </c>
      <c r="H1154">
        <v>14.25</v>
      </c>
      <c r="I1154" t="s">
        <v>56</v>
      </c>
      <c r="J1154">
        <v>1.4250000000000001E-3</v>
      </c>
      <c r="K1154" t="s">
        <v>57</v>
      </c>
      <c r="N1154" t="s">
        <v>314</v>
      </c>
      <c r="O1154">
        <v>300</v>
      </c>
      <c r="P1154" t="s">
        <v>315</v>
      </c>
      <c r="S1154">
        <v>2</v>
      </c>
      <c r="T1154">
        <v>22</v>
      </c>
      <c r="U1154" t="s">
        <v>120</v>
      </c>
      <c r="V1154">
        <v>75</v>
      </c>
      <c r="W1154" t="s">
        <v>469</v>
      </c>
      <c r="X1154" t="s">
        <v>280</v>
      </c>
      <c r="Y1154">
        <v>180</v>
      </c>
      <c r="AA1154" t="s">
        <v>94</v>
      </c>
      <c r="AB1154">
        <v>6.5</v>
      </c>
      <c r="AC1154" t="s">
        <v>85</v>
      </c>
      <c r="AI1154">
        <v>5</v>
      </c>
      <c r="AT1154" t="s">
        <v>65</v>
      </c>
      <c r="AV1154" t="s">
        <v>88</v>
      </c>
      <c r="AW1154">
        <v>300</v>
      </c>
      <c r="AZ1154">
        <v>0</v>
      </c>
      <c r="BA1154">
        <v>6.5</v>
      </c>
    </row>
    <row r="1155" spans="1:53" hidden="1" x14ac:dyDescent="0.3">
      <c r="A1155" t="s">
        <v>467</v>
      </c>
      <c r="C1155" t="s">
        <v>251</v>
      </c>
      <c r="D1155" t="s">
        <v>81</v>
      </c>
      <c r="E1155">
        <v>100000000</v>
      </c>
      <c r="H1155">
        <v>14.25</v>
      </c>
      <c r="I1155" t="s">
        <v>56</v>
      </c>
      <c r="J1155">
        <v>1.4250000000000001E-3</v>
      </c>
      <c r="K1155" t="s">
        <v>57</v>
      </c>
      <c r="N1155" t="s">
        <v>314</v>
      </c>
      <c r="O1155">
        <v>300</v>
      </c>
      <c r="P1155" t="s">
        <v>315</v>
      </c>
      <c r="S1155">
        <v>2</v>
      </c>
      <c r="T1155">
        <v>22</v>
      </c>
      <c r="U1155" t="s">
        <v>120</v>
      </c>
      <c r="V1155">
        <v>75</v>
      </c>
      <c r="W1155" t="s">
        <v>469</v>
      </c>
      <c r="X1155" t="s">
        <v>280</v>
      </c>
      <c r="Y1155">
        <v>180</v>
      </c>
      <c r="AA1155" t="s">
        <v>94</v>
      </c>
      <c r="AB1155">
        <v>6.6</v>
      </c>
      <c r="AC1155" t="s">
        <v>85</v>
      </c>
      <c r="AI1155">
        <v>5</v>
      </c>
      <c r="AT1155" t="s">
        <v>65</v>
      </c>
      <c r="AV1155" t="s">
        <v>88</v>
      </c>
      <c r="AW1155">
        <v>300</v>
      </c>
      <c r="AZ1155">
        <v>0</v>
      </c>
      <c r="BA1155">
        <v>6.6</v>
      </c>
    </row>
    <row r="1156" spans="1:53" hidden="1" x14ac:dyDescent="0.3">
      <c r="A1156" t="s">
        <v>467</v>
      </c>
      <c r="C1156" t="s">
        <v>251</v>
      </c>
      <c r="D1156" t="s">
        <v>81</v>
      </c>
      <c r="E1156">
        <v>100000000</v>
      </c>
      <c r="H1156">
        <v>14.25</v>
      </c>
      <c r="I1156" t="s">
        <v>56</v>
      </c>
      <c r="J1156">
        <v>1.4250000000000001E-3</v>
      </c>
      <c r="K1156" t="s">
        <v>57</v>
      </c>
      <c r="N1156" t="s">
        <v>314</v>
      </c>
      <c r="O1156">
        <v>150</v>
      </c>
      <c r="P1156" t="s">
        <v>315</v>
      </c>
      <c r="S1156">
        <v>2</v>
      </c>
      <c r="T1156">
        <v>22</v>
      </c>
      <c r="U1156" t="s">
        <v>120</v>
      </c>
      <c r="V1156">
        <v>75</v>
      </c>
      <c r="W1156" t="s">
        <v>469</v>
      </c>
      <c r="X1156" t="s">
        <v>280</v>
      </c>
      <c r="Y1156">
        <v>180</v>
      </c>
      <c r="AA1156" t="s">
        <v>94</v>
      </c>
      <c r="AB1156">
        <v>5.8</v>
      </c>
      <c r="AC1156" t="s">
        <v>85</v>
      </c>
      <c r="AI1156">
        <v>5</v>
      </c>
      <c r="AT1156" t="s">
        <v>65</v>
      </c>
      <c r="AV1156" t="s">
        <v>88</v>
      </c>
      <c r="AW1156">
        <v>150</v>
      </c>
      <c r="AZ1156">
        <v>0</v>
      </c>
      <c r="BA1156">
        <v>5.8</v>
      </c>
    </row>
    <row r="1157" spans="1:53" hidden="1" x14ac:dyDescent="0.3">
      <c r="A1157" t="s">
        <v>467</v>
      </c>
      <c r="C1157" t="s">
        <v>251</v>
      </c>
      <c r="D1157" t="s">
        <v>81</v>
      </c>
      <c r="E1157">
        <v>100000000</v>
      </c>
      <c r="H1157">
        <v>14.25</v>
      </c>
      <c r="I1157" t="s">
        <v>56</v>
      </c>
      <c r="J1157">
        <v>1.4250000000000001E-3</v>
      </c>
      <c r="K1157" t="s">
        <v>57</v>
      </c>
      <c r="N1157" t="s">
        <v>314</v>
      </c>
      <c r="O1157">
        <v>150</v>
      </c>
      <c r="P1157" t="s">
        <v>315</v>
      </c>
      <c r="S1157">
        <v>2</v>
      </c>
      <c r="T1157">
        <v>22</v>
      </c>
      <c r="U1157" t="s">
        <v>120</v>
      </c>
      <c r="V1157">
        <v>75</v>
      </c>
      <c r="W1157" t="s">
        <v>469</v>
      </c>
      <c r="X1157" t="s">
        <v>280</v>
      </c>
      <c r="Y1157">
        <v>180</v>
      </c>
      <c r="AA1157" t="s">
        <v>94</v>
      </c>
      <c r="AB1157">
        <v>6.6</v>
      </c>
      <c r="AC1157" t="s">
        <v>85</v>
      </c>
      <c r="AI1157">
        <v>5</v>
      </c>
      <c r="AT1157" t="s">
        <v>65</v>
      </c>
      <c r="AV1157" t="s">
        <v>88</v>
      </c>
      <c r="AW1157">
        <v>150</v>
      </c>
      <c r="AZ1157">
        <v>0</v>
      </c>
      <c r="BA1157">
        <v>6.6</v>
      </c>
    </row>
    <row r="1158" spans="1:53" hidden="1" x14ac:dyDescent="0.3">
      <c r="A1158" t="s">
        <v>467</v>
      </c>
      <c r="C1158" t="s">
        <v>251</v>
      </c>
      <c r="D1158" t="s">
        <v>81</v>
      </c>
      <c r="E1158">
        <v>100000000</v>
      </c>
      <c r="H1158">
        <v>14.25</v>
      </c>
      <c r="I1158" t="s">
        <v>56</v>
      </c>
      <c r="J1158">
        <v>1.4250000000000001E-3</v>
      </c>
      <c r="K1158" t="s">
        <v>57</v>
      </c>
      <c r="N1158" t="s">
        <v>314</v>
      </c>
      <c r="O1158">
        <v>150</v>
      </c>
      <c r="P1158" t="s">
        <v>315</v>
      </c>
      <c r="S1158">
        <v>2</v>
      </c>
      <c r="T1158">
        <v>22</v>
      </c>
      <c r="U1158" t="s">
        <v>120</v>
      </c>
      <c r="V1158">
        <v>75</v>
      </c>
      <c r="W1158" t="s">
        <v>469</v>
      </c>
      <c r="X1158" t="s">
        <v>280</v>
      </c>
      <c r="Y1158">
        <v>180</v>
      </c>
      <c r="AA1158" t="s">
        <v>94</v>
      </c>
      <c r="AB1158">
        <v>6.5</v>
      </c>
      <c r="AC1158" t="s">
        <v>85</v>
      </c>
      <c r="AI1158">
        <v>5</v>
      </c>
      <c r="AT1158" t="s">
        <v>65</v>
      </c>
      <c r="AV1158" t="s">
        <v>88</v>
      </c>
      <c r="AW1158">
        <v>150</v>
      </c>
      <c r="AZ1158">
        <v>0</v>
      </c>
      <c r="BA1158">
        <v>6.5</v>
      </c>
    </row>
    <row r="1159" spans="1:53" hidden="1" x14ac:dyDescent="0.3">
      <c r="A1159" t="s">
        <v>467</v>
      </c>
      <c r="C1159" t="s">
        <v>251</v>
      </c>
      <c r="D1159" t="s">
        <v>81</v>
      </c>
      <c r="E1159">
        <v>100000000</v>
      </c>
      <c r="H1159">
        <v>0.25</v>
      </c>
      <c r="I1159" t="s">
        <v>56</v>
      </c>
      <c r="J1159">
        <v>2.5000000000000001E-5</v>
      </c>
      <c r="K1159" t="s">
        <v>57</v>
      </c>
      <c r="N1159" t="s">
        <v>314</v>
      </c>
      <c r="O1159">
        <v>3000</v>
      </c>
      <c r="P1159" t="s">
        <v>315</v>
      </c>
      <c r="S1159">
        <v>2</v>
      </c>
      <c r="T1159">
        <v>22</v>
      </c>
      <c r="U1159" t="s">
        <v>120</v>
      </c>
      <c r="V1159">
        <v>75</v>
      </c>
      <c r="W1159" t="s">
        <v>147</v>
      </c>
      <c r="X1159" t="s">
        <v>280</v>
      </c>
      <c r="Y1159">
        <v>180</v>
      </c>
      <c r="AA1159" t="s">
        <v>94</v>
      </c>
      <c r="AB1159">
        <v>6.5</v>
      </c>
      <c r="AC1159" t="s">
        <v>85</v>
      </c>
      <c r="AI1159">
        <v>5</v>
      </c>
      <c r="AT1159" t="s">
        <v>150</v>
      </c>
      <c r="AV1159" t="s">
        <v>88</v>
      </c>
      <c r="AW1159">
        <v>3000</v>
      </c>
      <c r="AZ1159">
        <v>0</v>
      </c>
      <c r="BA1159">
        <v>6.5</v>
      </c>
    </row>
    <row r="1160" spans="1:53" hidden="1" x14ac:dyDescent="0.3">
      <c r="A1160" t="s">
        <v>467</v>
      </c>
      <c r="C1160" t="s">
        <v>251</v>
      </c>
      <c r="D1160" t="s">
        <v>81</v>
      </c>
      <c r="E1160">
        <v>100000000</v>
      </c>
      <c r="H1160">
        <v>0.25</v>
      </c>
      <c r="I1160" t="s">
        <v>56</v>
      </c>
      <c r="J1160">
        <v>2.5000000000000001E-5</v>
      </c>
      <c r="K1160" t="s">
        <v>57</v>
      </c>
      <c r="N1160" t="s">
        <v>314</v>
      </c>
      <c r="O1160">
        <v>3000</v>
      </c>
      <c r="P1160" t="s">
        <v>315</v>
      </c>
      <c r="S1160">
        <v>2</v>
      </c>
      <c r="T1160">
        <v>22</v>
      </c>
      <c r="U1160" t="s">
        <v>120</v>
      </c>
      <c r="V1160">
        <v>75</v>
      </c>
      <c r="W1160" t="s">
        <v>147</v>
      </c>
      <c r="X1160" t="s">
        <v>280</v>
      </c>
      <c r="Y1160">
        <v>180</v>
      </c>
      <c r="AA1160" t="s">
        <v>94</v>
      </c>
      <c r="AB1160">
        <v>6.5</v>
      </c>
      <c r="AC1160" t="s">
        <v>85</v>
      </c>
      <c r="AI1160">
        <v>5</v>
      </c>
      <c r="AT1160" t="s">
        <v>150</v>
      </c>
      <c r="AV1160" t="s">
        <v>88</v>
      </c>
      <c r="AW1160">
        <v>3000</v>
      </c>
      <c r="AZ1160">
        <v>0</v>
      </c>
      <c r="BA1160">
        <v>6.5</v>
      </c>
    </row>
    <row r="1161" spans="1:53" hidden="1" x14ac:dyDescent="0.3">
      <c r="A1161" t="s">
        <v>467</v>
      </c>
      <c r="C1161" t="s">
        <v>251</v>
      </c>
      <c r="D1161" t="s">
        <v>81</v>
      </c>
      <c r="E1161">
        <v>100000000</v>
      </c>
      <c r="H1161">
        <v>0.25</v>
      </c>
      <c r="I1161" t="s">
        <v>56</v>
      </c>
      <c r="J1161">
        <v>2.5000000000000001E-5</v>
      </c>
      <c r="K1161" t="s">
        <v>57</v>
      </c>
      <c r="N1161" t="s">
        <v>314</v>
      </c>
      <c r="O1161">
        <v>3000</v>
      </c>
      <c r="P1161" t="s">
        <v>315</v>
      </c>
      <c r="S1161">
        <v>2</v>
      </c>
      <c r="T1161">
        <v>22</v>
      </c>
      <c r="U1161" t="s">
        <v>120</v>
      </c>
      <c r="V1161">
        <v>75</v>
      </c>
      <c r="W1161" t="s">
        <v>147</v>
      </c>
      <c r="X1161" t="s">
        <v>280</v>
      </c>
      <c r="Y1161">
        <v>180</v>
      </c>
      <c r="AA1161" t="s">
        <v>94</v>
      </c>
      <c r="AB1161">
        <v>6.5</v>
      </c>
      <c r="AC1161" t="s">
        <v>85</v>
      </c>
      <c r="AI1161">
        <v>5</v>
      </c>
      <c r="AT1161" t="s">
        <v>150</v>
      </c>
      <c r="AV1161" t="s">
        <v>88</v>
      </c>
      <c r="AW1161">
        <v>3000</v>
      </c>
      <c r="AZ1161">
        <v>0</v>
      </c>
      <c r="BA1161">
        <v>6.5</v>
      </c>
    </row>
    <row r="1162" spans="1:53" hidden="1" x14ac:dyDescent="0.3">
      <c r="A1162" t="s">
        <v>467</v>
      </c>
      <c r="C1162" t="s">
        <v>251</v>
      </c>
      <c r="D1162" t="s">
        <v>81</v>
      </c>
      <c r="E1162">
        <v>100000000</v>
      </c>
      <c r="H1162">
        <v>0.25</v>
      </c>
      <c r="I1162" t="s">
        <v>56</v>
      </c>
      <c r="J1162">
        <v>2.5000000000000001E-5</v>
      </c>
      <c r="K1162" t="s">
        <v>57</v>
      </c>
      <c r="N1162" t="s">
        <v>314</v>
      </c>
      <c r="O1162">
        <v>300</v>
      </c>
      <c r="P1162" t="s">
        <v>315</v>
      </c>
      <c r="S1162">
        <v>2</v>
      </c>
      <c r="T1162">
        <v>22</v>
      </c>
      <c r="U1162" t="s">
        <v>120</v>
      </c>
      <c r="V1162">
        <v>75</v>
      </c>
      <c r="W1162" t="s">
        <v>147</v>
      </c>
      <c r="X1162" t="s">
        <v>280</v>
      </c>
      <c r="Y1162">
        <v>180</v>
      </c>
      <c r="AA1162" t="s">
        <v>94</v>
      </c>
      <c r="AB1162">
        <v>6.6</v>
      </c>
      <c r="AC1162" t="s">
        <v>85</v>
      </c>
      <c r="AI1162">
        <v>5</v>
      </c>
      <c r="AT1162" t="s">
        <v>150</v>
      </c>
      <c r="AV1162" t="s">
        <v>88</v>
      </c>
      <c r="AW1162">
        <v>300</v>
      </c>
      <c r="AZ1162">
        <v>0</v>
      </c>
      <c r="BA1162">
        <v>6.6</v>
      </c>
    </row>
    <row r="1163" spans="1:53" hidden="1" x14ac:dyDescent="0.3">
      <c r="A1163" t="s">
        <v>467</v>
      </c>
      <c r="C1163" t="s">
        <v>251</v>
      </c>
      <c r="D1163" t="s">
        <v>81</v>
      </c>
      <c r="E1163">
        <v>100000000</v>
      </c>
      <c r="H1163">
        <v>0.25</v>
      </c>
      <c r="I1163" t="s">
        <v>56</v>
      </c>
      <c r="J1163">
        <v>2.5000000000000001E-5</v>
      </c>
      <c r="K1163" t="s">
        <v>57</v>
      </c>
      <c r="N1163" t="s">
        <v>314</v>
      </c>
      <c r="O1163">
        <v>300</v>
      </c>
      <c r="P1163" t="s">
        <v>315</v>
      </c>
      <c r="S1163">
        <v>2</v>
      </c>
      <c r="T1163">
        <v>22</v>
      </c>
      <c r="U1163" t="s">
        <v>120</v>
      </c>
      <c r="V1163">
        <v>75</v>
      </c>
      <c r="W1163" t="s">
        <v>147</v>
      </c>
      <c r="X1163" t="s">
        <v>280</v>
      </c>
      <c r="Y1163">
        <v>180</v>
      </c>
      <c r="AA1163" t="s">
        <v>94</v>
      </c>
      <c r="AB1163">
        <v>6.4</v>
      </c>
      <c r="AC1163" t="s">
        <v>85</v>
      </c>
      <c r="AI1163">
        <v>5</v>
      </c>
      <c r="AT1163" t="s">
        <v>150</v>
      </c>
      <c r="AV1163" t="s">
        <v>88</v>
      </c>
      <c r="AW1163">
        <v>300</v>
      </c>
      <c r="AZ1163">
        <v>0</v>
      </c>
      <c r="BA1163">
        <v>6.4</v>
      </c>
    </row>
    <row r="1164" spans="1:53" hidden="1" x14ac:dyDescent="0.3">
      <c r="A1164" t="s">
        <v>467</v>
      </c>
      <c r="C1164" t="s">
        <v>251</v>
      </c>
      <c r="D1164" t="s">
        <v>81</v>
      </c>
      <c r="E1164">
        <v>100000000</v>
      </c>
      <c r="H1164">
        <v>0.25</v>
      </c>
      <c r="I1164" t="s">
        <v>56</v>
      </c>
      <c r="J1164">
        <v>2.5000000000000001E-5</v>
      </c>
      <c r="K1164" t="s">
        <v>57</v>
      </c>
      <c r="N1164" t="s">
        <v>314</v>
      </c>
      <c r="O1164">
        <v>300</v>
      </c>
      <c r="P1164" t="s">
        <v>315</v>
      </c>
      <c r="S1164">
        <v>2</v>
      </c>
      <c r="T1164">
        <v>22</v>
      </c>
      <c r="U1164" t="s">
        <v>120</v>
      </c>
      <c r="V1164">
        <v>75</v>
      </c>
      <c r="W1164" t="s">
        <v>147</v>
      </c>
      <c r="X1164" t="s">
        <v>280</v>
      </c>
      <c r="Y1164">
        <v>180</v>
      </c>
      <c r="AA1164" t="s">
        <v>94</v>
      </c>
      <c r="AB1164">
        <v>6.5</v>
      </c>
      <c r="AC1164" t="s">
        <v>85</v>
      </c>
      <c r="AI1164">
        <v>5</v>
      </c>
      <c r="AT1164" t="s">
        <v>150</v>
      </c>
      <c r="AV1164" t="s">
        <v>88</v>
      </c>
      <c r="AW1164">
        <v>300</v>
      </c>
      <c r="AZ1164">
        <v>0</v>
      </c>
      <c r="BA1164">
        <v>6.5</v>
      </c>
    </row>
    <row r="1165" spans="1:53" hidden="1" x14ac:dyDescent="0.3">
      <c r="A1165" t="s">
        <v>467</v>
      </c>
      <c r="C1165" t="s">
        <v>251</v>
      </c>
      <c r="D1165" t="s">
        <v>81</v>
      </c>
      <c r="E1165">
        <v>100000000</v>
      </c>
      <c r="H1165">
        <v>0.25</v>
      </c>
      <c r="I1165" t="s">
        <v>56</v>
      </c>
      <c r="J1165">
        <v>2.5000000000000001E-5</v>
      </c>
      <c r="K1165" t="s">
        <v>57</v>
      </c>
      <c r="N1165" t="s">
        <v>314</v>
      </c>
      <c r="O1165">
        <v>150</v>
      </c>
      <c r="P1165" t="s">
        <v>315</v>
      </c>
      <c r="S1165">
        <v>2</v>
      </c>
      <c r="T1165">
        <v>22</v>
      </c>
      <c r="U1165" t="s">
        <v>120</v>
      </c>
      <c r="V1165">
        <v>75</v>
      </c>
      <c r="W1165" t="s">
        <v>147</v>
      </c>
      <c r="X1165" t="s">
        <v>280</v>
      </c>
      <c r="Y1165">
        <v>180</v>
      </c>
      <c r="AA1165" t="s">
        <v>94</v>
      </c>
      <c r="AB1165">
        <v>6.5</v>
      </c>
      <c r="AC1165" t="s">
        <v>85</v>
      </c>
      <c r="AI1165">
        <v>5</v>
      </c>
      <c r="AT1165" t="s">
        <v>150</v>
      </c>
      <c r="AV1165" t="s">
        <v>88</v>
      </c>
      <c r="AW1165">
        <v>150</v>
      </c>
      <c r="AZ1165">
        <v>0</v>
      </c>
      <c r="BA1165">
        <v>6.5</v>
      </c>
    </row>
    <row r="1166" spans="1:53" hidden="1" x14ac:dyDescent="0.3">
      <c r="A1166" t="s">
        <v>467</v>
      </c>
      <c r="C1166" t="s">
        <v>251</v>
      </c>
      <c r="D1166" t="s">
        <v>81</v>
      </c>
      <c r="E1166">
        <v>100000000</v>
      </c>
      <c r="H1166">
        <v>0.25</v>
      </c>
      <c r="I1166" t="s">
        <v>56</v>
      </c>
      <c r="J1166">
        <v>2.5000000000000001E-5</v>
      </c>
      <c r="K1166" t="s">
        <v>57</v>
      </c>
      <c r="N1166" t="s">
        <v>314</v>
      </c>
      <c r="O1166">
        <v>150</v>
      </c>
      <c r="P1166" t="s">
        <v>315</v>
      </c>
      <c r="S1166">
        <v>2</v>
      </c>
      <c r="T1166">
        <v>22</v>
      </c>
      <c r="U1166" t="s">
        <v>120</v>
      </c>
      <c r="V1166">
        <v>75</v>
      </c>
      <c r="W1166" t="s">
        <v>147</v>
      </c>
      <c r="X1166" t="s">
        <v>280</v>
      </c>
      <c r="Y1166">
        <v>180</v>
      </c>
      <c r="AA1166" t="s">
        <v>94</v>
      </c>
      <c r="AB1166">
        <v>6.8</v>
      </c>
      <c r="AC1166" t="s">
        <v>85</v>
      </c>
      <c r="AI1166">
        <v>5</v>
      </c>
      <c r="AT1166" t="s">
        <v>150</v>
      </c>
      <c r="AV1166" t="s">
        <v>88</v>
      </c>
      <c r="AW1166">
        <v>150</v>
      </c>
      <c r="AZ1166">
        <v>0</v>
      </c>
      <c r="BA1166">
        <v>6.8</v>
      </c>
    </row>
    <row r="1167" spans="1:53" hidden="1" x14ac:dyDescent="0.3">
      <c r="A1167" t="s">
        <v>467</v>
      </c>
      <c r="C1167" t="s">
        <v>251</v>
      </c>
      <c r="D1167" t="s">
        <v>81</v>
      </c>
      <c r="E1167">
        <v>100000000</v>
      </c>
      <c r="H1167">
        <v>0.25</v>
      </c>
      <c r="I1167" t="s">
        <v>56</v>
      </c>
      <c r="J1167">
        <v>2.5000000000000001E-5</v>
      </c>
      <c r="K1167" t="s">
        <v>57</v>
      </c>
      <c r="N1167" t="s">
        <v>314</v>
      </c>
      <c r="O1167">
        <v>150</v>
      </c>
      <c r="P1167" t="s">
        <v>315</v>
      </c>
      <c r="S1167">
        <v>2</v>
      </c>
      <c r="T1167">
        <v>22</v>
      </c>
      <c r="U1167" t="s">
        <v>120</v>
      </c>
      <c r="V1167">
        <v>75</v>
      </c>
      <c r="W1167" t="s">
        <v>147</v>
      </c>
      <c r="X1167" t="s">
        <v>280</v>
      </c>
      <c r="Y1167">
        <v>180</v>
      </c>
      <c r="AA1167" t="s">
        <v>94</v>
      </c>
      <c r="AB1167">
        <v>6.7</v>
      </c>
      <c r="AC1167" t="s">
        <v>85</v>
      </c>
      <c r="AI1167">
        <v>5</v>
      </c>
      <c r="AT1167" t="s">
        <v>150</v>
      </c>
      <c r="AV1167" t="s">
        <v>88</v>
      </c>
      <c r="AW1167">
        <v>150</v>
      </c>
      <c r="AZ1167">
        <v>0</v>
      </c>
      <c r="BA1167">
        <v>6.7</v>
      </c>
    </row>
    <row r="1168" spans="1:53" hidden="1" x14ac:dyDescent="0.3">
      <c r="A1168" t="s">
        <v>467</v>
      </c>
      <c r="C1168" t="s">
        <v>251</v>
      </c>
      <c r="D1168" t="s">
        <v>470</v>
      </c>
      <c r="E1168">
        <v>100000000</v>
      </c>
      <c r="H1168">
        <v>0.25</v>
      </c>
      <c r="I1168" t="s">
        <v>56</v>
      </c>
      <c r="J1168">
        <v>2.5000000000000001E-5</v>
      </c>
      <c r="K1168" t="s">
        <v>57</v>
      </c>
      <c r="N1168">
        <v>0.1</v>
      </c>
      <c r="O1168">
        <v>3000</v>
      </c>
      <c r="P1168" t="s">
        <v>315</v>
      </c>
      <c r="S1168">
        <v>2</v>
      </c>
      <c r="T1168">
        <v>22</v>
      </c>
      <c r="U1168">
        <v>5</v>
      </c>
      <c r="V1168">
        <v>75</v>
      </c>
      <c r="W1168" t="s">
        <v>471</v>
      </c>
      <c r="X1168" t="s">
        <v>280</v>
      </c>
      <c r="Y1168">
        <v>180</v>
      </c>
      <c r="AA1168" t="s">
        <v>94</v>
      </c>
      <c r="AB1168">
        <v>6.2</v>
      </c>
      <c r="AC1168" t="s">
        <v>85</v>
      </c>
      <c r="AI1168">
        <v>3</v>
      </c>
      <c r="AT1168" t="s">
        <v>150</v>
      </c>
      <c r="AV1168" t="s">
        <v>88</v>
      </c>
      <c r="AW1168">
        <v>3000</v>
      </c>
      <c r="AZ1168">
        <v>0</v>
      </c>
      <c r="BA1168">
        <v>6.2</v>
      </c>
    </row>
    <row r="1169" spans="1:53" hidden="1" x14ac:dyDescent="0.3">
      <c r="A1169" t="s">
        <v>467</v>
      </c>
      <c r="C1169" t="s">
        <v>251</v>
      </c>
      <c r="D1169" t="s">
        <v>470</v>
      </c>
      <c r="E1169">
        <v>100000000</v>
      </c>
      <c r="H1169">
        <v>0.25</v>
      </c>
      <c r="I1169" t="s">
        <v>56</v>
      </c>
      <c r="J1169">
        <v>2.5000000000000001E-5</v>
      </c>
      <c r="K1169" t="s">
        <v>57</v>
      </c>
      <c r="N1169">
        <v>0.1</v>
      </c>
      <c r="O1169">
        <v>3000</v>
      </c>
      <c r="P1169" t="s">
        <v>315</v>
      </c>
      <c r="S1169">
        <v>2</v>
      </c>
      <c r="T1169">
        <v>22</v>
      </c>
      <c r="U1169">
        <v>5</v>
      </c>
      <c r="V1169">
        <v>75</v>
      </c>
      <c r="W1169" t="s">
        <v>471</v>
      </c>
      <c r="X1169" t="s">
        <v>280</v>
      </c>
      <c r="Y1169">
        <v>180</v>
      </c>
      <c r="AA1169" t="s">
        <v>94</v>
      </c>
      <c r="AB1169">
        <v>6.4</v>
      </c>
      <c r="AC1169" t="s">
        <v>85</v>
      </c>
      <c r="AI1169">
        <v>3</v>
      </c>
      <c r="AT1169" t="s">
        <v>150</v>
      </c>
      <c r="AV1169" t="s">
        <v>88</v>
      </c>
      <c r="AW1169">
        <v>3000</v>
      </c>
      <c r="AZ1169">
        <v>0</v>
      </c>
      <c r="BA1169">
        <v>6.4</v>
      </c>
    </row>
    <row r="1170" spans="1:53" hidden="1" x14ac:dyDescent="0.3">
      <c r="A1170" t="s">
        <v>467</v>
      </c>
      <c r="C1170" t="s">
        <v>251</v>
      </c>
      <c r="D1170" t="s">
        <v>470</v>
      </c>
      <c r="E1170">
        <v>100000000</v>
      </c>
      <c r="H1170">
        <v>0.25</v>
      </c>
      <c r="I1170" t="s">
        <v>56</v>
      </c>
      <c r="J1170">
        <v>2.5000000000000001E-5</v>
      </c>
      <c r="K1170" t="s">
        <v>57</v>
      </c>
      <c r="N1170">
        <v>0.1</v>
      </c>
      <c r="O1170">
        <v>3000</v>
      </c>
      <c r="P1170" t="s">
        <v>315</v>
      </c>
      <c r="S1170">
        <v>2</v>
      </c>
      <c r="T1170">
        <v>22</v>
      </c>
      <c r="U1170">
        <v>5</v>
      </c>
      <c r="V1170">
        <v>75</v>
      </c>
      <c r="W1170" t="s">
        <v>471</v>
      </c>
      <c r="X1170" t="s">
        <v>280</v>
      </c>
      <c r="Y1170">
        <v>180</v>
      </c>
      <c r="AA1170" t="s">
        <v>94</v>
      </c>
      <c r="AB1170">
        <v>6.5</v>
      </c>
      <c r="AC1170" t="s">
        <v>85</v>
      </c>
      <c r="AI1170">
        <v>3</v>
      </c>
      <c r="AT1170" t="s">
        <v>150</v>
      </c>
      <c r="AV1170" t="s">
        <v>88</v>
      </c>
      <c r="AW1170">
        <v>3000</v>
      </c>
      <c r="AZ1170">
        <v>0</v>
      </c>
      <c r="BA1170">
        <v>6.5</v>
      </c>
    </row>
    <row r="1171" spans="1:53" hidden="1" x14ac:dyDescent="0.3">
      <c r="A1171" t="s">
        <v>467</v>
      </c>
      <c r="C1171" t="s">
        <v>251</v>
      </c>
      <c r="D1171" t="s">
        <v>470</v>
      </c>
      <c r="E1171">
        <v>100000000</v>
      </c>
      <c r="H1171">
        <v>0.25</v>
      </c>
      <c r="I1171" t="s">
        <v>56</v>
      </c>
      <c r="J1171">
        <v>2.5000000000000001E-5</v>
      </c>
      <c r="K1171" t="s">
        <v>57</v>
      </c>
      <c r="N1171">
        <v>0.1</v>
      </c>
      <c r="O1171">
        <v>3000</v>
      </c>
      <c r="P1171" t="s">
        <v>315</v>
      </c>
      <c r="S1171">
        <v>2</v>
      </c>
      <c r="T1171">
        <v>22</v>
      </c>
      <c r="U1171">
        <v>5</v>
      </c>
      <c r="V1171">
        <v>75</v>
      </c>
      <c r="W1171" t="s">
        <v>471</v>
      </c>
      <c r="X1171" t="s">
        <v>280</v>
      </c>
      <c r="Y1171">
        <v>180</v>
      </c>
      <c r="AA1171" t="s">
        <v>94</v>
      </c>
      <c r="AB1171">
        <v>6.1</v>
      </c>
      <c r="AC1171" t="s">
        <v>85</v>
      </c>
      <c r="AI1171">
        <v>3</v>
      </c>
      <c r="AT1171" t="s">
        <v>150</v>
      </c>
      <c r="AV1171" t="s">
        <v>88</v>
      </c>
      <c r="AW1171">
        <v>3000</v>
      </c>
      <c r="AZ1171">
        <v>0</v>
      </c>
      <c r="BA1171">
        <v>6.1</v>
      </c>
    </row>
    <row r="1172" spans="1:53" hidden="1" x14ac:dyDescent="0.3">
      <c r="A1172" t="s">
        <v>467</v>
      </c>
      <c r="C1172" t="s">
        <v>251</v>
      </c>
      <c r="D1172" t="s">
        <v>470</v>
      </c>
      <c r="E1172">
        <v>100000000</v>
      </c>
      <c r="H1172">
        <v>0.25</v>
      </c>
      <c r="I1172" t="s">
        <v>56</v>
      </c>
      <c r="J1172">
        <v>2.5000000000000001E-5</v>
      </c>
      <c r="K1172" t="s">
        <v>57</v>
      </c>
      <c r="N1172">
        <v>0.1</v>
      </c>
      <c r="O1172">
        <v>3000</v>
      </c>
      <c r="P1172" t="s">
        <v>315</v>
      </c>
      <c r="S1172">
        <v>2</v>
      </c>
      <c r="T1172">
        <v>22</v>
      </c>
      <c r="U1172">
        <v>5</v>
      </c>
      <c r="V1172">
        <v>75</v>
      </c>
      <c r="W1172" t="s">
        <v>471</v>
      </c>
      <c r="X1172" t="s">
        <v>280</v>
      </c>
      <c r="Y1172">
        <v>180</v>
      </c>
      <c r="AA1172" t="s">
        <v>94</v>
      </c>
      <c r="AB1172">
        <v>6.4</v>
      </c>
      <c r="AC1172" t="s">
        <v>85</v>
      </c>
      <c r="AI1172">
        <v>3</v>
      </c>
      <c r="AT1172" t="s">
        <v>150</v>
      </c>
      <c r="AV1172" t="s">
        <v>88</v>
      </c>
      <c r="AW1172">
        <v>3000</v>
      </c>
      <c r="AZ1172">
        <v>0</v>
      </c>
      <c r="BA1172">
        <v>6.4</v>
      </c>
    </row>
    <row r="1173" spans="1:53" hidden="1" x14ac:dyDescent="0.3">
      <c r="A1173" t="s">
        <v>467</v>
      </c>
      <c r="C1173" t="s">
        <v>251</v>
      </c>
      <c r="D1173" t="s">
        <v>470</v>
      </c>
      <c r="E1173">
        <v>100000000</v>
      </c>
      <c r="H1173">
        <v>0.25</v>
      </c>
      <c r="I1173" t="s">
        <v>56</v>
      </c>
      <c r="J1173">
        <v>2.5000000000000001E-5</v>
      </c>
      <c r="K1173" t="s">
        <v>57</v>
      </c>
      <c r="N1173">
        <v>0.1</v>
      </c>
      <c r="O1173">
        <v>3000</v>
      </c>
      <c r="P1173" t="s">
        <v>315</v>
      </c>
      <c r="S1173">
        <v>2</v>
      </c>
      <c r="T1173">
        <v>22</v>
      </c>
      <c r="U1173">
        <v>5</v>
      </c>
      <c r="V1173">
        <v>75</v>
      </c>
      <c r="W1173" t="s">
        <v>471</v>
      </c>
      <c r="X1173" t="s">
        <v>280</v>
      </c>
      <c r="Y1173">
        <v>180</v>
      </c>
      <c r="AA1173" t="s">
        <v>94</v>
      </c>
      <c r="AB1173">
        <v>6.3</v>
      </c>
      <c r="AC1173" t="s">
        <v>85</v>
      </c>
      <c r="AI1173">
        <v>3</v>
      </c>
      <c r="AT1173" t="s">
        <v>150</v>
      </c>
      <c r="AV1173" t="s">
        <v>88</v>
      </c>
      <c r="AW1173">
        <v>3000</v>
      </c>
      <c r="AZ1173">
        <v>0</v>
      </c>
      <c r="BA1173">
        <v>6.3</v>
      </c>
    </row>
    <row r="1174" spans="1:53" hidden="1" x14ac:dyDescent="0.3">
      <c r="A1174" t="s">
        <v>467</v>
      </c>
      <c r="C1174" t="s">
        <v>251</v>
      </c>
      <c r="D1174" t="s">
        <v>470</v>
      </c>
      <c r="E1174">
        <v>100000000</v>
      </c>
      <c r="H1174">
        <v>0.25</v>
      </c>
      <c r="I1174" t="s">
        <v>56</v>
      </c>
      <c r="J1174">
        <v>2.5000000000000001E-5</v>
      </c>
      <c r="K1174" t="s">
        <v>57</v>
      </c>
      <c r="N1174">
        <v>0.1</v>
      </c>
      <c r="O1174">
        <v>300</v>
      </c>
      <c r="P1174" t="s">
        <v>315</v>
      </c>
      <c r="S1174">
        <v>2</v>
      </c>
      <c r="T1174">
        <v>22</v>
      </c>
      <c r="U1174">
        <v>5</v>
      </c>
      <c r="V1174">
        <v>75</v>
      </c>
      <c r="W1174" t="s">
        <v>471</v>
      </c>
      <c r="X1174" t="s">
        <v>280</v>
      </c>
      <c r="Y1174">
        <v>180</v>
      </c>
      <c r="AA1174" t="s">
        <v>94</v>
      </c>
      <c r="AB1174">
        <v>6.8</v>
      </c>
      <c r="AC1174" t="s">
        <v>85</v>
      </c>
      <c r="AI1174">
        <v>3</v>
      </c>
      <c r="AT1174" t="s">
        <v>150</v>
      </c>
      <c r="AV1174" t="s">
        <v>88</v>
      </c>
      <c r="AW1174">
        <v>300</v>
      </c>
      <c r="AZ1174">
        <v>0</v>
      </c>
      <c r="BA1174">
        <v>6.8</v>
      </c>
    </row>
    <row r="1175" spans="1:53" hidden="1" x14ac:dyDescent="0.3">
      <c r="A1175" t="s">
        <v>467</v>
      </c>
      <c r="C1175" t="s">
        <v>251</v>
      </c>
      <c r="D1175" t="s">
        <v>470</v>
      </c>
      <c r="E1175">
        <v>100000000</v>
      </c>
      <c r="H1175">
        <v>0.25</v>
      </c>
      <c r="I1175" t="s">
        <v>56</v>
      </c>
      <c r="J1175">
        <v>2.5000000000000001E-5</v>
      </c>
      <c r="K1175" t="s">
        <v>57</v>
      </c>
      <c r="N1175">
        <v>0.1</v>
      </c>
      <c r="O1175">
        <v>300</v>
      </c>
      <c r="P1175" t="s">
        <v>315</v>
      </c>
      <c r="S1175">
        <v>2</v>
      </c>
      <c r="T1175">
        <v>22</v>
      </c>
      <c r="U1175">
        <v>5</v>
      </c>
      <c r="V1175">
        <v>75</v>
      </c>
      <c r="W1175" t="s">
        <v>471</v>
      </c>
      <c r="X1175" t="s">
        <v>280</v>
      </c>
      <c r="Y1175">
        <v>180</v>
      </c>
      <c r="AA1175" t="s">
        <v>94</v>
      </c>
      <c r="AB1175">
        <v>6.3</v>
      </c>
      <c r="AC1175" t="s">
        <v>85</v>
      </c>
      <c r="AI1175">
        <v>3</v>
      </c>
      <c r="AT1175" t="s">
        <v>150</v>
      </c>
      <c r="AV1175" t="s">
        <v>88</v>
      </c>
      <c r="AW1175">
        <v>300</v>
      </c>
      <c r="AZ1175">
        <v>0</v>
      </c>
      <c r="BA1175">
        <v>6.3</v>
      </c>
    </row>
    <row r="1176" spans="1:53" hidden="1" x14ac:dyDescent="0.3">
      <c r="A1176" t="s">
        <v>467</v>
      </c>
      <c r="C1176" t="s">
        <v>251</v>
      </c>
      <c r="D1176" t="s">
        <v>470</v>
      </c>
      <c r="E1176">
        <v>100000000</v>
      </c>
      <c r="H1176">
        <v>0.25</v>
      </c>
      <c r="I1176" t="s">
        <v>56</v>
      </c>
      <c r="J1176">
        <v>2.5000000000000001E-5</v>
      </c>
      <c r="K1176" t="s">
        <v>57</v>
      </c>
      <c r="N1176">
        <v>0.1</v>
      </c>
      <c r="O1176">
        <v>300</v>
      </c>
      <c r="P1176" t="s">
        <v>315</v>
      </c>
      <c r="S1176">
        <v>2</v>
      </c>
      <c r="T1176">
        <v>22</v>
      </c>
      <c r="U1176">
        <v>5</v>
      </c>
      <c r="V1176">
        <v>75</v>
      </c>
      <c r="W1176" t="s">
        <v>471</v>
      </c>
      <c r="X1176" t="s">
        <v>280</v>
      </c>
      <c r="Y1176">
        <v>180</v>
      </c>
      <c r="AA1176" t="s">
        <v>94</v>
      </c>
      <c r="AB1176">
        <v>6.4</v>
      </c>
      <c r="AC1176" t="s">
        <v>85</v>
      </c>
      <c r="AI1176">
        <v>3</v>
      </c>
      <c r="AT1176" t="s">
        <v>150</v>
      </c>
      <c r="AV1176" t="s">
        <v>88</v>
      </c>
      <c r="AW1176">
        <v>300</v>
      </c>
      <c r="AZ1176">
        <v>0</v>
      </c>
      <c r="BA1176">
        <v>6.4</v>
      </c>
    </row>
    <row r="1177" spans="1:53" hidden="1" x14ac:dyDescent="0.3">
      <c r="A1177" t="s">
        <v>467</v>
      </c>
      <c r="C1177" t="s">
        <v>251</v>
      </c>
      <c r="D1177" t="s">
        <v>470</v>
      </c>
      <c r="E1177">
        <v>100000000</v>
      </c>
      <c r="H1177">
        <v>0.25</v>
      </c>
      <c r="I1177" t="s">
        <v>56</v>
      </c>
      <c r="J1177">
        <v>2.5000000000000001E-5</v>
      </c>
      <c r="K1177" t="s">
        <v>57</v>
      </c>
      <c r="N1177">
        <v>0.1</v>
      </c>
      <c r="O1177">
        <v>300</v>
      </c>
      <c r="P1177" t="s">
        <v>315</v>
      </c>
      <c r="S1177">
        <v>2</v>
      </c>
      <c r="T1177">
        <v>22</v>
      </c>
      <c r="U1177">
        <v>5</v>
      </c>
      <c r="V1177">
        <v>75</v>
      </c>
      <c r="W1177" t="s">
        <v>471</v>
      </c>
      <c r="X1177" t="s">
        <v>280</v>
      </c>
      <c r="Y1177">
        <v>180</v>
      </c>
      <c r="AA1177" t="s">
        <v>94</v>
      </c>
      <c r="AB1177">
        <v>6.3</v>
      </c>
      <c r="AC1177" t="s">
        <v>85</v>
      </c>
      <c r="AI1177">
        <v>3</v>
      </c>
      <c r="AT1177" t="s">
        <v>150</v>
      </c>
      <c r="AV1177" t="s">
        <v>88</v>
      </c>
      <c r="AW1177">
        <v>300</v>
      </c>
      <c r="AZ1177">
        <v>0</v>
      </c>
      <c r="BA1177">
        <v>6.3</v>
      </c>
    </row>
    <row r="1178" spans="1:53" hidden="1" x14ac:dyDescent="0.3">
      <c r="A1178" t="s">
        <v>467</v>
      </c>
      <c r="C1178" t="s">
        <v>251</v>
      </c>
      <c r="D1178" t="s">
        <v>470</v>
      </c>
      <c r="E1178">
        <v>100000000</v>
      </c>
      <c r="H1178">
        <v>0.25</v>
      </c>
      <c r="I1178" t="s">
        <v>56</v>
      </c>
      <c r="J1178">
        <v>2.5000000000000001E-5</v>
      </c>
      <c r="K1178" t="s">
        <v>57</v>
      </c>
      <c r="N1178">
        <v>0.1</v>
      </c>
      <c r="O1178">
        <v>300</v>
      </c>
      <c r="P1178" t="s">
        <v>315</v>
      </c>
      <c r="S1178">
        <v>2</v>
      </c>
      <c r="T1178">
        <v>22</v>
      </c>
      <c r="U1178">
        <v>5</v>
      </c>
      <c r="V1178">
        <v>75</v>
      </c>
      <c r="W1178" t="s">
        <v>471</v>
      </c>
      <c r="X1178" t="s">
        <v>280</v>
      </c>
      <c r="Y1178">
        <v>180</v>
      </c>
      <c r="AA1178" t="s">
        <v>94</v>
      </c>
      <c r="AB1178">
        <v>6.2</v>
      </c>
      <c r="AC1178" t="s">
        <v>85</v>
      </c>
      <c r="AI1178">
        <v>3</v>
      </c>
      <c r="AT1178" t="s">
        <v>150</v>
      </c>
      <c r="AV1178" t="s">
        <v>88</v>
      </c>
      <c r="AW1178">
        <v>300</v>
      </c>
      <c r="AZ1178">
        <v>0</v>
      </c>
      <c r="BA1178">
        <v>6.2</v>
      </c>
    </row>
    <row r="1179" spans="1:53" hidden="1" x14ac:dyDescent="0.3">
      <c r="A1179" t="s">
        <v>467</v>
      </c>
      <c r="C1179" t="s">
        <v>251</v>
      </c>
      <c r="D1179" t="s">
        <v>470</v>
      </c>
      <c r="E1179">
        <v>100000000</v>
      </c>
      <c r="H1179">
        <v>0.25</v>
      </c>
      <c r="I1179" t="s">
        <v>56</v>
      </c>
      <c r="J1179">
        <v>2.5000000000000001E-5</v>
      </c>
      <c r="K1179" t="s">
        <v>57</v>
      </c>
      <c r="N1179">
        <v>0.1</v>
      </c>
      <c r="O1179">
        <v>300</v>
      </c>
      <c r="P1179" t="s">
        <v>315</v>
      </c>
      <c r="S1179">
        <v>2</v>
      </c>
      <c r="T1179">
        <v>22</v>
      </c>
      <c r="U1179">
        <v>5</v>
      </c>
      <c r="V1179">
        <v>75</v>
      </c>
      <c r="W1179" t="s">
        <v>471</v>
      </c>
      <c r="X1179" t="s">
        <v>280</v>
      </c>
      <c r="Y1179">
        <v>180</v>
      </c>
      <c r="AA1179" t="s">
        <v>94</v>
      </c>
      <c r="AB1179">
        <v>6.4</v>
      </c>
      <c r="AC1179" t="s">
        <v>85</v>
      </c>
      <c r="AI1179">
        <v>3</v>
      </c>
      <c r="AT1179" t="s">
        <v>150</v>
      </c>
      <c r="AV1179" t="s">
        <v>88</v>
      </c>
      <c r="AW1179">
        <v>300</v>
      </c>
      <c r="AZ1179">
        <v>0</v>
      </c>
      <c r="BA1179">
        <v>6.4</v>
      </c>
    </row>
    <row r="1180" spans="1:53" hidden="1" x14ac:dyDescent="0.3">
      <c r="A1180" t="s">
        <v>467</v>
      </c>
      <c r="C1180" t="s">
        <v>251</v>
      </c>
      <c r="D1180" t="s">
        <v>470</v>
      </c>
      <c r="E1180">
        <v>100000000</v>
      </c>
      <c r="H1180">
        <v>0.25</v>
      </c>
      <c r="I1180" t="s">
        <v>56</v>
      </c>
      <c r="J1180">
        <v>2.5000000000000001E-5</v>
      </c>
      <c r="K1180" t="s">
        <v>57</v>
      </c>
      <c r="N1180">
        <v>0.1</v>
      </c>
      <c r="O1180">
        <v>150</v>
      </c>
      <c r="P1180" t="s">
        <v>315</v>
      </c>
      <c r="S1180">
        <v>2</v>
      </c>
      <c r="T1180">
        <v>22</v>
      </c>
      <c r="U1180">
        <v>5</v>
      </c>
      <c r="V1180">
        <v>75</v>
      </c>
      <c r="W1180" t="s">
        <v>471</v>
      </c>
      <c r="X1180" t="s">
        <v>280</v>
      </c>
      <c r="Y1180">
        <v>180</v>
      </c>
      <c r="AA1180" t="s">
        <v>94</v>
      </c>
      <c r="AB1180">
        <v>7.2</v>
      </c>
      <c r="AC1180" t="s">
        <v>85</v>
      </c>
      <c r="AI1180">
        <v>3</v>
      </c>
      <c r="AT1180" t="s">
        <v>150</v>
      </c>
      <c r="AV1180" t="s">
        <v>88</v>
      </c>
      <c r="AW1180">
        <v>150</v>
      </c>
      <c r="AZ1180">
        <v>0</v>
      </c>
      <c r="BA1180">
        <v>7.2</v>
      </c>
    </row>
    <row r="1181" spans="1:53" hidden="1" x14ac:dyDescent="0.3">
      <c r="A1181" t="s">
        <v>467</v>
      </c>
      <c r="C1181" t="s">
        <v>251</v>
      </c>
      <c r="D1181" t="s">
        <v>470</v>
      </c>
      <c r="E1181">
        <v>100000000</v>
      </c>
      <c r="H1181">
        <v>0.25</v>
      </c>
      <c r="I1181" t="s">
        <v>56</v>
      </c>
      <c r="J1181">
        <v>2.5000000000000001E-5</v>
      </c>
      <c r="K1181" t="s">
        <v>57</v>
      </c>
      <c r="N1181">
        <v>0.1</v>
      </c>
      <c r="O1181">
        <v>150</v>
      </c>
      <c r="P1181" t="s">
        <v>315</v>
      </c>
      <c r="S1181">
        <v>2</v>
      </c>
      <c r="T1181">
        <v>22</v>
      </c>
      <c r="U1181">
        <v>5</v>
      </c>
      <c r="V1181">
        <v>75</v>
      </c>
      <c r="W1181" t="s">
        <v>471</v>
      </c>
      <c r="X1181" t="s">
        <v>280</v>
      </c>
      <c r="Y1181">
        <v>180</v>
      </c>
      <c r="AA1181" t="s">
        <v>94</v>
      </c>
      <c r="AB1181">
        <v>6</v>
      </c>
      <c r="AC1181" t="s">
        <v>85</v>
      </c>
      <c r="AI1181">
        <v>3</v>
      </c>
      <c r="AT1181" t="s">
        <v>150</v>
      </c>
      <c r="AV1181" t="s">
        <v>88</v>
      </c>
      <c r="AW1181">
        <v>150</v>
      </c>
      <c r="AZ1181">
        <v>0</v>
      </c>
      <c r="BA1181">
        <v>6</v>
      </c>
    </row>
    <row r="1182" spans="1:53" hidden="1" x14ac:dyDescent="0.3">
      <c r="A1182" t="s">
        <v>467</v>
      </c>
      <c r="C1182" t="s">
        <v>251</v>
      </c>
      <c r="D1182" t="s">
        <v>470</v>
      </c>
      <c r="E1182">
        <v>100000000</v>
      </c>
      <c r="H1182">
        <v>0.25</v>
      </c>
      <c r="I1182" t="s">
        <v>56</v>
      </c>
      <c r="J1182">
        <v>2.5000000000000001E-5</v>
      </c>
      <c r="K1182" t="s">
        <v>57</v>
      </c>
      <c r="N1182">
        <v>0.1</v>
      </c>
      <c r="O1182">
        <v>150</v>
      </c>
      <c r="P1182" t="s">
        <v>315</v>
      </c>
      <c r="S1182">
        <v>2</v>
      </c>
      <c r="T1182">
        <v>22</v>
      </c>
      <c r="U1182">
        <v>5</v>
      </c>
      <c r="V1182">
        <v>75</v>
      </c>
      <c r="W1182" t="s">
        <v>471</v>
      </c>
      <c r="X1182" t="s">
        <v>280</v>
      </c>
      <c r="Y1182">
        <v>180</v>
      </c>
      <c r="AA1182" t="s">
        <v>94</v>
      </c>
      <c r="AB1182">
        <v>6.2</v>
      </c>
      <c r="AC1182" t="s">
        <v>85</v>
      </c>
      <c r="AI1182">
        <v>3</v>
      </c>
      <c r="AT1182" t="s">
        <v>150</v>
      </c>
      <c r="AV1182" t="s">
        <v>88</v>
      </c>
      <c r="AW1182">
        <v>150</v>
      </c>
      <c r="AZ1182">
        <v>0</v>
      </c>
      <c r="BA1182">
        <v>6.2</v>
      </c>
    </row>
    <row r="1183" spans="1:53" hidden="1" x14ac:dyDescent="0.3">
      <c r="A1183" t="s">
        <v>467</v>
      </c>
      <c r="C1183" t="s">
        <v>251</v>
      </c>
      <c r="D1183" t="s">
        <v>470</v>
      </c>
      <c r="E1183">
        <v>100000000</v>
      </c>
      <c r="H1183">
        <v>0.25</v>
      </c>
      <c r="I1183" t="s">
        <v>56</v>
      </c>
      <c r="J1183">
        <v>2.5000000000000001E-5</v>
      </c>
      <c r="K1183" t="s">
        <v>57</v>
      </c>
      <c r="N1183">
        <v>0.1</v>
      </c>
      <c r="O1183">
        <v>150</v>
      </c>
      <c r="P1183" t="s">
        <v>315</v>
      </c>
      <c r="S1183">
        <v>2</v>
      </c>
      <c r="T1183">
        <v>22</v>
      </c>
      <c r="U1183">
        <v>5</v>
      </c>
      <c r="V1183">
        <v>75</v>
      </c>
      <c r="W1183" t="s">
        <v>471</v>
      </c>
      <c r="X1183" t="s">
        <v>280</v>
      </c>
      <c r="Y1183">
        <v>180</v>
      </c>
      <c r="AA1183" t="s">
        <v>94</v>
      </c>
      <c r="AB1183">
        <v>7</v>
      </c>
      <c r="AC1183" t="s">
        <v>85</v>
      </c>
      <c r="AI1183">
        <v>3</v>
      </c>
      <c r="AT1183" t="s">
        <v>150</v>
      </c>
      <c r="AV1183" t="s">
        <v>88</v>
      </c>
      <c r="AW1183">
        <v>150</v>
      </c>
      <c r="AZ1183">
        <v>0</v>
      </c>
      <c r="BA1183">
        <v>7</v>
      </c>
    </row>
    <row r="1184" spans="1:53" hidden="1" x14ac:dyDescent="0.3">
      <c r="A1184" t="s">
        <v>467</v>
      </c>
      <c r="C1184" t="s">
        <v>251</v>
      </c>
      <c r="D1184" t="s">
        <v>470</v>
      </c>
      <c r="E1184">
        <v>100000000</v>
      </c>
      <c r="H1184">
        <v>0.25</v>
      </c>
      <c r="I1184" t="s">
        <v>56</v>
      </c>
      <c r="J1184">
        <v>2.5000000000000001E-5</v>
      </c>
      <c r="K1184" t="s">
        <v>57</v>
      </c>
      <c r="N1184">
        <v>0.1</v>
      </c>
      <c r="O1184">
        <v>150</v>
      </c>
      <c r="P1184" t="s">
        <v>315</v>
      </c>
      <c r="S1184">
        <v>2</v>
      </c>
      <c r="T1184">
        <v>22</v>
      </c>
      <c r="U1184">
        <v>5</v>
      </c>
      <c r="V1184">
        <v>75</v>
      </c>
      <c r="W1184" t="s">
        <v>471</v>
      </c>
      <c r="X1184" t="s">
        <v>280</v>
      </c>
      <c r="Y1184">
        <v>180</v>
      </c>
      <c r="AB1184">
        <v>5</v>
      </c>
      <c r="AC1184" t="s">
        <v>85</v>
      </c>
      <c r="AE1184" t="s">
        <v>63</v>
      </c>
      <c r="AI1184">
        <v>3</v>
      </c>
      <c r="AT1184" t="s">
        <v>150</v>
      </c>
      <c r="AV1184" t="s">
        <v>88</v>
      </c>
      <c r="AW1184">
        <v>150</v>
      </c>
    </row>
    <row r="1185" spans="1:53" hidden="1" x14ac:dyDescent="0.3">
      <c r="A1185" t="s">
        <v>467</v>
      </c>
      <c r="C1185" t="s">
        <v>251</v>
      </c>
      <c r="D1185" t="s">
        <v>470</v>
      </c>
      <c r="E1185">
        <v>100000000</v>
      </c>
      <c r="H1185">
        <v>0.25</v>
      </c>
      <c r="I1185" t="s">
        <v>56</v>
      </c>
      <c r="J1185">
        <v>2.5000000000000001E-5</v>
      </c>
      <c r="K1185" t="s">
        <v>57</v>
      </c>
      <c r="N1185">
        <v>0.1</v>
      </c>
      <c r="O1185">
        <v>150</v>
      </c>
      <c r="P1185" t="s">
        <v>315</v>
      </c>
      <c r="S1185">
        <v>2</v>
      </c>
      <c r="T1185">
        <v>22</v>
      </c>
      <c r="U1185">
        <v>5</v>
      </c>
      <c r="V1185">
        <v>75</v>
      </c>
      <c r="W1185" t="s">
        <v>471</v>
      </c>
      <c r="X1185" t="s">
        <v>280</v>
      </c>
      <c r="Y1185">
        <v>180</v>
      </c>
      <c r="AB1185">
        <v>6.1</v>
      </c>
      <c r="AC1185" t="s">
        <v>85</v>
      </c>
      <c r="AE1185" t="s">
        <v>63</v>
      </c>
      <c r="AI1185">
        <v>3</v>
      </c>
      <c r="AT1185" t="s">
        <v>150</v>
      </c>
      <c r="AV1185" t="s">
        <v>88</v>
      </c>
      <c r="AW1185">
        <v>150</v>
      </c>
    </row>
    <row r="1186" spans="1:53" hidden="1" x14ac:dyDescent="0.3">
      <c r="A1186" t="s">
        <v>467</v>
      </c>
      <c r="C1186" t="s">
        <v>251</v>
      </c>
      <c r="D1186" t="s">
        <v>81</v>
      </c>
      <c r="E1186">
        <v>100000000</v>
      </c>
      <c r="N1186" t="s">
        <v>314</v>
      </c>
      <c r="O1186">
        <v>150</v>
      </c>
      <c r="P1186" t="s">
        <v>315</v>
      </c>
      <c r="S1186">
        <v>2</v>
      </c>
      <c r="T1186">
        <v>22</v>
      </c>
      <c r="U1186" t="s">
        <v>120</v>
      </c>
      <c r="V1186">
        <v>75</v>
      </c>
      <c r="W1186" t="s">
        <v>472</v>
      </c>
      <c r="X1186" t="s">
        <v>280</v>
      </c>
      <c r="Y1186">
        <v>180</v>
      </c>
      <c r="AB1186">
        <v>30</v>
      </c>
      <c r="AC1186" t="s">
        <v>297</v>
      </c>
      <c r="AE1186" t="s">
        <v>63</v>
      </c>
      <c r="AH1186">
        <v>5.97</v>
      </c>
      <c r="AI1186">
        <v>30</v>
      </c>
      <c r="AT1186" t="s">
        <v>203</v>
      </c>
      <c r="AV1186" t="s">
        <v>88</v>
      </c>
      <c r="AW1186">
        <v>150</v>
      </c>
      <c r="AZ1186">
        <v>30</v>
      </c>
      <c r="BA1186">
        <v>5.97</v>
      </c>
    </row>
    <row r="1187" spans="1:53" hidden="1" x14ac:dyDescent="0.3">
      <c r="A1187" t="s">
        <v>467</v>
      </c>
      <c r="C1187" t="s">
        <v>251</v>
      </c>
      <c r="D1187" t="s">
        <v>81</v>
      </c>
      <c r="E1187">
        <v>100000000</v>
      </c>
      <c r="N1187" t="s">
        <v>314</v>
      </c>
      <c r="O1187">
        <v>150</v>
      </c>
      <c r="P1187" t="s">
        <v>315</v>
      </c>
      <c r="S1187">
        <v>2</v>
      </c>
      <c r="T1187">
        <v>22</v>
      </c>
      <c r="U1187" t="s">
        <v>120</v>
      </c>
      <c r="V1187">
        <v>75</v>
      </c>
      <c r="W1187" t="s">
        <v>472</v>
      </c>
      <c r="X1187" t="s">
        <v>280</v>
      </c>
      <c r="Y1187">
        <v>180</v>
      </c>
      <c r="AB1187">
        <v>17</v>
      </c>
      <c r="AC1187" t="s">
        <v>297</v>
      </c>
      <c r="AE1187" t="s">
        <v>63</v>
      </c>
      <c r="AH1187">
        <v>5.97</v>
      </c>
      <c r="AI1187">
        <v>30</v>
      </c>
      <c r="AT1187" t="s">
        <v>203</v>
      </c>
      <c r="AV1187" t="s">
        <v>88</v>
      </c>
      <c r="AW1187">
        <v>150</v>
      </c>
      <c r="AZ1187">
        <v>17</v>
      </c>
      <c r="BA1187">
        <v>5.97</v>
      </c>
    </row>
    <row r="1188" spans="1:53" hidden="1" x14ac:dyDescent="0.3">
      <c r="A1188" t="s">
        <v>467</v>
      </c>
      <c r="C1188" t="s">
        <v>251</v>
      </c>
      <c r="D1188" t="s">
        <v>81</v>
      </c>
      <c r="E1188">
        <v>100000000</v>
      </c>
      <c r="N1188" t="s">
        <v>314</v>
      </c>
      <c r="O1188">
        <v>150</v>
      </c>
      <c r="P1188" t="s">
        <v>315</v>
      </c>
      <c r="S1188">
        <v>2</v>
      </c>
      <c r="T1188">
        <v>22</v>
      </c>
      <c r="U1188" t="s">
        <v>120</v>
      </c>
      <c r="V1188">
        <v>75</v>
      </c>
      <c r="W1188" t="s">
        <v>472</v>
      </c>
      <c r="X1188" t="s">
        <v>280</v>
      </c>
      <c r="Y1188">
        <v>180</v>
      </c>
      <c r="AB1188">
        <v>14</v>
      </c>
      <c r="AC1188" t="s">
        <v>297</v>
      </c>
      <c r="AE1188" t="s">
        <v>63</v>
      </c>
      <c r="AH1188">
        <v>5.97</v>
      </c>
      <c r="AI1188">
        <v>30</v>
      </c>
      <c r="AT1188" t="s">
        <v>203</v>
      </c>
      <c r="AV1188" t="s">
        <v>88</v>
      </c>
      <c r="AW1188">
        <v>150</v>
      </c>
      <c r="AZ1188">
        <v>14</v>
      </c>
      <c r="BA1188">
        <v>5.97</v>
      </c>
    </row>
    <row r="1189" spans="1:53" hidden="1" x14ac:dyDescent="0.3">
      <c r="A1189" t="s">
        <v>467</v>
      </c>
      <c r="C1189" t="s">
        <v>251</v>
      </c>
      <c r="D1189" t="s">
        <v>81</v>
      </c>
      <c r="E1189">
        <v>100000000</v>
      </c>
      <c r="N1189" t="s">
        <v>314</v>
      </c>
      <c r="O1189">
        <v>150</v>
      </c>
      <c r="P1189" t="s">
        <v>315</v>
      </c>
      <c r="S1189">
        <v>2</v>
      </c>
      <c r="T1189">
        <v>22</v>
      </c>
      <c r="U1189" t="s">
        <v>120</v>
      </c>
      <c r="V1189">
        <v>75</v>
      </c>
      <c r="W1189" t="s">
        <v>472</v>
      </c>
      <c r="X1189" t="s">
        <v>280</v>
      </c>
      <c r="Y1189">
        <v>180</v>
      </c>
      <c r="AB1189">
        <v>30</v>
      </c>
      <c r="AC1189" t="s">
        <v>297</v>
      </c>
      <c r="AE1189" t="s">
        <v>63</v>
      </c>
      <c r="AH1189">
        <v>5.81</v>
      </c>
      <c r="AI1189">
        <v>30</v>
      </c>
      <c r="AT1189" t="s">
        <v>203</v>
      </c>
      <c r="AV1189" t="s">
        <v>88</v>
      </c>
      <c r="AW1189">
        <v>150</v>
      </c>
      <c r="AZ1189">
        <v>30</v>
      </c>
      <c r="BA1189">
        <v>5.81</v>
      </c>
    </row>
    <row r="1190" spans="1:53" hidden="1" x14ac:dyDescent="0.3">
      <c r="A1190" t="s">
        <v>467</v>
      </c>
      <c r="C1190" t="s">
        <v>251</v>
      </c>
      <c r="D1190" t="s">
        <v>81</v>
      </c>
      <c r="E1190">
        <v>100000000</v>
      </c>
      <c r="N1190" t="s">
        <v>314</v>
      </c>
      <c r="O1190">
        <v>150</v>
      </c>
      <c r="P1190" t="s">
        <v>315</v>
      </c>
      <c r="S1190">
        <v>2</v>
      </c>
      <c r="T1190">
        <v>22</v>
      </c>
      <c r="U1190" t="s">
        <v>120</v>
      </c>
      <c r="V1190">
        <v>75</v>
      </c>
      <c r="W1190" t="s">
        <v>472</v>
      </c>
      <c r="X1190" t="s">
        <v>280</v>
      </c>
      <c r="Y1190">
        <v>180</v>
      </c>
      <c r="AB1190">
        <v>24</v>
      </c>
      <c r="AC1190" t="s">
        <v>297</v>
      </c>
      <c r="AE1190" t="s">
        <v>63</v>
      </c>
      <c r="AH1190">
        <v>5.81</v>
      </c>
      <c r="AI1190">
        <v>30</v>
      </c>
      <c r="AT1190" t="s">
        <v>203</v>
      </c>
      <c r="AV1190" t="s">
        <v>88</v>
      </c>
      <c r="AW1190">
        <v>150</v>
      </c>
      <c r="AZ1190">
        <v>24</v>
      </c>
      <c r="BA1190">
        <v>5.81</v>
      </c>
    </row>
    <row r="1191" spans="1:53" hidden="1" x14ac:dyDescent="0.3">
      <c r="A1191" t="s">
        <v>467</v>
      </c>
      <c r="C1191" t="s">
        <v>251</v>
      </c>
      <c r="D1191" t="s">
        <v>81</v>
      </c>
      <c r="E1191">
        <v>100000000</v>
      </c>
      <c r="N1191" t="s">
        <v>314</v>
      </c>
      <c r="O1191">
        <v>150</v>
      </c>
      <c r="P1191" t="s">
        <v>315</v>
      </c>
      <c r="S1191">
        <v>2</v>
      </c>
      <c r="T1191">
        <v>22</v>
      </c>
      <c r="U1191" t="s">
        <v>120</v>
      </c>
      <c r="V1191">
        <v>75</v>
      </c>
      <c r="W1191" t="s">
        <v>472</v>
      </c>
      <c r="X1191" t="s">
        <v>280</v>
      </c>
      <c r="Y1191">
        <v>180</v>
      </c>
      <c r="AB1191">
        <v>19</v>
      </c>
      <c r="AC1191" t="s">
        <v>297</v>
      </c>
      <c r="AE1191" t="s">
        <v>63</v>
      </c>
      <c r="AH1191">
        <v>5.81</v>
      </c>
      <c r="AI1191">
        <v>30</v>
      </c>
      <c r="AT1191" t="s">
        <v>203</v>
      </c>
      <c r="AV1191" t="s">
        <v>88</v>
      </c>
      <c r="AW1191">
        <v>150</v>
      </c>
      <c r="AZ1191">
        <v>19</v>
      </c>
      <c r="BA1191">
        <v>5.81</v>
      </c>
    </row>
    <row r="1192" spans="1:53" hidden="1" x14ac:dyDescent="0.3">
      <c r="A1192" t="s">
        <v>467</v>
      </c>
      <c r="C1192" t="s">
        <v>251</v>
      </c>
      <c r="D1192" t="s">
        <v>81</v>
      </c>
      <c r="E1192">
        <v>100000000</v>
      </c>
      <c r="N1192" t="s">
        <v>314</v>
      </c>
      <c r="O1192">
        <v>3000</v>
      </c>
      <c r="P1192" t="s">
        <v>315</v>
      </c>
      <c r="S1192">
        <v>2</v>
      </c>
      <c r="T1192">
        <v>22</v>
      </c>
      <c r="U1192" t="s">
        <v>120</v>
      </c>
      <c r="V1192">
        <v>75</v>
      </c>
      <c r="W1192" t="s">
        <v>473</v>
      </c>
      <c r="X1192" t="s">
        <v>280</v>
      </c>
      <c r="Y1192">
        <v>180</v>
      </c>
      <c r="AB1192">
        <v>0</v>
      </c>
      <c r="AC1192" t="s">
        <v>297</v>
      </c>
      <c r="AE1192" t="s">
        <v>63</v>
      </c>
      <c r="AH1192">
        <v>5.83</v>
      </c>
      <c r="AI1192">
        <v>30</v>
      </c>
      <c r="AV1192" t="s">
        <v>88</v>
      </c>
      <c r="AW1192">
        <v>3000</v>
      </c>
      <c r="AZ1192">
        <v>0</v>
      </c>
      <c r="BA1192">
        <v>5.83</v>
      </c>
    </row>
    <row r="1193" spans="1:53" hidden="1" x14ac:dyDescent="0.3">
      <c r="A1193" t="s">
        <v>467</v>
      </c>
      <c r="C1193" t="s">
        <v>251</v>
      </c>
      <c r="D1193" t="s">
        <v>81</v>
      </c>
      <c r="E1193">
        <v>100000000</v>
      </c>
      <c r="N1193" t="s">
        <v>314</v>
      </c>
      <c r="O1193">
        <v>3000</v>
      </c>
      <c r="P1193" t="s">
        <v>315</v>
      </c>
      <c r="S1193">
        <v>2</v>
      </c>
      <c r="T1193">
        <v>22</v>
      </c>
      <c r="U1193" t="s">
        <v>120</v>
      </c>
      <c r="V1193">
        <v>75</v>
      </c>
      <c r="W1193" t="s">
        <v>473</v>
      </c>
      <c r="X1193" t="s">
        <v>280</v>
      </c>
      <c r="Y1193">
        <v>180</v>
      </c>
      <c r="AB1193">
        <v>0</v>
      </c>
      <c r="AC1193" t="s">
        <v>297</v>
      </c>
      <c r="AE1193" t="s">
        <v>63</v>
      </c>
      <c r="AH1193">
        <v>5.83</v>
      </c>
      <c r="AI1193">
        <v>30</v>
      </c>
      <c r="AV1193" t="s">
        <v>88</v>
      </c>
      <c r="AW1193">
        <v>3000</v>
      </c>
      <c r="AZ1193">
        <v>0</v>
      </c>
      <c r="BA1193">
        <v>5.83</v>
      </c>
    </row>
    <row r="1194" spans="1:53" hidden="1" x14ac:dyDescent="0.3">
      <c r="A1194" t="s">
        <v>467</v>
      </c>
      <c r="C1194" t="s">
        <v>251</v>
      </c>
      <c r="D1194" t="s">
        <v>81</v>
      </c>
      <c r="E1194">
        <v>100000000</v>
      </c>
      <c r="N1194" t="s">
        <v>314</v>
      </c>
      <c r="O1194">
        <v>3000</v>
      </c>
      <c r="P1194" t="s">
        <v>315</v>
      </c>
      <c r="S1194">
        <v>2</v>
      </c>
      <c r="T1194">
        <v>22</v>
      </c>
      <c r="U1194" t="s">
        <v>120</v>
      </c>
      <c r="V1194">
        <v>75</v>
      </c>
      <c r="W1194" t="s">
        <v>473</v>
      </c>
      <c r="X1194" t="s">
        <v>280</v>
      </c>
      <c r="Y1194">
        <v>180</v>
      </c>
      <c r="AB1194">
        <v>0</v>
      </c>
      <c r="AC1194" t="s">
        <v>297</v>
      </c>
      <c r="AE1194" t="s">
        <v>63</v>
      </c>
      <c r="AH1194">
        <v>5.83</v>
      </c>
      <c r="AI1194">
        <v>30</v>
      </c>
      <c r="AV1194" t="s">
        <v>88</v>
      </c>
      <c r="AW1194">
        <v>3000</v>
      </c>
      <c r="AZ1194">
        <v>0</v>
      </c>
      <c r="BA1194">
        <v>5.83</v>
      </c>
    </row>
    <row r="1195" spans="1:53" hidden="1" x14ac:dyDescent="0.3">
      <c r="A1195" t="s">
        <v>467</v>
      </c>
      <c r="C1195" t="s">
        <v>251</v>
      </c>
      <c r="D1195" t="s">
        <v>81</v>
      </c>
      <c r="E1195">
        <v>100000000</v>
      </c>
      <c r="N1195" t="s">
        <v>314</v>
      </c>
      <c r="O1195">
        <v>3000</v>
      </c>
      <c r="P1195" t="s">
        <v>315</v>
      </c>
      <c r="S1195">
        <v>2</v>
      </c>
      <c r="T1195">
        <v>22</v>
      </c>
      <c r="U1195" t="s">
        <v>120</v>
      </c>
      <c r="V1195">
        <v>75</v>
      </c>
      <c r="W1195" t="s">
        <v>473</v>
      </c>
      <c r="X1195" t="s">
        <v>280</v>
      </c>
      <c r="Y1195">
        <v>180</v>
      </c>
      <c r="AB1195">
        <v>0</v>
      </c>
      <c r="AC1195" t="s">
        <v>297</v>
      </c>
      <c r="AE1195" t="s">
        <v>63</v>
      </c>
      <c r="AH1195">
        <v>5.75</v>
      </c>
      <c r="AI1195">
        <v>30</v>
      </c>
      <c r="AV1195" t="s">
        <v>88</v>
      </c>
      <c r="AW1195">
        <v>3000</v>
      </c>
      <c r="AZ1195">
        <v>0</v>
      </c>
      <c r="BA1195">
        <v>5.75</v>
      </c>
    </row>
    <row r="1196" spans="1:53" hidden="1" x14ac:dyDescent="0.3">
      <c r="A1196" t="s">
        <v>467</v>
      </c>
      <c r="C1196" t="s">
        <v>251</v>
      </c>
      <c r="D1196" t="s">
        <v>81</v>
      </c>
      <c r="E1196">
        <v>100000000</v>
      </c>
      <c r="N1196" t="s">
        <v>314</v>
      </c>
      <c r="O1196">
        <v>3000</v>
      </c>
      <c r="P1196" t="s">
        <v>315</v>
      </c>
      <c r="S1196">
        <v>2</v>
      </c>
      <c r="T1196">
        <v>22</v>
      </c>
      <c r="U1196" t="s">
        <v>120</v>
      </c>
      <c r="V1196">
        <v>75</v>
      </c>
      <c r="W1196" t="s">
        <v>473</v>
      </c>
      <c r="X1196" t="s">
        <v>280</v>
      </c>
      <c r="Y1196">
        <v>180</v>
      </c>
      <c r="AB1196">
        <v>0</v>
      </c>
      <c r="AC1196" t="s">
        <v>297</v>
      </c>
      <c r="AE1196" t="s">
        <v>63</v>
      </c>
      <c r="AH1196">
        <v>5.75</v>
      </c>
      <c r="AI1196">
        <v>30</v>
      </c>
      <c r="AV1196" t="s">
        <v>88</v>
      </c>
      <c r="AW1196">
        <v>3000</v>
      </c>
      <c r="AZ1196">
        <v>0</v>
      </c>
      <c r="BA1196">
        <v>5.75</v>
      </c>
    </row>
    <row r="1197" spans="1:53" hidden="1" x14ac:dyDescent="0.3">
      <c r="A1197" t="s">
        <v>467</v>
      </c>
      <c r="C1197" t="s">
        <v>251</v>
      </c>
      <c r="D1197" t="s">
        <v>81</v>
      </c>
      <c r="E1197">
        <v>100000000</v>
      </c>
      <c r="N1197" t="s">
        <v>314</v>
      </c>
      <c r="O1197">
        <v>3000</v>
      </c>
      <c r="P1197" t="s">
        <v>315</v>
      </c>
      <c r="S1197">
        <v>2</v>
      </c>
      <c r="T1197">
        <v>22</v>
      </c>
      <c r="U1197" t="s">
        <v>120</v>
      </c>
      <c r="V1197">
        <v>75</v>
      </c>
      <c r="W1197" t="s">
        <v>473</v>
      </c>
      <c r="X1197" t="s">
        <v>280</v>
      </c>
      <c r="Y1197">
        <v>180</v>
      </c>
      <c r="AB1197">
        <v>0</v>
      </c>
      <c r="AC1197" t="s">
        <v>297</v>
      </c>
      <c r="AE1197" t="s">
        <v>63</v>
      </c>
      <c r="AH1197">
        <v>5.75</v>
      </c>
      <c r="AI1197">
        <v>30</v>
      </c>
      <c r="AV1197" t="s">
        <v>88</v>
      </c>
      <c r="AW1197">
        <v>3000</v>
      </c>
      <c r="AZ1197">
        <v>0</v>
      </c>
      <c r="BA1197">
        <v>5.75</v>
      </c>
    </row>
    <row r="1198" spans="1:53" hidden="1" x14ac:dyDescent="0.3">
      <c r="A1198" t="s">
        <v>467</v>
      </c>
      <c r="C1198" t="s">
        <v>251</v>
      </c>
      <c r="D1198" t="s">
        <v>81</v>
      </c>
      <c r="E1198">
        <v>100000000</v>
      </c>
      <c r="N1198" t="s">
        <v>314</v>
      </c>
      <c r="O1198">
        <v>300</v>
      </c>
      <c r="P1198" t="s">
        <v>315</v>
      </c>
      <c r="S1198">
        <v>2</v>
      </c>
      <c r="T1198">
        <v>22</v>
      </c>
      <c r="U1198" t="s">
        <v>120</v>
      </c>
      <c r="V1198">
        <v>75</v>
      </c>
      <c r="W1198" t="s">
        <v>473</v>
      </c>
      <c r="X1198" t="s">
        <v>280</v>
      </c>
      <c r="Y1198">
        <v>180</v>
      </c>
      <c r="AB1198">
        <v>1</v>
      </c>
      <c r="AC1198" t="s">
        <v>297</v>
      </c>
      <c r="AE1198" t="s">
        <v>63</v>
      </c>
      <c r="AH1198">
        <v>5.83</v>
      </c>
      <c r="AI1198">
        <v>30</v>
      </c>
      <c r="AV1198" t="s">
        <v>88</v>
      </c>
      <c r="AW1198">
        <v>300</v>
      </c>
      <c r="AZ1198">
        <v>1</v>
      </c>
      <c r="BA1198">
        <v>5.83</v>
      </c>
    </row>
    <row r="1199" spans="1:53" hidden="1" x14ac:dyDescent="0.3">
      <c r="A1199" t="s">
        <v>467</v>
      </c>
      <c r="C1199" t="s">
        <v>251</v>
      </c>
      <c r="D1199" t="s">
        <v>81</v>
      </c>
      <c r="E1199">
        <v>100000000</v>
      </c>
      <c r="N1199" t="s">
        <v>314</v>
      </c>
      <c r="O1199">
        <v>300</v>
      </c>
      <c r="P1199" t="s">
        <v>315</v>
      </c>
      <c r="S1199">
        <v>2</v>
      </c>
      <c r="T1199">
        <v>22</v>
      </c>
      <c r="U1199" t="s">
        <v>120</v>
      </c>
      <c r="V1199">
        <v>75</v>
      </c>
      <c r="W1199" t="s">
        <v>473</v>
      </c>
      <c r="X1199" t="s">
        <v>280</v>
      </c>
      <c r="Y1199">
        <v>180</v>
      </c>
      <c r="AB1199">
        <v>15</v>
      </c>
      <c r="AC1199" t="s">
        <v>297</v>
      </c>
      <c r="AE1199" t="s">
        <v>63</v>
      </c>
      <c r="AH1199">
        <v>5.83</v>
      </c>
      <c r="AI1199">
        <v>30</v>
      </c>
      <c r="AV1199" t="s">
        <v>88</v>
      </c>
      <c r="AW1199">
        <v>300</v>
      </c>
      <c r="AZ1199">
        <v>15</v>
      </c>
      <c r="BA1199">
        <v>5.83</v>
      </c>
    </row>
    <row r="1200" spans="1:53" hidden="1" x14ac:dyDescent="0.3">
      <c r="A1200" t="s">
        <v>467</v>
      </c>
      <c r="C1200" t="s">
        <v>251</v>
      </c>
      <c r="D1200" t="s">
        <v>81</v>
      </c>
      <c r="E1200">
        <v>100000000</v>
      </c>
      <c r="N1200" t="s">
        <v>314</v>
      </c>
      <c r="O1200">
        <v>300</v>
      </c>
      <c r="P1200" t="s">
        <v>315</v>
      </c>
      <c r="S1200">
        <v>2</v>
      </c>
      <c r="T1200">
        <v>22</v>
      </c>
      <c r="U1200" t="s">
        <v>120</v>
      </c>
      <c r="V1200">
        <v>75</v>
      </c>
      <c r="W1200" t="s">
        <v>473</v>
      </c>
      <c r="X1200" t="s">
        <v>280</v>
      </c>
      <c r="Y1200">
        <v>180</v>
      </c>
      <c r="AB1200">
        <v>13</v>
      </c>
      <c r="AC1200" t="s">
        <v>297</v>
      </c>
      <c r="AE1200" t="s">
        <v>63</v>
      </c>
      <c r="AH1200">
        <v>5.83</v>
      </c>
      <c r="AI1200">
        <v>30</v>
      </c>
      <c r="AV1200" t="s">
        <v>88</v>
      </c>
      <c r="AW1200">
        <v>300</v>
      </c>
      <c r="AZ1200">
        <v>13</v>
      </c>
      <c r="BA1200">
        <v>5.83</v>
      </c>
    </row>
    <row r="1201" spans="1:53" hidden="1" x14ac:dyDescent="0.3">
      <c r="A1201" t="s">
        <v>467</v>
      </c>
      <c r="C1201" t="s">
        <v>251</v>
      </c>
      <c r="D1201" t="s">
        <v>81</v>
      </c>
      <c r="E1201">
        <v>100000000</v>
      </c>
      <c r="N1201" t="s">
        <v>314</v>
      </c>
      <c r="O1201">
        <v>300</v>
      </c>
      <c r="P1201" t="s">
        <v>315</v>
      </c>
      <c r="S1201">
        <v>2</v>
      </c>
      <c r="T1201">
        <v>22</v>
      </c>
      <c r="U1201" t="s">
        <v>120</v>
      </c>
      <c r="V1201">
        <v>75</v>
      </c>
      <c r="W1201" t="s">
        <v>473</v>
      </c>
      <c r="X1201" t="s">
        <v>280</v>
      </c>
      <c r="Y1201">
        <v>180</v>
      </c>
      <c r="AB1201">
        <v>20</v>
      </c>
      <c r="AC1201" t="s">
        <v>297</v>
      </c>
      <c r="AE1201" t="s">
        <v>63</v>
      </c>
      <c r="AH1201">
        <v>5.75</v>
      </c>
      <c r="AI1201">
        <v>30</v>
      </c>
      <c r="AV1201" t="s">
        <v>88</v>
      </c>
      <c r="AW1201">
        <v>300</v>
      </c>
      <c r="AZ1201">
        <v>20</v>
      </c>
      <c r="BA1201">
        <v>5.75</v>
      </c>
    </row>
    <row r="1202" spans="1:53" hidden="1" x14ac:dyDescent="0.3">
      <c r="A1202" t="s">
        <v>467</v>
      </c>
      <c r="C1202" t="s">
        <v>251</v>
      </c>
      <c r="D1202" t="s">
        <v>81</v>
      </c>
      <c r="E1202">
        <v>100000000</v>
      </c>
      <c r="N1202" t="s">
        <v>314</v>
      </c>
      <c r="O1202">
        <v>300</v>
      </c>
      <c r="P1202" t="s">
        <v>315</v>
      </c>
      <c r="S1202">
        <v>2</v>
      </c>
      <c r="T1202">
        <v>22</v>
      </c>
      <c r="U1202" t="s">
        <v>120</v>
      </c>
      <c r="V1202">
        <v>75</v>
      </c>
      <c r="W1202" t="s">
        <v>473</v>
      </c>
      <c r="X1202" t="s">
        <v>280</v>
      </c>
      <c r="Y1202">
        <v>180</v>
      </c>
      <c r="AB1202">
        <v>10</v>
      </c>
      <c r="AC1202" t="s">
        <v>297</v>
      </c>
      <c r="AE1202" t="s">
        <v>63</v>
      </c>
      <c r="AH1202">
        <v>5.75</v>
      </c>
      <c r="AI1202">
        <v>30</v>
      </c>
      <c r="AV1202" t="s">
        <v>88</v>
      </c>
      <c r="AW1202">
        <v>300</v>
      </c>
      <c r="AZ1202">
        <v>10</v>
      </c>
      <c r="BA1202">
        <v>5.75</v>
      </c>
    </row>
    <row r="1203" spans="1:53" hidden="1" x14ac:dyDescent="0.3">
      <c r="A1203" t="s">
        <v>467</v>
      </c>
      <c r="C1203" t="s">
        <v>251</v>
      </c>
      <c r="D1203" t="s">
        <v>81</v>
      </c>
      <c r="E1203">
        <v>100000000</v>
      </c>
      <c r="N1203" t="s">
        <v>314</v>
      </c>
      <c r="O1203">
        <v>300</v>
      </c>
      <c r="P1203" t="s">
        <v>315</v>
      </c>
      <c r="S1203">
        <v>2</v>
      </c>
      <c r="T1203">
        <v>22</v>
      </c>
      <c r="U1203" t="s">
        <v>120</v>
      </c>
      <c r="V1203">
        <v>75</v>
      </c>
      <c r="W1203" t="s">
        <v>473</v>
      </c>
      <c r="X1203" t="s">
        <v>280</v>
      </c>
      <c r="Y1203">
        <v>180</v>
      </c>
      <c r="AB1203">
        <v>14</v>
      </c>
      <c r="AC1203" t="s">
        <v>297</v>
      </c>
      <c r="AE1203" t="s">
        <v>63</v>
      </c>
      <c r="AH1203">
        <v>5.75</v>
      </c>
      <c r="AI1203">
        <v>30</v>
      </c>
      <c r="AV1203" t="s">
        <v>88</v>
      </c>
      <c r="AW1203">
        <v>300</v>
      </c>
      <c r="AZ1203">
        <v>14</v>
      </c>
      <c r="BA1203">
        <v>5.75</v>
      </c>
    </row>
    <row r="1204" spans="1:53" hidden="1" x14ac:dyDescent="0.3">
      <c r="A1204" t="s">
        <v>467</v>
      </c>
      <c r="C1204" t="s">
        <v>251</v>
      </c>
      <c r="D1204" t="s">
        <v>81</v>
      </c>
      <c r="E1204">
        <v>100000000</v>
      </c>
      <c r="N1204" t="s">
        <v>314</v>
      </c>
      <c r="O1204">
        <v>150</v>
      </c>
      <c r="P1204" t="s">
        <v>315</v>
      </c>
      <c r="S1204">
        <v>2</v>
      </c>
      <c r="T1204">
        <v>22</v>
      </c>
      <c r="U1204" t="s">
        <v>120</v>
      </c>
      <c r="V1204">
        <v>75</v>
      </c>
      <c r="W1204" t="s">
        <v>473</v>
      </c>
      <c r="X1204" t="s">
        <v>280</v>
      </c>
      <c r="Y1204">
        <v>180</v>
      </c>
      <c r="AB1204">
        <v>28</v>
      </c>
      <c r="AC1204" t="s">
        <v>297</v>
      </c>
      <c r="AE1204" t="s">
        <v>63</v>
      </c>
      <c r="AH1204">
        <v>5.83</v>
      </c>
      <c r="AI1204">
        <v>30</v>
      </c>
      <c r="AV1204" t="s">
        <v>88</v>
      </c>
      <c r="AW1204">
        <v>150</v>
      </c>
      <c r="AZ1204">
        <v>28</v>
      </c>
      <c r="BA1204">
        <v>5.83</v>
      </c>
    </row>
    <row r="1205" spans="1:53" hidden="1" x14ac:dyDescent="0.3">
      <c r="A1205" t="s">
        <v>467</v>
      </c>
      <c r="C1205" t="s">
        <v>251</v>
      </c>
      <c r="D1205" t="s">
        <v>81</v>
      </c>
      <c r="E1205">
        <v>100000000</v>
      </c>
      <c r="N1205" t="s">
        <v>314</v>
      </c>
      <c r="O1205">
        <v>150</v>
      </c>
      <c r="P1205" t="s">
        <v>315</v>
      </c>
      <c r="S1205">
        <v>2</v>
      </c>
      <c r="T1205">
        <v>22</v>
      </c>
      <c r="U1205" t="s">
        <v>120</v>
      </c>
      <c r="V1205">
        <v>75</v>
      </c>
      <c r="W1205" t="s">
        <v>473</v>
      </c>
      <c r="X1205" t="s">
        <v>280</v>
      </c>
      <c r="Y1205">
        <v>180</v>
      </c>
      <c r="AB1205">
        <v>14</v>
      </c>
      <c r="AC1205" t="s">
        <v>297</v>
      </c>
      <c r="AE1205" t="s">
        <v>63</v>
      </c>
      <c r="AH1205">
        <v>5.83</v>
      </c>
      <c r="AI1205">
        <v>30</v>
      </c>
      <c r="AV1205" t="s">
        <v>88</v>
      </c>
      <c r="AW1205">
        <v>150</v>
      </c>
      <c r="AZ1205">
        <v>14</v>
      </c>
      <c r="BA1205">
        <v>5.83</v>
      </c>
    </row>
    <row r="1206" spans="1:53" hidden="1" x14ac:dyDescent="0.3">
      <c r="A1206" t="s">
        <v>467</v>
      </c>
      <c r="C1206" t="s">
        <v>251</v>
      </c>
      <c r="D1206" t="s">
        <v>81</v>
      </c>
      <c r="E1206">
        <v>100000000</v>
      </c>
      <c r="N1206" t="s">
        <v>314</v>
      </c>
      <c r="O1206">
        <v>150</v>
      </c>
      <c r="P1206" t="s">
        <v>315</v>
      </c>
      <c r="S1206">
        <v>2</v>
      </c>
      <c r="T1206">
        <v>22</v>
      </c>
      <c r="U1206" t="s">
        <v>120</v>
      </c>
      <c r="V1206">
        <v>75</v>
      </c>
      <c r="W1206" t="s">
        <v>473</v>
      </c>
      <c r="X1206" t="s">
        <v>280</v>
      </c>
      <c r="Y1206">
        <v>180</v>
      </c>
      <c r="AB1206">
        <v>18</v>
      </c>
      <c r="AC1206" t="s">
        <v>297</v>
      </c>
      <c r="AE1206" t="s">
        <v>63</v>
      </c>
      <c r="AH1206">
        <v>5.83</v>
      </c>
      <c r="AI1206">
        <v>30</v>
      </c>
      <c r="AV1206" t="s">
        <v>88</v>
      </c>
      <c r="AW1206">
        <v>150</v>
      </c>
      <c r="AZ1206">
        <v>18</v>
      </c>
      <c r="BA1206">
        <v>5.83</v>
      </c>
    </row>
    <row r="1207" spans="1:53" hidden="1" x14ac:dyDescent="0.3">
      <c r="A1207" t="s">
        <v>467</v>
      </c>
      <c r="C1207" t="s">
        <v>251</v>
      </c>
      <c r="D1207" t="s">
        <v>81</v>
      </c>
      <c r="E1207">
        <v>100000000</v>
      </c>
      <c r="N1207" t="s">
        <v>314</v>
      </c>
      <c r="O1207">
        <v>150</v>
      </c>
      <c r="P1207" t="s">
        <v>315</v>
      </c>
      <c r="S1207">
        <v>2</v>
      </c>
      <c r="T1207">
        <v>22</v>
      </c>
      <c r="U1207" t="s">
        <v>120</v>
      </c>
      <c r="V1207">
        <v>75</v>
      </c>
      <c r="W1207" t="s">
        <v>473</v>
      </c>
      <c r="X1207" t="s">
        <v>280</v>
      </c>
      <c r="Y1207">
        <v>180</v>
      </c>
      <c r="AB1207">
        <v>28</v>
      </c>
      <c r="AC1207" t="s">
        <v>297</v>
      </c>
      <c r="AE1207" t="s">
        <v>63</v>
      </c>
      <c r="AH1207">
        <v>5.75</v>
      </c>
      <c r="AI1207">
        <v>30</v>
      </c>
      <c r="AV1207" t="s">
        <v>88</v>
      </c>
      <c r="AW1207">
        <v>150</v>
      </c>
      <c r="AZ1207">
        <v>28</v>
      </c>
      <c r="BA1207">
        <v>5.75</v>
      </c>
    </row>
    <row r="1208" spans="1:53" hidden="1" x14ac:dyDescent="0.3">
      <c r="A1208" t="s">
        <v>467</v>
      </c>
      <c r="C1208" t="s">
        <v>251</v>
      </c>
      <c r="D1208" t="s">
        <v>81</v>
      </c>
      <c r="E1208">
        <v>100000000</v>
      </c>
      <c r="N1208" t="s">
        <v>314</v>
      </c>
      <c r="O1208">
        <v>150</v>
      </c>
      <c r="P1208" t="s">
        <v>315</v>
      </c>
      <c r="S1208">
        <v>2</v>
      </c>
      <c r="T1208">
        <v>22</v>
      </c>
      <c r="U1208" t="s">
        <v>120</v>
      </c>
      <c r="V1208">
        <v>75</v>
      </c>
      <c r="W1208" t="s">
        <v>473</v>
      </c>
      <c r="X1208" t="s">
        <v>280</v>
      </c>
      <c r="Y1208">
        <v>180</v>
      </c>
      <c r="AB1208">
        <v>17</v>
      </c>
      <c r="AC1208" t="s">
        <v>297</v>
      </c>
      <c r="AE1208" t="s">
        <v>63</v>
      </c>
      <c r="AH1208">
        <v>5.75</v>
      </c>
      <c r="AI1208">
        <v>30</v>
      </c>
      <c r="AV1208" t="s">
        <v>88</v>
      </c>
      <c r="AW1208">
        <v>150</v>
      </c>
      <c r="AZ1208">
        <v>17</v>
      </c>
      <c r="BA1208">
        <v>5.75</v>
      </c>
    </row>
    <row r="1209" spans="1:53" hidden="1" x14ac:dyDescent="0.3">
      <c r="A1209" t="s">
        <v>467</v>
      </c>
      <c r="C1209" t="s">
        <v>251</v>
      </c>
      <c r="D1209" t="s">
        <v>81</v>
      </c>
      <c r="E1209">
        <v>100000000</v>
      </c>
      <c r="N1209" t="s">
        <v>314</v>
      </c>
      <c r="O1209">
        <v>150</v>
      </c>
      <c r="P1209" t="s">
        <v>315</v>
      </c>
      <c r="S1209">
        <v>2</v>
      </c>
      <c r="T1209">
        <v>22</v>
      </c>
      <c r="U1209" t="s">
        <v>120</v>
      </c>
      <c r="V1209">
        <v>75</v>
      </c>
      <c r="W1209" t="s">
        <v>473</v>
      </c>
      <c r="X1209" t="s">
        <v>280</v>
      </c>
      <c r="Y1209">
        <v>180</v>
      </c>
      <c r="AB1209">
        <v>18</v>
      </c>
      <c r="AC1209" t="s">
        <v>297</v>
      </c>
      <c r="AE1209" t="s">
        <v>63</v>
      </c>
      <c r="AH1209">
        <v>5.75</v>
      </c>
      <c r="AI1209">
        <v>30</v>
      </c>
      <c r="AV1209" t="s">
        <v>88</v>
      </c>
      <c r="AW1209">
        <v>150</v>
      </c>
      <c r="AZ1209">
        <v>18</v>
      </c>
      <c r="BA1209">
        <v>5.75</v>
      </c>
    </row>
    <row r="1210" spans="1:53" hidden="1" x14ac:dyDescent="0.3">
      <c r="A1210" t="s">
        <v>467</v>
      </c>
      <c r="C1210" t="s">
        <v>251</v>
      </c>
      <c r="D1210" t="s">
        <v>81</v>
      </c>
      <c r="E1210">
        <v>100000000</v>
      </c>
      <c r="N1210" t="s">
        <v>314</v>
      </c>
      <c r="O1210">
        <v>3000</v>
      </c>
      <c r="P1210" t="s">
        <v>315</v>
      </c>
      <c r="S1210">
        <v>2</v>
      </c>
      <c r="T1210">
        <v>22</v>
      </c>
      <c r="U1210" t="s">
        <v>120</v>
      </c>
      <c r="V1210">
        <v>75</v>
      </c>
      <c r="W1210" t="s">
        <v>474</v>
      </c>
      <c r="X1210" t="s">
        <v>280</v>
      </c>
      <c r="Y1210">
        <v>180</v>
      </c>
      <c r="AB1210">
        <v>0</v>
      </c>
      <c r="AC1210" t="s">
        <v>297</v>
      </c>
      <c r="AE1210" t="s">
        <v>63</v>
      </c>
      <c r="AI1210">
        <v>5</v>
      </c>
      <c r="AT1210" t="s">
        <v>65</v>
      </c>
      <c r="AV1210" t="s">
        <v>88</v>
      </c>
      <c r="AW1210">
        <v>3000</v>
      </c>
      <c r="AZ1210">
        <v>0</v>
      </c>
    </row>
    <row r="1211" spans="1:53" hidden="1" x14ac:dyDescent="0.3">
      <c r="A1211" t="s">
        <v>467</v>
      </c>
      <c r="C1211" t="s">
        <v>251</v>
      </c>
      <c r="D1211" t="s">
        <v>81</v>
      </c>
      <c r="E1211">
        <v>100000000</v>
      </c>
      <c r="N1211" t="s">
        <v>314</v>
      </c>
      <c r="O1211">
        <v>3000</v>
      </c>
      <c r="P1211" t="s">
        <v>315</v>
      </c>
      <c r="S1211">
        <v>2</v>
      </c>
      <c r="T1211">
        <v>22</v>
      </c>
      <c r="U1211" t="s">
        <v>120</v>
      </c>
      <c r="V1211">
        <v>75</v>
      </c>
      <c r="W1211" t="s">
        <v>474</v>
      </c>
      <c r="X1211" t="s">
        <v>280</v>
      </c>
      <c r="Y1211">
        <v>180</v>
      </c>
      <c r="AB1211">
        <v>0</v>
      </c>
      <c r="AC1211" t="s">
        <v>297</v>
      </c>
      <c r="AE1211" t="s">
        <v>63</v>
      </c>
      <c r="AI1211">
        <v>5</v>
      </c>
      <c r="AT1211" t="s">
        <v>65</v>
      </c>
      <c r="AV1211" t="s">
        <v>88</v>
      </c>
      <c r="AW1211">
        <v>3000</v>
      </c>
      <c r="AZ1211">
        <v>0</v>
      </c>
    </row>
    <row r="1212" spans="1:53" hidden="1" x14ac:dyDescent="0.3">
      <c r="A1212" t="s">
        <v>467</v>
      </c>
      <c r="C1212" t="s">
        <v>251</v>
      </c>
      <c r="D1212" t="s">
        <v>81</v>
      </c>
      <c r="E1212">
        <v>100000000</v>
      </c>
      <c r="N1212" t="s">
        <v>314</v>
      </c>
      <c r="O1212">
        <v>3000</v>
      </c>
      <c r="P1212" t="s">
        <v>315</v>
      </c>
      <c r="S1212">
        <v>2</v>
      </c>
      <c r="T1212">
        <v>22</v>
      </c>
      <c r="U1212" t="s">
        <v>120</v>
      </c>
      <c r="V1212">
        <v>75</v>
      </c>
      <c r="W1212" t="s">
        <v>474</v>
      </c>
      <c r="X1212" t="s">
        <v>280</v>
      </c>
      <c r="Y1212">
        <v>180</v>
      </c>
      <c r="AB1212">
        <v>0</v>
      </c>
      <c r="AC1212" t="s">
        <v>297</v>
      </c>
      <c r="AE1212" t="s">
        <v>63</v>
      </c>
      <c r="AI1212">
        <v>5</v>
      </c>
      <c r="AT1212" t="s">
        <v>65</v>
      </c>
      <c r="AV1212" t="s">
        <v>88</v>
      </c>
      <c r="AW1212">
        <v>3000</v>
      </c>
      <c r="AZ1212">
        <v>0</v>
      </c>
    </row>
    <row r="1213" spans="1:53" hidden="1" x14ac:dyDescent="0.3">
      <c r="A1213" t="s">
        <v>467</v>
      </c>
      <c r="C1213" t="s">
        <v>251</v>
      </c>
      <c r="D1213" t="s">
        <v>81</v>
      </c>
      <c r="E1213">
        <v>100000000</v>
      </c>
      <c r="N1213" t="s">
        <v>314</v>
      </c>
      <c r="O1213">
        <v>300</v>
      </c>
      <c r="P1213" t="s">
        <v>315</v>
      </c>
      <c r="S1213">
        <v>2</v>
      </c>
      <c r="T1213">
        <v>22</v>
      </c>
      <c r="U1213" t="s">
        <v>120</v>
      </c>
      <c r="V1213">
        <v>75</v>
      </c>
      <c r="W1213" t="s">
        <v>474</v>
      </c>
      <c r="X1213" t="s">
        <v>280</v>
      </c>
      <c r="Y1213">
        <v>180</v>
      </c>
      <c r="AB1213">
        <v>4</v>
      </c>
      <c r="AC1213" t="s">
        <v>297</v>
      </c>
      <c r="AE1213" t="s">
        <v>63</v>
      </c>
      <c r="AI1213">
        <v>5</v>
      </c>
      <c r="AT1213" t="s">
        <v>65</v>
      </c>
      <c r="AV1213" t="s">
        <v>88</v>
      </c>
      <c r="AW1213">
        <v>300</v>
      </c>
      <c r="AZ1213">
        <v>4</v>
      </c>
    </row>
    <row r="1214" spans="1:53" hidden="1" x14ac:dyDescent="0.3">
      <c r="A1214" t="s">
        <v>467</v>
      </c>
      <c r="C1214" t="s">
        <v>251</v>
      </c>
      <c r="D1214" t="s">
        <v>81</v>
      </c>
      <c r="E1214">
        <v>100000000</v>
      </c>
      <c r="N1214" t="s">
        <v>314</v>
      </c>
      <c r="O1214">
        <v>300</v>
      </c>
      <c r="P1214" t="s">
        <v>315</v>
      </c>
      <c r="S1214">
        <v>2</v>
      </c>
      <c r="T1214">
        <v>22</v>
      </c>
      <c r="U1214" t="s">
        <v>120</v>
      </c>
      <c r="V1214">
        <v>75</v>
      </c>
      <c r="W1214" t="s">
        <v>474</v>
      </c>
      <c r="X1214" t="s">
        <v>280</v>
      </c>
      <c r="Y1214">
        <v>180</v>
      </c>
      <c r="AB1214">
        <v>2</v>
      </c>
      <c r="AC1214" t="s">
        <v>297</v>
      </c>
      <c r="AE1214" t="s">
        <v>63</v>
      </c>
      <c r="AI1214">
        <v>5</v>
      </c>
      <c r="AT1214" t="s">
        <v>65</v>
      </c>
      <c r="AV1214" t="s">
        <v>88</v>
      </c>
      <c r="AW1214">
        <v>300</v>
      </c>
      <c r="AZ1214">
        <v>2</v>
      </c>
    </row>
    <row r="1215" spans="1:53" hidden="1" x14ac:dyDescent="0.3">
      <c r="A1215" t="s">
        <v>467</v>
      </c>
      <c r="C1215" t="s">
        <v>251</v>
      </c>
      <c r="D1215" t="s">
        <v>81</v>
      </c>
      <c r="E1215">
        <v>100000000</v>
      </c>
      <c r="N1215" t="s">
        <v>314</v>
      </c>
      <c r="O1215">
        <v>300</v>
      </c>
      <c r="P1215" t="s">
        <v>315</v>
      </c>
      <c r="S1215">
        <v>2</v>
      </c>
      <c r="T1215">
        <v>22</v>
      </c>
      <c r="U1215" t="s">
        <v>120</v>
      </c>
      <c r="V1215">
        <v>75</v>
      </c>
      <c r="W1215" t="s">
        <v>474</v>
      </c>
      <c r="X1215" t="s">
        <v>280</v>
      </c>
      <c r="Y1215">
        <v>180</v>
      </c>
      <c r="AB1215">
        <v>3</v>
      </c>
      <c r="AC1215" t="s">
        <v>297</v>
      </c>
      <c r="AE1215" t="s">
        <v>63</v>
      </c>
      <c r="AI1215">
        <v>5</v>
      </c>
      <c r="AT1215" t="s">
        <v>65</v>
      </c>
      <c r="AV1215" t="s">
        <v>88</v>
      </c>
      <c r="AW1215">
        <v>300</v>
      </c>
      <c r="AZ1215">
        <v>3</v>
      </c>
    </row>
    <row r="1216" spans="1:53" hidden="1" x14ac:dyDescent="0.3">
      <c r="A1216" t="s">
        <v>467</v>
      </c>
      <c r="C1216" t="s">
        <v>251</v>
      </c>
      <c r="D1216" t="s">
        <v>81</v>
      </c>
      <c r="E1216">
        <v>100000000</v>
      </c>
      <c r="N1216" t="s">
        <v>314</v>
      </c>
      <c r="O1216">
        <v>150</v>
      </c>
      <c r="P1216" t="s">
        <v>315</v>
      </c>
      <c r="S1216">
        <v>2</v>
      </c>
      <c r="T1216">
        <v>22</v>
      </c>
      <c r="U1216" t="s">
        <v>120</v>
      </c>
      <c r="V1216">
        <v>75</v>
      </c>
      <c r="W1216" t="s">
        <v>474</v>
      </c>
      <c r="X1216" t="s">
        <v>280</v>
      </c>
      <c r="Y1216">
        <v>180</v>
      </c>
      <c r="AB1216">
        <v>4</v>
      </c>
      <c r="AC1216" t="s">
        <v>297</v>
      </c>
      <c r="AE1216" t="s">
        <v>63</v>
      </c>
      <c r="AI1216">
        <v>5</v>
      </c>
      <c r="AT1216" t="s">
        <v>65</v>
      </c>
      <c r="AV1216" t="s">
        <v>88</v>
      </c>
      <c r="AW1216">
        <v>150</v>
      </c>
      <c r="AZ1216">
        <v>4</v>
      </c>
    </row>
    <row r="1217" spans="1:53" hidden="1" x14ac:dyDescent="0.3">
      <c r="A1217" t="s">
        <v>467</v>
      </c>
      <c r="C1217" t="s">
        <v>251</v>
      </c>
      <c r="D1217" t="s">
        <v>81</v>
      </c>
      <c r="E1217">
        <v>100000000</v>
      </c>
      <c r="N1217" t="s">
        <v>314</v>
      </c>
      <c r="O1217">
        <v>150</v>
      </c>
      <c r="P1217" t="s">
        <v>315</v>
      </c>
      <c r="S1217">
        <v>2</v>
      </c>
      <c r="T1217">
        <v>22</v>
      </c>
      <c r="U1217" t="s">
        <v>120</v>
      </c>
      <c r="V1217">
        <v>75</v>
      </c>
      <c r="W1217" t="s">
        <v>474</v>
      </c>
      <c r="X1217" t="s">
        <v>280</v>
      </c>
      <c r="Y1217">
        <v>180</v>
      </c>
      <c r="AB1217">
        <v>5</v>
      </c>
      <c r="AC1217" t="s">
        <v>297</v>
      </c>
      <c r="AE1217" t="s">
        <v>63</v>
      </c>
      <c r="AI1217">
        <v>5</v>
      </c>
      <c r="AT1217" t="s">
        <v>65</v>
      </c>
      <c r="AV1217" t="s">
        <v>88</v>
      </c>
      <c r="AW1217">
        <v>150</v>
      </c>
      <c r="AZ1217">
        <v>5</v>
      </c>
    </row>
    <row r="1218" spans="1:53" hidden="1" x14ac:dyDescent="0.3">
      <c r="A1218" t="s">
        <v>467</v>
      </c>
      <c r="C1218" t="s">
        <v>251</v>
      </c>
      <c r="D1218" t="s">
        <v>81</v>
      </c>
      <c r="E1218">
        <v>100000000</v>
      </c>
      <c r="N1218" t="s">
        <v>314</v>
      </c>
      <c r="O1218">
        <v>150</v>
      </c>
      <c r="P1218" t="s">
        <v>315</v>
      </c>
      <c r="S1218">
        <v>2</v>
      </c>
      <c r="T1218">
        <v>22</v>
      </c>
      <c r="U1218" t="s">
        <v>120</v>
      </c>
      <c r="V1218">
        <v>75</v>
      </c>
      <c r="W1218" t="s">
        <v>474</v>
      </c>
      <c r="X1218" t="s">
        <v>280</v>
      </c>
      <c r="Y1218">
        <v>180</v>
      </c>
      <c r="AB1218">
        <v>5</v>
      </c>
      <c r="AC1218" t="s">
        <v>297</v>
      </c>
      <c r="AE1218" t="s">
        <v>63</v>
      </c>
      <c r="AI1218">
        <v>5</v>
      </c>
      <c r="AT1218" t="s">
        <v>65</v>
      </c>
      <c r="AV1218" t="s">
        <v>88</v>
      </c>
      <c r="AW1218">
        <v>150</v>
      </c>
      <c r="AZ1218">
        <v>5</v>
      </c>
    </row>
    <row r="1219" spans="1:53" hidden="1" x14ac:dyDescent="0.3">
      <c r="A1219" t="s">
        <v>467</v>
      </c>
      <c r="C1219" t="s">
        <v>251</v>
      </c>
      <c r="D1219" t="s">
        <v>81</v>
      </c>
      <c r="E1219">
        <v>100000000</v>
      </c>
      <c r="N1219" t="s">
        <v>475</v>
      </c>
      <c r="O1219">
        <v>250</v>
      </c>
      <c r="P1219" t="s">
        <v>315</v>
      </c>
      <c r="T1219">
        <v>29.5</v>
      </c>
      <c r="V1219">
        <v>43.5</v>
      </c>
      <c r="W1219" t="s">
        <v>476</v>
      </c>
      <c r="X1219" t="s">
        <v>255</v>
      </c>
      <c r="Y1219">
        <v>90</v>
      </c>
      <c r="AB1219">
        <v>1</v>
      </c>
      <c r="AC1219" t="s">
        <v>297</v>
      </c>
      <c r="AE1219" t="s">
        <v>63</v>
      </c>
      <c r="AH1219">
        <v>5.88</v>
      </c>
      <c r="AI1219">
        <v>30</v>
      </c>
      <c r="AT1219" t="s">
        <v>203</v>
      </c>
      <c r="AV1219" t="s">
        <v>88</v>
      </c>
      <c r="AY1219">
        <v>250</v>
      </c>
      <c r="AZ1219">
        <v>1</v>
      </c>
      <c r="BA1219">
        <v>5.88</v>
      </c>
    </row>
    <row r="1220" spans="1:53" hidden="1" x14ac:dyDescent="0.3">
      <c r="A1220" t="s">
        <v>467</v>
      </c>
      <c r="C1220" t="s">
        <v>251</v>
      </c>
      <c r="D1220" t="s">
        <v>81</v>
      </c>
      <c r="E1220">
        <v>100000000</v>
      </c>
      <c r="N1220" t="s">
        <v>475</v>
      </c>
      <c r="O1220">
        <v>250</v>
      </c>
      <c r="P1220" t="s">
        <v>315</v>
      </c>
      <c r="T1220">
        <v>29.5</v>
      </c>
      <c r="V1220">
        <v>43.5</v>
      </c>
      <c r="W1220" t="s">
        <v>476</v>
      </c>
      <c r="X1220" t="s">
        <v>255</v>
      </c>
      <c r="Y1220">
        <v>90</v>
      </c>
      <c r="AB1220">
        <v>0</v>
      </c>
      <c r="AC1220" t="s">
        <v>297</v>
      </c>
      <c r="AE1220" t="s">
        <v>63</v>
      </c>
      <c r="AH1220">
        <v>5.88</v>
      </c>
      <c r="AI1220">
        <v>30</v>
      </c>
      <c r="AT1220" t="s">
        <v>203</v>
      </c>
      <c r="AV1220" t="s">
        <v>88</v>
      </c>
      <c r="AY1220">
        <v>250</v>
      </c>
      <c r="AZ1220">
        <v>0</v>
      </c>
      <c r="BA1220">
        <v>5.88</v>
      </c>
    </row>
    <row r="1221" spans="1:53" hidden="1" x14ac:dyDescent="0.3">
      <c r="A1221" t="s">
        <v>467</v>
      </c>
      <c r="C1221" t="s">
        <v>251</v>
      </c>
      <c r="D1221" t="s">
        <v>81</v>
      </c>
      <c r="E1221">
        <v>100000000</v>
      </c>
      <c r="N1221" t="s">
        <v>475</v>
      </c>
      <c r="O1221">
        <v>250</v>
      </c>
      <c r="P1221" t="s">
        <v>315</v>
      </c>
      <c r="T1221">
        <v>29.5</v>
      </c>
      <c r="V1221">
        <v>43.5</v>
      </c>
      <c r="W1221" t="s">
        <v>476</v>
      </c>
      <c r="X1221" t="s">
        <v>255</v>
      </c>
      <c r="Y1221">
        <v>90</v>
      </c>
      <c r="AB1221">
        <v>0</v>
      </c>
      <c r="AC1221" t="s">
        <v>297</v>
      </c>
      <c r="AE1221" t="s">
        <v>63</v>
      </c>
      <c r="AH1221">
        <v>5.88</v>
      </c>
      <c r="AI1221">
        <v>30</v>
      </c>
      <c r="AT1221" t="s">
        <v>203</v>
      </c>
      <c r="AV1221" t="s">
        <v>88</v>
      </c>
      <c r="AY1221">
        <v>250</v>
      </c>
      <c r="AZ1221">
        <v>0</v>
      </c>
      <c r="BA1221">
        <v>5.88</v>
      </c>
    </row>
    <row r="1222" spans="1:53" hidden="1" x14ac:dyDescent="0.3">
      <c r="A1222" t="s">
        <v>467</v>
      </c>
      <c r="C1222" t="s">
        <v>251</v>
      </c>
      <c r="D1222" t="s">
        <v>81</v>
      </c>
      <c r="E1222">
        <v>100000000</v>
      </c>
      <c r="N1222" t="s">
        <v>475</v>
      </c>
      <c r="O1222">
        <v>250</v>
      </c>
      <c r="P1222" t="s">
        <v>315</v>
      </c>
      <c r="T1222">
        <v>29.5</v>
      </c>
      <c r="V1222">
        <v>43.5</v>
      </c>
      <c r="W1222" t="s">
        <v>476</v>
      </c>
      <c r="X1222" t="s">
        <v>255</v>
      </c>
      <c r="Y1222">
        <v>90</v>
      </c>
      <c r="AB1222">
        <v>0</v>
      </c>
      <c r="AC1222" t="s">
        <v>297</v>
      </c>
      <c r="AE1222" t="s">
        <v>63</v>
      </c>
      <c r="AH1222">
        <v>5.7</v>
      </c>
      <c r="AI1222">
        <v>30</v>
      </c>
      <c r="AT1222" t="s">
        <v>203</v>
      </c>
      <c r="AV1222" t="s">
        <v>88</v>
      </c>
      <c r="AY1222">
        <v>250</v>
      </c>
      <c r="AZ1222">
        <v>0</v>
      </c>
      <c r="BA1222">
        <v>5.7</v>
      </c>
    </row>
    <row r="1223" spans="1:53" hidden="1" x14ac:dyDescent="0.3">
      <c r="A1223" t="s">
        <v>467</v>
      </c>
      <c r="C1223" t="s">
        <v>251</v>
      </c>
      <c r="D1223" t="s">
        <v>81</v>
      </c>
      <c r="E1223">
        <v>100000000</v>
      </c>
      <c r="N1223" t="s">
        <v>475</v>
      </c>
      <c r="O1223">
        <v>250</v>
      </c>
      <c r="P1223" t="s">
        <v>315</v>
      </c>
      <c r="T1223">
        <v>29.5</v>
      </c>
      <c r="V1223">
        <v>43.5</v>
      </c>
      <c r="W1223" t="s">
        <v>476</v>
      </c>
      <c r="X1223" t="s">
        <v>255</v>
      </c>
      <c r="Y1223">
        <v>90</v>
      </c>
      <c r="AB1223">
        <v>0</v>
      </c>
      <c r="AC1223" t="s">
        <v>297</v>
      </c>
      <c r="AE1223" t="s">
        <v>63</v>
      </c>
      <c r="AH1223">
        <v>5.7</v>
      </c>
      <c r="AI1223">
        <v>30</v>
      </c>
      <c r="AT1223" t="s">
        <v>203</v>
      </c>
      <c r="AV1223" t="s">
        <v>88</v>
      </c>
      <c r="AY1223">
        <v>250</v>
      </c>
      <c r="AZ1223">
        <v>0</v>
      </c>
      <c r="BA1223">
        <v>5.7</v>
      </c>
    </row>
    <row r="1224" spans="1:53" hidden="1" x14ac:dyDescent="0.3">
      <c r="A1224" t="s">
        <v>467</v>
      </c>
      <c r="C1224" t="s">
        <v>251</v>
      </c>
      <c r="D1224" t="s">
        <v>81</v>
      </c>
      <c r="E1224">
        <v>100000000</v>
      </c>
      <c r="N1224" t="s">
        <v>475</v>
      </c>
      <c r="O1224">
        <v>250</v>
      </c>
      <c r="P1224" t="s">
        <v>315</v>
      </c>
      <c r="T1224">
        <v>29.5</v>
      </c>
      <c r="V1224">
        <v>43.5</v>
      </c>
      <c r="W1224" t="s">
        <v>476</v>
      </c>
      <c r="X1224" t="s">
        <v>255</v>
      </c>
      <c r="Y1224">
        <v>90</v>
      </c>
      <c r="AB1224">
        <v>0</v>
      </c>
      <c r="AC1224" t="s">
        <v>297</v>
      </c>
      <c r="AE1224" t="s">
        <v>63</v>
      </c>
      <c r="AH1224">
        <v>5.7</v>
      </c>
      <c r="AI1224">
        <v>30</v>
      </c>
      <c r="AT1224" t="s">
        <v>203</v>
      </c>
      <c r="AV1224" t="s">
        <v>88</v>
      </c>
      <c r="AY1224">
        <v>250</v>
      </c>
      <c r="AZ1224">
        <v>0</v>
      </c>
      <c r="BA1224">
        <v>5.7</v>
      </c>
    </row>
    <row r="1225" spans="1:53" hidden="1" x14ac:dyDescent="0.3">
      <c r="A1225" t="s">
        <v>467</v>
      </c>
      <c r="C1225" t="s">
        <v>251</v>
      </c>
      <c r="D1225" t="s">
        <v>81</v>
      </c>
      <c r="E1225">
        <v>100000000</v>
      </c>
      <c r="N1225" t="s">
        <v>475</v>
      </c>
      <c r="O1225">
        <v>250</v>
      </c>
      <c r="P1225" t="s">
        <v>315</v>
      </c>
      <c r="T1225">
        <v>29.5</v>
      </c>
      <c r="V1225">
        <v>43.5</v>
      </c>
      <c r="W1225" t="s">
        <v>476</v>
      </c>
      <c r="X1225" t="s">
        <v>255</v>
      </c>
      <c r="Y1225">
        <v>30</v>
      </c>
      <c r="AB1225">
        <v>14</v>
      </c>
      <c r="AC1225" t="s">
        <v>297</v>
      </c>
      <c r="AE1225" t="s">
        <v>63</v>
      </c>
      <c r="AH1225">
        <v>5.88</v>
      </c>
      <c r="AI1225">
        <v>30</v>
      </c>
      <c r="AT1225" t="s">
        <v>203</v>
      </c>
      <c r="AV1225" t="s">
        <v>88</v>
      </c>
      <c r="AY1225">
        <v>250</v>
      </c>
      <c r="AZ1225">
        <v>14</v>
      </c>
      <c r="BA1225">
        <v>5.88</v>
      </c>
    </row>
    <row r="1226" spans="1:53" hidden="1" x14ac:dyDescent="0.3">
      <c r="A1226" t="s">
        <v>467</v>
      </c>
      <c r="C1226" t="s">
        <v>251</v>
      </c>
      <c r="D1226" t="s">
        <v>81</v>
      </c>
      <c r="E1226">
        <v>100000000</v>
      </c>
      <c r="N1226" t="s">
        <v>475</v>
      </c>
      <c r="O1226">
        <v>250</v>
      </c>
      <c r="P1226" t="s">
        <v>315</v>
      </c>
      <c r="T1226">
        <v>29.5</v>
      </c>
      <c r="V1226">
        <v>43.5</v>
      </c>
      <c r="W1226" t="s">
        <v>476</v>
      </c>
      <c r="X1226" t="s">
        <v>255</v>
      </c>
      <c r="Y1226">
        <v>30</v>
      </c>
      <c r="AB1226">
        <v>7</v>
      </c>
      <c r="AC1226" t="s">
        <v>297</v>
      </c>
      <c r="AE1226" t="s">
        <v>63</v>
      </c>
      <c r="AH1226">
        <v>5.88</v>
      </c>
      <c r="AI1226">
        <v>30</v>
      </c>
      <c r="AT1226" t="s">
        <v>203</v>
      </c>
      <c r="AV1226" t="s">
        <v>88</v>
      </c>
      <c r="AY1226">
        <v>250</v>
      </c>
      <c r="AZ1226">
        <v>7</v>
      </c>
      <c r="BA1226">
        <v>5.88</v>
      </c>
    </row>
    <row r="1227" spans="1:53" hidden="1" x14ac:dyDescent="0.3">
      <c r="A1227" t="s">
        <v>467</v>
      </c>
      <c r="C1227" t="s">
        <v>251</v>
      </c>
      <c r="D1227" t="s">
        <v>81</v>
      </c>
      <c r="E1227">
        <v>100000000</v>
      </c>
      <c r="N1227" t="s">
        <v>475</v>
      </c>
      <c r="O1227">
        <v>250</v>
      </c>
      <c r="P1227" t="s">
        <v>315</v>
      </c>
      <c r="T1227">
        <v>29.5</v>
      </c>
      <c r="V1227">
        <v>43.5</v>
      </c>
      <c r="W1227" t="s">
        <v>476</v>
      </c>
      <c r="X1227" t="s">
        <v>255</v>
      </c>
      <c r="Y1227">
        <v>30</v>
      </c>
      <c r="AB1227">
        <v>7</v>
      </c>
      <c r="AC1227" t="s">
        <v>297</v>
      </c>
      <c r="AE1227" t="s">
        <v>63</v>
      </c>
      <c r="AH1227">
        <v>5.88</v>
      </c>
      <c r="AI1227">
        <v>30</v>
      </c>
      <c r="AT1227" t="s">
        <v>203</v>
      </c>
      <c r="AV1227" t="s">
        <v>88</v>
      </c>
      <c r="AY1227">
        <v>250</v>
      </c>
      <c r="AZ1227">
        <v>7</v>
      </c>
      <c r="BA1227">
        <v>5.88</v>
      </c>
    </row>
    <row r="1228" spans="1:53" hidden="1" x14ac:dyDescent="0.3">
      <c r="A1228" t="s">
        <v>467</v>
      </c>
      <c r="C1228" t="s">
        <v>251</v>
      </c>
      <c r="D1228" t="s">
        <v>81</v>
      </c>
      <c r="E1228">
        <v>100000000</v>
      </c>
      <c r="N1228" t="s">
        <v>475</v>
      </c>
      <c r="O1228">
        <v>250</v>
      </c>
      <c r="P1228" t="s">
        <v>315</v>
      </c>
      <c r="T1228">
        <v>29.5</v>
      </c>
      <c r="V1228">
        <v>43.5</v>
      </c>
      <c r="W1228" t="s">
        <v>476</v>
      </c>
      <c r="X1228" t="s">
        <v>255</v>
      </c>
      <c r="Y1228">
        <v>30</v>
      </c>
      <c r="AB1228">
        <v>13</v>
      </c>
      <c r="AC1228" t="s">
        <v>297</v>
      </c>
      <c r="AE1228" t="s">
        <v>63</v>
      </c>
      <c r="AH1228">
        <v>5.7</v>
      </c>
      <c r="AI1228">
        <v>30</v>
      </c>
      <c r="AT1228" t="s">
        <v>203</v>
      </c>
      <c r="AV1228" t="s">
        <v>88</v>
      </c>
      <c r="AY1228">
        <v>250</v>
      </c>
      <c r="AZ1228">
        <v>13</v>
      </c>
      <c r="BA1228">
        <v>5.7</v>
      </c>
    </row>
    <row r="1229" spans="1:53" hidden="1" x14ac:dyDescent="0.3">
      <c r="A1229" t="s">
        <v>467</v>
      </c>
      <c r="C1229" t="s">
        <v>251</v>
      </c>
      <c r="D1229" t="s">
        <v>81</v>
      </c>
      <c r="E1229">
        <v>100000000</v>
      </c>
      <c r="N1229" t="s">
        <v>475</v>
      </c>
      <c r="O1229">
        <v>250</v>
      </c>
      <c r="P1229" t="s">
        <v>315</v>
      </c>
      <c r="T1229">
        <v>29.5</v>
      </c>
      <c r="V1229">
        <v>43.5</v>
      </c>
      <c r="W1229" t="s">
        <v>476</v>
      </c>
      <c r="X1229" t="s">
        <v>255</v>
      </c>
      <c r="Y1229">
        <v>30</v>
      </c>
      <c r="AB1229">
        <v>6</v>
      </c>
      <c r="AC1229" t="s">
        <v>297</v>
      </c>
      <c r="AE1229" t="s">
        <v>63</v>
      </c>
      <c r="AH1229">
        <v>5.7</v>
      </c>
      <c r="AI1229">
        <v>30</v>
      </c>
      <c r="AT1229" t="s">
        <v>203</v>
      </c>
      <c r="AV1229" t="s">
        <v>88</v>
      </c>
      <c r="AY1229">
        <v>250</v>
      </c>
      <c r="AZ1229">
        <v>6</v>
      </c>
      <c r="BA1229">
        <v>5.7</v>
      </c>
    </row>
    <row r="1230" spans="1:53" hidden="1" x14ac:dyDescent="0.3">
      <c r="A1230" t="s">
        <v>467</v>
      </c>
      <c r="C1230" t="s">
        <v>251</v>
      </c>
      <c r="D1230" t="s">
        <v>81</v>
      </c>
      <c r="E1230">
        <v>100000000</v>
      </c>
      <c r="N1230" t="s">
        <v>475</v>
      </c>
      <c r="O1230">
        <v>250</v>
      </c>
      <c r="P1230" t="s">
        <v>315</v>
      </c>
      <c r="T1230">
        <v>29.5</v>
      </c>
      <c r="V1230">
        <v>43.5</v>
      </c>
      <c r="W1230" t="s">
        <v>476</v>
      </c>
      <c r="X1230" t="s">
        <v>255</v>
      </c>
      <c r="Y1230">
        <v>30</v>
      </c>
      <c r="AB1230">
        <v>5</v>
      </c>
      <c r="AC1230" t="s">
        <v>297</v>
      </c>
      <c r="AE1230" t="s">
        <v>63</v>
      </c>
      <c r="AH1230">
        <v>5.7</v>
      </c>
      <c r="AI1230">
        <v>30</v>
      </c>
      <c r="AT1230" t="s">
        <v>203</v>
      </c>
      <c r="AV1230" t="s">
        <v>88</v>
      </c>
      <c r="AY1230">
        <v>250</v>
      </c>
      <c r="AZ1230">
        <v>5</v>
      </c>
      <c r="BA1230">
        <v>5.7</v>
      </c>
    </row>
    <row r="1231" spans="1:53" hidden="1" x14ac:dyDescent="0.3">
      <c r="A1231" t="s">
        <v>467</v>
      </c>
      <c r="C1231" t="s">
        <v>251</v>
      </c>
      <c r="D1231" t="s">
        <v>81</v>
      </c>
      <c r="E1231">
        <v>100000000</v>
      </c>
      <c r="N1231" t="s">
        <v>475</v>
      </c>
      <c r="O1231">
        <v>250</v>
      </c>
      <c r="P1231" t="s">
        <v>315</v>
      </c>
      <c r="T1231">
        <v>29.5</v>
      </c>
      <c r="V1231">
        <v>43.5</v>
      </c>
      <c r="W1231" t="s">
        <v>476</v>
      </c>
      <c r="X1231" t="s">
        <v>255</v>
      </c>
      <c r="Y1231">
        <v>0</v>
      </c>
      <c r="AB1231">
        <v>18</v>
      </c>
      <c r="AC1231" t="s">
        <v>297</v>
      </c>
      <c r="AE1231" t="s">
        <v>63</v>
      </c>
      <c r="AH1231">
        <v>5.88</v>
      </c>
      <c r="AI1231">
        <v>30</v>
      </c>
      <c r="AT1231" t="s">
        <v>203</v>
      </c>
      <c r="AV1231" t="s">
        <v>88</v>
      </c>
      <c r="AY1231">
        <v>250</v>
      </c>
      <c r="AZ1231">
        <v>18</v>
      </c>
      <c r="BA1231">
        <v>5.88</v>
      </c>
    </row>
    <row r="1232" spans="1:53" hidden="1" x14ac:dyDescent="0.3">
      <c r="A1232" t="s">
        <v>467</v>
      </c>
      <c r="C1232" t="s">
        <v>251</v>
      </c>
      <c r="D1232" t="s">
        <v>81</v>
      </c>
      <c r="E1232">
        <v>100000000</v>
      </c>
      <c r="N1232" t="s">
        <v>475</v>
      </c>
      <c r="O1232">
        <v>250</v>
      </c>
      <c r="P1232" t="s">
        <v>315</v>
      </c>
      <c r="T1232">
        <v>29.5</v>
      </c>
      <c r="V1232">
        <v>43.5</v>
      </c>
      <c r="W1232" t="s">
        <v>476</v>
      </c>
      <c r="X1232" t="s">
        <v>255</v>
      </c>
      <c r="Y1232">
        <v>0</v>
      </c>
      <c r="AB1232">
        <v>14</v>
      </c>
      <c r="AC1232" t="s">
        <v>297</v>
      </c>
      <c r="AE1232" t="s">
        <v>63</v>
      </c>
      <c r="AH1232">
        <v>5.88</v>
      </c>
      <c r="AI1232">
        <v>30</v>
      </c>
      <c r="AT1232" t="s">
        <v>203</v>
      </c>
      <c r="AV1232" t="s">
        <v>88</v>
      </c>
      <c r="AY1232">
        <v>250</v>
      </c>
      <c r="AZ1232">
        <v>14</v>
      </c>
      <c r="BA1232">
        <v>5.88</v>
      </c>
    </row>
    <row r="1233" spans="1:53" hidden="1" x14ac:dyDescent="0.3">
      <c r="A1233" t="s">
        <v>467</v>
      </c>
      <c r="C1233" t="s">
        <v>251</v>
      </c>
      <c r="D1233" t="s">
        <v>81</v>
      </c>
      <c r="E1233">
        <v>100000000</v>
      </c>
      <c r="N1233" t="s">
        <v>475</v>
      </c>
      <c r="O1233">
        <v>250</v>
      </c>
      <c r="P1233" t="s">
        <v>315</v>
      </c>
      <c r="T1233">
        <v>29.5</v>
      </c>
      <c r="V1233">
        <v>43.5</v>
      </c>
      <c r="W1233" t="s">
        <v>476</v>
      </c>
      <c r="X1233" t="s">
        <v>255</v>
      </c>
      <c r="Y1233">
        <v>0</v>
      </c>
      <c r="AB1233">
        <v>19</v>
      </c>
      <c r="AC1233" t="s">
        <v>297</v>
      </c>
      <c r="AE1233" t="s">
        <v>63</v>
      </c>
      <c r="AH1233">
        <v>5.88</v>
      </c>
      <c r="AI1233">
        <v>30</v>
      </c>
      <c r="AT1233" t="s">
        <v>203</v>
      </c>
      <c r="AV1233" t="s">
        <v>88</v>
      </c>
      <c r="AY1233">
        <v>250</v>
      </c>
      <c r="AZ1233">
        <v>19</v>
      </c>
      <c r="BA1233">
        <v>5.88</v>
      </c>
    </row>
    <row r="1234" spans="1:53" hidden="1" x14ac:dyDescent="0.3">
      <c r="A1234" t="s">
        <v>467</v>
      </c>
      <c r="C1234" t="s">
        <v>251</v>
      </c>
      <c r="D1234" t="s">
        <v>81</v>
      </c>
      <c r="E1234">
        <v>100000000</v>
      </c>
      <c r="N1234" t="s">
        <v>475</v>
      </c>
      <c r="O1234">
        <v>250</v>
      </c>
      <c r="P1234" t="s">
        <v>315</v>
      </c>
      <c r="T1234">
        <v>29.5</v>
      </c>
      <c r="V1234">
        <v>43.5</v>
      </c>
      <c r="W1234" t="s">
        <v>476</v>
      </c>
      <c r="X1234" t="s">
        <v>255</v>
      </c>
      <c r="Y1234">
        <v>0</v>
      </c>
      <c r="AB1234">
        <v>13</v>
      </c>
      <c r="AC1234" t="s">
        <v>297</v>
      </c>
      <c r="AE1234" t="s">
        <v>63</v>
      </c>
      <c r="AH1234">
        <v>5.7</v>
      </c>
      <c r="AI1234">
        <v>30</v>
      </c>
      <c r="AT1234" t="s">
        <v>203</v>
      </c>
      <c r="AV1234" t="s">
        <v>88</v>
      </c>
      <c r="AY1234">
        <v>250</v>
      </c>
      <c r="AZ1234">
        <v>13</v>
      </c>
      <c r="BA1234">
        <v>5.7</v>
      </c>
    </row>
    <row r="1235" spans="1:53" hidden="1" x14ac:dyDescent="0.3">
      <c r="A1235" t="s">
        <v>467</v>
      </c>
      <c r="C1235" t="s">
        <v>251</v>
      </c>
      <c r="D1235" t="s">
        <v>81</v>
      </c>
      <c r="E1235">
        <v>100000000</v>
      </c>
      <c r="N1235" t="s">
        <v>475</v>
      </c>
      <c r="O1235">
        <v>250</v>
      </c>
      <c r="P1235" t="s">
        <v>315</v>
      </c>
      <c r="T1235">
        <v>29.5</v>
      </c>
      <c r="V1235">
        <v>43.5</v>
      </c>
      <c r="W1235" t="s">
        <v>476</v>
      </c>
      <c r="X1235" t="s">
        <v>255</v>
      </c>
      <c r="Y1235">
        <v>0</v>
      </c>
      <c r="AB1235">
        <v>20</v>
      </c>
      <c r="AC1235" t="s">
        <v>297</v>
      </c>
      <c r="AE1235" t="s">
        <v>63</v>
      </c>
      <c r="AH1235">
        <v>5.7</v>
      </c>
      <c r="AI1235">
        <v>30</v>
      </c>
      <c r="AT1235" t="s">
        <v>203</v>
      </c>
      <c r="AV1235" t="s">
        <v>88</v>
      </c>
      <c r="AY1235">
        <v>250</v>
      </c>
      <c r="AZ1235">
        <v>20</v>
      </c>
      <c r="BA1235">
        <v>5.7</v>
      </c>
    </row>
    <row r="1236" spans="1:53" hidden="1" x14ac:dyDescent="0.3">
      <c r="A1236" t="s">
        <v>467</v>
      </c>
      <c r="C1236" t="s">
        <v>251</v>
      </c>
      <c r="D1236" t="s">
        <v>81</v>
      </c>
      <c r="E1236">
        <v>100000000</v>
      </c>
      <c r="N1236" t="s">
        <v>475</v>
      </c>
      <c r="O1236">
        <v>250</v>
      </c>
      <c r="P1236" t="s">
        <v>315</v>
      </c>
      <c r="T1236">
        <v>29.5</v>
      </c>
      <c r="V1236">
        <v>43.5</v>
      </c>
      <c r="W1236" t="s">
        <v>476</v>
      </c>
      <c r="X1236" t="s">
        <v>255</v>
      </c>
      <c r="Y1236">
        <v>0</v>
      </c>
      <c r="AB1236">
        <v>18</v>
      </c>
      <c r="AC1236" t="s">
        <v>297</v>
      </c>
      <c r="AE1236" t="s">
        <v>63</v>
      </c>
      <c r="AH1236">
        <v>5.7</v>
      </c>
      <c r="AI1236">
        <v>30</v>
      </c>
      <c r="AT1236" t="s">
        <v>203</v>
      </c>
      <c r="AV1236" t="s">
        <v>88</v>
      </c>
      <c r="AY1236">
        <v>250</v>
      </c>
      <c r="AZ1236">
        <v>18</v>
      </c>
      <c r="BA1236">
        <v>5.7</v>
      </c>
    </row>
    <row r="1237" spans="1:53" hidden="1" x14ac:dyDescent="0.3">
      <c r="A1237" t="s">
        <v>467</v>
      </c>
      <c r="C1237" t="s">
        <v>251</v>
      </c>
      <c r="D1237" t="s">
        <v>81</v>
      </c>
      <c r="E1237">
        <v>100000000</v>
      </c>
      <c r="N1237" t="s">
        <v>475</v>
      </c>
      <c r="O1237">
        <v>250</v>
      </c>
      <c r="P1237" t="s">
        <v>315</v>
      </c>
      <c r="T1237">
        <v>29.5</v>
      </c>
      <c r="V1237">
        <v>43.5</v>
      </c>
      <c r="W1237" t="s">
        <v>473</v>
      </c>
      <c r="X1237" t="s">
        <v>255</v>
      </c>
      <c r="Y1237">
        <v>90</v>
      </c>
      <c r="AB1237">
        <v>1</v>
      </c>
      <c r="AC1237" t="s">
        <v>297</v>
      </c>
      <c r="AE1237" t="s">
        <v>63</v>
      </c>
      <c r="AH1237">
        <v>5.64</v>
      </c>
      <c r="AI1237">
        <v>30</v>
      </c>
      <c r="AV1237" t="s">
        <v>88</v>
      </c>
      <c r="AY1237">
        <v>250</v>
      </c>
      <c r="AZ1237">
        <v>1</v>
      </c>
      <c r="BA1237">
        <v>5.64</v>
      </c>
    </row>
    <row r="1238" spans="1:53" hidden="1" x14ac:dyDescent="0.3">
      <c r="A1238" t="s">
        <v>467</v>
      </c>
      <c r="C1238" t="s">
        <v>251</v>
      </c>
      <c r="D1238" t="s">
        <v>81</v>
      </c>
      <c r="E1238">
        <v>100000000</v>
      </c>
      <c r="N1238" t="s">
        <v>475</v>
      </c>
      <c r="O1238">
        <v>250</v>
      </c>
      <c r="P1238" t="s">
        <v>315</v>
      </c>
      <c r="T1238">
        <v>29.5</v>
      </c>
      <c r="V1238">
        <v>43.5</v>
      </c>
      <c r="W1238" t="s">
        <v>473</v>
      </c>
      <c r="X1238" t="s">
        <v>255</v>
      </c>
      <c r="Y1238">
        <v>90</v>
      </c>
      <c r="AB1238">
        <v>0</v>
      </c>
      <c r="AC1238" t="s">
        <v>297</v>
      </c>
      <c r="AE1238" t="s">
        <v>63</v>
      </c>
      <c r="AH1238">
        <v>5.64</v>
      </c>
      <c r="AI1238">
        <v>30</v>
      </c>
      <c r="AV1238" t="s">
        <v>88</v>
      </c>
      <c r="AY1238">
        <v>250</v>
      </c>
      <c r="AZ1238">
        <v>0</v>
      </c>
      <c r="BA1238">
        <v>5.64</v>
      </c>
    </row>
    <row r="1239" spans="1:53" hidden="1" x14ac:dyDescent="0.3">
      <c r="A1239" t="s">
        <v>467</v>
      </c>
      <c r="C1239" t="s">
        <v>251</v>
      </c>
      <c r="D1239" t="s">
        <v>81</v>
      </c>
      <c r="E1239">
        <v>100000000</v>
      </c>
      <c r="N1239" t="s">
        <v>475</v>
      </c>
      <c r="O1239">
        <v>250</v>
      </c>
      <c r="P1239" t="s">
        <v>315</v>
      </c>
      <c r="T1239">
        <v>29.5</v>
      </c>
      <c r="V1239">
        <v>43.5</v>
      </c>
      <c r="W1239" t="s">
        <v>473</v>
      </c>
      <c r="X1239" t="s">
        <v>255</v>
      </c>
      <c r="Y1239">
        <v>90</v>
      </c>
      <c r="AB1239">
        <v>0</v>
      </c>
      <c r="AC1239" t="s">
        <v>297</v>
      </c>
      <c r="AE1239" t="s">
        <v>63</v>
      </c>
      <c r="AH1239">
        <v>5.64</v>
      </c>
      <c r="AI1239">
        <v>30</v>
      </c>
      <c r="AV1239" t="s">
        <v>88</v>
      </c>
      <c r="AY1239">
        <v>250</v>
      </c>
      <c r="AZ1239">
        <v>0</v>
      </c>
      <c r="BA1239">
        <v>5.64</v>
      </c>
    </row>
    <row r="1240" spans="1:53" hidden="1" x14ac:dyDescent="0.3">
      <c r="A1240" t="s">
        <v>467</v>
      </c>
      <c r="C1240" t="s">
        <v>251</v>
      </c>
      <c r="D1240" t="s">
        <v>81</v>
      </c>
      <c r="E1240">
        <v>100000000</v>
      </c>
      <c r="N1240" t="s">
        <v>475</v>
      </c>
      <c r="O1240">
        <v>250</v>
      </c>
      <c r="P1240" t="s">
        <v>315</v>
      </c>
      <c r="T1240">
        <v>29.5</v>
      </c>
      <c r="V1240">
        <v>43.5</v>
      </c>
      <c r="W1240" t="s">
        <v>473</v>
      </c>
      <c r="X1240" t="s">
        <v>255</v>
      </c>
      <c r="Y1240">
        <v>90</v>
      </c>
      <c r="AB1240">
        <v>1</v>
      </c>
      <c r="AC1240" t="s">
        <v>297</v>
      </c>
      <c r="AE1240" t="s">
        <v>63</v>
      </c>
      <c r="AH1240">
        <v>5.51</v>
      </c>
      <c r="AI1240">
        <v>30</v>
      </c>
      <c r="AV1240" t="s">
        <v>88</v>
      </c>
      <c r="AY1240">
        <v>250</v>
      </c>
      <c r="AZ1240">
        <v>1</v>
      </c>
      <c r="BA1240">
        <v>5.51</v>
      </c>
    </row>
    <row r="1241" spans="1:53" hidden="1" x14ac:dyDescent="0.3">
      <c r="A1241" t="s">
        <v>467</v>
      </c>
      <c r="C1241" t="s">
        <v>251</v>
      </c>
      <c r="D1241" t="s">
        <v>81</v>
      </c>
      <c r="E1241">
        <v>100000000</v>
      </c>
      <c r="N1241" t="s">
        <v>475</v>
      </c>
      <c r="O1241">
        <v>250</v>
      </c>
      <c r="P1241" t="s">
        <v>315</v>
      </c>
      <c r="T1241">
        <v>29.5</v>
      </c>
      <c r="V1241">
        <v>43.5</v>
      </c>
      <c r="W1241" t="s">
        <v>473</v>
      </c>
      <c r="X1241" t="s">
        <v>255</v>
      </c>
      <c r="Y1241">
        <v>90</v>
      </c>
      <c r="AB1241">
        <v>0</v>
      </c>
      <c r="AC1241" t="s">
        <v>297</v>
      </c>
      <c r="AE1241" t="s">
        <v>63</v>
      </c>
      <c r="AH1241">
        <v>5.51</v>
      </c>
      <c r="AI1241">
        <v>30</v>
      </c>
      <c r="AV1241" t="s">
        <v>88</v>
      </c>
      <c r="AY1241">
        <v>250</v>
      </c>
      <c r="AZ1241">
        <v>0</v>
      </c>
      <c r="BA1241">
        <v>5.51</v>
      </c>
    </row>
    <row r="1242" spans="1:53" hidden="1" x14ac:dyDescent="0.3">
      <c r="A1242" t="s">
        <v>467</v>
      </c>
      <c r="C1242" t="s">
        <v>251</v>
      </c>
      <c r="D1242" t="s">
        <v>81</v>
      </c>
      <c r="E1242">
        <v>100000000</v>
      </c>
      <c r="N1242" t="s">
        <v>475</v>
      </c>
      <c r="O1242">
        <v>250</v>
      </c>
      <c r="P1242" t="s">
        <v>315</v>
      </c>
      <c r="T1242">
        <v>29.5</v>
      </c>
      <c r="V1242">
        <v>43.5</v>
      </c>
      <c r="W1242" t="s">
        <v>473</v>
      </c>
      <c r="X1242" t="s">
        <v>255</v>
      </c>
      <c r="Y1242">
        <v>90</v>
      </c>
      <c r="AB1242">
        <v>0</v>
      </c>
      <c r="AC1242" t="s">
        <v>297</v>
      </c>
      <c r="AE1242" t="s">
        <v>63</v>
      </c>
      <c r="AH1242">
        <v>5.51</v>
      </c>
      <c r="AI1242">
        <v>30</v>
      </c>
      <c r="AV1242" t="s">
        <v>88</v>
      </c>
      <c r="AY1242">
        <v>250</v>
      </c>
      <c r="AZ1242">
        <v>0</v>
      </c>
      <c r="BA1242">
        <v>5.51</v>
      </c>
    </row>
    <row r="1243" spans="1:53" hidden="1" x14ac:dyDescent="0.3">
      <c r="A1243" t="s">
        <v>467</v>
      </c>
      <c r="C1243" t="s">
        <v>251</v>
      </c>
      <c r="D1243" t="s">
        <v>81</v>
      </c>
      <c r="E1243">
        <v>100000000</v>
      </c>
      <c r="N1243" t="s">
        <v>475</v>
      </c>
      <c r="O1243">
        <v>250</v>
      </c>
      <c r="P1243" t="s">
        <v>315</v>
      </c>
      <c r="T1243">
        <v>29.5</v>
      </c>
      <c r="V1243">
        <v>43.5</v>
      </c>
      <c r="W1243" t="s">
        <v>473</v>
      </c>
      <c r="X1243" t="s">
        <v>255</v>
      </c>
      <c r="Y1243">
        <v>30</v>
      </c>
      <c r="AB1243">
        <v>10</v>
      </c>
      <c r="AC1243" t="s">
        <v>297</v>
      </c>
      <c r="AE1243" t="s">
        <v>63</v>
      </c>
      <c r="AH1243">
        <v>5.64</v>
      </c>
      <c r="AI1243">
        <v>30</v>
      </c>
      <c r="AV1243" t="s">
        <v>88</v>
      </c>
      <c r="AY1243">
        <v>250</v>
      </c>
      <c r="AZ1243">
        <v>10</v>
      </c>
      <c r="BA1243">
        <v>5.64</v>
      </c>
    </row>
    <row r="1244" spans="1:53" hidden="1" x14ac:dyDescent="0.3">
      <c r="A1244" t="s">
        <v>467</v>
      </c>
      <c r="C1244" t="s">
        <v>251</v>
      </c>
      <c r="D1244" t="s">
        <v>81</v>
      </c>
      <c r="E1244">
        <v>100000000</v>
      </c>
      <c r="N1244" t="s">
        <v>475</v>
      </c>
      <c r="O1244">
        <v>250</v>
      </c>
      <c r="P1244" t="s">
        <v>315</v>
      </c>
      <c r="T1244">
        <v>29.5</v>
      </c>
      <c r="V1244">
        <v>43.5</v>
      </c>
      <c r="W1244" t="s">
        <v>473</v>
      </c>
      <c r="X1244" t="s">
        <v>255</v>
      </c>
      <c r="Y1244">
        <v>30</v>
      </c>
      <c r="AB1244">
        <v>6</v>
      </c>
      <c r="AC1244" t="s">
        <v>297</v>
      </c>
      <c r="AE1244" t="s">
        <v>63</v>
      </c>
      <c r="AH1244">
        <v>5.64</v>
      </c>
      <c r="AI1244">
        <v>30</v>
      </c>
      <c r="AV1244" t="s">
        <v>88</v>
      </c>
      <c r="AY1244">
        <v>250</v>
      </c>
      <c r="AZ1244">
        <v>6</v>
      </c>
      <c r="BA1244">
        <v>5.64</v>
      </c>
    </row>
    <row r="1245" spans="1:53" hidden="1" x14ac:dyDescent="0.3">
      <c r="A1245" t="s">
        <v>467</v>
      </c>
      <c r="C1245" t="s">
        <v>251</v>
      </c>
      <c r="D1245" t="s">
        <v>81</v>
      </c>
      <c r="E1245">
        <v>100000000</v>
      </c>
      <c r="N1245" t="s">
        <v>475</v>
      </c>
      <c r="O1245">
        <v>250</v>
      </c>
      <c r="P1245" t="s">
        <v>315</v>
      </c>
      <c r="T1245">
        <v>29.5</v>
      </c>
      <c r="V1245">
        <v>43.5</v>
      </c>
      <c r="W1245" t="s">
        <v>473</v>
      </c>
      <c r="X1245" t="s">
        <v>255</v>
      </c>
      <c r="Y1245">
        <v>30</v>
      </c>
      <c r="AB1245">
        <v>9</v>
      </c>
      <c r="AC1245" t="s">
        <v>297</v>
      </c>
      <c r="AE1245" t="s">
        <v>63</v>
      </c>
      <c r="AH1245">
        <v>5.64</v>
      </c>
      <c r="AI1245">
        <v>30</v>
      </c>
      <c r="AV1245" t="s">
        <v>88</v>
      </c>
      <c r="AY1245">
        <v>250</v>
      </c>
      <c r="AZ1245">
        <v>9</v>
      </c>
      <c r="BA1245">
        <v>5.64</v>
      </c>
    </row>
    <row r="1246" spans="1:53" hidden="1" x14ac:dyDescent="0.3">
      <c r="A1246" t="s">
        <v>467</v>
      </c>
      <c r="C1246" t="s">
        <v>251</v>
      </c>
      <c r="D1246" t="s">
        <v>81</v>
      </c>
      <c r="E1246">
        <v>100000000</v>
      </c>
      <c r="N1246" t="s">
        <v>475</v>
      </c>
      <c r="O1246">
        <v>250</v>
      </c>
      <c r="P1246" t="s">
        <v>315</v>
      </c>
      <c r="T1246">
        <v>29.5</v>
      </c>
      <c r="V1246">
        <v>43.5</v>
      </c>
      <c r="W1246" t="s">
        <v>473</v>
      </c>
      <c r="X1246" t="s">
        <v>255</v>
      </c>
      <c r="Y1246">
        <v>30</v>
      </c>
      <c r="AB1246">
        <v>9</v>
      </c>
      <c r="AC1246" t="s">
        <v>297</v>
      </c>
      <c r="AE1246" t="s">
        <v>63</v>
      </c>
      <c r="AH1246">
        <v>5.51</v>
      </c>
      <c r="AI1246">
        <v>30</v>
      </c>
      <c r="AV1246" t="s">
        <v>88</v>
      </c>
      <c r="AY1246">
        <v>250</v>
      </c>
      <c r="AZ1246">
        <v>9</v>
      </c>
      <c r="BA1246">
        <v>5.51</v>
      </c>
    </row>
    <row r="1247" spans="1:53" hidden="1" x14ac:dyDescent="0.3">
      <c r="A1247" t="s">
        <v>467</v>
      </c>
      <c r="C1247" t="s">
        <v>251</v>
      </c>
      <c r="D1247" t="s">
        <v>81</v>
      </c>
      <c r="E1247">
        <v>100000000</v>
      </c>
      <c r="N1247" t="s">
        <v>475</v>
      </c>
      <c r="O1247">
        <v>250</v>
      </c>
      <c r="P1247" t="s">
        <v>315</v>
      </c>
      <c r="T1247">
        <v>29.5</v>
      </c>
      <c r="V1247">
        <v>43.5</v>
      </c>
      <c r="W1247" t="s">
        <v>473</v>
      </c>
      <c r="X1247" t="s">
        <v>255</v>
      </c>
      <c r="Y1247">
        <v>30</v>
      </c>
      <c r="AB1247">
        <v>9</v>
      </c>
      <c r="AC1247" t="s">
        <v>297</v>
      </c>
      <c r="AE1247" t="s">
        <v>63</v>
      </c>
      <c r="AH1247">
        <v>5.51</v>
      </c>
      <c r="AI1247">
        <v>30</v>
      </c>
      <c r="AV1247" t="s">
        <v>88</v>
      </c>
      <c r="AY1247">
        <v>250</v>
      </c>
      <c r="AZ1247">
        <v>9</v>
      </c>
      <c r="BA1247">
        <v>5.51</v>
      </c>
    </row>
    <row r="1248" spans="1:53" hidden="1" x14ac:dyDescent="0.3">
      <c r="A1248" t="s">
        <v>467</v>
      </c>
      <c r="C1248" t="s">
        <v>251</v>
      </c>
      <c r="D1248" t="s">
        <v>81</v>
      </c>
      <c r="E1248">
        <v>100000000</v>
      </c>
      <c r="N1248" t="s">
        <v>475</v>
      </c>
      <c r="O1248">
        <v>250</v>
      </c>
      <c r="P1248" t="s">
        <v>315</v>
      </c>
      <c r="T1248">
        <v>29.5</v>
      </c>
      <c r="V1248">
        <v>43.5</v>
      </c>
      <c r="W1248" t="s">
        <v>473</v>
      </c>
      <c r="X1248" t="s">
        <v>255</v>
      </c>
      <c r="Y1248">
        <v>30</v>
      </c>
      <c r="AB1248">
        <v>11</v>
      </c>
      <c r="AC1248" t="s">
        <v>297</v>
      </c>
      <c r="AE1248" t="s">
        <v>63</v>
      </c>
      <c r="AH1248">
        <v>5.51</v>
      </c>
      <c r="AI1248">
        <v>30</v>
      </c>
      <c r="AV1248" t="s">
        <v>88</v>
      </c>
      <c r="AY1248">
        <v>250</v>
      </c>
      <c r="AZ1248">
        <v>11</v>
      </c>
      <c r="BA1248">
        <v>5.51</v>
      </c>
    </row>
    <row r="1249" spans="1:53" hidden="1" x14ac:dyDescent="0.3">
      <c r="A1249" t="s">
        <v>467</v>
      </c>
      <c r="C1249" t="s">
        <v>251</v>
      </c>
      <c r="D1249" t="s">
        <v>81</v>
      </c>
      <c r="E1249">
        <v>100000000</v>
      </c>
      <c r="N1249" t="s">
        <v>475</v>
      </c>
      <c r="O1249">
        <v>250</v>
      </c>
      <c r="P1249" t="s">
        <v>315</v>
      </c>
      <c r="T1249">
        <v>29.5</v>
      </c>
      <c r="V1249">
        <v>43.5</v>
      </c>
      <c r="W1249" t="s">
        <v>473</v>
      </c>
      <c r="X1249" t="s">
        <v>255</v>
      </c>
      <c r="Y1249">
        <v>0</v>
      </c>
      <c r="AB1249">
        <v>18</v>
      </c>
      <c r="AC1249" t="s">
        <v>297</v>
      </c>
      <c r="AE1249" t="s">
        <v>63</v>
      </c>
      <c r="AH1249">
        <v>5.64</v>
      </c>
      <c r="AI1249">
        <v>30</v>
      </c>
      <c r="AV1249" t="s">
        <v>88</v>
      </c>
      <c r="AY1249">
        <v>250</v>
      </c>
      <c r="AZ1249">
        <v>18</v>
      </c>
      <c r="BA1249">
        <v>5.64</v>
      </c>
    </row>
    <row r="1250" spans="1:53" hidden="1" x14ac:dyDescent="0.3">
      <c r="A1250" t="s">
        <v>467</v>
      </c>
      <c r="C1250" t="s">
        <v>251</v>
      </c>
      <c r="D1250" t="s">
        <v>81</v>
      </c>
      <c r="E1250">
        <v>100000000</v>
      </c>
      <c r="N1250" t="s">
        <v>475</v>
      </c>
      <c r="O1250">
        <v>250</v>
      </c>
      <c r="P1250" t="s">
        <v>315</v>
      </c>
      <c r="T1250">
        <v>29.5</v>
      </c>
      <c r="V1250">
        <v>43.5</v>
      </c>
      <c r="W1250" t="s">
        <v>473</v>
      </c>
      <c r="X1250" t="s">
        <v>255</v>
      </c>
      <c r="Y1250">
        <v>0</v>
      </c>
      <c r="AB1250">
        <v>20</v>
      </c>
      <c r="AC1250" t="s">
        <v>297</v>
      </c>
      <c r="AE1250" t="s">
        <v>63</v>
      </c>
      <c r="AH1250">
        <v>5.64</v>
      </c>
      <c r="AI1250">
        <v>30</v>
      </c>
      <c r="AV1250" t="s">
        <v>88</v>
      </c>
      <c r="AY1250">
        <v>250</v>
      </c>
      <c r="AZ1250">
        <v>20</v>
      </c>
      <c r="BA1250">
        <v>5.64</v>
      </c>
    </row>
    <row r="1251" spans="1:53" hidden="1" x14ac:dyDescent="0.3">
      <c r="A1251" t="s">
        <v>467</v>
      </c>
      <c r="C1251" t="s">
        <v>251</v>
      </c>
      <c r="D1251" t="s">
        <v>81</v>
      </c>
      <c r="E1251">
        <v>100000000</v>
      </c>
      <c r="N1251" t="s">
        <v>475</v>
      </c>
      <c r="O1251">
        <v>250</v>
      </c>
      <c r="P1251" t="s">
        <v>315</v>
      </c>
      <c r="T1251">
        <v>29.5</v>
      </c>
      <c r="V1251">
        <v>43.5</v>
      </c>
      <c r="W1251" t="s">
        <v>473</v>
      </c>
      <c r="X1251" t="s">
        <v>255</v>
      </c>
      <c r="Y1251">
        <v>0</v>
      </c>
      <c r="AB1251">
        <v>26</v>
      </c>
      <c r="AC1251" t="s">
        <v>297</v>
      </c>
      <c r="AE1251" t="s">
        <v>63</v>
      </c>
      <c r="AH1251">
        <v>5.64</v>
      </c>
      <c r="AI1251">
        <v>30</v>
      </c>
      <c r="AV1251" t="s">
        <v>88</v>
      </c>
      <c r="AY1251">
        <v>250</v>
      </c>
      <c r="AZ1251">
        <v>26</v>
      </c>
      <c r="BA1251">
        <v>5.64</v>
      </c>
    </row>
    <row r="1252" spans="1:53" hidden="1" x14ac:dyDescent="0.3">
      <c r="A1252" t="s">
        <v>467</v>
      </c>
      <c r="C1252" t="s">
        <v>251</v>
      </c>
      <c r="D1252" t="s">
        <v>81</v>
      </c>
      <c r="E1252">
        <v>100000000</v>
      </c>
      <c r="N1252" t="s">
        <v>475</v>
      </c>
      <c r="O1252">
        <v>250</v>
      </c>
      <c r="P1252" t="s">
        <v>315</v>
      </c>
      <c r="T1252">
        <v>29.5</v>
      </c>
      <c r="V1252">
        <v>43.5</v>
      </c>
      <c r="W1252" t="s">
        <v>473</v>
      </c>
      <c r="X1252" t="s">
        <v>255</v>
      </c>
      <c r="Y1252">
        <v>0</v>
      </c>
      <c r="AB1252">
        <v>30</v>
      </c>
      <c r="AC1252" t="s">
        <v>297</v>
      </c>
      <c r="AE1252" t="s">
        <v>63</v>
      </c>
      <c r="AH1252">
        <v>5.51</v>
      </c>
      <c r="AI1252">
        <v>30</v>
      </c>
      <c r="AV1252" t="s">
        <v>88</v>
      </c>
      <c r="AY1252">
        <v>250</v>
      </c>
      <c r="AZ1252">
        <v>30</v>
      </c>
      <c r="BA1252">
        <v>5.51</v>
      </c>
    </row>
    <row r="1253" spans="1:53" hidden="1" x14ac:dyDescent="0.3">
      <c r="A1253" t="s">
        <v>467</v>
      </c>
      <c r="C1253" t="s">
        <v>251</v>
      </c>
      <c r="D1253" t="s">
        <v>81</v>
      </c>
      <c r="E1253">
        <v>100000000</v>
      </c>
      <c r="N1253" t="s">
        <v>475</v>
      </c>
      <c r="O1253">
        <v>250</v>
      </c>
      <c r="P1253" t="s">
        <v>315</v>
      </c>
      <c r="T1253">
        <v>29.5</v>
      </c>
      <c r="V1253">
        <v>43.5</v>
      </c>
      <c r="W1253" t="s">
        <v>473</v>
      </c>
      <c r="X1253" t="s">
        <v>255</v>
      </c>
      <c r="Y1253">
        <v>0</v>
      </c>
      <c r="AB1253">
        <v>28</v>
      </c>
      <c r="AC1253" t="s">
        <v>297</v>
      </c>
      <c r="AE1253" t="s">
        <v>63</v>
      </c>
      <c r="AH1253">
        <v>5.51</v>
      </c>
      <c r="AI1253">
        <v>30</v>
      </c>
      <c r="AV1253" t="s">
        <v>88</v>
      </c>
      <c r="AY1253">
        <v>250</v>
      </c>
      <c r="AZ1253">
        <v>28</v>
      </c>
      <c r="BA1253">
        <v>5.51</v>
      </c>
    </row>
    <row r="1254" spans="1:53" hidden="1" x14ac:dyDescent="0.3">
      <c r="A1254" t="s">
        <v>467</v>
      </c>
      <c r="C1254" t="s">
        <v>251</v>
      </c>
      <c r="D1254" t="s">
        <v>81</v>
      </c>
      <c r="E1254">
        <v>100000000</v>
      </c>
      <c r="N1254" t="s">
        <v>475</v>
      </c>
      <c r="O1254">
        <v>250</v>
      </c>
      <c r="P1254" t="s">
        <v>315</v>
      </c>
      <c r="T1254">
        <v>29.5</v>
      </c>
      <c r="V1254">
        <v>43.5</v>
      </c>
      <c r="W1254" t="s">
        <v>473</v>
      </c>
      <c r="X1254" t="s">
        <v>255</v>
      </c>
      <c r="Y1254">
        <v>0</v>
      </c>
      <c r="AB1254">
        <v>29</v>
      </c>
      <c r="AC1254" t="s">
        <v>297</v>
      </c>
      <c r="AE1254" t="s">
        <v>63</v>
      </c>
      <c r="AH1254">
        <v>5.51</v>
      </c>
      <c r="AI1254">
        <v>30</v>
      </c>
      <c r="AV1254" t="s">
        <v>88</v>
      </c>
      <c r="AY1254">
        <v>250</v>
      </c>
      <c r="AZ1254">
        <v>29</v>
      </c>
      <c r="BA1254">
        <v>5.51</v>
      </c>
    </row>
    <row r="1255" spans="1:53" hidden="1" x14ac:dyDescent="0.3">
      <c r="A1255" t="s">
        <v>467</v>
      </c>
      <c r="C1255" t="s">
        <v>251</v>
      </c>
      <c r="D1255" t="s">
        <v>470</v>
      </c>
      <c r="E1255">
        <v>100000000</v>
      </c>
      <c r="H1255">
        <v>0.25</v>
      </c>
      <c r="I1255" t="s">
        <v>56</v>
      </c>
      <c r="J1255">
        <v>2.5000000000000001E-5</v>
      </c>
      <c r="K1255" t="s">
        <v>57</v>
      </c>
      <c r="N1255" t="s">
        <v>475</v>
      </c>
      <c r="O1255">
        <v>250</v>
      </c>
      <c r="P1255" t="s">
        <v>315</v>
      </c>
      <c r="T1255">
        <v>29.5</v>
      </c>
      <c r="V1255">
        <v>43.5</v>
      </c>
      <c r="W1255" t="s">
        <v>471</v>
      </c>
      <c r="X1255" t="s">
        <v>255</v>
      </c>
      <c r="Y1255">
        <v>90</v>
      </c>
      <c r="AB1255">
        <v>6.2</v>
      </c>
      <c r="AC1255" t="s">
        <v>85</v>
      </c>
      <c r="AE1255" t="s">
        <v>63</v>
      </c>
      <c r="AI1255">
        <v>3</v>
      </c>
      <c r="AT1255" t="s">
        <v>150</v>
      </c>
      <c r="AV1255" t="s">
        <v>88</v>
      </c>
      <c r="AY1255">
        <v>250</v>
      </c>
    </row>
    <row r="1256" spans="1:53" hidden="1" x14ac:dyDescent="0.3">
      <c r="A1256" t="s">
        <v>467</v>
      </c>
      <c r="C1256" t="s">
        <v>251</v>
      </c>
      <c r="D1256" t="s">
        <v>470</v>
      </c>
      <c r="E1256">
        <v>100000000</v>
      </c>
      <c r="H1256">
        <v>0.25</v>
      </c>
      <c r="I1256" t="s">
        <v>56</v>
      </c>
      <c r="J1256">
        <v>2.5000000000000001E-5</v>
      </c>
      <c r="K1256" t="s">
        <v>57</v>
      </c>
      <c r="N1256" t="s">
        <v>475</v>
      </c>
      <c r="O1256">
        <v>250</v>
      </c>
      <c r="P1256" t="s">
        <v>315</v>
      </c>
      <c r="T1256">
        <v>29.5</v>
      </c>
      <c r="V1256">
        <v>43.5</v>
      </c>
      <c r="W1256" t="s">
        <v>471</v>
      </c>
      <c r="X1256" t="s">
        <v>255</v>
      </c>
      <c r="Y1256">
        <v>90</v>
      </c>
      <c r="AB1256">
        <v>6</v>
      </c>
      <c r="AC1256" t="s">
        <v>85</v>
      </c>
      <c r="AE1256" t="s">
        <v>63</v>
      </c>
      <c r="AI1256">
        <v>3</v>
      </c>
      <c r="AT1256" t="s">
        <v>150</v>
      </c>
      <c r="AV1256" t="s">
        <v>88</v>
      </c>
      <c r="AY1256">
        <v>250</v>
      </c>
    </row>
    <row r="1257" spans="1:53" hidden="1" x14ac:dyDescent="0.3">
      <c r="A1257" t="s">
        <v>467</v>
      </c>
      <c r="C1257" t="s">
        <v>251</v>
      </c>
      <c r="D1257" t="s">
        <v>470</v>
      </c>
      <c r="E1257">
        <v>100000000</v>
      </c>
      <c r="H1257">
        <v>0.25</v>
      </c>
      <c r="I1257" t="s">
        <v>56</v>
      </c>
      <c r="J1257">
        <v>2.5000000000000001E-5</v>
      </c>
      <c r="K1257" t="s">
        <v>57</v>
      </c>
      <c r="N1257" t="s">
        <v>475</v>
      </c>
      <c r="O1257">
        <v>250</v>
      </c>
      <c r="P1257" t="s">
        <v>315</v>
      </c>
      <c r="T1257">
        <v>29.5</v>
      </c>
      <c r="V1257">
        <v>43.5</v>
      </c>
      <c r="W1257" t="s">
        <v>471</v>
      </c>
      <c r="X1257" t="s">
        <v>255</v>
      </c>
      <c r="Y1257">
        <v>90</v>
      </c>
      <c r="AB1257">
        <v>6.4</v>
      </c>
      <c r="AC1257" t="s">
        <v>85</v>
      </c>
      <c r="AE1257" t="s">
        <v>63</v>
      </c>
      <c r="AI1257">
        <v>3</v>
      </c>
      <c r="AT1257" t="s">
        <v>150</v>
      </c>
      <c r="AV1257" t="s">
        <v>88</v>
      </c>
      <c r="AY1257">
        <v>250</v>
      </c>
    </row>
    <row r="1258" spans="1:53" hidden="1" x14ac:dyDescent="0.3">
      <c r="A1258" t="s">
        <v>467</v>
      </c>
      <c r="C1258" t="s">
        <v>251</v>
      </c>
      <c r="D1258" t="s">
        <v>470</v>
      </c>
      <c r="E1258">
        <v>100000000</v>
      </c>
      <c r="H1258">
        <v>0.25</v>
      </c>
      <c r="I1258" t="s">
        <v>56</v>
      </c>
      <c r="J1258">
        <v>2.5000000000000001E-5</v>
      </c>
      <c r="K1258" t="s">
        <v>57</v>
      </c>
      <c r="N1258" t="s">
        <v>475</v>
      </c>
      <c r="O1258">
        <v>250</v>
      </c>
      <c r="P1258" t="s">
        <v>315</v>
      </c>
      <c r="T1258">
        <v>29.5</v>
      </c>
      <c r="V1258">
        <v>43.5</v>
      </c>
      <c r="W1258" t="s">
        <v>471</v>
      </c>
      <c r="X1258" t="s">
        <v>255</v>
      </c>
      <c r="Y1258">
        <v>90</v>
      </c>
      <c r="AB1258">
        <v>6.5</v>
      </c>
      <c r="AC1258" t="s">
        <v>85</v>
      </c>
      <c r="AE1258" t="s">
        <v>63</v>
      </c>
      <c r="AI1258">
        <v>3</v>
      </c>
      <c r="AT1258" t="s">
        <v>150</v>
      </c>
      <c r="AV1258" t="s">
        <v>88</v>
      </c>
      <c r="AY1258">
        <v>250</v>
      </c>
    </row>
    <row r="1259" spans="1:53" hidden="1" x14ac:dyDescent="0.3">
      <c r="A1259" t="s">
        <v>467</v>
      </c>
      <c r="C1259" t="s">
        <v>251</v>
      </c>
      <c r="D1259" t="s">
        <v>470</v>
      </c>
      <c r="E1259">
        <v>100000000</v>
      </c>
      <c r="H1259">
        <v>0.25</v>
      </c>
      <c r="I1259" t="s">
        <v>56</v>
      </c>
      <c r="J1259">
        <v>2.5000000000000001E-5</v>
      </c>
      <c r="K1259" t="s">
        <v>57</v>
      </c>
      <c r="N1259" t="s">
        <v>475</v>
      </c>
      <c r="O1259">
        <v>250</v>
      </c>
      <c r="P1259" t="s">
        <v>315</v>
      </c>
      <c r="T1259">
        <v>29.5</v>
      </c>
      <c r="V1259">
        <v>43.5</v>
      </c>
      <c r="W1259" t="s">
        <v>471</v>
      </c>
      <c r="X1259" t="s">
        <v>255</v>
      </c>
      <c r="Y1259">
        <v>90</v>
      </c>
      <c r="AB1259">
        <v>6</v>
      </c>
      <c r="AC1259" t="s">
        <v>85</v>
      </c>
      <c r="AE1259" t="s">
        <v>63</v>
      </c>
      <c r="AI1259">
        <v>3</v>
      </c>
      <c r="AT1259" t="s">
        <v>150</v>
      </c>
      <c r="AV1259" t="s">
        <v>88</v>
      </c>
      <c r="AY1259">
        <v>250</v>
      </c>
    </row>
    <row r="1260" spans="1:53" hidden="1" x14ac:dyDescent="0.3">
      <c r="A1260" t="s">
        <v>467</v>
      </c>
      <c r="C1260" t="s">
        <v>251</v>
      </c>
      <c r="D1260" t="s">
        <v>470</v>
      </c>
      <c r="E1260">
        <v>100000000</v>
      </c>
      <c r="H1260">
        <v>0.25</v>
      </c>
      <c r="I1260" t="s">
        <v>56</v>
      </c>
      <c r="J1260">
        <v>2.5000000000000001E-5</v>
      </c>
      <c r="K1260" t="s">
        <v>57</v>
      </c>
      <c r="N1260" t="s">
        <v>475</v>
      </c>
      <c r="O1260">
        <v>250</v>
      </c>
      <c r="P1260" t="s">
        <v>315</v>
      </c>
      <c r="T1260">
        <v>29.5</v>
      </c>
      <c r="V1260">
        <v>43.5</v>
      </c>
      <c r="W1260" t="s">
        <v>471</v>
      </c>
      <c r="X1260" t="s">
        <v>255</v>
      </c>
      <c r="Y1260">
        <v>90</v>
      </c>
      <c r="AB1260">
        <v>6.3</v>
      </c>
      <c r="AC1260" t="s">
        <v>85</v>
      </c>
      <c r="AE1260" t="s">
        <v>63</v>
      </c>
      <c r="AI1260">
        <v>3</v>
      </c>
      <c r="AT1260" t="s">
        <v>150</v>
      </c>
      <c r="AV1260" t="s">
        <v>88</v>
      </c>
      <c r="AY1260">
        <v>250</v>
      </c>
    </row>
    <row r="1261" spans="1:53" hidden="1" x14ac:dyDescent="0.3">
      <c r="A1261" t="s">
        <v>467</v>
      </c>
      <c r="C1261" t="s">
        <v>251</v>
      </c>
      <c r="D1261" t="s">
        <v>470</v>
      </c>
      <c r="E1261">
        <v>100000000</v>
      </c>
      <c r="H1261">
        <v>0.25</v>
      </c>
      <c r="I1261" t="s">
        <v>56</v>
      </c>
      <c r="J1261">
        <v>2.5000000000000001E-5</v>
      </c>
      <c r="K1261" t="s">
        <v>57</v>
      </c>
      <c r="N1261" t="s">
        <v>475</v>
      </c>
      <c r="O1261">
        <v>250</v>
      </c>
      <c r="P1261" t="s">
        <v>315</v>
      </c>
      <c r="T1261">
        <v>29.5</v>
      </c>
      <c r="V1261">
        <v>43.5</v>
      </c>
      <c r="W1261" t="s">
        <v>471</v>
      </c>
      <c r="X1261" t="s">
        <v>255</v>
      </c>
      <c r="Y1261">
        <v>30</v>
      </c>
      <c r="AB1261">
        <v>5.9</v>
      </c>
      <c r="AC1261" t="s">
        <v>85</v>
      </c>
      <c r="AE1261" t="s">
        <v>63</v>
      </c>
      <c r="AI1261">
        <v>3</v>
      </c>
      <c r="AT1261" t="s">
        <v>150</v>
      </c>
      <c r="AV1261" t="s">
        <v>88</v>
      </c>
      <c r="AY1261">
        <v>250</v>
      </c>
    </row>
    <row r="1262" spans="1:53" hidden="1" x14ac:dyDescent="0.3">
      <c r="A1262" t="s">
        <v>467</v>
      </c>
      <c r="C1262" t="s">
        <v>251</v>
      </c>
      <c r="D1262" t="s">
        <v>470</v>
      </c>
      <c r="E1262">
        <v>100000000</v>
      </c>
      <c r="H1262">
        <v>0.25</v>
      </c>
      <c r="I1262" t="s">
        <v>56</v>
      </c>
      <c r="J1262">
        <v>2.5000000000000001E-5</v>
      </c>
      <c r="K1262" t="s">
        <v>57</v>
      </c>
      <c r="N1262" t="s">
        <v>475</v>
      </c>
      <c r="O1262">
        <v>250</v>
      </c>
      <c r="P1262" t="s">
        <v>315</v>
      </c>
      <c r="T1262">
        <v>29.5</v>
      </c>
      <c r="V1262">
        <v>43.5</v>
      </c>
      <c r="W1262" t="s">
        <v>471</v>
      </c>
      <c r="X1262" t="s">
        <v>255</v>
      </c>
      <c r="Y1262">
        <v>30</v>
      </c>
      <c r="AB1262">
        <v>5.4</v>
      </c>
      <c r="AC1262" t="s">
        <v>85</v>
      </c>
      <c r="AE1262" t="s">
        <v>63</v>
      </c>
      <c r="AI1262">
        <v>3</v>
      </c>
      <c r="AT1262" t="s">
        <v>150</v>
      </c>
      <c r="AV1262" t="s">
        <v>88</v>
      </c>
      <c r="AY1262">
        <v>250</v>
      </c>
    </row>
    <row r="1263" spans="1:53" hidden="1" x14ac:dyDescent="0.3">
      <c r="A1263" t="s">
        <v>467</v>
      </c>
      <c r="C1263" t="s">
        <v>251</v>
      </c>
      <c r="D1263" t="s">
        <v>470</v>
      </c>
      <c r="E1263">
        <v>100000000</v>
      </c>
      <c r="H1263">
        <v>0.25</v>
      </c>
      <c r="I1263" t="s">
        <v>56</v>
      </c>
      <c r="J1263">
        <v>2.5000000000000001E-5</v>
      </c>
      <c r="K1263" t="s">
        <v>57</v>
      </c>
      <c r="N1263" t="s">
        <v>475</v>
      </c>
      <c r="O1263">
        <v>250</v>
      </c>
      <c r="P1263" t="s">
        <v>315</v>
      </c>
      <c r="T1263">
        <v>29.5</v>
      </c>
      <c r="V1263">
        <v>43.5</v>
      </c>
      <c r="W1263" t="s">
        <v>471</v>
      </c>
      <c r="X1263" t="s">
        <v>255</v>
      </c>
      <c r="Y1263">
        <v>30</v>
      </c>
      <c r="AB1263">
        <v>5.8</v>
      </c>
      <c r="AC1263" t="s">
        <v>85</v>
      </c>
      <c r="AE1263" t="s">
        <v>63</v>
      </c>
      <c r="AI1263">
        <v>3</v>
      </c>
      <c r="AT1263" t="s">
        <v>150</v>
      </c>
      <c r="AV1263" t="s">
        <v>88</v>
      </c>
      <c r="AY1263">
        <v>250</v>
      </c>
    </row>
    <row r="1264" spans="1:53" hidden="1" x14ac:dyDescent="0.3">
      <c r="A1264" t="s">
        <v>467</v>
      </c>
      <c r="C1264" t="s">
        <v>251</v>
      </c>
      <c r="D1264" t="s">
        <v>470</v>
      </c>
      <c r="E1264">
        <v>100000000</v>
      </c>
      <c r="H1264">
        <v>0.25</v>
      </c>
      <c r="I1264" t="s">
        <v>56</v>
      </c>
      <c r="J1264">
        <v>2.5000000000000001E-5</v>
      </c>
      <c r="K1264" t="s">
        <v>57</v>
      </c>
      <c r="N1264" t="s">
        <v>475</v>
      </c>
      <c r="O1264">
        <v>250</v>
      </c>
      <c r="P1264" t="s">
        <v>315</v>
      </c>
      <c r="T1264">
        <v>29.5</v>
      </c>
      <c r="V1264">
        <v>43.5</v>
      </c>
      <c r="W1264" t="s">
        <v>471</v>
      </c>
      <c r="X1264" t="s">
        <v>255</v>
      </c>
      <c r="Y1264">
        <v>30</v>
      </c>
      <c r="AB1264">
        <v>5.0999999999999899</v>
      </c>
      <c r="AC1264" t="s">
        <v>85</v>
      </c>
      <c r="AE1264" t="s">
        <v>63</v>
      </c>
      <c r="AI1264">
        <v>3</v>
      </c>
      <c r="AT1264" t="s">
        <v>150</v>
      </c>
      <c r="AV1264" t="s">
        <v>88</v>
      </c>
      <c r="AY1264">
        <v>250</v>
      </c>
    </row>
    <row r="1265" spans="1:51" hidden="1" x14ac:dyDescent="0.3">
      <c r="A1265" t="s">
        <v>467</v>
      </c>
      <c r="C1265" t="s">
        <v>251</v>
      </c>
      <c r="D1265" t="s">
        <v>470</v>
      </c>
      <c r="E1265">
        <v>100000000</v>
      </c>
      <c r="H1265">
        <v>0.25</v>
      </c>
      <c r="I1265" t="s">
        <v>56</v>
      </c>
      <c r="J1265">
        <v>2.5000000000000001E-5</v>
      </c>
      <c r="K1265" t="s">
        <v>57</v>
      </c>
      <c r="N1265" t="s">
        <v>475</v>
      </c>
      <c r="O1265">
        <v>250</v>
      </c>
      <c r="P1265" t="s">
        <v>315</v>
      </c>
      <c r="T1265">
        <v>29.5</v>
      </c>
      <c r="V1265">
        <v>43.5</v>
      </c>
      <c r="W1265" t="s">
        <v>471</v>
      </c>
      <c r="X1265" t="s">
        <v>255</v>
      </c>
      <c r="Y1265">
        <v>30</v>
      </c>
      <c r="AB1265">
        <v>5.9</v>
      </c>
      <c r="AC1265" t="s">
        <v>85</v>
      </c>
      <c r="AE1265" t="s">
        <v>63</v>
      </c>
      <c r="AI1265">
        <v>3</v>
      </c>
      <c r="AT1265" t="s">
        <v>150</v>
      </c>
      <c r="AV1265" t="s">
        <v>88</v>
      </c>
      <c r="AY1265">
        <v>250</v>
      </c>
    </row>
    <row r="1266" spans="1:51" hidden="1" x14ac:dyDescent="0.3">
      <c r="A1266" t="s">
        <v>467</v>
      </c>
      <c r="C1266" t="s">
        <v>251</v>
      </c>
      <c r="D1266" t="s">
        <v>470</v>
      </c>
      <c r="E1266">
        <v>100000000</v>
      </c>
      <c r="H1266">
        <v>0.25</v>
      </c>
      <c r="I1266" t="s">
        <v>56</v>
      </c>
      <c r="J1266">
        <v>2.5000000000000001E-5</v>
      </c>
      <c r="K1266" t="s">
        <v>57</v>
      </c>
      <c r="N1266" t="s">
        <v>475</v>
      </c>
      <c r="O1266">
        <v>250</v>
      </c>
      <c r="P1266" t="s">
        <v>315</v>
      </c>
      <c r="T1266">
        <v>29.5</v>
      </c>
      <c r="V1266">
        <v>43.5</v>
      </c>
      <c r="W1266" t="s">
        <v>471</v>
      </c>
      <c r="X1266" t="s">
        <v>255</v>
      </c>
      <c r="Y1266">
        <v>30</v>
      </c>
      <c r="AB1266">
        <v>6.2</v>
      </c>
      <c r="AC1266" t="s">
        <v>85</v>
      </c>
      <c r="AE1266" t="s">
        <v>63</v>
      </c>
      <c r="AI1266">
        <v>3</v>
      </c>
      <c r="AT1266" t="s">
        <v>150</v>
      </c>
      <c r="AV1266" t="s">
        <v>88</v>
      </c>
      <c r="AY1266">
        <v>250</v>
      </c>
    </row>
    <row r="1267" spans="1:51" hidden="1" x14ac:dyDescent="0.3">
      <c r="A1267" t="s">
        <v>467</v>
      </c>
      <c r="C1267" t="s">
        <v>251</v>
      </c>
      <c r="D1267" t="s">
        <v>470</v>
      </c>
      <c r="E1267">
        <v>100000000</v>
      </c>
      <c r="H1267">
        <v>0.25</v>
      </c>
      <c r="I1267" t="s">
        <v>56</v>
      </c>
      <c r="J1267">
        <v>2.5000000000000001E-5</v>
      </c>
      <c r="K1267" t="s">
        <v>57</v>
      </c>
      <c r="N1267" t="s">
        <v>475</v>
      </c>
      <c r="O1267">
        <v>250</v>
      </c>
      <c r="P1267" t="s">
        <v>315</v>
      </c>
      <c r="T1267">
        <v>29.5</v>
      </c>
      <c r="V1267">
        <v>43.5</v>
      </c>
      <c r="W1267" t="s">
        <v>471</v>
      </c>
      <c r="X1267" t="s">
        <v>255</v>
      </c>
      <c r="Y1267">
        <v>0</v>
      </c>
      <c r="AB1267">
        <v>6.4</v>
      </c>
      <c r="AC1267" t="s">
        <v>85</v>
      </c>
      <c r="AE1267" t="s">
        <v>63</v>
      </c>
      <c r="AI1267">
        <v>3</v>
      </c>
      <c r="AT1267" t="s">
        <v>150</v>
      </c>
      <c r="AV1267" t="s">
        <v>88</v>
      </c>
      <c r="AY1267">
        <v>250</v>
      </c>
    </row>
    <row r="1268" spans="1:51" hidden="1" x14ac:dyDescent="0.3">
      <c r="A1268" t="s">
        <v>467</v>
      </c>
      <c r="C1268" t="s">
        <v>251</v>
      </c>
      <c r="D1268" t="s">
        <v>470</v>
      </c>
      <c r="E1268">
        <v>100000000</v>
      </c>
      <c r="H1268">
        <v>0.25</v>
      </c>
      <c r="I1268" t="s">
        <v>56</v>
      </c>
      <c r="J1268">
        <v>2.5000000000000001E-5</v>
      </c>
      <c r="K1268" t="s">
        <v>57</v>
      </c>
      <c r="N1268" t="s">
        <v>475</v>
      </c>
      <c r="O1268">
        <v>250</v>
      </c>
      <c r="P1268" t="s">
        <v>315</v>
      </c>
      <c r="T1268">
        <v>29.5</v>
      </c>
      <c r="V1268">
        <v>43.5</v>
      </c>
      <c r="W1268" t="s">
        <v>471</v>
      </c>
      <c r="X1268" t="s">
        <v>255</v>
      </c>
      <c r="Y1268">
        <v>0</v>
      </c>
      <c r="AB1268">
        <v>6.3</v>
      </c>
      <c r="AC1268" t="s">
        <v>85</v>
      </c>
      <c r="AE1268" t="s">
        <v>63</v>
      </c>
      <c r="AI1268">
        <v>3</v>
      </c>
      <c r="AT1268" t="s">
        <v>150</v>
      </c>
      <c r="AV1268" t="s">
        <v>88</v>
      </c>
      <c r="AY1268">
        <v>250</v>
      </c>
    </row>
    <row r="1269" spans="1:51" hidden="1" x14ac:dyDescent="0.3">
      <c r="A1269" t="s">
        <v>467</v>
      </c>
      <c r="C1269" t="s">
        <v>251</v>
      </c>
      <c r="D1269" t="s">
        <v>470</v>
      </c>
      <c r="E1269">
        <v>100000000</v>
      </c>
      <c r="H1269">
        <v>0.25</v>
      </c>
      <c r="I1269" t="s">
        <v>56</v>
      </c>
      <c r="J1269">
        <v>2.5000000000000001E-5</v>
      </c>
      <c r="K1269" t="s">
        <v>57</v>
      </c>
      <c r="N1269" t="s">
        <v>475</v>
      </c>
      <c r="O1269">
        <v>250</v>
      </c>
      <c r="P1269" t="s">
        <v>315</v>
      </c>
      <c r="T1269">
        <v>29.5</v>
      </c>
      <c r="V1269">
        <v>43.5</v>
      </c>
      <c r="W1269" t="s">
        <v>471</v>
      </c>
      <c r="X1269" t="s">
        <v>255</v>
      </c>
      <c r="Y1269">
        <v>0</v>
      </c>
      <c r="AB1269">
        <v>4.5999999999999899</v>
      </c>
      <c r="AC1269" t="s">
        <v>85</v>
      </c>
      <c r="AE1269" t="s">
        <v>63</v>
      </c>
      <c r="AI1269">
        <v>3</v>
      </c>
      <c r="AT1269" t="s">
        <v>150</v>
      </c>
      <c r="AV1269" t="s">
        <v>88</v>
      </c>
      <c r="AY1269">
        <v>250</v>
      </c>
    </row>
    <row r="1270" spans="1:51" hidden="1" x14ac:dyDescent="0.3">
      <c r="A1270" t="s">
        <v>467</v>
      </c>
      <c r="C1270" t="s">
        <v>251</v>
      </c>
      <c r="D1270" t="s">
        <v>470</v>
      </c>
      <c r="E1270">
        <v>100000000</v>
      </c>
      <c r="H1270">
        <v>0.25</v>
      </c>
      <c r="I1270" t="s">
        <v>56</v>
      </c>
      <c r="J1270">
        <v>2.5000000000000001E-5</v>
      </c>
      <c r="K1270" t="s">
        <v>57</v>
      </c>
      <c r="N1270" t="s">
        <v>475</v>
      </c>
      <c r="O1270">
        <v>250</v>
      </c>
      <c r="P1270" t="s">
        <v>315</v>
      </c>
      <c r="T1270">
        <v>29.5</v>
      </c>
      <c r="V1270">
        <v>43.5</v>
      </c>
      <c r="W1270" t="s">
        <v>471</v>
      </c>
      <c r="X1270" t="s">
        <v>255</v>
      </c>
      <c r="Y1270">
        <v>0</v>
      </c>
      <c r="AB1270">
        <v>6.3</v>
      </c>
      <c r="AC1270" t="s">
        <v>85</v>
      </c>
      <c r="AE1270" t="s">
        <v>63</v>
      </c>
      <c r="AI1270">
        <v>3</v>
      </c>
      <c r="AT1270" t="s">
        <v>150</v>
      </c>
      <c r="AV1270" t="s">
        <v>88</v>
      </c>
      <c r="AY1270">
        <v>250</v>
      </c>
    </row>
    <row r="1271" spans="1:51" hidden="1" x14ac:dyDescent="0.3">
      <c r="A1271" t="s">
        <v>467</v>
      </c>
      <c r="C1271" t="s">
        <v>251</v>
      </c>
      <c r="D1271" t="s">
        <v>470</v>
      </c>
      <c r="E1271">
        <v>100000000</v>
      </c>
      <c r="H1271">
        <v>0.25</v>
      </c>
      <c r="I1271" t="s">
        <v>56</v>
      </c>
      <c r="J1271">
        <v>2.5000000000000001E-5</v>
      </c>
      <c r="K1271" t="s">
        <v>57</v>
      </c>
      <c r="N1271" t="s">
        <v>475</v>
      </c>
      <c r="O1271">
        <v>250</v>
      </c>
      <c r="P1271" t="s">
        <v>315</v>
      </c>
      <c r="T1271">
        <v>29.5</v>
      </c>
      <c r="V1271">
        <v>43.5</v>
      </c>
      <c r="W1271" t="s">
        <v>471</v>
      </c>
      <c r="X1271" t="s">
        <v>255</v>
      </c>
      <c r="Y1271">
        <v>0</v>
      </c>
      <c r="AB1271">
        <v>6.4</v>
      </c>
      <c r="AC1271" t="s">
        <v>85</v>
      </c>
      <c r="AE1271" t="s">
        <v>63</v>
      </c>
      <c r="AI1271">
        <v>3</v>
      </c>
      <c r="AT1271" t="s">
        <v>150</v>
      </c>
      <c r="AV1271" t="s">
        <v>88</v>
      </c>
      <c r="AY1271">
        <v>250</v>
      </c>
    </row>
    <row r="1272" spans="1:51" hidden="1" x14ac:dyDescent="0.3">
      <c r="A1272" t="s">
        <v>467</v>
      </c>
      <c r="C1272" t="s">
        <v>251</v>
      </c>
      <c r="D1272" t="s">
        <v>470</v>
      </c>
      <c r="E1272">
        <v>100000000</v>
      </c>
      <c r="H1272">
        <v>0.25</v>
      </c>
      <c r="I1272" t="s">
        <v>56</v>
      </c>
      <c r="J1272">
        <v>2.5000000000000001E-5</v>
      </c>
      <c r="K1272" t="s">
        <v>57</v>
      </c>
      <c r="N1272" t="s">
        <v>475</v>
      </c>
      <c r="O1272">
        <v>250</v>
      </c>
      <c r="P1272" t="s">
        <v>315</v>
      </c>
      <c r="T1272">
        <v>29.5</v>
      </c>
      <c r="V1272">
        <v>43.5</v>
      </c>
      <c r="W1272" t="s">
        <v>471</v>
      </c>
      <c r="X1272" t="s">
        <v>255</v>
      </c>
      <c r="Y1272">
        <v>0</v>
      </c>
      <c r="AB1272">
        <v>4.8</v>
      </c>
      <c r="AC1272" t="s">
        <v>85</v>
      </c>
      <c r="AE1272" t="s">
        <v>63</v>
      </c>
      <c r="AI1272">
        <v>3</v>
      </c>
      <c r="AT1272" t="s">
        <v>150</v>
      </c>
      <c r="AV1272" t="s">
        <v>88</v>
      </c>
      <c r="AY1272">
        <v>250</v>
      </c>
    </row>
    <row r="1273" spans="1:51" hidden="1" x14ac:dyDescent="0.3">
      <c r="A1273" t="s">
        <v>467</v>
      </c>
      <c r="C1273" t="s">
        <v>251</v>
      </c>
      <c r="D1273" t="s">
        <v>81</v>
      </c>
      <c r="E1273">
        <v>100000000</v>
      </c>
      <c r="H1273">
        <v>14.25</v>
      </c>
      <c r="I1273" t="s">
        <v>56</v>
      </c>
      <c r="J1273">
        <v>1.4250000000000001E-3</v>
      </c>
      <c r="K1273" t="s">
        <v>57</v>
      </c>
      <c r="N1273" t="s">
        <v>475</v>
      </c>
      <c r="O1273">
        <v>250</v>
      </c>
      <c r="P1273" t="s">
        <v>315</v>
      </c>
      <c r="T1273">
        <v>29.5</v>
      </c>
      <c r="V1273">
        <v>43.5</v>
      </c>
      <c r="W1273" t="s">
        <v>468</v>
      </c>
      <c r="X1273" t="s">
        <v>255</v>
      </c>
      <c r="Y1273">
        <v>90</v>
      </c>
      <c r="AB1273">
        <v>7</v>
      </c>
      <c r="AC1273" t="s">
        <v>85</v>
      </c>
      <c r="AE1273" t="s">
        <v>63</v>
      </c>
      <c r="AI1273">
        <v>5</v>
      </c>
      <c r="AT1273" t="s">
        <v>318</v>
      </c>
      <c r="AV1273" t="s">
        <v>88</v>
      </c>
      <c r="AY1273">
        <v>250</v>
      </c>
    </row>
    <row r="1274" spans="1:51" hidden="1" x14ac:dyDescent="0.3">
      <c r="A1274" t="s">
        <v>467</v>
      </c>
      <c r="C1274" t="s">
        <v>251</v>
      </c>
      <c r="D1274" t="s">
        <v>81</v>
      </c>
      <c r="E1274">
        <v>100000000</v>
      </c>
      <c r="H1274">
        <v>14.25</v>
      </c>
      <c r="I1274" t="s">
        <v>56</v>
      </c>
      <c r="J1274">
        <v>1.4250000000000001E-3</v>
      </c>
      <c r="K1274" t="s">
        <v>57</v>
      </c>
      <c r="N1274" t="s">
        <v>475</v>
      </c>
      <c r="O1274">
        <v>250</v>
      </c>
      <c r="P1274" t="s">
        <v>315</v>
      </c>
      <c r="T1274">
        <v>29.5</v>
      </c>
      <c r="V1274">
        <v>43.5</v>
      </c>
      <c r="W1274" t="s">
        <v>468</v>
      </c>
      <c r="X1274" t="s">
        <v>255</v>
      </c>
      <c r="Y1274">
        <v>90</v>
      </c>
      <c r="AB1274">
        <v>7.6</v>
      </c>
      <c r="AC1274" t="s">
        <v>85</v>
      </c>
      <c r="AE1274" t="s">
        <v>63</v>
      </c>
      <c r="AI1274">
        <v>5</v>
      </c>
      <c r="AT1274" t="s">
        <v>318</v>
      </c>
      <c r="AV1274" t="s">
        <v>88</v>
      </c>
      <c r="AY1274">
        <v>250</v>
      </c>
    </row>
    <row r="1275" spans="1:51" hidden="1" x14ac:dyDescent="0.3">
      <c r="A1275" t="s">
        <v>467</v>
      </c>
      <c r="C1275" t="s">
        <v>251</v>
      </c>
      <c r="D1275" t="s">
        <v>81</v>
      </c>
      <c r="E1275">
        <v>100000000</v>
      </c>
      <c r="H1275">
        <v>14.25</v>
      </c>
      <c r="I1275" t="s">
        <v>56</v>
      </c>
      <c r="J1275">
        <v>1.4250000000000001E-3</v>
      </c>
      <c r="K1275" t="s">
        <v>57</v>
      </c>
      <c r="N1275" t="s">
        <v>475</v>
      </c>
      <c r="O1275">
        <v>250</v>
      </c>
      <c r="P1275" t="s">
        <v>315</v>
      </c>
      <c r="T1275">
        <v>29.5</v>
      </c>
      <c r="V1275">
        <v>43.5</v>
      </c>
      <c r="W1275" t="s">
        <v>468</v>
      </c>
      <c r="X1275" t="s">
        <v>255</v>
      </c>
      <c r="Y1275">
        <v>90</v>
      </c>
      <c r="AB1275">
        <v>6.6</v>
      </c>
      <c r="AC1275" t="s">
        <v>85</v>
      </c>
      <c r="AE1275" t="s">
        <v>63</v>
      </c>
      <c r="AI1275">
        <v>5</v>
      </c>
      <c r="AT1275" t="s">
        <v>318</v>
      </c>
      <c r="AV1275" t="s">
        <v>88</v>
      </c>
      <c r="AY1275">
        <v>250</v>
      </c>
    </row>
    <row r="1276" spans="1:51" hidden="1" x14ac:dyDescent="0.3">
      <c r="A1276" t="s">
        <v>467</v>
      </c>
      <c r="C1276" t="s">
        <v>251</v>
      </c>
      <c r="D1276" t="s">
        <v>81</v>
      </c>
      <c r="E1276">
        <v>100000000</v>
      </c>
      <c r="H1276">
        <v>14.25</v>
      </c>
      <c r="I1276" t="s">
        <v>56</v>
      </c>
      <c r="J1276">
        <v>1.4250000000000001E-3</v>
      </c>
      <c r="K1276" t="s">
        <v>57</v>
      </c>
      <c r="N1276" t="s">
        <v>475</v>
      </c>
      <c r="O1276">
        <v>250</v>
      </c>
      <c r="P1276" t="s">
        <v>315</v>
      </c>
      <c r="T1276">
        <v>29.5</v>
      </c>
      <c r="V1276">
        <v>43.5</v>
      </c>
      <c r="W1276" t="s">
        <v>468</v>
      </c>
      <c r="X1276" t="s">
        <v>255</v>
      </c>
      <c r="Y1276">
        <v>30</v>
      </c>
      <c r="AB1276">
        <v>6.9</v>
      </c>
      <c r="AC1276" t="s">
        <v>85</v>
      </c>
      <c r="AE1276" t="s">
        <v>63</v>
      </c>
      <c r="AI1276">
        <v>5</v>
      </c>
      <c r="AT1276" t="s">
        <v>318</v>
      </c>
      <c r="AV1276" t="s">
        <v>88</v>
      </c>
      <c r="AY1276">
        <v>250</v>
      </c>
    </row>
    <row r="1277" spans="1:51" hidden="1" x14ac:dyDescent="0.3">
      <c r="A1277" t="s">
        <v>467</v>
      </c>
      <c r="C1277" t="s">
        <v>251</v>
      </c>
      <c r="D1277" t="s">
        <v>81</v>
      </c>
      <c r="E1277">
        <v>100000000</v>
      </c>
      <c r="H1277">
        <v>14.25</v>
      </c>
      <c r="I1277" t="s">
        <v>56</v>
      </c>
      <c r="J1277">
        <v>1.4250000000000001E-3</v>
      </c>
      <c r="K1277" t="s">
        <v>57</v>
      </c>
      <c r="N1277" t="s">
        <v>475</v>
      </c>
      <c r="O1277">
        <v>250</v>
      </c>
      <c r="P1277" t="s">
        <v>315</v>
      </c>
      <c r="T1277">
        <v>29.5</v>
      </c>
      <c r="V1277">
        <v>43.5</v>
      </c>
      <c r="W1277" t="s">
        <v>468</v>
      </c>
      <c r="X1277" t="s">
        <v>255</v>
      </c>
      <c r="Y1277">
        <v>30</v>
      </c>
      <c r="AB1277">
        <v>5.2</v>
      </c>
      <c r="AC1277" t="s">
        <v>85</v>
      </c>
      <c r="AD1277" t="s">
        <v>332</v>
      </c>
      <c r="AE1277" t="s">
        <v>63</v>
      </c>
      <c r="AI1277">
        <v>5</v>
      </c>
      <c r="AT1277" t="s">
        <v>318</v>
      </c>
      <c r="AV1277" t="s">
        <v>88</v>
      </c>
      <c r="AY1277">
        <v>250</v>
      </c>
    </row>
    <row r="1278" spans="1:51" hidden="1" x14ac:dyDescent="0.3">
      <c r="A1278" t="s">
        <v>467</v>
      </c>
      <c r="C1278" t="s">
        <v>251</v>
      </c>
      <c r="D1278" t="s">
        <v>81</v>
      </c>
      <c r="E1278">
        <v>100000000</v>
      </c>
      <c r="H1278">
        <v>14.25</v>
      </c>
      <c r="I1278" t="s">
        <v>56</v>
      </c>
      <c r="J1278">
        <v>1.4250000000000001E-3</v>
      </c>
      <c r="K1278" t="s">
        <v>57</v>
      </c>
      <c r="N1278" t="s">
        <v>475</v>
      </c>
      <c r="O1278">
        <v>250</v>
      </c>
      <c r="P1278" t="s">
        <v>315</v>
      </c>
      <c r="T1278">
        <v>29.5</v>
      </c>
      <c r="V1278">
        <v>43.5</v>
      </c>
      <c r="W1278" t="s">
        <v>468</v>
      </c>
      <c r="X1278" t="s">
        <v>255</v>
      </c>
      <c r="Y1278">
        <v>30</v>
      </c>
      <c r="AB1278">
        <v>6.9</v>
      </c>
      <c r="AC1278" t="s">
        <v>85</v>
      </c>
      <c r="AE1278" t="s">
        <v>63</v>
      </c>
      <c r="AI1278">
        <v>5</v>
      </c>
      <c r="AT1278" t="s">
        <v>318</v>
      </c>
      <c r="AV1278" t="s">
        <v>88</v>
      </c>
      <c r="AY1278">
        <v>250</v>
      </c>
    </row>
    <row r="1279" spans="1:51" hidden="1" x14ac:dyDescent="0.3">
      <c r="A1279" t="s">
        <v>467</v>
      </c>
      <c r="C1279" t="s">
        <v>251</v>
      </c>
      <c r="D1279" t="s">
        <v>81</v>
      </c>
      <c r="E1279">
        <v>100000000</v>
      </c>
      <c r="H1279">
        <v>14.25</v>
      </c>
      <c r="I1279" t="s">
        <v>56</v>
      </c>
      <c r="J1279">
        <v>1.4250000000000001E-3</v>
      </c>
      <c r="K1279" t="s">
        <v>57</v>
      </c>
      <c r="N1279" t="s">
        <v>475</v>
      </c>
      <c r="O1279">
        <v>250</v>
      </c>
      <c r="P1279" t="s">
        <v>315</v>
      </c>
      <c r="T1279">
        <v>29.5</v>
      </c>
      <c r="V1279">
        <v>43.5</v>
      </c>
      <c r="W1279" t="s">
        <v>468</v>
      </c>
      <c r="X1279" t="s">
        <v>255</v>
      </c>
      <c r="Y1279">
        <v>0</v>
      </c>
      <c r="AB1279">
        <v>4.7</v>
      </c>
      <c r="AC1279" t="s">
        <v>85</v>
      </c>
      <c r="AD1279" t="s">
        <v>106</v>
      </c>
      <c r="AE1279" t="s">
        <v>63</v>
      </c>
      <c r="AI1279">
        <v>5</v>
      </c>
      <c r="AT1279" t="s">
        <v>318</v>
      </c>
      <c r="AV1279" t="s">
        <v>88</v>
      </c>
      <c r="AY1279">
        <v>250</v>
      </c>
    </row>
    <row r="1280" spans="1:51" hidden="1" x14ac:dyDescent="0.3">
      <c r="A1280" t="s">
        <v>467</v>
      </c>
      <c r="C1280" t="s">
        <v>251</v>
      </c>
      <c r="D1280" t="s">
        <v>81</v>
      </c>
      <c r="E1280">
        <v>100000000</v>
      </c>
      <c r="H1280">
        <v>14.25</v>
      </c>
      <c r="I1280" t="s">
        <v>56</v>
      </c>
      <c r="J1280">
        <v>1.4250000000000001E-3</v>
      </c>
      <c r="K1280" t="s">
        <v>57</v>
      </c>
      <c r="N1280" t="s">
        <v>475</v>
      </c>
      <c r="O1280">
        <v>250</v>
      </c>
      <c r="P1280" t="s">
        <v>315</v>
      </c>
      <c r="T1280">
        <v>29.5</v>
      </c>
      <c r="V1280">
        <v>43.5</v>
      </c>
      <c r="W1280" t="s">
        <v>468</v>
      </c>
      <c r="X1280" t="s">
        <v>255</v>
      </c>
      <c r="Y1280">
        <v>0</v>
      </c>
      <c r="AB1280">
        <v>5.8</v>
      </c>
      <c r="AC1280" t="s">
        <v>85</v>
      </c>
      <c r="AD1280" t="s">
        <v>327</v>
      </c>
      <c r="AE1280" t="s">
        <v>63</v>
      </c>
      <c r="AI1280">
        <v>5</v>
      </c>
      <c r="AT1280" t="s">
        <v>318</v>
      </c>
      <c r="AV1280" t="s">
        <v>88</v>
      </c>
      <c r="AY1280">
        <v>250</v>
      </c>
    </row>
    <row r="1281" spans="1:51" hidden="1" x14ac:dyDescent="0.3">
      <c r="A1281" t="s">
        <v>467</v>
      </c>
      <c r="C1281" t="s">
        <v>251</v>
      </c>
      <c r="D1281" t="s">
        <v>81</v>
      </c>
      <c r="E1281">
        <v>100000000</v>
      </c>
      <c r="H1281">
        <v>14.25</v>
      </c>
      <c r="I1281" t="s">
        <v>56</v>
      </c>
      <c r="J1281">
        <v>1.4250000000000001E-3</v>
      </c>
      <c r="K1281" t="s">
        <v>57</v>
      </c>
      <c r="N1281" t="s">
        <v>475</v>
      </c>
      <c r="O1281">
        <v>250</v>
      </c>
      <c r="P1281" t="s">
        <v>315</v>
      </c>
      <c r="T1281">
        <v>29.5</v>
      </c>
      <c r="V1281">
        <v>43.5</v>
      </c>
      <c r="W1281" t="s">
        <v>468</v>
      </c>
      <c r="X1281" t="s">
        <v>255</v>
      </c>
      <c r="Y1281">
        <v>0</v>
      </c>
      <c r="AB1281">
        <v>4.4000000000000004</v>
      </c>
      <c r="AC1281" t="s">
        <v>85</v>
      </c>
      <c r="AD1281" t="s">
        <v>106</v>
      </c>
      <c r="AE1281" t="s">
        <v>63</v>
      </c>
      <c r="AI1281">
        <v>5</v>
      </c>
      <c r="AT1281" t="s">
        <v>318</v>
      </c>
      <c r="AV1281" t="s">
        <v>88</v>
      </c>
      <c r="AY1281">
        <v>250</v>
      </c>
    </row>
    <row r="1282" spans="1:51" hidden="1" x14ac:dyDescent="0.3">
      <c r="A1282" t="s">
        <v>467</v>
      </c>
      <c r="C1282" t="s">
        <v>251</v>
      </c>
      <c r="D1282" t="s">
        <v>81</v>
      </c>
      <c r="E1282">
        <v>100000000</v>
      </c>
      <c r="H1282">
        <v>14.25</v>
      </c>
      <c r="I1282" t="s">
        <v>56</v>
      </c>
      <c r="J1282">
        <v>1.4250000000000001E-3</v>
      </c>
      <c r="K1282" t="s">
        <v>57</v>
      </c>
      <c r="N1282" t="s">
        <v>475</v>
      </c>
      <c r="O1282">
        <v>250</v>
      </c>
      <c r="P1282" t="s">
        <v>315</v>
      </c>
      <c r="T1282">
        <v>29.5</v>
      </c>
      <c r="V1282">
        <v>43.5</v>
      </c>
      <c r="W1282" t="s">
        <v>469</v>
      </c>
      <c r="X1282" t="s">
        <v>255</v>
      </c>
      <c r="Y1282">
        <v>90</v>
      </c>
      <c r="Z1282">
        <v>1</v>
      </c>
      <c r="AB1282">
        <v>7.7</v>
      </c>
      <c r="AC1282" t="s">
        <v>85</v>
      </c>
      <c r="AE1282" t="s">
        <v>63</v>
      </c>
      <c r="AI1282">
        <v>5</v>
      </c>
      <c r="AT1282" t="s">
        <v>65</v>
      </c>
      <c r="AV1282" t="s">
        <v>88</v>
      </c>
      <c r="AY1282">
        <v>250</v>
      </c>
    </row>
    <row r="1283" spans="1:51" hidden="1" x14ac:dyDescent="0.3">
      <c r="A1283" t="s">
        <v>467</v>
      </c>
      <c r="C1283" t="s">
        <v>251</v>
      </c>
      <c r="D1283" t="s">
        <v>81</v>
      </c>
      <c r="E1283">
        <v>100000000</v>
      </c>
      <c r="H1283">
        <v>14.25</v>
      </c>
      <c r="I1283" t="s">
        <v>56</v>
      </c>
      <c r="J1283">
        <v>1.4250000000000001E-3</v>
      </c>
      <c r="K1283" t="s">
        <v>57</v>
      </c>
      <c r="N1283" t="s">
        <v>475</v>
      </c>
      <c r="O1283">
        <v>250</v>
      </c>
      <c r="P1283" t="s">
        <v>315</v>
      </c>
      <c r="T1283">
        <v>29.5</v>
      </c>
      <c r="V1283">
        <v>43.5</v>
      </c>
      <c r="W1283" t="s">
        <v>469</v>
      </c>
      <c r="X1283" t="s">
        <v>255</v>
      </c>
      <c r="Y1283">
        <v>90</v>
      </c>
      <c r="Z1283">
        <v>1</v>
      </c>
      <c r="AB1283">
        <v>7.7</v>
      </c>
      <c r="AC1283" t="s">
        <v>85</v>
      </c>
      <c r="AE1283" t="s">
        <v>63</v>
      </c>
      <c r="AI1283">
        <v>5</v>
      </c>
      <c r="AT1283" t="s">
        <v>65</v>
      </c>
      <c r="AV1283" t="s">
        <v>88</v>
      </c>
      <c r="AY1283">
        <v>250</v>
      </c>
    </row>
    <row r="1284" spans="1:51" hidden="1" x14ac:dyDescent="0.3">
      <c r="A1284" t="s">
        <v>467</v>
      </c>
      <c r="C1284" t="s">
        <v>251</v>
      </c>
      <c r="D1284" t="s">
        <v>81</v>
      </c>
      <c r="E1284">
        <v>100000000</v>
      </c>
      <c r="H1284">
        <v>14.25</v>
      </c>
      <c r="I1284" t="s">
        <v>56</v>
      </c>
      <c r="J1284">
        <v>1.4250000000000001E-3</v>
      </c>
      <c r="K1284" t="s">
        <v>57</v>
      </c>
      <c r="N1284" t="s">
        <v>475</v>
      </c>
      <c r="O1284">
        <v>250</v>
      </c>
      <c r="P1284" t="s">
        <v>315</v>
      </c>
      <c r="T1284">
        <v>29.5</v>
      </c>
      <c r="V1284">
        <v>43.5</v>
      </c>
      <c r="W1284" t="s">
        <v>469</v>
      </c>
      <c r="X1284" t="s">
        <v>255</v>
      </c>
      <c r="Y1284">
        <v>90</v>
      </c>
      <c r="Z1284">
        <v>1</v>
      </c>
      <c r="AB1284">
        <v>7.7</v>
      </c>
      <c r="AC1284" t="s">
        <v>85</v>
      </c>
      <c r="AE1284" t="s">
        <v>63</v>
      </c>
      <c r="AI1284">
        <v>5</v>
      </c>
      <c r="AT1284" t="s">
        <v>65</v>
      </c>
      <c r="AV1284" t="s">
        <v>88</v>
      </c>
      <c r="AY1284">
        <v>250</v>
      </c>
    </row>
    <row r="1285" spans="1:51" hidden="1" x14ac:dyDescent="0.3">
      <c r="A1285" t="s">
        <v>467</v>
      </c>
      <c r="C1285" t="s">
        <v>251</v>
      </c>
      <c r="D1285" t="s">
        <v>81</v>
      </c>
      <c r="E1285">
        <v>100000000</v>
      </c>
      <c r="H1285">
        <v>14.25</v>
      </c>
      <c r="I1285" t="s">
        <v>56</v>
      </c>
      <c r="J1285">
        <v>1.4250000000000001E-3</v>
      </c>
      <c r="K1285" t="s">
        <v>57</v>
      </c>
      <c r="N1285" t="s">
        <v>475</v>
      </c>
      <c r="O1285">
        <v>250</v>
      </c>
      <c r="P1285" t="s">
        <v>315</v>
      </c>
      <c r="T1285">
        <v>29.5</v>
      </c>
      <c r="V1285">
        <v>43.5</v>
      </c>
      <c r="W1285" t="s">
        <v>469</v>
      </c>
      <c r="X1285" t="s">
        <v>255</v>
      </c>
      <c r="Y1285">
        <v>30</v>
      </c>
      <c r="Z1285">
        <v>1</v>
      </c>
      <c r="AB1285">
        <v>7.6</v>
      </c>
      <c r="AC1285" t="s">
        <v>85</v>
      </c>
      <c r="AE1285" t="s">
        <v>63</v>
      </c>
      <c r="AI1285">
        <v>5</v>
      </c>
      <c r="AT1285" t="s">
        <v>65</v>
      </c>
      <c r="AV1285" t="s">
        <v>88</v>
      </c>
      <c r="AY1285">
        <v>250</v>
      </c>
    </row>
    <row r="1286" spans="1:51" hidden="1" x14ac:dyDescent="0.3">
      <c r="A1286" t="s">
        <v>467</v>
      </c>
      <c r="C1286" t="s">
        <v>251</v>
      </c>
      <c r="D1286" t="s">
        <v>81</v>
      </c>
      <c r="E1286">
        <v>100000000</v>
      </c>
      <c r="H1286">
        <v>14.25</v>
      </c>
      <c r="I1286" t="s">
        <v>56</v>
      </c>
      <c r="J1286">
        <v>1.4250000000000001E-3</v>
      </c>
      <c r="K1286" t="s">
        <v>57</v>
      </c>
      <c r="N1286" t="s">
        <v>475</v>
      </c>
      <c r="O1286">
        <v>250</v>
      </c>
      <c r="P1286" t="s">
        <v>315</v>
      </c>
      <c r="T1286">
        <v>29.5</v>
      </c>
      <c r="V1286">
        <v>43.5</v>
      </c>
      <c r="W1286" t="s">
        <v>469</v>
      </c>
      <c r="X1286" t="s">
        <v>255</v>
      </c>
      <c r="Y1286">
        <v>30</v>
      </c>
      <c r="Z1286">
        <v>1</v>
      </c>
      <c r="AB1286">
        <v>7.8</v>
      </c>
      <c r="AC1286" t="s">
        <v>85</v>
      </c>
      <c r="AE1286" t="s">
        <v>63</v>
      </c>
      <c r="AI1286">
        <v>5</v>
      </c>
      <c r="AT1286" t="s">
        <v>65</v>
      </c>
      <c r="AV1286" t="s">
        <v>88</v>
      </c>
      <c r="AY1286">
        <v>250</v>
      </c>
    </row>
    <row r="1287" spans="1:51" hidden="1" x14ac:dyDescent="0.3">
      <c r="A1287" t="s">
        <v>467</v>
      </c>
      <c r="C1287" t="s">
        <v>251</v>
      </c>
      <c r="D1287" t="s">
        <v>81</v>
      </c>
      <c r="E1287">
        <v>100000000</v>
      </c>
      <c r="H1287">
        <v>14.25</v>
      </c>
      <c r="I1287" t="s">
        <v>56</v>
      </c>
      <c r="J1287">
        <v>1.4250000000000001E-3</v>
      </c>
      <c r="K1287" t="s">
        <v>57</v>
      </c>
      <c r="N1287" t="s">
        <v>475</v>
      </c>
      <c r="O1287">
        <v>250</v>
      </c>
      <c r="P1287" t="s">
        <v>315</v>
      </c>
      <c r="T1287">
        <v>29.5</v>
      </c>
      <c r="V1287">
        <v>43.5</v>
      </c>
      <c r="W1287" t="s">
        <v>469</v>
      </c>
      <c r="X1287" t="s">
        <v>255</v>
      </c>
      <c r="Y1287">
        <v>30</v>
      </c>
      <c r="Z1287">
        <v>1</v>
      </c>
      <c r="AB1287">
        <v>7.6</v>
      </c>
      <c r="AC1287" t="s">
        <v>85</v>
      </c>
      <c r="AE1287" t="s">
        <v>63</v>
      </c>
      <c r="AI1287">
        <v>5</v>
      </c>
      <c r="AT1287" t="s">
        <v>65</v>
      </c>
      <c r="AV1287" t="s">
        <v>88</v>
      </c>
      <c r="AY1287">
        <v>250</v>
      </c>
    </row>
    <row r="1288" spans="1:51" hidden="1" x14ac:dyDescent="0.3">
      <c r="A1288" t="s">
        <v>467</v>
      </c>
      <c r="C1288" t="s">
        <v>251</v>
      </c>
      <c r="D1288" t="s">
        <v>81</v>
      </c>
      <c r="E1288">
        <v>100000000</v>
      </c>
      <c r="H1288">
        <v>14.25</v>
      </c>
      <c r="I1288" t="s">
        <v>56</v>
      </c>
      <c r="J1288">
        <v>1.4250000000000001E-3</v>
      </c>
      <c r="K1288" t="s">
        <v>57</v>
      </c>
      <c r="N1288" t="s">
        <v>475</v>
      </c>
      <c r="O1288">
        <v>250</v>
      </c>
      <c r="P1288" t="s">
        <v>315</v>
      </c>
      <c r="T1288">
        <v>29.5</v>
      </c>
      <c r="V1288">
        <v>43.5</v>
      </c>
      <c r="W1288" t="s">
        <v>469</v>
      </c>
      <c r="X1288" t="s">
        <v>255</v>
      </c>
      <c r="Y1288">
        <v>0</v>
      </c>
      <c r="Z1288">
        <v>1</v>
      </c>
      <c r="AB1288">
        <v>7.6</v>
      </c>
      <c r="AC1288" t="s">
        <v>85</v>
      </c>
      <c r="AE1288" t="s">
        <v>63</v>
      </c>
      <c r="AI1288">
        <v>5</v>
      </c>
      <c r="AT1288" t="s">
        <v>65</v>
      </c>
      <c r="AV1288" t="s">
        <v>88</v>
      </c>
      <c r="AY1288">
        <v>250</v>
      </c>
    </row>
    <row r="1289" spans="1:51" hidden="1" x14ac:dyDescent="0.3">
      <c r="A1289" t="s">
        <v>467</v>
      </c>
      <c r="C1289" t="s">
        <v>251</v>
      </c>
      <c r="D1289" t="s">
        <v>81</v>
      </c>
      <c r="E1289">
        <v>100000000</v>
      </c>
      <c r="H1289">
        <v>14.25</v>
      </c>
      <c r="I1289" t="s">
        <v>56</v>
      </c>
      <c r="J1289">
        <v>1.4250000000000001E-3</v>
      </c>
      <c r="K1289" t="s">
        <v>57</v>
      </c>
      <c r="N1289" t="s">
        <v>475</v>
      </c>
      <c r="O1289">
        <v>250</v>
      </c>
      <c r="P1289" t="s">
        <v>315</v>
      </c>
      <c r="T1289">
        <v>29.5</v>
      </c>
      <c r="V1289">
        <v>43.5</v>
      </c>
      <c r="W1289" t="s">
        <v>469</v>
      </c>
      <c r="X1289" t="s">
        <v>255</v>
      </c>
      <c r="Y1289">
        <v>0</v>
      </c>
      <c r="Z1289">
        <v>1</v>
      </c>
      <c r="AB1289">
        <v>7.7</v>
      </c>
      <c r="AC1289" t="s">
        <v>85</v>
      </c>
      <c r="AE1289" t="s">
        <v>63</v>
      </c>
      <c r="AI1289">
        <v>5</v>
      </c>
      <c r="AT1289" t="s">
        <v>65</v>
      </c>
      <c r="AV1289" t="s">
        <v>88</v>
      </c>
      <c r="AY1289">
        <v>250</v>
      </c>
    </row>
    <row r="1290" spans="1:51" hidden="1" x14ac:dyDescent="0.3">
      <c r="A1290" t="s">
        <v>467</v>
      </c>
      <c r="C1290" t="s">
        <v>251</v>
      </c>
      <c r="D1290" t="s">
        <v>81</v>
      </c>
      <c r="E1290">
        <v>100000000</v>
      </c>
      <c r="H1290">
        <v>14.25</v>
      </c>
      <c r="I1290" t="s">
        <v>56</v>
      </c>
      <c r="J1290">
        <v>1.4250000000000001E-3</v>
      </c>
      <c r="K1290" t="s">
        <v>57</v>
      </c>
      <c r="N1290" t="s">
        <v>475</v>
      </c>
      <c r="O1290">
        <v>250</v>
      </c>
      <c r="P1290" t="s">
        <v>315</v>
      </c>
      <c r="T1290">
        <v>29.5</v>
      </c>
      <c r="V1290">
        <v>43.5</v>
      </c>
      <c r="W1290" t="s">
        <v>469</v>
      </c>
      <c r="X1290" t="s">
        <v>255</v>
      </c>
      <c r="Y1290">
        <v>0</v>
      </c>
      <c r="Z1290">
        <v>1</v>
      </c>
      <c r="AB1290">
        <v>7</v>
      </c>
      <c r="AC1290" t="s">
        <v>85</v>
      </c>
      <c r="AD1290" t="s">
        <v>334</v>
      </c>
      <c r="AE1290" t="s">
        <v>63</v>
      </c>
      <c r="AI1290">
        <v>5</v>
      </c>
      <c r="AT1290" t="s">
        <v>65</v>
      </c>
      <c r="AV1290" t="s">
        <v>88</v>
      </c>
      <c r="AY1290">
        <v>250</v>
      </c>
    </row>
    <row r="1291" spans="1:51" hidden="1" x14ac:dyDescent="0.3">
      <c r="A1291" t="s">
        <v>467</v>
      </c>
      <c r="C1291" t="s">
        <v>251</v>
      </c>
      <c r="D1291" t="s">
        <v>81</v>
      </c>
      <c r="E1291">
        <v>100000000</v>
      </c>
      <c r="H1291">
        <v>0.25</v>
      </c>
      <c r="I1291" t="s">
        <v>56</v>
      </c>
      <c r="J1291">
        <v>2.5000000000000001E-5</v>
      </c>
      <c r="K1291" t="s">
        <v>57</v>
      </c>
      <c r="N1291" t="s">
        <v>475</v>
      </c>
      <c r="O1291">
        <v>250</v>
      </c>
      <c r="P1291" t="s">
        <v>315</v>
      </c>
      <c r="T1291">
        <v>29.5</v>
      </c>
      <c r="V1291">
        <v>43.5</v>
      </c>
      <c r="W1291" t="s">
        <v>147</v>
      </c>
      <c r="X1291" t="s">
        <v>255</v>
      </c>
      <c r="Y1291">
        <v>90</v>
      </c>
      <c r="Z1291">
        <v>1</v>
      </c>
      <c r="AB1291">
        <v>6.8</v>
      </c>
      <c r="AC1291" t="s">
        <v>85</v>
      </c>
      <c r="AE1291" t="s">
        <v>63</v>
      </c>
      <c r="AI1291">
        <v>5</v>
      </c>
      <c r="AT1291" t="s">
        <v>150</v>
      </c>
      <c r="AV1291" t="s">
        <v>88</v>
      </c>
      <c r="AY1291">
        <v>250</v>
      </c>
    </row>
    <row r="1292" spans="1:51" hidden="1" x14ac:dyDescent="0.3">
      <c r="A1292" t="s">
        <v>467</v>
      </c>
      <c r="C1292" t="s">
        <v>251</v>
      </c>
      <c r="D1292" t="s">
        <v>81</v>
      </c>
      <c r="E1292">
        <v>100000000</v>
      </c>
      <c r="H1292">
        <v>0.25</v>
      </c>
      <c r="I1292" t="s">
        <v>56</v>
      </c>
      <c r="J1292">
        <v>2.5000000000000001E-5</v>
      </c>
      <c r="K1292" t="s">
        <v>57</v>
      </c>
      <c r="N1292" t="s">
        <v>475</v>
      </c>
      <c r="O1292">
        <v>250</v>
      </c>
      <c r="P1292" t="s">
        <v>315</v>
      </c>
      <c r="T1292">
        <v>29.5</v>
      </c>
      <c r="V1292">
        <v>43.5</v>
      </c>
      <c r="W1292" t="s">
        <v>147</v>
      </c>
      <c r="X1292" t="s">
        <v>255</v>
      </c>
      <c r="Y1292">
        <v>90</v>
      </c>
      <c r="Z1292">
        <v>1</v>
      </c>
      <c r="AB1292">
        <v>6.5</v>
      </c>
      <c r="AC1292" t="s">
        <v>85</v>
      </c>
      <c r="AE1292" t="s">
        <v>63</v>
      </c>
      <c r="AI1292">
        <v>5</v>
      </c>
      <c r="AT1292" t="s">
        <v>150</v>
      </c>
      <c r="AV1292" t="s">
        <v>88</v>
      </c>
      <c r="AY1292">
        <v>250</v>
      </c>
    </row>
    <row r="1293" spans="1:51" hidden="1" x14ac:dyDescent="0.3">
      <c r="A1293" t="s">
        <v>467</v>
      </c>
      <c r="C1293" t="s">
        <v>251</v>
      </c>
      <c r="D1293" t="s">
        <v>81</v>
      </c>
      <c r="E1293">
        <v>100000000</v>
      </c>
      <c r="H1293">
        <v>0.25</v>
      </c>
      <c r="I1293" t="s">
        <v>56</v>
      </c>
      <c r="J1293">
        <v>2.5000000000000001E-5</v>
      </c>
      <c r="K1293" t="s">
        <v>57</v>
      </c>
      <c r="N1293" t="s">
        <v>475</v>
      </c>
      <c r="O1293">
        <v>250</v>
      </c>
      <c r="P1293" t="s">
        <v>315</v>
      </c>
      <c r="T1293">
        <v>29.5</v>
      </c>
      <c r="V1293">
        <v>43.5</v>
      </c>
      <c r="W1293" t="s">
        <v>147</v>
      </c>
      <c r="X1293" t="s">
        <v>255</v>
      </c>
      <c r="Y1293">
        <v>90</v>
      </c>
      <c r="Z1293">
        <v>1</v>
      </c>
      <c r="AB1293">
        <v>6.7</v>
      </c>
      <c r="AC1293" t="s">
        <v>85</v>
      </c>
      <c r="AE1293" t="s">
        <v>63</v>
      </c>
      <c r="AI1293">
        <v>5</v>
      </c>
      <c r="AT1293" t="s">
        <v>150</v>
      </c>
      <c r="AV1293" t="s">
        <v>88</v>
      </c>
      <c r="AY1293">
        <v>250</v>
      </c>
    </row>
    <row r="1294" spans="1:51" hidden="1" x14ac:dyDescent="0.3">
      <c r="A1294" t="s">
        <v>467</v>
      </c>
      <c r="C1294" t="s">
        <v>251</v>
      </c>
      <c r="D1294" t="s">
        <v>81</v>
      </c>
      <c r="E1294">
        <v>100000000</v>
      </c>
      <c r="H1294">
        <v>0.25</v>
      </c>
      <c r="I1294" t="s">
        <v>56</v>
      </c>
      <c r="J1294">
        <v>2.5000000000000001E-5</v>
      </c>
      <c r="K1294" t="s">
        <v>57</v>
      </c>
      <c r="N1294" t="s">
        <v>475</v>
      </c>
      <c r="O1294">
        <v>250</v>
      </c>
      <c r="P1294" t="s">
        <v>315</v>
      </c>
      <c r="T1294">
        <v>29.5</v>
      </c>
      <c r="V1294">
        <v>43.5</v>
      </c>
      <c r="W1294" t="s">
        <v>147</v>
      </c>
      <c r="X1294" t="s">
        <v>255</v>
      </c>
      <c r="Y1294">
        <v>30</v>
      </c>
      <c r="Z1294">
        <v>1</v>
      </c>
      <c r="AB1294">
        <v>6.8</v>
      </c>
      <c r="AC1294" t="s">
        <v>85</v>
      </c>
      <c r="AE1294" t="s">
        <v>63</v>
      </c>
      <c r="AI1294">
        <v>5</v>
      </c>
      <c r="AT1294" t="s">
        <v>150</v>
      </c>
      <c r="AV1294" t="s">
        <v>88</v>
      </c>
      <c r="AY1294">
        <v>250</v>
      </c>
    </row>
    <row r="1295" spans="1:51" hidden="1" x14ac:dyDescent="0.3">
      <c r="A1295" t="s">
        <v>467</v>
      </c>
      <c r="C1295" t="s">
        <v>251</v>
      </c>
      <c r="D1295" t="s">
        <v>81</v>
      </c>
      <c r="E1295">
        <v>100000000</v>
      </c>
      <c r="H1295">
        <v>0.25</v>
      </c>
      <c r="I1295" t="s">
        <v>56</v>
      </c>
      <c r="J1295">
        <v>2.5000000000000001E-5</v>
      </c>
      <c r="K1295" t="s">
        <v>57</v>
      </c>
      <c r="N1295" t="s">
        <v>475</v>
      </c>
      <c r="O1295">
        <v>250</v>
      </c>
      <c r="P1295" t="s">
        <v>315</v>
      </c>
      <c r="T1295">
        <v>29.5</v>
      </c>
      <c r="V1295">
        <v>43.5</v>
      </c>
      <c r="W1295" t="s">
        <v>147</v>
      </c>
      <c r="X1295" t="s">
        <v>255</v>
      </c>
      <c r="Y1295">
        <v>30</v>
      </c>
      <c r="Z1295">
        <v>1</v>
      </c>
      <c r="AB1295">
        <v>6.8</v>
      </c>
      <c r="AC1295" t="s">
        <v>85</v>
      </c>
      <c r="AE1295" t="s">
        <v>63</v>
      </c>
      <c r="AI1295">
        <v>5</v>
      </c>
      <c r="AT1295" t="s">
        <v>150</v>
      </c>
      <c r="AV1295" t="s">
        <v>88</v>
      </c>
      <c r="AY1295">
        <v>250</v>
      </c>
    </row>
    <row r="1296" spans="1:51" hidden="1" x14ac:dyDescent="0.3">
      <c r="A1296" t="s">
        <v>467</v>
      </c>
      <c r="C1296" t="s">
        <v>251</v>
      </c>
      <c r="D1296" t="s">
        <v>81</v>
      </c>
      <c r="E1296">
        <v>100000000</v>
      </c>
      <c r="H1296">
        <v>0.25</v>
      </c>
      <c r="I1296" t="s">
        <v>56</v>
      </c>
      <c r="J1296">
        <v>2.5000000000000001E-5</v>
      </c>
      <c r="K1296" t="s">
        <v>57</v>
      </c>
      <c r="N1296" t="s">
        <v>475</v>
      </c>
      <c r="O1296">
        <v>250</v>
      </c>
      <c r="P1296" t="s">
        <v>315</v>
      </c>
      <c r="T1296">
        <v>29.5</v>
      </c>
      <c r="V1296">
        <v>43.5</v>
      </c>
      <c r="W1296" t="s">
        <v>147</v>
      </c>
      <c r="X1296" t="s">
        <v>255</v>
      </c>
      <c r="Y1296">
        <v>30</v>
      </c>
      <c r="Z1296">
        <v>1</v>
      </c>
      <c r="AB1296">
        <v>6.7</v>
      </c>
      <c r="AC1296" t="s">
        <v>85</v>
      </c>
      <c r="AE1296" t="s">
        <v>63</v>
      </c>
      <c r="AI1296">
        <v>5</v>
      </c>
      <c r="AT1296" t="s">
        <v>150</v>
      </c>
      <c r="AV1296" t="s">
        <v>88</v>
      </c>
      <c r="AY1296">
        <v>250</v>
      </c>
    </row>
    <row r="1297" spans="1:53" hidden="1" x14ac:dyDescent="0.3">
      <c r="A1297" t="s">
        <v>467</v>
      </c>
      <c r="C1297" t="s">
        <v>251</v>
      </c>
      <c r="D1297" t="s">
        <v>81</v>
      </c>
      <c r="E1297">
        <v>100000000</v>
      </c>
      <c r="H1297">
        <v>0.25</v>
      </c>
      <c r="I1297" t="s">
        <v>56</v>
      </c>
      <c r="J1297">
        <v>2.5000000000000001E-5</v>
      </c>
      <c r="K1297" t="s">
        <v>57</v>
      </c>
      <c r="N1297" t="s">
        <v>475</v>
      </c>
      <c r="O1297">
        <v>250</v>
      </c>
      <c r="P1297" t="s">
        <v>315</v>
      </c>
      <c r="T1297">
        <v>29.5</v>
      </c>
      <c r="V1297">
        <v>43.5</v>
      </c>
      <c r="W1297" t="s">
        <v>147</v>
      </c>
      <c r="X1297" t="s">
        <v>255</v>
      </c>
      <c r="Y1297">
        <v>0</v>
      </c>
      <c r="Z1297">
        <v>1</v>
      </c>
      <c r="AB1297">
        <v>6.2</v>
      </c>
      <c r="AC1297" t="s">
        <v>85</v>
      </c>
      <c r="AD1297" t="s">
        <v>326</v>
      </c>
      <c r="AE1297" t="s">
        <v>63</v>
      </c>
      <c r="AI1297">
        <v>5</v>
      </c>
      <c r="AT1297" t="s">
        <v>150</v>
      </c>
      <c r="AV1297" t="s">
        <v>88</v>
      </c>
      <c r="AY1297">
        <v>250</v>
      </c>
    </row>
    <row r="1298" spans="1:53" hidden="1" x14ac:dyDescent="0.3">
      <c r="A1298" t="s">
        <v>467</v>
      </c>
      <c r="C1298" t="s">
        <v>251</v>
      </c>
      <c r="D1298" t="s">
        <v>81</v>
      </c>
      <c r="E1298">
        <v>100000000</v>
      </c>
      <c r="H1298">
        <v>0.25</v>
      </c>
      <c r="I1298" t="s">
        <v>56</v>
      </c>
      <c r="J1298">
        <v>2.5000000000000001E-5</v>
      </c>
      <c r="K1298" t="s">
        <v>57</v>
      </c>
      <c r="N1298" t="s">
        <v>475</v>
      </c>
      <c r="O1298">
        <v>250</v>
      </c>
      <c r="P1298" t="s">
        <v>315</v>
      </c>
      <c r="T1298">
        <v>29.5</v>
      </c>
      <c r="V1298">
        <v>43.5</v>
      </c>
      <c r="W1298" t="s">
        <v>147</v>
      </c>
      <c r="X1298" t="s">
        <v>255</v>
      </c>
      <c r="Y1298">
        <v>0</v>
      </c>
      <c r="Z1298">
        <v>1</v>
      </c>
      <c r="AB1298">
        <v>6.5</v>
      </c>
      <c r="AC1298" t="s">
        <v>85</v>
      </c>
      <c r="AE1298" t="s">
        <v>63</v>
      </c>
      <c r="AI1298">
        <v>5</v>
      </c>
      <c r="AT1298" t="s">
        <v>150</v>
      </c>
      <c r="AV1298" t="s">
        <v>88</v>
      </c>
      <c r="AY1298">
        <v>250</v>
      </c>
    </row>
    <row r="1299" spans="1:53" hidden="1" x14ac:dyDescent="0.3">
      <c r="A1299" t="s">
        <v>467</v>
      </c>
      <c r="C1299" t="s">
        <v>251</v>
      </c>
      <c r="D1299" t="s">
        <v>81</v>
      </c>
      <c r="E1299">
        <v>100000000</v>
      </c>
      <c r="H1299">
        <v>0.25</v>
      </c>
      <c r="I1299" t="s">
        <v>56</v>
      </c>
      <c r="J1299">
        <v>2.5000000000000001E-5</v>
      </c>
      <c r="K1299" t="s">
        <v>57</v>
      </c>
      <c r="N1299" t="s">
        <v>475</v>
      </c>
      <c r="O1299">
        <v>250</v>
      </c>
      <c r="P1299" t="s">
        <v>315</v>
      </c>
      <c r="T1299">
        <v>29.5</v>
      </c>
      <c r="V1299">
        <v>43.5</v>
      </c>
      <c r="W1299" t="s">
        <v>147</v>
      </c>
      <c r="X1299" t="s">
        <v>255</v>
      </c>
      <c r="Y1299">
        <v>0</v>
      </c>
      <c r="Z1299">
        <v>1</v>
      </c>
      <c r="AB1299">
        <v>5</v>
      </c>
      <c r="AC1299" t="s">
        <v>85</v>
      </c>
      <c r="AD1299" t="s">
        <v>326</v>
      </c>
      <c r="AE1299" t="s">
        <v>63</v>
      </c>
      <c r="AI1299">
        <v>5</v>
      </c>
      <c r="AT1299" t="s">
        <v>150</v>
      </c>
      <c r="AV1299" t="s">
        <v>88</v>
      </c>
      <c r="AY1299">
        <v>250</v>
      </c>
    </row>
    <row r="1300" spans="1:53" hidden="1" x14ac:dyDescent="0.3">
      <c r="A1300" t="s">
        <v>467</v>
      </c>
      <c r="C1300" t="s">
        <v>251</v>
      </c>
      <c r="D1300" t="s">
        <v>81</v>
      </c>
      <c r="E1300">
        <v>100000000</v>
      </c>
      <c r="N1300" t="s">
        <v>475</v>
      </c>
      <c r="O1300">
        <v>250</v>
      </c>
      <c r="P1300" t="s">
        <v>315</v>
      </c>
      <c r="T1300">
        <v>29.5</v>
      </c>
      <c r="V1300">
        <v>43.5</v>
      </c>
      <c r="W1300" t="s">
        <v>474</v>
      </c>
      <c r="X1300" t="s">
        <v>255</v>
      </c>
      <c r="Y1300">
        <v>90</v>
      </c>
      <c r="AB1300">
        <v>3</v>
      </c>
      <c r="AC1300" t="s">
        <v>297</v>
      </c>
      <c r="AE1300" t="s">
        <v>63</v>
      </c>
      <c r="AI1300">
        <v>5</v>
      </c>
      <c r="AT1300" t="s">
        <v>65</v>
      </c>
      <c r="AV1300" t="s">
        <v>88</v>
      </c>
      <c r="AY1300">
        <v>250</v>
      </c>
      <c r="AZ1300">
        <v>3</v>
      </c>
    </row>
    <row r="1301" spans="1:53" hidden="1" x14ac:dyDescent="0.3">
      <c r="A1301" t="s">
        <v>467</v>
      </c>
      <c r="C1301" t="s">
        <v>251</v>
      </c>
      <c r="D1301" t="s">
        <v>81</v>
      </c>
      <c r="E1301">
        <v>100000000</v>
      </c>
      <c r="N1301" t="s">
        <v>475</v>
      </c>
      <c r="O1301">
        <v>250</v>
      </c>
      <c r="P1301" t="s">
        <v>315</v>
      </c>
      <c r="T1301">
        <v>29.5</v>
      </c>
      <c r="V1301">
        <v>43.5</v>
      </c>
      <c r="W1301" t="s">
        <v>474</v>
      </c>
      <c r="X1301" t="s">
        <v>255</v>
      </c>
      <c r="Y1301">
        <v>90</v>
      </c>
      <c r="AB1301">
        <v>3</v>
      </c>
      <c r="AC1301" t="s">
        <v>297</v>
      </c>
      <c r="AE1301" t="s">
        <v>63</v>
      </c>
      <c r="AI1301">
        <v>5</v>
      </c>
      <c r="AT1301" t="s">
        <v>65</v>
      </c>
      <c r="AV1301" t="s">
        <v>88</v>
      </c>
      <c r="AY1301">
        <v>250</v>
      </c>
      <c r="AZ1301">
        <v>3</v>
      </c>
    </row>
    <row r="1302" spans="1:53" hidden="1" x14ac:dyDescent="0.3">
      <c r="A1302" t="s">
        <v>467</v>
      </c>
      <c r="C1302" t="s">
        <v>251</v>
      </c>
      <c r="D1302" t="s">
        <v>81</v>
      </c>
      <c r="E1302">
        <v>100000000</v>
      </c>
      <c r="N1302" t="s">
        <v>475</v>
      </c>
      <c r="O1302">
        <v>250</v>
      </c>
      <c r="P1302" t="s">
        <v>315</v>
      </c>
      <c r="T1302">
        <v>29.5</v>
      </c>
      <c r="V1302">
        <v>43.5</v>
      </c>
      <c r="W1302" t="s">
        <v>474</v>
      </c>
      <c r="X1302" t="s">
        <v>255</v>
      </c>
      <c r="Y1302">
        <v>90</v>
      </c>
      <c r="AB1302">
        <v>2</v>
      </c>
      <c r="AC1302" t="s">
        <v>297</v>
      </c>
      <c r="AE1302" t="s">
        <v>63</v>
      </c>
      <c r="AI1302">
        <v>5</v>
      </c>
      <c r="AT1302" t="s">
        <v>65</v>
      </c>
      <c r="AV1302" t="s">
        <v>88</v>
      </c>
      <c r="AY1302">
        <v>250</v>
      </c>
      <c r="AZ1302">
        <v>2</v>
      </c>
    </row>
    <row r="1303" spans="1:53" hidden="1" x14ac:dyDescent="0.3">
      <c r="A1303" t="s">
        <v>467</v>
      </c>
      <c r="C1303" t="s">
        <v>251</v>
      </c>
      <c r="D1303" t="s">
        <v>81</v>
      </c>
      <c r="E1303">
        <v>100000000</v>
      </c>
      <c r="N1303" t="s">
        <v>475</v>
      </c>
      <c r="O1303">
        <v>250</v>
      </c>
      <c r="P1303" t="s">
        <v>315</v>
      </c>
      <c r="T1303">
        <v>29.5</v>
      </c>
      <c r="V1303">
        <v>43.5</v>
      </c>
      <c r="W1303" t="s">
        <v>474</v>
      </c>
      <c r="X1303" t="s">
        <v>255</v>
      </c>
      <c r="Y1303">
        <v>30</v>
      </c>
      <c r="AB1303">
        <v>3</v>
      </c>
      <c r="AC1303" t="s">
        <v>297</v>
      </c>
      <c r="AE1303" t="s">
        <v>63</v>
      </c>
      <c r="AI1303">
        <v>5</v>
      </c>
      <c r="AT1303" t="s">
        <v>65</v>
      </c>
      <c r="AV1303" t="s">
        <v>88</v>
      </c>
      <c r="AY1303">
        <v>250</v>
      </c>
      <c r="AZ1303">
        <v>3</v>
      </c>
    </row>
    <row r="1304" spans="1:53" hidden="1" x14ac:dyDescent="0.3">
      <c r="A1304" t="s">
        <v>467</v>
      </c>
      <c r="C1304" t="s">
        <v>251</v>
      </c>
      <c r="D1304" t="s">
        <v>81</v>
      </c>
      <c r="E1304">
        <v>100000000</v>
      </c>
      <c r="N1304" t="s">
        <v>475</v>
      </c>
      <c r="O1304">
        <v>250</v>
      </c>
      <c r="P1304" t="s">
        <v>315</v>
      </c>
      <c r="T1304">
        <v>29.5</v>
      </c>
      <c r="V1304">
        <v>43.5</v>
      </c>
      <c r="W1304" t="s">
        <v>474</v>
      </c>
      <c r="X1304" t="s">
        <v>255</v>
      </c>
      <c r="Y1304">
        <v>30</v>
      </c>
      <c r="Z1304">
        <v>1</v>
      </c>
      <c r="AB1304">
        <v>3</v>
      </c>
      <c r="AC1304" t="s">
        <v>297</v>
      </c>
      <c r="AE1304" t="s">
        <v>63</v>
      </c>
      <c r="AI1304">
        <v>5</v>
      </c>
      <c r="AT1304" t="s">
        <v>65</v>
      </c>
      <c r="AV1304" t="s">
        <v>88</v>
      </c>
      <c r="AY1304">
        <v>250</v>
      </c>
      <c r="AZ1304">
        <v>3</v>
      </c>
    </row>
    <row r="1305" spans="1:53" hidden="1" x14ac:dyDescent="0.3">
      <c r="A1305" t="s">
        <v>467</v>
      </c>
      <c r="C1305" t="s">
        <v>251</v>
      </c>
      <c r="D1305" t="s">
        <v>81</v>
      </c>
      <c r="E1305">
        <v>100000000</v>
      </c>
      <c r="N1305" t="s">
        <v>475</v>
      </c>
      <c r="O1305">
        <v>250</v>
      </c>
      <c r="P1305" t="s">
        <v>315</v>
      </c>
      <c r="T1305">
        <v>29.5</v>
      </c>
      <c r="V1305">
        <v>43.5</v>
      </c>
      <c r="W1305" t="s">
        <v>474</v>
      </c>
      <c r="X1305" t="s">
        <v>255</v>
      </c>
      <c r="Y1305">
        <v>30</v>
      </c>
      <c r="Z1305">
        <v>1</v>
      </c>
      <c r="AB1305">
        <v>2</v>
      </c>
      <c r="AC1305" t="s">
        <v>297</v>
      </c>
      <c r="AE1305" t="s">
        <v>63</v>
      </c>
      <c r="AI1305">
        <v>5</v>
      </c>
      <c r="AT1305" t="s">
        <v>65</v>
      </c>
      <c r="AV1305" t="s">
        <v>88</v>
      </c>
      <c r="AY1305">
        <v>250</v>
      </c>
      <c r="AZ1305">
        <v>2</v>
      </c>
    </row>
    <row r="1306" spans="1:53" hidden="1" x14ac:dyDescent="0.3">
      <c r="A1306" t="s">
        <v>467</v>
      </c>
      <c r="C1306" t="s">
        <v>251</v>
      </c>
      <c r="D1306" t="s">
        <v>81</v>
      </c>
      <c r="E1306">
        <v>100000000</v>
      </c>
      <c r="N1306" t="s">
        <v>475</v>
      </c>
      <c r="O1306">
        <v>250</v>
      </c>
      <c r="P1306" t="s">
        <v>315</v>
      </c>
      <c r="T1306">
        <v>29.5</v>
      </c>
      <c r="V1306">
        <v>43.5</v>
      </c>
      <c r="W1306" t="s">
        <v>474</v>
      </c>
      <c r="X1306" t="s">
        <v>255</v>
      </c>
      <c r="Y1306">
        <v>0</v>
      </c>
      <c r="Z1306">
        <v>1</v>
      </c>
      <c r="AB1306">
        <v>4</v>
      </c>
      <c r="AC1306" t="s">
        <v>297</v>
      </c>
      <c r="AE1306" t="s">
        <v>63</v>
      </c>
      <c r="AI1306">
        <v>5</v>
      </c>
      <c r="AT1306" t="s">
        <v>65</v>
      </c>
      <c r="AV1306" t="s">
        <v>88</v>
      </c>
      <c r="AY1306">
        <v>250</v>
      </c>
      <c r="AZ1306">
        <v>4</v>
      </c>
    </row>
    <row r="1307" spans="1:53" hidden="1" x14ac:dyDescent="0.3">
      <c r="A1307" t="s">
        <v>467</v>
      </c>
      <c r="C1307" t="s">
        <v>251</v>
      </c>
      <c r="D1307" t="s">
        <v>81</v>
      </c>
      <c r="E1307">
        <v>100000000</v>
      </c>
      <c r="N1307" t="s">
        <v>475</v>
      </c>
      <c r="O1307">
        <v>250</v>
      </c>
      <c r="P1307" t="s">
        <v>315</v>
      </c>
      <c r="T1307">
        <v>29.5</v>
      </c>
      <c r="V1307">
        <v>43.5</v>
      </c>
      <c r="W1307" t="s">
        <v>474</v>
      </c>
      <c r="X1307" t="s">
        <v>255</v>
      </c>
      <c r="Y1307">
        <v>0</v>
      </c>
      <c r="Z1307">
        <v>1</v>
      </c>
      <c r="AB1307">
        <v>5</v>
      </c>
      <c r="AC1307" t="s">
        <v>297</v>
      </c>
      <c r="AE1307" t="s">
        <v>63</v>
      </c>
      <c r="AI1307">
        <v>5</v>
      </c>
      <c r="AT1307" t="s">
        <v>65</v>
      </c>
      <c r="AV1307" t="s">
        <v>88</v>
      </c>
      <c r="AY1307">
        <v>250</v>
      </c>
      <c r="AZ1307">
        <v>5</v>
      </c>
    </row>
    <row r="1308" spans="1:53" hidden="1" x14ac:dyDescent="0.3">
      <c r="A1308" t="s">
        <v>467</v>
      </c>
      <c r="C1308" t="s">
        <v>251</v>
      </c>
      <c r="D1308" t="s">
        <v>81</v>
      </c>
      <c r="E1308">
        <v>100000000</v>
      </c>
      <c r="N1308" t="s">
        <v>475</v>
      </c>
      <c r="O1308">
        <v>250</v>
      </c>
      <c r="P1308" t="s">
        <v>315</v>
      </c>
      <c r="T1308">
        <v>29.5</v>
      </c>
      <c r="V1308">
        <v>43.5</v>
      </c>
      <c r="W1308" t="s">
        <v>474</v>
      </c>
      <c r="X1308" t="s">
        <v>255</v>
      </c>
      <c r="Y1308">
        <v>0</v>
      </c>
      <c r="Z1308">
        <v>1</v>
      </c>
      <c r="AB1308">
        <v>4</v>
      </c>
      <c r="AC1308" t="s">
        <v>297</v>
      </c>
      <c r="AE1308" t="s">
        <v>63</v>
      </c>
      <c r="AI1308">
        <v>5</v>
      </c>
      <c r="AT1308" t="s">
        <v>65</v>
      </c>
      <c r="AV1308" t="s">
        <v>88</v>
      </c>
      <c r="AY1308">
        <v>250</v>
      </c>
      <c r="AZ1308">
        <v>4</v>
      </c>
    </row>
    <row r="1309" spans="1:53" hidden="1" x14ac:dyDescent="0.3">
      <c r="A1309" t="s">
        <v>467</v>
      </c>
      <c r="C1309" t="s">
        <v>251</v>
      </c>
      <c r="D1309" t="s">
        <v>81</v>
      </c>
      <c r="E1309">
        <v>100000000</v>
      </c>
      <c r="N1309" t="s">
        <v>314</v>
      </c>
      <c r="O1309">
        <v>211</v>
      </c>
      <c r="P1309" t="s">
        <v>262</v>
      </c>
      <c r="S1309">
        <v>2</v>
      </c>
      <c r="T1309">
        <v>37</v>
      </c>
      <c r="U1309" t="s">
        <v>120</v>
      </c>
      <c r="V1309">
        <v>75</v>
      </c>
      <c r="W1309" t="s">
        <v>476</v>
      </c>
      <c r="X1309" t="s">
        <v>280</v>
      </c>
      <c r="Y1309">
        <v>1080</v>
      </c>
      <c r="Z1309">
        <v>1</v>
      </c>
      <c r="AB1309">
        <v>4</v>
      </c>
      <c r="AC1309" t="s">
        <v>297</v>
      </c>
      <c r="AE1309" t="s">
        <v>63</v>
      </c>
      <c r="AH1309">
        <v>5.95</v>
      </c>
      <c r="AI1309">
        <v>30</v>
      </c>
      <c r="AT1309" t="s">
        <v>203</v>
      </c>
      <c r="AV1309" t="s">
        <v>88</v>
      </c>
      <c r="AX1309">
        <v>211</v>
      </c>
      <c r="AZ1309">
        <v>4</v>
      </c>
      <c r="BA1309">
        <v>5.95</v>
      </c>
    </row>
    <row r="1310" spans="1:53" hidden="1" x14ac:dyDescent="0.3">
      <c r="A1310" t="s">
        <v>467</v>
      </c>
      <c r="C1310" t="s">
        <v>251</v>
      </c>
      <c r="D1310" t="s">
        <v>81</v>
      </c>
      <c r="E1310">
        <v>100000000</v>
      </c>
      <c r="N1310" t="s">
        <v>314</v>
      </c>
      <c r="O1310">
        <v>211</v>
      </c>
      <c r="P1310" t="s">
        <v>262</v>
      </c>
      <c r="S1310">
        <v>2</v>
      </c>
      <c r="T1310">
        <v>37</v>
      </c>
      <c r="U1310" t="s">
        <v>120</v>
      </c>
      <c r="V1310">
        <v>75</v>
      </c>
      <c r="W1310" t="s">
        <v>476</v>
      </c>
      <c r="X1310" t="s">
        <v>280</v>
      </c>
      <c r="Y1310">
        <v>1080</v>
      </c>
      <c r="Z1310">
        <v>1</v>
      </c>
      <c r="AB1310">
        <v>11</v>
      </c>
      <c r="AC1310" t="s">
        <v>297</v>
      </c>
      <c r="AE1310" t="s">
        <v>63</v>
      </c>
      <c r="AH1310">
        <v>5.95</v>
      </c>
      <c r="AI1310">
        <v>30</v>
      </c>
      <c r="AT1310" t="s">
        <v>203</v>
      </c>
      <c r="AV1310" t="s">
        <v>88</v>
      </c>
      <c r="AX1310">
        <v>211</v>
      </c>
      <c r="AZ1310">
        <v>11</v>
      </c>
      <c r="BA1310">
        <v>5.95</v>
      </c>
    </row>
    <row r="1311" spans="1:53" hidden="1" x14ac:dyDescent="0.3">
      <c r="A1311" t="s">
        <v>467</v>
      </c>
      <c r="C1311" t="s">
        <v>251</v>
      </c>
      <c r="D1311" t="s">
        <v>81</v>
      </c>
      <c r="E1311">
        <v>100000000</v>
      </c>
      <c r="N1311" t="s">
        <v>314</v>
      </c>
      <c r="O1311">
        <v>211</v>
      </c>
      <c r="P1311" t="s">
        <v>262</v>
      </c>
      <c r="S1311">
        <v>2</v>
      </c>
      <c r="T1311">
        <v>37</v>
      </c>
      <c r="U1311" t="s">
        <v>120</v>
      </c>
      <c r="V1311">
        <v>75</v>
      </c>
      <c r="W1311" t="s">
        <v>476</v>
      </c>
      <c r="X1311" t="s">
        <v>280</v>
      </c>
      <c r="Y1311">
        <v>1080</v>
      </c>
      <c r="Z1311">
        <v>1</v>
      </c>
      <c r="AB1311">
        <v>6</v>
      </c>
      <c r="AC1311" t="s">
        <v>297</v>
      </c>
      <c r="AE1311" t="s">
        <v>63</v>
      </c>
      <c r="AH1311">
        <v>5.95</v>
      </c>
      <c r="AI1311">
        <v>30</v>
      </c>
      <c r="AT1311" t="s">
        <v>203</v>
      </c>
      <c r="AV1311" t="s">
        <v>88</v>
      </c>
      <c r="AX1311">
        <v>211</v>
      </c>
      <c r="AZ1311">
        <v>6</v>
      </c>
      <c r="BA1311">
        <v>5.95</v>
      </c>
    </row>
    <row r="1312" spans="1:53" hidden="1" x14ac:dyDescent="0.3">
      <c r="A1312" t="s">
        <v>467</v>
      </c>
      <c r="C1312" t="s">
        <v>251</v>
      </c>
      <c r="D1312" t="s">
        <v>81</v>
      </c>
      <c r="E1312">
        <v>100000000</v>
      </c>
      <c r="N1312" t="s">
        <v>314</v>
      </c>
      <c r="O1312">
        <v>211</v>
      </c>
      <c r="P1312" t="s">
        <v>262</v>
      </c>
      <c r="S1312">
        <v>2</v>
      </c>
      <c r="T1312">
        <v>37</v>
      </c>
      <c r="U1312" t="s">
        <v>120</v>
      </c>
      <c r="V1312">
        <v>75</v>
      </c>
      <c r="W1312" t="s">
        <v>476</v>
      </c>
      <c r="X1312" t="s">
        <v>280</v>
      </c>
      <c r="Y1312">
        <v>1080</v>
      </c>
      <c r="Z1312">
        <v>1</v>
      </c>
      <c r="AB1312">
        <v>30</v>
      </c>
      <c r="AC1312" t="s">
        <v>297</v>
      </c>
      <c r="AE1312" t="s">
        <v>63</v>
      </c>
      <c r="AH1312">
        <v>5.73</v>
      </c>
      <c r="AI1312">
        <v>30</v>
      </c>
      <c r="AT1312" t="s">
        <v>203</v>
      </c>
      <c r="AV1312" t="s">
        <v>88</v>
      </c>
      <c r="AX1312">
        <v>211</v>
      </c>
      <c r="AZ1312">
        <v>30</v>
      </c>
      <c r="BA1312">
        <v>5.73</v>
      </c>
    </row>
    <row r="1313" spans="1:53" hidden="1" x14ac:dyDescent="0.3">
      <c r="A1313" t="s">
        <v>467</v>
      </c>
      <c r="C1313" t="s">
        <v>251</v>
      </c>
      <c r="D1313" t="s">
        <v>81</v>
      </c>
      <c r="E1313">
        <v>100000000</v>
      </c>
      <c r="N1313" t="s">
        <v>314</v>
      </c>
      <c r="O1313">
        <v>211</v>
      </c>
      <c r="P1313" t="s">
        <v>262</v>
      </c>
      <c r="S1313">
        <v>2</v>
      </c>
      <c r="T1313">
        <v>37</v>
      </c>
      <c r="U1313" t="s">
        <v>120</v>
      </c>
      <c r="V1313">
        <v>75</v>
      </c>
      <c r="W1313" t="s">
        <v>476</v>
      </c>
      <c r="X1313" t="s">
        <v>280</v>
      </c>
      <c r="Y1313">
        <v>1080</v>
      </c>
      <c r="Z1313">
        <v>2</v>
      </c>
      <c r="AB1313">
        <v>30</v>
      </c>
      <c r="AC1313" t="s">
        <v>297</v>
      </c>
      <c r="AE1313" t="s">
        <v>63</v>
      </c>
      <c r="AH1313">
        <v>5.73</v>
      </c>
      <c r="AI1313">
        <v>30</v>
      </c>
      <c r="AT1313" t="s">
        <v>203</v>
      </c>
      <c r="AV1313" t="s">
        <v>88</v>
      </c>
      <c r="AX1313">
        <v>211</v>
      </c>
      <c r="AZ1313">
        <v>30</v>
      </c>
      <c r="BA1313">
        <v>5.73</v>
      </c>
    </row>
    <row r="1314" spans="1:53" hidden="1" x14ac:dyDescent="0.3">
      <c r="A1314" t="s">
        <v>467</v>
      </c>
      <c r="C1314" t="s">
        <v>251</v>
      </c>
      <c r="D1314" t="s">
        <v>81</v>
      </c>
      <c r="E1314">
        <v>100000000</v>
      </c>
      <c r="N1314" t="s">
        <v>314</v>
      </c>
      <c r="O1314">
        <v>211</v>
      </c>
      <c r="P1314" t="s">
        <v>262</v>
      </c>
      <c r="S1314">
        <v>2</v>
      </c>
      <c r="T1314">
        <v>37</v>
      </c>
      <c r="U1314" t="s">
        <v>120</v>
      </c>
      <c r="V1314">
        <v>75</v>
      </c>
      <c r="W1314" t="s">
        <v>476</v>
      </c>
      <c r="X1314" t="s">
        <v>280</v>
      </c>
      <c r="Y1314">
        <v>1080</v>
      </c>
      <c r="Z1314">
        <v>2</v>
      </c>
      <c r="AB1314">
        <v>30</v>
      </c>
      <c r="AC1314" t="s">
        <v>297</v>
      </c>
      <c r="AE1314" t="s">
        <v>63</v>
      </c>
      <c r="AH1314">
        <v>5.73</v>
      </c>
      <c r="AI1314">
        <v>30</v>
      </c>
      <c r="AT1314" t="s">
        <v>203</v>
      </c>
      <c r="AV1314" t="s">
        <v>88</v>
      </c>
      <c r="AX1314">
        <v>211</v>
      </c>
      <c r="AZ1314">
        <v>30</v>
      </c>
      <c r="BA1314">
        <v>5.73</v>
      </c>
    </row>
    <row r="1315" spans="1:53" hidden="1" x14ac:dyDescent="0.3">
      <c r="A1315" t="s">
        <v>467</v>
      </c>
      <c r="C1315" t="s">
        <v>251</v>
      </c>
      <c r="D1315" t="s">
        <v>81</v>
      </c>
      <c r="E1315">
        <v>100000000</v>
      </c>
      <c r="N1315" t="s">
        <v>314</v>
      </c>
      <c r="O1315">
        <v>211</v>
      </c>
      <c r="P1315" t="s">
        <v>262</v>
      </c>
      <c r="S1315">
        <v>2</v>
      </c>
      <c r="T1315">
        <v>37</v>
      </c>
      <c r="U1315" t="s">
        <v>120</v>
      </c>
      <c r="V1315">
        <v>75</v>
      </c>
      <c r="W1315" t="s">
        <v>476</v>
      </c>
      <c r="X1315" t="s">
        <v>280</v>
      </c>
      <c r="Y1315">
        <v>540</v>
      </c>
      <c r="Z1315">
        <v>2</v>
      </c>
      <c r="AB1315">
        <v>30</v>
      </c>
      <c r="AC1315" t="s">
        <v>297</v>
      </c>
      <c r="AE1315" t="s">
        <v>63</v>
      </c>
      <c r="AH1315">
        <v>5.93</v>
      </c>
      <c r="AI1315">
        <v>30</v>
      </c>
      <c r="AT1315" t="s">
        <v>203</v>
      </c>
      <c r="AV1315" t="s">
        <v>88</v>
      </c>
      <c r="AX1315">
        <v>211</v>
      </c>
      <c r="AZ1315">
        <v>30</v>
      </c>
      <c r="BA1315">
        <v>5.93</v>
      </c>
    </row>
    <row r="1316" spans="1:53" hidden="1" x14ac:dyDescent="0.3">
      <c r="A1316" t="s">
        <v>467</v>
      </c>
      <c r="C1316" t="s">
        <v>251</v>
      </c>
      <c r="D1316" t="s">
        <v>81</v>
      </c>
      <c r="E1316">
        <v>100000000</v>
      </c>
      <c r="N1316" t="s">
        <v>314</v>
      </c>
      <c r="O1316">
        <v>211</v>
      </c>
      <c r="P1316" t="s">
        <v>262</v>
      </c>
      <c r="S1316">
        <v>2</v>
      </c>
      <c r="T1316">
        <v>37</v>
      </c>
      <c r="U1316" t="s">
        <v>120</v>
      </c>
      <c r="V1316">
        <v>75</v>
      </c>
      <c r="W1316" t="s">
        <v>476</v>
      </c>
      <c r="X1316" t="s">
        <v>280</v>
      </c>
      <c r="Y1316">
        <v>540</v>
      </c>
      <c r="Z1316">
        <v>2</v>
      </c>
      <c r="AB1316">
        <v>30</v>
      </c>
      <c r="AC1316" t="s">
        <v>297</v>
      </c>
      <c r="AE1316" t="s">
        <v>63</v>
      </c>
      <c r="AH1316">
        <v>5.93</v>
      </c>
      <c r="AI1316">
        <v>30</v>
      </c>
      <c r="AT1316" t="s">
        <v>203</v>
      </c>
      <c r="AV1316" t="s">
        <v>88</v>
      </c>
      <c r="AX1316">
        <v>211</v>
      </c>
      <c r="AZ1316">
        <v>30</v>
      </c>
      <c r="BA1316">
        <v>5.93</v>
      </c>
    </row>
    <row r="1317" spans="1:53" hidden="1" x14ac:dyDescent="0.3">
      <c r="A1317" t="s">
        <v>467</v>
      </c>
      <c r="C1317" t="s">
        <v>251</v>
      </c>
      <c r="D1317" t="s">
        <v>81</v>
      </c>
      <c r="E1317">
        <v>100000000</v>
      </c>
      <c r="N1317" t="s">
        <v>314</v>
      </c>
      <c r="O1317">
        <v>211</v>
      </c>
      <c r="P1317" t="s">
        <v>262</v>
      </c>
      <c r="S1317">
        <v>2</v>
      </c>
      <c r="T1317">
        <v>37</v>
      </c>
      <c r="U1317" t="s">
        <v>120</v>
      </c>
      <c r="V1317">
        <v>75</v>
      </c>
      <c r="W1317" t="s">
        <v>476</v>
      </c>
      <c r="X1317" t="s">
        <v>280</v>
      </c>
      <c r="Y1317">
        <v>540</v>
      </c>
      <c r="Z1317">
        <v>2</v>
      </c>
      <c r="AB1317">
        <v>30</v>
      </c>
      <c r="AC1317" t="s">
        <v>297</v>
      </c>
      <c r="AE1317" t="s">
        <v>63</v>
      </c>
      <c r="AH1317">
        <v>5.93</v>
      </c>
      <c r="AI1317">
        <v>30</v>
      </c>
      <c r="AT1317" t="s">
        <v>203</v>
      </c>
      <c r="AV1317" t="s">
        <v>88</v>
      </c>
      <c r="AX1317">
        <v>211</v>
      </c>
      <c r="AZ1317">
        <v>30</v>
      </c>
      <c r="BA1317">
        <v>5.93</v>
      </c>
    </row>
    <row r="1318" spans="1:53" hidden="1" x14ac:dyDescent="0.3">
      <c r="A1318" t="s">
        <v>467</v>
      </c>
      <c r="C1318" t="s">
        <v>251</v>
      </c>
      <c r="D1318" t="s">
        <v>81</v>
      </c>
      <c r="E1318">
        <v>100000000</v>
      </c>
      <c r="N1318" t="s">
        <v>314</v>
      </c>
      <c r="O1318">
        <v>211</v>
      </c>
      <c r="P1318" t="s">
        <v>262</v>
      </c>
      <c r="S1318">
        <v>2</v>
      </c>
      <c r="T1318">
        <v>37</v>
      </c>
      <c r="U1318" t="s">
        <v>120</v>
      </c>
      <c r="V1318">
        <v>75</v>
      </c>
      <c r="W1318" t="s">
        <v>476</v>
      </c>
      <c r="X1318" t="s">
        <v>280</v>
      </c>
      <c r="Y1318">
        <v>540</v>
      </c>
      <c r="Z1318">
        <v>2</v>
      </c>
      <c r="AB1318">
        <v>30</v>
      </c>
      <c r="AC1318" t="s">
        <v>297</v>
      </c>
      <c r="AE1318" t="s">
        <v>63</v>
      </c>
      <c r="AH1318">
        <v>5.78</v>
      </c>
      <c r="AI1318">
        <v>30</v>
      </c>
      <c r="AT1318" t="s">
        <v>203</v>
      </c>
      <c r="AV1318" t="s">
        <v>88</v>
      </c>
      <c r="AX1318">
        <v>211</v>
      </c>
      <c r="AZ1318">
        <v>30</v>
      </c>
      <c r="BA1318">
        <v>5.78</v>
      </c>
    </row>
    <row r="1319" spans="1:53" hidden="1" x14ac:dyDescent="0.3">
      <c r="A1319" t="s">
        <v>467</v>
      </c>
      <c r="C1319" t="s">
        <v>251</v>
      </c>
      <c r="D1319" t="s">
        <v>81</v>
      </c>
      <c r="E1319">
        <v>100000000</v>
      </c>
      <c r="N1319" t="s">
        <v>314</v>
      </c>
      <c r="O1319">
        <v>211</v>
      </c>
      <c r="P1319" t="s">
        <v>262</v>
      </c>
      <c r="S1319">
        <v>2</v>
      </c>
      <c r="T1319">
        <v>37</v>
      </c>
      <c r="U1319" t="s">
        <v>120</v>
      </c>
      <c r="V1319">
        <v>75</v>
      </c>
      <c r="W1319" t="s">
        <v>476</v>
      </c>
      <c r="X1319" t="s">
        <v>280</v>
      </c>
      <c r="Y1319">
        <v>540</v>
      </c>
      <c r="Z1319">
        <v>2</v>
      </c>
      <c r="AB1319">
        <v>30</v>
      </c>
      <c r="AC1319" t="s">
        <v>297</v>
      </c>
      <c r="AE1319" t="s">
        <v>63</v>
      </c>
      <c r="AH1319">
        <v>5.78</v>
      </c>
      <c r="AI1319">
        <v>30</v>
      </c>
      <c r="AT1319" t="s">
        <v>203</v>
      </c>
      <c r="AV1319" t="s">
        <v>88</v>
      </c>
      <c r="AX1319">
        <v>211</v>
      </c>
      <c r="AZ1319">
        <v>30</v>
      </c>
      <c r="BA1319">
        <v>5.78</v>
      </c>
    </row>
    <row r="1320" spans="1:53" hidden="1" x14ac:dyDescent="0.3">
      <c r="A1320" t="s">
        <v>467</v>
      </c>
      <c r="C1320" t="s">
        <v>251</v>
      </c>
      <c r="D1320" t="s">
        <v>81</v>
      </c>
      <c r="E1320">
        <v>100000000</v>
      </c>
      <c r="N1320" t="s">
        <v>314</v>
      </c>
      <c r="O1320">
        <v>211</v>
      </c>
      <c r="P1320" t="s">
        <v>262</v>
      </c>
      <c r="S1320">
        <v>2</v>
      </c>
      <c r="T1320">
        <v>37</v>
      </c>
      <c r="U1320" t="s">
        <v>120</v>
      </c>
      <c r="V1320">
        <v>75</v>
      </c>
      <c r="W1320" t="s">
        <v>476</v>
      </c>
      <c r="X1320" t="s">
        <v>280</v>
      </c>
      <c r="Y1320">
        <v>540</v>
      </c>
      <c r="Z1320">
        <v>2</v>
      </c>
      <c r="AB1320">
        <v>30</v>
      </c>
      <c r="AC1320" t="s">
        <v>297</v>
      </c>
      <c r="AE1320" t="s">
        <v>63</v>
      </c>
      <c r="AH1320">
        <v>5.78</v>
      </c>
      <c r="AI1320">
        <v>30</v>
      </c>
      <c r="AT1320" t="s">
        <v>203</v>
      </c>
      <c r="AV1320" t="s">
        <v>88</v>
      </c>
      <c r="AX1320">
        <v>211</v>
      </c>
      <c r="AZ1320">
        <v>30</v>
      </c>
      <c r="BA1320">
        <v>5.78</v>
      </c>
    </row>
    <row r="1321" spans="1:53" hidden="1" x14ac:dyDescent="0.3">
      <c r="A1321" t="s">
        <v>467</v>
      </c>
      <c r="C1321" t="s">
        <v>251</v>
      </c>
      <c r="D1321" t="s">
        <v>81</v>
      </c>
      <c r="E1321">
        <v>100000000</v>
      </c>
      <c r="N1321" t="s">
        <v>314</v>
      </c>
      <c r="O1321">
        <v>211</v>
      </c>
      <c r="P1321" t="s">
        <v>262</v>
      </c>
      <c r="S1321">
        <v>2</v>
      </c>
      <c r="T1321">
        <v>25</v>
      </c>
      <c r="U1321" t="s">
        <v>120</v>
      </c>
      <c r="V1321">
        <v>75</v>
      </c>
      <c r="W1321" t="s">
        <v>476</v>
      </c>
      <c r="X1321" t="s">
        <v>280</v>
      </c>
      <c r="Y1321">
        <v>540</v>
      </c>
      <c r="Z1321">
        <v>2</v>
      </c>
      <c r="AB1321">
        <v>30</v>
      </c>
      <c r="AC1321" t="s">
        <v>297</v>
      </c>
      <c r="AE1321" t="s">
        <v>63</v>
      </c>
      <c r="AH1321">
        <v>5.93</v>
      </c>
      <c r="AI1321">
        <v>30</v>
      </c>
      <c r="AT1321" t="s">
        <v>203</v>
      </c>
      <c r="AV1321" t="s">
        <v>88</v>
      </c>
      <c r="AX1321">
        <v>211</v>
      </c>
      <c r="AZ1321">
        <v>30</v>
      </c>
      <c r="BA1321">
        <v>5.93</v>
      </c>
    </row>
    <row r="1322" spans="1:53" hidden="1" x14ac:dyDescent="0.3">
      <c r="A1322" t="s">
        <v>467</v>
      </c>
      <c r="C1322" t="s">
        <v>251</v>
      </c>
      <c r="D1322" t="s">
        <v>81</v>
      </c>
      <c r="E1322">
        <v>100000000</v>
      </c>
      <c r="N1322" t="s">
        <v>314</v>
      </c>
      <c r="O1322">
        <v>211</v>
      </c>
      <c r="P1322" t="s">
        <v>262</v>
      </c>
      <c r="S1322">
        <v>2</v>
      </c>
      <c r="T1322">
        <v>25</v>
      </c>
      <c r="U1322" t="s">
        <v>120</v>
      </c>
      <c r="V1322">
        <v>75</v>
      </c>
      <c r="W1322" t="s">
        <v>476</v>
      </c>
      <c r="X1322" t="s">
        <v>280</v>
      </c>
      <c r="Y1322">
        <v>540</v>
      </c>
      <c r="AB1322">
        <v>30</v>
      </c>
      <c r="AC1322" t="s">
        <v>297</v>
      </c>
      <c r="AE1322" t="s">
        <v>63</v>
      </c>
      <c r="AH1322">
        <v>5.93</v>
      </c>
      <c r="AI1322">
        <v>30</v>
      </c>
      <c r="AT1322" t="s">
        <v>203</v>
      </c>
      <c r="AV1322" t="s">
        <v>88</v>
      </c>
      <c r="AX1322">
        <v>211</v>
      </c>
      <c r="AZ1322">
        <v>30</v>
      </c>
      <c r="BA1322">
        <v>5.93</v>
      </c>
    </row>
    <row r="1323" spans="1:53" hidden="1" x14ac:dyDescent="0.3">
      <c r="A1323" t="s">
        <v>467</v>
      </c>
      <c r="C1323" t="s">
        <v>251</v>
      </c>
      <c r="D1323" t="s">
        <v>81</v>
      </c>
      <c r="E1323">
        <v>100000000</v>
      </c>
      <c r="N1323" t="s">
        <v>314</v>
      </c>
      <c r="O1323">
        <v>211</v>
      </c>
      <c r="P1323" t="s">
        <v>262</v>
      </c>
      <c r="S1323">
        <v>2</v>
      </c>
      <c r="T1323">
        <v>25</v>
      </c>
      <c r="U1323" t="s">
        <v>120</v>
      </c>
      <c r="V1323">
        <v>75</v>
      </c>
      <c r="W1323" t="s">
        <v>476</v>
      </c>
      <c r="X1323" t="s">
        <v>280</v>
      </c>
      <c r="Y1323">
        <v>540</v>
      </c>
      <c r="AB1323">
        <v>30</v>
      </c>
      <c r="AC1323" t="s">
        <v>297</v>
      </c>
      <c r="AE1323" t="s">
        <v>63</v>
      </c>
      <c r="AH1323">
        <v>5.93</v>
      </c>
      <c r="AI1323">
        <v>30</v>
      </c>
      <c r="AT1323" t="s">
        <v>203</v>
      </c>
      <c r="AV1323" t="s">
        <v>88</v>
      </c>
      <c r="AX1323">
        <v>211</v>
      </c>
      <c r="AZ1323">
        <v>30</v>
      </c>
      <c r="BA1323">
        <v>5.93</v>
      </c>
    </row>
    <row r="1324" spans="1:53" hidden="1" x14ac:dyDescent="0.3">
      <c r="A1324" t="s">
        <v>467</v>
      </c>
      <c r="C1324" t="s">
        <v>251</v>
      </c>
      <c r="D1324" t="s">
        <v>81</v>
      </c>
      <c r="E1324">
        <v>100000000</v>
      </c>
      <c r="N1324" t="s">
        <v>314</v>
      </c>
      <c r="O1324">
        <v>211</v>
      </c>
      <c r="P1324" t="s">
        <v>262</v>
      </c>
      <c r="S1324">
        <v>2</v>
      </c>
      <c r="T1324">
        <v>25</v>
      </c>
      <c r="U1324" t="s">
        <v>120</v>
      </c>
      <c r="V1324">
        <v>75</v>
      </c>
      <c r="W1324" t="s">
        <v>476</v>
      </c>
      <c r="X1324" t="s">
        <v>280</v>
      </c>
      <c r="Y1324">
        <v>540</v>
      </c>
      <c r="AB1324">
        <v>30</v>
      </c>
      <c r="AC1324" t="s">
        <v>297</v>
      </c>
      <c r="AE1324" t="s">
        <v>63</v>
      </c>
      <c r="AH1324">
        <v>5.78</v>
      </c>
      <c r="AI1324">
        <v>30</v>
      </c>
      <c r="AT1324" t="s">
        <v>203</v>
      </c>
      <c r="AV1324" t="s">
        <v>88</v>
      </c>
      <c r="AX1324">
        <v>211</v>
      </c>
      <c r="AZ1324">
        <v>30</v>
      </c>
      <c r="BA1324">
        <v>5.78</v>
      </c>
    </row>
    <row r="1325" spans="1:53" hidden="1" x14ac:dyDescent="0.3">
      <c r="A1325" t="s">
        <v>467</v>
      </c>
      <c r="C1325" t="s">
        <v>251</v>
      </c>
      <c r="D1325" t="s">
        <v>81</v>
      </c>
      <c r="E1325">
        <v>100000000</v>
      </c>
      <c r="N1325" t="s">
        <v>314</v>
      </c>
      <c r="O1325">
        <v>211</v>
      </c>
      <c r="P1325" t="s">
        <v>262</v>
      </c>
      <c r="S1325">
        <v>2</v>
      </c>
      <c r="T1325">
        <v>25</v>
      </c>
      <c r="U1325" t="s">
        <v>120</v>
      </c>
      <c r="V1325">
        <v>75</v>
      </c>
      <c r="W1325" t="s">
        <v>476</v>
      </c>
      <c r="X1325" t="s">
        <v>280</v>
      </c>
      <c r="Y1325">
        <v>540</v>
      </c>
      <c r="AB1325">
        <v>30</v>
      </c>
      <c r="AC1325" t="s">
        <v>297</v>
      </c>
      <c r="AE1325" t="s">
        <v>63</v>
      </c>
      <c r="AH1325">
        <v>5.78</v>
      </c>
      <c r="AI1325">
        <v>30</v>
      </c>
      <c r="AT1325" t="s">
        <v>203</v>
      </c>
      <c r="AV1325" t="s">
        <v>88</v>
      </c>
      <c r="AX1325">
        <v>211</v>
      </c>
      <c r="AZ1325">
        <v>30</v>
      </c>
      <c r="BA1325">
        <v>5.78</v>
      </c>
    </row>
    <row r="1326" spans="1:53" hidden="1" x14ac:dyDescent="0.3">
      <c r="A1326" t="s">
        <v>467</v>
      </c>
      <c r="C1326" t="s">
        <v>251</v>
      </c>
      <c r="D1326" t="s">
        <v>81</v>
      </c>
      <c r="E1326">
        <v>100000000</v>
      </c>
      <c r="N1326" t="s">
        <v>314</v>
      </c>
      <c r="O1326">
        <v>211</v>
      </c>
      <c r="P1326" t="s">
        <v>262</v>
      </c>
      <c r="S1326">
        <v>2</v>
      </c>
      <c r="T1326">
        <v>25</v>
      </c>
      <c r="U1326" t="s">
        <v>120</v>
      </c>
      <c r="V1326">
        <v>75</v>
      </c>
      <c r="W1326" t="s">
        <v>476</v>
      </c>
      <c r="X1326" t="s">
        <v>280</v>
      </c>
      <c r="Y1326">
        <v>540</v>
      </c>
      <c r="AB1326">
        <v>30</v>
      </c>
      <c r="AC1326" t="s">
        <v>297</v>
      </c>
      <c r="AE1326" t="s">
        <v>63</v>
      </c>
      <c r="AH1326">
        <v>5.78</v>
      </c>
      <c r="AI1326">
        <v>30</v>
      </c>
      <c r="AT1326" t="s">
        <v>203</v>
      </c>
      <c r="AV1326" t="s">
        <v>88</v>
      </c>
      <c r="AX1326">
        <v>211</v>
      </c>
      <c r="AZ1326">
        <v>30</v>
      </c>
      <c r="BA1326">
        <v>5.78</v>
      </c>
    </row>
    <row r="1327" spans="1:53" hidden="1" x14ac:dyDescent="0.3">
      <c r="A1327" t="s">
        <v>467</v>
      </c>
      <c r="C1327" t="s">
        <v>251</v>
      </c>
      <c r="D1327" t="s">
        <v>81</v>
      </c>
      <c r="E1327">
        <v>100000000</v>
      </c>
      <c r="N1327" t="s">
        <v>314</v>
      </c>
      <c r="O1327">
        <v>211</v>
      </c>
      <c r="P1327" t="s">
        <v>262</v>
      </c>
      <c r="S1327">
        <v>2</v>
      </c>
      <c r="T1327">
        <v>37</v>
      </c>
      <c r="U1327" t="s">
        <v>120</v>
      </c>
      <c r="V1327">
        <v>75</v>
      </c>
      <c r="W1327" t="s">
        <v>473</v>
      </c>
      <c r="X1327" t="s">
        <v>280</v>
      </c>
      <c r="Y1327">
        <v>1080</v>
      </c>
      <c r="AB1327">
        <v>0</v>
      </c>
      <c r="AC1327" t="s">
        <v>297</v>
      </c>
      <c r="AE1327" t="s">
        <v>63</v>
      </c>
      <c r="AH1327">
        <v>5.69</v>
      </c>
      <c r="AI1327">
        <v>30</v>
      </c>
      <c r="AV1327" t="s">
        <v>88</v>
      </c>
      <c r="AX1327">
        <v>211</v>
      </c>
      <c r="AZ1327">
        <v>0</v>
      </c>
      <c r="BA1327">
        <v>5.69</v>
      </c>
    </row>
    <row r="1328" spans="1:53" hidden="1" x14ac:dyDescent="0.3">
      <c r="A1328" t="s">
        <v>467</v>
      </c>
      <c r="C1328" t="s">
        <v>251</v>
      </c>
      <c r="D1328" t="s">
        <v>81</v>
      </c>
      <c r="E1328">
        <v>100000000</v>
      </c>
      <c r="N1328" t="s">
        <v>314</v>
      </c>
      <c r="O1328">
        <v>211</v>
      </c>
      <c r="P1328" t="s">
        <v>262</v>
      </c>
      <c r="S1328">
        <v>2</v>
      </c>
      <c r="T1328">
        <v>37</v>
      </c>
      <c r="U1328" t="s">
        <v>120</v>
      </c>
      <c r="V1328">
        <v>75</v>
      </c>
      <c r="W1328" t="s">
        <v>473</v>
      </c>
      <c r="X1328" t="s">
        <v>280</v>
      </c>
      <c r="Y1328">
        <v>1080</v>
      </c>
      <c r="AB1328">
        <v>0</v>
      </c>
      <c r="AC1328" t="s">
        <v>297</v>
      </c>
      <c r="AE1328" t="s">
        <v>63</v>
      </c>
      <c r="AH1328">
        <v>5.69</v>
      </c>
      <c r="AI1328">
        <v>30</v>
      </c>
      <c r="AV1328" t="s">
        <v>88</v>
      </c>
      <c r="AX1328">
        <v>211</v>
      </c>
      <c r="AZ1328">
        <v>0</v>
      </c>
      <c r="BA1328">
        <v>5.69</v>
      </c>
    </row>
    <row r="1329" spans="1:53" hidden="1" x14ac:dyDescent="0.3">
      <c r="A1329" t="s">
        <v>467</v>
      </c>
      <c r="C1329" t="s">
        <v>251</v>
      </c>
      <c r="D1329" t="s">
        <v>81</v>
      </c>
      <c r="E1329">
        <v>100000000</v>
      </c>
      <c r="N1329" t="s">
        <v>314</v>
      </c>
      <c r="O1329">
        <v>211</v>
      </c>
      <c r="P1329" t="s">
        <v>262</v>
      </c>
      <c r="S1329">
        <v>2</v>
      </c>
      <c r="T1329">
        <v>37</v>
      </c>
      <c r="U1329" t="s">
        <v>120</v>
      </c>
      <c r="V1329">
        <v>75</v>
      </c>
      <c r="W1329" t="s">
        <v>473</v>
      </c>
      <c r="X1329" t="s">
        <v>280</v>
      </c>
      <c r="Y1329">
        <v>1080</v>
      </c>
      <c r="AB1329">
        <v>1</v>
      </c>
      <c r="AC1329" t="s">
        <v>297</v>
      </c>
      <c r="AE1329" t="s">
        <v>63</v>
      </c>
      <c r="AH1329">
        <v>5.69</v>
      </c>
      <c r="AI1329">
        <v>30</v>
      </c>
      <c r="AV1329" t="s">
        <v>88</v>
      </c>
      <c r="AX1329">
        <v>211</v>
      </c>
      <c r="AZ1329">
        <v>1</v>
      </c>
      <c r="BA1329">
        <v>5.69</v>
      </c>
    </row>
    <row r="1330" spans="1:53" hidden="1" x14ac:dyDescent="0.3">
      <c r="A1330" t="s">
        <v>467</v>
      </c>
      <c r="C1330" t="s">
        <v>251</v>
      </c>
      <c r="D1330" t="s">
        <v>81</v>
      </c>
      <c r="E1330">
        <v>100000000</v>
      </c>
      <c r="N1330" t="s">
        <v>314</v>
      </c>
      <c r="O1330">
        <v>211</v>
      </c>
      <c r="P1330" t="s">
        <v>262</v>
      </c>
      <c r="S1330">
        <v>2</v>
      </c>
      <c r="T1330">
        <v>37</v>
      </c>
      <c r="U1330" t="s">
        <v>120</v>
      </c>
      <c r="V1330">
        <v>75</v>
      </c>
      <c r="W1330" t="s">
        <v>473</v>
      </c>
      <c r="X1330" t="s">
        <v>280</v>
      </c>
      <c r="Y1330">
        <v>1080</v>
      </c>
      <c r="AB1330">
        <v>30</v>
      </c>
      <c r="AC1330" t="s">
        <v>297</v>
      </c>
      <c r="AE1330" t="s">
        <v>63</v>
      </c>
      <c r="AH1330">
        <v>5.56</v>
      </c>
      <c r="AI1330">
        <v>30</v>
      </c>
      <c r="AV1330" t="s">
        <v>88</v>
      </c>
      <c r="AX1330">
        <v>211</v>
      </c>
      <c r="AZ1330">
        <v>30</v>
      </c>
      <c r="BA1330">
        <v>5.56</v>
      </c>
    </row>
    <row r="1331" spans="1:53" hidden="1" x14ac:dyDescent="0.3">
      <c r="A1331" t="s">
        <v>467</v>
      </c>
      <c r="C1331" t="s">
        <v>251</v>
      </c>
      <c r="D1331" t="s">
        <v>81</v>
      </c>
      <c r="E1331">
        <v>100000000</v>
      </c>
      <c r="N1331" t="s">
        <v>314</v>
      </c>
      <c r="O1331">
        <v>211</v>
      </c>
      <c r="P1331" t="s">
        <v>262</v>
      </c>
      <c r="S1331">
        <v>2</v>
      </c>
      <c r="T1331">
        <v>37</v>
      </c>
      <c r="U1331" t="s">
        <v>120</v>
      </c>
      <c r="V1331">
        <v>75</v>
      </c>
      <c r="W1331" t="s">
        <v>473</v>
      </c>
      <c r="X1331" t="s">
        <v>280</v>
      </c>
      <c r="Y1331">
        <v>1080</v>
      </c>
      <c r="AB1331">
        <v>30</v>
      </c>
      <c r="AC1331" t="s">
        <v>297</v>
      </c>
      <c r="AE1331" t="s">
        <v>63</v>
      </c>
      <c r="AH1331">
        <v>5.56</v>
      </c>
      <c r="AI1331">
        <v>30</v>
      </c>
      <c r="AV1331" t="s">
        <v>88</v>
      </c>
      <c r="AX1331">
        <v>211</v>
      </c>
      <c r="AZ1331">
        <v>30</v>
      </c>
      <c r="BA1331">
        <v>5.56</v>
      </c>
    </row>
    <row r="1332" spans="1:53" hidden="1" x14ac:dyDescent="0.3">
      <c r="A1332" t="s">
        <v>467</v>
      </c>
      <c r="C1332" t="s">
        <v>251</v>
      </c>
      <c r="D1332" t="s">
        <v>81</v>
      </c>
      <c r="E1332">
        <v>100000000</v>
      </c>
      <c r="N1332" t="s">
        <v>314</v>
      </c>
      <c r="O1332">
        <v>211</v>
      </c>
      <c r="P1332" t="s">
        <v>262</v>
      </c>
      <c r="S1332">
        <v>2</v>
      </c>
      <c r="T1332">
        <v>37</v>
      </c>
      <c r="U1332" t="s">
        <v>120</v>
      </c>
      <c r="V1332">
        <v>75</v>
      </c>
      <c r="W1332" t="s">
        <v>473</v>
      </c>
      <c r="X1332" t="s">
        <v>280</v>
      </c>
      <c r="Y1332">
        <v>1080</v>
      </c>
      <c r="AB1332">
        <v>30</v>
      </c>
      <c r="AC1332" t="s">
        <v>297</v>
      </c>
      <c r="AE1332" t="s">
        <v>63</v>
      </c>
      <c r="AH1332">
        <v>5.56</v>
      </c>
      <c r="AI1332">
        <v>30</v>
      </c>
      <c r="AV1332" t="s">
        <v>88</v>
      </c>
      <c r="AX1332">
        <v>211</v>
      </c>
      <c r="AZ1332">
        <v>30</v>
      </c>
      <c r="BA1332">
        <v>5.56</v>
      </c>
    </row>
    <row r="1333" spans="1:53" hidden="1" x14ac:dyDescent="0.3">
      <c r="A1333" t="s">
        <v>467</v>
      </c>
      <c r="C1333" t="s">
        <v>251</v>
      </c>
      <c r="D1333" t="s">
        <v>81</v>
      </c>
      <c r="E1333">
        <v>100000000</v>
      </c>
      <c r="N1333" t="s">
        <v>314</v>
      </c>
      <c r="O1333">
        <v>211</v>
      </c>
      <c r="P1333" t="s">
        <v>262</v>
      </c>
      <c r="S1333">
        <v>2</v>
      </c>
      <c r="T1333">
        <v>37</v>
      </c>
      <c r="U1333" t="s">
        <v>120</v>
      </c>
      <c r="V1333">
        <v>75</v>
      </c>
      <c r="W1333" t="s">
        <v>473</v>
      </c>
      <c r="X1333" t="s">
        <v>280</v>
      </c>
      <c r="Y1333">
        <v>540</v>
      </c>
      <c r="Z1333">
        <v>1</v>
      </c>
      <c r="AB1333">
        <v>30</v>
      </c>
      <c r="AC1333" t="s">
        <v>297</v>
      </c>
      <c r="AE1333" t="s">
        <v>63</v>
      </c>
      <c r="AH1333">
        <v>5.69</v>
      </c>
      <c r="AI1333">
        <v>30</v>
      </c>
      <c r="AV1333" t="s">
        <v>88</v>
      </c>
      <c r="AX1333">
        <v>211</v>
      </c>
      <c r="AZ1333">
        <v>30</v>
      </c>
      <c r="BA1333">
        <v>5.69</v>
      </c>
    </row>
    <row r="1334" spans="1:53" hidden="1" x14ac:dyDescent="0.3">
      <c r="A1334" t="s">
        <v>467</v>
      </c>
      <c r="C1334" t="s">
        <v>251</v>
      </c>
      <c r="D1334" t="s">
        <v>81</v>
      </c>
      <c r="E1334">
        <v>100000000</v>
      </c>
      <c r="N1334" t="s">
        <v>314</v>
      </c>
      <c r="O1334">
        <v>211</v>
      </c>
      <c r="P1334" t="s">
        <v>262</v>
      </c>
      <c r="S1334">
        <v>2</v>
      </c>
      <c r="T1334">
        <v>37</v>
      </c>
      <c r="U1334" t="s">
        <v>120</v>
      </c>
      <c r="V1334">
        <v>75</v>
      </c>
      <c r="W1334" t="s">
        <v>473</v>
      </c>
      <c r="X1334" t="s">
        <v>280</v>
      </c>
      <c r="Y1334">
        <v>540</v>
      </c>
      <c r="Z1334">
        <v>1</v>
      </c>
      <c r="AB1334">
        <v>30</v>
      </c>
      <c r="AC1334" t="s">
        <v>297</v>
      </c>
      <c r="AE1334" t="s">
        <v>63</v>
      </c>
      <c r="AH1334">
        <v>5.69</v>
      </c>
      <c r="AI1334">
        <v>30</v>
      </c>
      <c r="AV1334" t="s">
        <v>88</v>
      </c>
      <c r="AX1334">
        <v>211</v>
      </c>
      <c r="AZ1334">
        <v>30</v>
      </c>
      <c r="BA1334">
        <v>5.69</v>
      </c>
    </row>
    <row r="1335" spans="1:53" hidden="1" x14ac:dyDescent="0.3">
      <c r="A1335" t="s">
        <v>467</v>
      </c>
      <c r="C1335" t="s">
        <v>251</v>
      </c>
      <c r="D1335" t="s">
        <v>81</v>
      </c>
      <c r="E1335">
        <v>100000000</v>
      </c>
      <c r="N1335" t="s">
        <v>314</v>
      </c>
      <c r="O1335">
        <v>211</v>
      </c>
      <c r="P1335" t="s">
        <v>262</v>
      </c>
      <c r="S1335">
        <v>2</v>
      </c>
      <c r="T1335">
        <v>37</v>
      </c>
      <c r="U1335" t="s">
        <v>120</v>
      </c>
      <c r="V1335">
        <v>75</v>
      </c>
      <c r="W1335" t="s">
        <v>473</v>
      </c>
      <c r="X1335" t="s">
        <v>280</v>
      </c>
      <c r="Y1335">
        <v>540</v>
      </c>
      <c r="Z1335">
        <v>1</v>
      </c>
      <c r="AB1335">
        <v>30</v>
      </c>
      <c r="AC1335" t="s">
        <v>297</v>
      </c>
      <c r="AE1335" t="s">
        <v>63</v>
      </c>
      <c r="AH1335">
        <v>5.69</v>
      </c>
      <c r="AI1335">
        <v>30</v>
      </c>
      <c r="AV1335" t="s">
        <v>88</v>
      </c>
      <c r="AX1335">
        <v>211</v>
      </c>
      <c r="AZ1335">
        <v>30</v>
      </c>
      <c r="BA1335">
        <v>5.69</v>
      </c>
    </row>
    <row r="1336" spans="1:53" hidden="1" x14ac:dyDescent="0.3">
      <c r="A1336" t="s">
        <v>467</v>
      </c>
      <c r="C1336" t="s">
        <v>251</v>
      </c>
      <c r="D1336" t="s">
        <v>81</v>
      </c>
      <c r="E1336">
        <v>100000000</v>
      </c>
      <c r="N1336" t="s">
        <v>314</v>
      </c>
      <c r="O1336">
        <v>211</v>
      </c>
      <c r="P1336" t="s">
        <v>262</v>
      </c>
      <c r="S1336">
        <v>2</v>
      </c>
      <c r="T1336">
        <v>37</v>
      </c>
      <c r="U1336" t="s">
        <v>120</v>
      </c>
      <c r="V1336">
        <v>75</v>
      </c>
      <c r="W1336" t="s">
        <v>473</v>
      </c>
      <c r="X1336" t="s">
        <v>280</v>
      </c>
      <c r="Y1336">
        <v>540</v>
      </c>
      <c r="Z1336">
        <v>1</v>
      </c>
      <c r="AB1336">
        <v>30</v>
      </c>
      <c r="AC1336" t="s">
        <v>297</v>
      </c>
      <c r="AE1336" t="s">
        <v>63</v>
      </c>
      <c r="AH1336">
        <v>5.54</v>
      </c>
      <c r="AI1336">
        <v>30</v>
      </c>
      <c r="AV1336" t="s">
        <v>88</v>
      </c>
      <c r="AX1336">
        <v>211</v>
      </c>
      <c r="AZ1336">
        <v>30</v>
      </c>
      <c r="BA1336">
        <v>5.54</v>
      </c>
    </row>
    <row r="1337" spans="1:53" hidden="1" x14ac:dyDescent="0.3">
      <c r="A1337" t="s">
        <v>467</v>
      </c>
      <c r="C1337" t="s">
        <v>251</v>
      </c>
      <c r="D1337" t="s">
        <v>81</v>
      </c>
      <c r="E1337">
        <v>100000000</v>
      </c>
      <c r="N1337" t="s">
        <v>314</v>
      </c>
      <c r="O1337">
        <v>211</v>
      </c>
      <c r="P1337" t="s">
        <v>262</v>
      </c>
      <c r="S1337">
        <v>2</v>
      </c>
      <c r="T1337">
        <v>37</v>
      </c>
      <c r="U1337" t="s">
        <v>120</v>
      </c>
      <c r="V1337">
        <v>75</v>
      </c>
      <c r="W1337" t="s">
        <v>473</v>
      </c>
      <c r="X1337" t="s">
        <v>280</v>
      </c>
      <c r="Y1337">
        <v>540</v>
      </c>
      <c r="Z1337">
        <v>1</v>
      </c>
      <c r="AB1337">
        <v>30</v>
      </c>
      <c r="AC1337" t="s">
        <v>297</v>
      </c>
      <c r="AE1337" t="s">
        <v>63</v>
      </c>
      <c r="AH1337">
        <v>5.54</v>
      </c>
      <c r="AI1337">
        <v>30</v>
      </c>
      <c r="AV1337" t="s">
        <v>88</v>
      </c>
      <c r="AX1337">
        <v>211</v>
      </c>
      <c r="AZ1337">
        <v>30</v>
      </c>
      <c r="BA1337">
        <v>5.54</v>
      </c>
    </row>
    <row r="1338" spans="1:53" hidden="1" x14ac:dyDescent="0.3">
      <c r="A1338" t="s">
        <v>467</v>
      </c>
      <c r="C1338" t="s">
        <v>251</v>
      </c>
      <c r="D1338" t="s">
        <v>81</v>
      </c>
      <c r="E1338">
        <v>100000000</v>
      </c>
      <c r="N1338" t="s">
        <v>314</v>
      </c>
      <c r="O1338">
        <v>211</v>
      </c>
      <c r="P1338" t="s">
        <v>262</v>
      </c>
      <c r="S1338">
        <v>2</v>
      </c>
      <c r="T1338">
        <v>37</v>
      </c>
      <c r="U1338" t="s">
        <v>120</v>
      </c>
      <c r="V1338">
        <v>75</v>
      </c>
      <c r="W1338" t="s">
        <v>473</v>
      </c>
      <c r="X1338" t="s">
        <v>280</v>
      </c>
      <c r="Y1338">
        <v>540</v>
      </c>
      <c r="Z1338">
        <v>1</v>
      </c>
      <c r="AB1338">
        <v>30</v>
      </c>
      <c r="AC1338" t="s">
        <v>297</v>
      </c>
      <c r="AE1338" t="s">
        <v>63</v>
      </c>
      <c r="AH1338">
        <v>5.54</v>
      </c>
      <c r="AI1338">
        <v>30</v>
      </c>
      <c r="AV1338" t="s">
        <v>88</v>
      </c>
      <c r="AX1338">
        <v>211</v>
      </c>
      <c r="AZ1338">
        <v>30</v>
      </c>
      <c r="BA1338">
        <v>5.54</v>
      </c>
    </row>
    <row r="1339" spans="1:53" hidden="1" x14ac:dyDescent="0.3">
      <c r="A1339" t="s">
        <v>467</v>
      </c>
      <c r="C1339" t="s">
        <v>251</v>
      </c>
      <c r="D1339" t="s">
        <v>81</v>
      </c>
      <c r="E1339">
        <v>100000000</v>
      </c>
      <c r="N1339" t="s">
        <v>314</v>
      </c>
      <c r="O1339">
        <v>211</v>
      </c>
      <c r="P1339" t="s">
        <v>262</v>
      </c>
      <c r="S1339">
        <v>2</v>
      </c>
      <c r="T1339">
        <v>25</v>
      </c>
      <c r="U1339" t="s">
        <v>120</v>
      </c>
      <c r="V1339">
        <v>75</v>
      </c>
      <c r="W1339" t="s">
        <v>473</v>
      </c>
      <c r="X1339" t="s">
        <v>280</v>
      </c>
      <c r="Y1339">
        <v>540</v>
      </c>
      <c r="Z1339">
        <v>1</v>
      </c>
      <c r="AB1339">
        <v>30</v>
      </c>
      <c r="AC1339" t="s">
        <v>297</v>
      </c>
      <c r="AE1339" t="s">
        <v>63</v>
      </c>
      <c r="AH1339">
        <v>5.69</v>
      </c>
      <c r="AI1339">
        <v>30</v>
      </c>
      <c r="AV1339" t="s">
        <v>88</v>
      </c>
      <c r="AX1339">
        <v>211</v>
      </c>
      <c r="AZ1339">
        <v>30</v>
      </c>
      <c r="BA1339">
        <v>5.69</v>
      </c>
    </row>
    <row r="1340" spans="1:53" hidden="1" x14ac:dyDescent="0.3">
      <c r="A1340" t="s">
        <v>467</v>
      </c>
      <c r="C1340" t="s">
        <v>251</v>
      </c>
      <c r="D1340" t="s">
        <v>81</v>
      </c>
      <c r="E1340">
        <v>100000000</v>
      </c>
      <c r="N1340" t="s">
        <v>314</v>
      </c>
      <c r="O1340">
        <v>211</v>
      </c>
      <c r="P1340" t="s">
        <v>262</v>
      </c>
      <c r="S1340">
        <v>2</v>
      </c>
      <c r="T1340">
        <v>25</v>
      </c>
      <c r="U1340" t="s">
        <v>120</v>
      </c>
      <c r="V1340">
        <v>75</v>
      </c>
      <c r="W1340" t="s">
        <v>473</v>
      </c>
      <c r="X1340" t="s">
        <v>280</v>
      </c>
      <c r="Y1340">
        <v>540</v>
      </c>
      <c r="Z1340">
        <v>1</v>
      </c>
      <c r="AB1340">
        <v>30</v>
      </c>
      <c r="AC1340" t="s">
        <v>297</v>
      </c>
      <c r="AE1340" t="s">
        <v>63</v>
      </c>
      <c r="AH1340">
        <v>5.69</v>
      </c>
      <c r="AI1340">
        <v>30</v>
      </c>
      <c r="AV1340" t="s">
        <v>88</v>
      </c>
      <c r="AX1340">
        <v>211</v>
      </c>
      <c r="AZ1340">
        <v>30</v>
      </c>
      <c r="BA1340">
        <v>5.69</v>
      </c>
    </row>
    <row r="1341" spans="1:53" hidden="1" x14ac:dyDescent="0.3">
      <c r="A1341" t="s">
        <v>467</v>
      </c>
      <c r="C1341" t="s">
        <v>251</v>
      </c>
      <c r="D1341" t="s">
        <v>81</v>
      </c>
      <c r="E1341">
        <v>100000000</v>
      </c>
      <c r="N1341" t="s">
        <v>314</v>
      </c>
      <c r="O1341">
        <v>211</v>
      </c>
      <c r="P1341" t="s">
        <v>262</v>
      </c>
      <c r="S1341">
        <v>2</v>
      </c>
      <c r="T1341">
        <v>25</v>
      </c>
      <c r="U1341" t="s">
        <v>120</v>
      </c>
      <c r="V1341">
        <v>75</v>
      </c>
      <c r="W1341" t="s">
        <v>473</v>
      </c>
      <c r="X1341" t="s">
        <v>280</v>
      </c>
      <c r="Y1341">
        <v>540</v>
      </c>
      <c r="Z1341">
        <v>1</v>
      </c>
      <c r="AB1341">
        <v>30</v>
      </c>
      <c r="AC1341" t="s">
        <v>297</v>
      </c>
      <c r="AE1341" t="s">
        <v>63</v>
      </c>
      <c r="AH1341">
        <v>5.69</v>
      </c>
      <c r="AI1341">
        <v>30</v>
      </c>
      <c r="AV1341" t="s">
        <v>88</v>
      </c>
      <c r="AX1341">
        <v>211</v>
      </c>
      <c r="AZ1341">
        <v>30</v>
      </c>
      <c r="BA1341">
        <v>5.69</v>
      </c>
    </row>
    <row r="1342" spans="1:53" hidden="1" x14ac:dyDescent="0.3">
      <c r="A1342" t="s">
        <v>467</v>
      </c>
      <c r="C1342" t="s">
        <v>251</v>
      </c>
      <c r="D1342" t="s">
        <v>81</v>
      </c>
      <c r="E1342">
        <v>100000000</v>
      </c>
      <c r="N1342" t="s">
        <v>314</v>
      </c>
      <c r="O1342">
        <v>211</v>
      </c>
      <c r="P1342" t="s">
        <v>262</v>
      </c>
      <c r="S1342">
        <v>2</v>
      </c>
      <c r="T1342">
        <v>25</v>
      </c>
      <c r="U1342" t="s">
        <v>120</v>
      </c>
      <c r="V1342">
        <v>75</v>
      </c>
      <c r="W1342" t="s">
        <v>473</v>
      </c>
      <c r="X1342" t="s">
        <v>280</v>
      </c>
      <c r="Y1342">
        <v>540</v>
      </c>
      <c r="Z1342">
        <v>1</v>
      </c>
      <c r="AB1342">
        <v>30</v>
      </c>
      <c r="AC1342" t="s">
        <v>297</v>
      </c>
      <c r="AE1342" t="s">
        <v>63</v>
      </c>
      <c r="AH1342">
        <v>5.54</v>
      </c>
      <c r="AI1342">
        <v>30</v>
      </c>
      <c r="AV1342" t="s">
        <v>88</v>
      </c>
      <c r="AX1342">
        <v>211</v>
      </c>
      <c r="AZ1342">
        <v>30</v>
      </c>
      <c r="BA1342">
        <v>5.54</v>
      </c>
    </row>
    <row r="1343" spans="1:53" hidden="1" x14ac:dyDescent="0.3">
      <c r="A1343" t="s">
        <v>467</v>
      </c>
      <c r="C1343" t="s">
        <v>251</v>
      </c>
      <c r="D1343" t="s">
        <v>81</v>
      </c>
      <c r="E1343">
        <v>100000000</v>
      </c>
      <c r="N1343" t="s">
        <v>314</v>
      </c>
      <c r="O1343">
        <v>211</v>
      </c>
      <c r="P1343" t="s">
        <v>262</v>
      </c>
      <c r="S1343">
        <v>2</v>
      </c>
      <c r="T1343">
        <v>25</v>
      </c>
      <c r="U1343" t="s">
        <v>120</v>
      </c>
      <c r="V1343">
        <v>75</v>
      </c>
      <c r="W1343" t="s">
        <v>473</v>
      </c>
      <c r="X1343" t="s">
        <v>280</v>
      </c>
      <c r="Y1343">
        <v>540</v>
      </c>
      <c r="Z1343">
        <v>1</v>
      </c>
      <c r="AB1343">
        <v>30</v>
      </c>
      <c r="AC1343" t="s">
        <v>297</v>
      </c>
      <c r="AE1343" t="s">
        <v>63</v>
      </c>
      <c r="AH1343">
        <v>5.54</v>
      </c>
      <c r="AI1343">
        <v>30</v>
      </c>
      <c r="AV1343" t="s">
        <v>88</v>
      </c>
      <c r="AX1343">
        <v>211</v>
      </c>
      <c r="AZ1343">
        <v>30</v>
      </c>
      <c r="BA1343">
        <v>5.54</v>
      </c>
    </row>
    <row r="1344" spans="1:53" hidden="1" x14ac:dyDescent="0.3">
      <c r="A1344" t="s">
        <v>467</v>
      </c>
      <c r="C1344" t="s">
        <v>251</v>
      </c>
      <c r="D1344" t="s">
        <v>81</v>
      </c>
      <c r="E1344">
        <v>100000000</v>
      </c>
      <c r="N1344" t="s">
        <v>314</v>
      </c>
      <c r="O1344">
        <v>211</v>
      </c>
      <c r="P1344" t="s">
        <v>262</v>
      </c>
      <c r="S1344">
        <v>2</v>
      </c>
      <c r="T1344">
        <v>25</v>
      </c>
      <c r="U1344" t="s">
        <v>120</v>
      </c>
      <c r="V1344">
        <v>75</v>
      </c>
      <c r="W1344" t="s">
        <v>473</v>
      </c>
      <c r="X1344" t="s">
        <v>280</v>
      </c>
      <c r="Y1344">
        <v>540</v>
      </c>
      <c r="Z1344">
        <v>1</v>
      </c>
      <c r="AB1344">
        <v>30</v>
      </c>
      <c r="AC1344" t="s">
        <v>297</v>
      </c>
      <c r="AE1344" t="s">
        <v>63</v>
      </c>
      <c r="AH1344">
        <v>5.54</v>
      </c>
      <c r="AI1344">
        <v>30</v>
      </c>
      <c r="AV1344" t="s">
        <v>88</v>
      </c>
      <c r="AX1344">
        <v>211</v>
      </c>
      <c r="AZ1344">
        <v>30</v>
      </c>
      <c r="BA1344">
        <v>5.54</v>
      </c>
    </row>
    <row r="1345" spans="1:50" hidden="1" x14ac:dyDescent="0.3">
      <c r="A1345" t="s">
        <v>467</v>
      </c>
      <c r="C1345" t="s">
        <v>251</v>
      </c>
      <c r="D1345" t="s">
        <v>470</v>
      </c>
      <c r="E1345">
        <v>100000000</v>
      </c>
      <c r="H1345">
        <v>0.25</v>
      </c>
      <c r="I1345" t="s">
        <v>56</v>
      </c>
      <c r="J1345">
        <v>2.5000000000000001E-5</v>
      </c>
      <c r="K1345" t="s">
        <v>57</v>
      </c>
      <c r="N1345" t="s">
        <v>314</v>
      </c>
      <c r="O1345">
        <v>211</v>
      </c>
      <c r="P1345" t="s">
        <v>262</v>
      </c>
      <c r="S1345">
        <v>2</v>
      </c>
      <c r="T1345">
        <v>37</v>
      </c>
      <c r="U1345" t="s">
        <v>120</v>
      </c>
      <c r="V1345">
        <v>75</v>
      </c>
      <c r="W1345" t="s">
        <v>471</v>
      </c>
      <c r="X1345" t="s">
        <v>280</v>
      </c>
      <c r="Y1345">
        <v>1080</v>
      </c>
      <c r="Z1345">
        <v>1</v>
      </c>
      <c r="AB1345">
        <v>6.5</v>
      </c>
      <c r="AC1345" t="s">
        <v>85</v>
      </c>
      <c r="AE1345" t="s">
        <v>63</v>
      </c>
      <c r="AI1345">
        <v>3</v>
      </c>
      <c r="AT1345" t="s">
        <v>150</v>
      </c>
      <c r="AV1345" t="s">
        <v>88</v>
      </c>
      <c r="AX1345">
        <v>211</v>
      </c>
    </row>
    <row r="1346" spans="1:50" hidden="1" x14ac:dyDescent="0.3">
      <c r="A1346" t="s">
        <v>467</v>
      </c>
      <c r="C1346" t="s">
        <v>251</v>
      </c>
      <c r="D1346" t="s">
        <v>470</v>
      </c>
      <c r="E1346">
        <v>100000000</v>
      </c>
      <c r="H1346">
        <v>0.25</v>
      </c>
      <c r="I1346" t="s">
        <v>56</v>
      </c>
      <c r="J1346">
        <v>2.5000000000000001E-5</v>
      </c>
      <c r="K1346" t="s">
        <v>57</v>
      </c>
      <c r="N1346" t="s">
        <v>314</v>
      </c>
      <c r="O1346">
        <v>211</v>
      </c>
      <c r="P1346" t="s">
        <v>262</v>
      </c>
      <c r="S1346">
        <v>2</v>
      </c>
      <c r="T1346">
        <v>37</v>
      </c>
      <c r="U1346" t="s">
        <v>120</v>
      </c>
      <c r="V1346">
        <v>75</v>
      </c>
      <c r="W1346" t="s">
        <v>471</v>
      </c>
      <c r="X1346" t="s">
        <v>280</v>
      </c>
      <c r="Y1346">
        <v>1080</v>
      </c>
      <c r="Z1346">
        <v>1</v>
      </c>
      <c r="AB1346">
        <v>6.1</v>
      </c>
      <c r="AC1346" t="s">
        <v>85</v>
      </c>
      <c r="AE1346" t="s">
        <v>63</v>
      </c>
      <c r="AI1346">
        <v>3</v>
      </c>
      <c r="AT1346" t="s">
        <v>150</v>
      </c>
      <c r="AV1346" t="s">
        <v>88</v>
      </c>
      <c r="AX1346">
        <v>211</v>
      </c>
    </row>
    <row r="1347" spans="1:50" hidden="1" x14ac:dyDescent="0.3">
      <c r="A1347" t="s">
        <v>467</v>
      </c>
      <c r="C1347" t="s">
        <v>251</v>
      </c>
      <c r="D1347" t="s">
        <v>470</v>
      </c>
      <c r="E1347">
        <v>100000000</v>
      </c>
      <c r="H1347">
        <v>0.25</v>
      </c>
      <c r="I1347" t="s">
        <v>56</v>
      </c>
      <c r="J1347">
        <v>2.5000000000000001E-5</v>
      </c>
      <c r="K1347" t="s">
        <v>57</v>
      </c>
      <c r="N1347" t="s">
        <v>314</v>
      </c>
      <c r="O1347">
        <v>211</v>
      </c>
      <c r="P1347" t="s">
        <v>262</v>
      </c>
      <c r="S1347">
        <v>2</v>
      </c>
      <c r="T1347">
        <v>37</v>
      </c>
      <c r="U1347" t="s">
        <v>120</v>
      </c>
      <c r="V1347">
        <v>75</v>
      </c>
      <c r="W1347" t="s">
        <v>471</v>
      </c>
      <c r="X1347" t="s">
        <v>280</v>
      </c>
      <c r="Y1347">
        <v>1080</v>
      </c>
      <c r="Z1347">
        <v>1</v>
      </c>
      <c r="AB1347">
        <v>5.9</v>
      </c>
      <c r="AC1347" t="s">
        <v>85</v>
      </c>
      <c r="AE1347" t="s">
        <v>63</v>
      </c>
      <c r="AI1347">
        <v>3</v>
      </c>
      <c r="AT1347" t="s">
        <v>150</v>
      </c>
      <c r="AV1347" t="s">
        <v>88</v>
      </c>
      <c r="AX1347">
        <v>211</v>
      </c>
    </row>
    <row r="1348" spans="1:50" hidden="1" x14ac:dyDescent="0.3">
      <c r="A1348" t="s">
        <v>467</v>
      </c>
      <c r="C1348" t="s">
        <v>251</v>
      </c>
      <c r="D1348" t="s">
        <v>470</v>
      </c>
      <c r="E1348">
        <v>100000000</v>
      </c>
      <c r="H1348">
        <v>0.25</v>
      </c>
      <c r="I1348" t="s">
        <v>56</v>
      </c>
      <c r="J1348">
        <v>2.5000000000000001E-5</v>
      </c>
      <c r="K1348" t="s">
        <v>57</v>
      </c>
      <c r="N1348" t="s">
        <v>314</v>
      </c>
      <c r="O1348">
        <v>211</v>
      </c>
      <c r="P1348" t="s">
        <v>262</v>
      </c>
      <c r="S1348">
        <v>2</v>
      </c>
      <c r="T1348">
        <v>37</v>
      </c>
      <c r="U1348" t="s">
        <v>120</v>
      </c>
      <c r="V1348">
        <v>75</v>
      </c>
      <c r="W1348" t="s">
        <v>471</v>
      </c>
      <c r="X1348" t="s">
        <v>280</v>
      </c>
      <c r="Y1348">
        <v>1080</v>
      </c>
      <c r="Z1348">
        <v>1</v>
      </c>
      <c r="AB1348">
        <v>1.6</v>
      </c>
      <c r="AC1348" t="s">
        <v>85</v>
      </c>
      <c r="AE1348" t="s">
        <v>63</v>
      </c>
      <c r="AI1348">
        <v>3</v>
      </c>
      <c r="AT1348" t="s">
        <v>150</v>
      </c>
      <c r="AV1348" t="s">
        <v>88</v>
      </c>
      <c r="AX1348">
        <v>211</v>
      </c>
    </row>
    <row r="1349" spans="1:50" hidden="1" x14ac:dyDescent="0.3">
      <c r="A1349" t="s">
        <v>467</v>
      </c>
      <c r="C1349" t="s">
        <v>251</v>
      </c>
      <c r="D1349" t="s">
        <v>470</v>
      </c>
      <c r="E1349">
        <v>100000000</v>
      </c>
      <c r="H1349">
        <v>0.25</v>
      </c>
      <c r="I1349" t="s">
        <v>56</v>
      </c>
      <c r="J1349">
        <v>2.5000000000000001E-5</v>
      </c>
      <c r="K1349" t="s">
        <v>57</v>
      </c>
      <c r="N1349" t="s">
        <v>314</v>
      </c>
      <c r="O1349">
        <v>211</v>
      </c>
      <c r="P1349" t="s">
        <v>262</v>
      </c>
      <c r="S1349">
        <v>2</v>
      </c>
      <c r="T1349">
        <v>37</v>
      </c>
      <c r="U1349" t="s">
        <v>120</v>
      </c>
      <c r="V1349">
        <v>75</v>
      </c>
      <c r="W1349" t="s">
        <v>471</v>
      </c>
      <c r="X1349" t="s">
        <v>280</v>
      </c>
      <c r="Y1349">
        <v>1080</v>
      </c>
      <c r="Z1349">
        <v>1</v>
      </c>
      <c r="AB1349">
        <v>2</v>
      </c>
      <c r="AC1349" t="s">
        <v>85</v>
      </c>
      <c r="AE1349" t="s">
        <v>63</v>
      </c>
      <c r="AI1349">
        <v>3</v>
      </c>
      <c r="AT1349" t="s">
        <v>150</v>
      </c>
      <c r="AV1349" t="s">
        <v>88</v>
      </c>
      <c r="AX1349">
        <v>211</v>
      </c>
    </row>
    <row r="1350" spans="1:50" hidden="1" x14ac:dyDescent="0.3">
      <c r="A1350" t="s">
        <v>467</v>
      </c>
      <c r="C1350" t="s">
        <v>251</v>
      </c>
      <c r="D1350" t="s">
        <v>470</v>
      </c>
      <c r="E1350">
        <v>100000000</v>
      </c>
      <c r="H1350">
        <v>0.25</v>
      </c>
      <c r="I1350" t="s">
        <v>56</v>
      </c>
      <c r="J1350">
        <v>2.5000000000000001E-5</v>
      </c>
      <c r="K1350" t="s">
        <v>57</v>
      </c>
      <c r="N1350" t="s">
        <v>314</v>
      </c>
      <c r="O1350">
        <v>211</v>
      </c>
      <c r="P1350" t="s">
        <v>262</v>
      </c>
      <c r="S1350">
        <v>2</v>
      </c>
      <c r="T1350">
        <v>37</v>
      </c>
      <c r="U1350" t="s">
        <v>120</v>
      </c>
      <c r="V1350">
        <v>75</v>
      </c>
      <c r="W1350" t="s">
        <v>471</v>
      </c>
      <c r="X1350" t="s">
        <v>280</v>
      </c>
      <c r="Y1350">
        <v>1080</v>
      </c>
      <c r="Z1350">
        <v>1</v>
      </c>
      <c r="AB1350">
        <v>1.5</v>
      </c>
      <c r="AC1350" t="s">
        <v>85</v>
      </c>
      <c r="AE1350" t="s">
        <v>63</v>
      </c>
      <c r="AI1350">
        <v>3</v>
      </c>
      <c r="AT1350" t="s">
        <v>150</v>
      </c>
      <c r="AV1350" t="s">
        <v>88</v>
      </c>
      <c r="AX1350">
        <v>211</v>
      </c>
    </row>
    <row r="1351" spans="1:50" hidden="1" x14ac:dyDescent="0.3">
      <c r="A1351" t="s">
        <v>467</v>
      </c>
      <c r="C1351" t="s">
        <v>251</v>
      </c>
      <c r="D1351" t="s">
        <v>470</v>
      </c>
      <c r="E1351">
        <v>100000000</v>
      </c>
      <c r="H1351">
        <v>0.25</v>
      </c>
      <c r="I1351" t="s">
        <v>56</v>
      </c>
      <c r="J1351">
        <v>2.5000000000000001E-5</v>
      </c>
      <c r="K1351" t="s">
        <v>57</v>
      </c>
      <c r="N1351" t="s">
        <v>314</v>
      </c>
      <c r="O1351">
        <v>211</v>
      </c>
      <c r="P1351" t="s">
        <v>262</v>
      </c>
      <c r="S1351">
        <v>2</v>
      </c>
      <c r="T1351">
        <v>37</v>
      </c>
      <c r="U1351" t="s">
        <v>120</v>
      </c>
      <c r="V1351">
        <v>75</v>
      </c>
      <c r="W1351" t="s">
        <v>471</v>
      </c>
      <c r="X1351" t="s">
        <v>280</v>
      </c>
      <c r="Y1351">
        <v>540</v>
      </c>
      <c r="Z1351">
        <v>1</v>
      </c>
      <c r="AB1351">
        <v>2.7</v>
      </c>
      <c r="AC1351" t="s">
        <v>85</v>
      </c>
      <c r="AE1351" t="s">
        <v>63</v>
      </c>
      <c r="AI1351">
        <v>3</v>
      </c>
      <c r="AT1351" t="s">
        <v>150</v>
      </c>
      <c r="AV1351" t="s">
        <v>88</v>
      </c>
      <c r="AX1351">
        <v>211</v>
      </c>
    </row>
    <row r="1352" spans="1:50" hidden="1" x14ac:dyDescent="0.3">
      <c r="A1352" t="s">
        <v>467</v>
      </c>
      <c r="C1352" t="s">
        <v>251</v>
      </c>
      <c r="D1352" t="s">
        <v>470</v>
      </c>
      <c r="E1352">
        <v>100000000</v>
      </c>
      <c r="H1352">
        <v>0.25</v>
      </c>
      <c r="I1352" t="s">
        <v>56</v>
      </c>
      <c r="J1352">
        <v>2.5000000000000001E-5</v>
      </c>
      <c r="K1352" t="s">
        <v>57</v>
      </c>
      <c r="N1352" t="s">
        <v>314</v>
      </c>
      <c r="O1352">
        <v>211</v>
      </c>
      <c r="P1352" t="s">
        <v>262</v>
      </c>
      <c r="S1352">
        <v>2</v>
      </c>
      <c r="T1352">
        <v>37</v>
      </c>
      <c r="U1352" t="s">
        <v>120</v>
      </c>
      <c r="V1352">
        <v>75</v>
      </c>
      <c r="W1352" t="s">
        <v>471</v>
      </c>
      <c r="X1352" t="s">
        <v>280</v>
      </c>
      <c r="Y1352">
        <v>540</v>
      </c>
      <c r="Z1352">
        <v>1</v>
      </c>
      <c r="AB1352">
        <v>2.7</v>
      </c>
      <c r="AC1352" t="s">
        <v>85</v>
      </c>
      <c r="AE1352" t="s">
        <v>63</v>
      </c>
      <c r="AI1352">
        <v>3</v>
      </c>
      <c r="AT1352" t="s">
        <v>150</v>
      </c>
      <c r="AV1352" t="s">
        <v>88</v>
      </c>
      <c r="AX1352">
        <v>211</v>
      </c>
    </row>
    <row r="1353" spans="1:50" hidden="1" x14ac:dyDescent="0.3">
      <c r="A1353" t="s">
        <v>467</v>
      </c>
      <c r="C1353" t="s">
        <v>251</v>
      </c>
      <c r="D1353" t="s">
        <v>470</v>
      </c>
      <c r="E1353">
        <v>100000000</v>
      </c>
      <c r="H1353">
        <v>0.25</v>
      </c>
      <c r="I1353" t="s">
        <v>56</v>
      </c>
      <c r="J1353">
        <v>2.5000000000000001E-5</v>
      </c>
      <c r="K1353" t="s">
        <v>57</v>
      </c>
      <c r="N1353" t="s">
        <v>314</v>
      </c>
      <c r="O1353">
        <v>211</v>
      </c>
      <c r="P1353" t="s">
        <v>262</v>
      </c>
      <c r="S1353">
        <v>2</v>
      </c>
      <c r="T1353">
        <v>37</v>
      </c>
      <c r="U1353" t="s">
        <v>120</v>
      </c>
      <c r="V1353">
        <v>75</v>
      </c>
      <c r="W1353" t="s">
        <v>471</v>
      </c>
      <c r="X1353" t="s">
        <v>280</v>
      </c>
      <c r="Y1353">
        <v>540</v>
      </c>
      <c r="Z1353">
        <v>1</v>
      </c>
      <c r="AB1353">
        <v>2.6</v>
      </c>
      <c r="AC1353" t="s">
        <v>85</v>
      </c>
      <c r="AE1353" t="s">
        <v>63</v>
      </c>
      <c r="AI1353">
        <v>3</v>
      </c>
      <c r="AT1353" t="s">
        <v>150</v>
      </c>
      <c r="AV1353" t="s">
        <v>88</v>
      </c>
      <c r="AX1353">
        <v>211</v>
      </c>
    </row>
    <row r="1354" spans="1:50" hidden="1" x14ac:dyDescent="0.3">
      <c r="A1354" t="s">
        <v>467</v>
      </c>
      <c r="C1354" t="s">
        <v>251</v>
      </c>
      <c r="D1354" t="s">
        <v>470</v>
      </c>
      <c r="E1354">
        <v>100000000</v>
      </c>
      <c r="H1354">
        <v>0.25</v>
      </c>
      <c r="I1354" t="s">
        <v>56</v>
      </c>
      <c r="J1354">
        <v>2.5000000000000001E-5</v>
      </c>
      <c r="K1354" t="s">
        <v>57</v>
      </c>
      <c r="N1354" t="s">
        <v>314</v>
      </c>
      <c r="O1354">
        <v>211</v>
      </c>
      <c r="P1354" t="s">
        <v>262</v>
      </c>
      <c r="S1354">
        <v>2</v>
      </c>
      <c r="T1354">
        <v>37</v>
      </c>
      <c r="U1354" t="s">
        <v>120</v>
      </c>
      <c r="V1354">
        <v>75</v>
      </c>
      <c r="W1354" t="s">
        <v>471</v>
      </c>
      <c r="X1354" t="s">
        <v>280</v>
      </c>
      <c r="Y1354">
        <v>540</v>
      </c>
      <c r="Z1354">
        <v>1</v>
      </c>
      <c r="AB1354">
        <v>1.9</v>
      </c>
      <c r="AC1354" t="s">
        <v>85</v>
      </c>
      <c r="AE1354" t="s">
        <v>63</v>
      </c>
      <c r="AI1354">
        <v>3</v>
      </c>
      <c r="AT1354" t="s">
        <v>150</v>
      </c>
      <c r="AV1354" t="s">
        <v>88</v>
      </c>
      <c r="AX1354">
        <v>211</v>
      </c>
    </row>
    <row r="1355" spans="1:50" hidden="1" x14ac:dyDescent="0.3">
      <c r="A1355" t="s">
        <v>467</v>
      </c>
      <c r="C1355" t="s">
        <v>251</v>
      </c>
      <c r="D1355" t="s">
        <v>470</v>
      </c>
      <c r="E1355">
        <v>100000000</v>
      </c>
      <c r="H1355">
        <v>0.25</v>
      </c>
      <c r="I1355" t="s">
        <v>56</v>
      </c>
      <c r="J1355">
        <v>2.5000000000000001E-5</v>
      </c>
      <c r="K1355" t="s">
        <v>57</v>
      </c>
      <c r="N1355" t="s">
        <v>314</v>
      </c>
      <c r="O1355">
        <v>211</v>
      </c>
      <c r="P1355" t="s">
        <v>262</v>
      </c>
      <c r="S1355">
        <v>2</v>
      </c>
      <c r="T1355">
        <v>37</v>
      </c>
      <c r="U1355" t="s">
        <v>120</v>
      </c>
      <c r="V1355">
        <v>75</v>
      </c>
      <c r="W1355" t="s">
        <v>471</v>
      </c>
      <c r="X1355" t="s">
        <v>280</v>
      </c>
      <c r="Y1355">
        <v>540</v>
      </c>
      <c r="Z1355">
        <v>1</v>
      </c>
      <c r="AB1355">
        <v>2</v>
      </c>
      <c r="AC1355" t="s">
        <v>85</v>
      </c>
      <c r="AE1355" t="s">
        <v>63</v>
      </c>
      <c r="AI1355">
        <v>3</v>
      </c>
      <c r="AT1355" t="s">
        <v>150</v>
      </c>
      <c r="AV1355" t="s">
        <v>88</v>
      </c>
      <c r="AX1355">
        <v>211</v>
      </c>
    </row>
    <row r="1356" spans="1:50" hidden="1" x14ac:dyDescent="0.3">
      <c r="A1356" t="s">
        <v>467</v>
      </c>
      <c r="C1356" t="s">
        <v>251</v>
      </c>
      <c r="D1356" t="s">
        <v>470</v>
      </c>
      <c r="E1356">
        <v>100000000</v>
      </c>
      <c r="H1356">
        <v>0.25</v>
      </c>
      <c r="I1356" t="s">
        <v>56</v>
      </c>
      <c r="J1356">
        <v>2.5000000000000001E-5</v>
      </c>
      <c r="K1356" t="s">
        <v>57</v>
      </c>
      <c r="N1356" t="s">
        <v>314</v>
      </c>
      <c r="O1356">
        <v>211</v>
      </c>
      <c r="P1356" t="s">
        <v>262</v>
      </c>
      <c r="S1356">
        <v>2</v>
      </c>
      <c r="T1356">
        <v>37</v>
      </c>
      <c r="U1356" t="s">
        <v>120</v>
      </c>
      <c r="V1356">
        <v>75</v>
      </c>
      <c r="W1356" t="s">
        <v>471</v>
      </c>
      <c r="X1356" t="s">
        <v>280</v>
      </c>
      <c r="Y1356">
        <v>540</v>
      </c>
      <c r="Z1356">
        <v>1</v>
      </c>
      <c r="AB1356">
        <v>1.7</v>
      </c>
      <c r="AC1356" t="s">
        <v>85</v>
      </c>
      <c r="AE1356" t="s">
        <v>63</v>
      </c>
      <c r="AI1356">
        <v>3</v>
      </c>
      <c r="AT1356" t="s">
        <v>150</v>
      </c>
      <c r="AV1356" t="s">
        <v>88</v>
      </c>
      <c r="AX1356">
        <v>211</v>
      </c>
    </row>
    <row r="1357" spans="1:50" hidden="1" x14ac:dyDescent="0.3">
      <c r="A1357" t="s">
        <v>467</v>
      </c>
      <c r="C1357" t="s">
        <v>251</v>
      </c>
      <c r="D1357" t="s">
        <v>470</v>
      </c>
      <c r="E1357">
        <v>100000000</v>
      </c>
      <c r="H1357">
        <v>0.25</v>
      </c>
      <c r="I1357" t="s">
        <v>56</v>
      </c>
      <c r="J1357">
        <v>2.5000000000000001E-5</v>
      </c>
      <c r="K1357" t="s">
        <v>57</v>
      </c>
      <c r="N1357" t="s">
        <v>314</v>
      </c>
      <c r="O1357">
        <v>211</v>
      </c>
      <c r="P1357" t="s">
        <v>262</v>
      </c>
      <c r="S1357">
        <v>2</v>
      </c>
      <c r="T1357">
        <v>25</v>
      </c>
      <c r="U1357" t="s">
        <v>120</v>
      </c>
      <c r="V1357">
        <v>75</v>
      </c>
      <c r="W1357" t="s">
        <v>471</v>
      </c>
      <c r="X1357" t="s">
        <v>280</v>
      </c>
      <c r="Y1357">
        <v>540</v>
      </c>
      <c r="Z1357">
        <v>1</v>
      </c>
      <c r="AB1357">
        <v>1.3</v>
      </c>
      <c r="AC1357" t="s">
        <v>85</v>
      </c>
      <c r="AE1357" t="s">
        <v>63</v>
      </c>
      <c r="AI1357">
        <v>3</v>
      </c>
      <c r="AT1357" t="s">
        <v>150</v>
      </c>
      <c r="AV1357" t="s">
        <v>88</v>
      </c>
      <c r="AX1357">
        <v>211</v>
      </c>
    </row>
    <row r="1358" spans="1:50" hidden="1" x14ac:dyDescent="0.3">
      <c r="A1358" t="s">
        <v>467</v>
      </c>
      <c r="C1358" t="s">
        <v>251</v>
      </c>
      <c r="D1358" t="s">
        <v>470</v>
      </c>
      <c r="E1358">
        <v>100000000</v>
      </c>
      <c r="H1358">
        <v>0.25</v>
      </c>
      <c r="I1358" t="s">
        <v>56</v>
      </c>
      <c r="J1358">
        <v>2.5000000000000001E-5</v>
      </c>
      <c r="K1358" t="s">
        <v>57</v>
      </c>
      <c r="N1358" t="s">
        <v>314</v>
      </c>
      <c r="O1358">
        <v>211</v>
      </c>
      <c r="P1358" t="s">
        <v>262</v>
      </c>
      <c r="S1358">
        <v>2</v>
      </c>
      <c r="T1358">
        <v>25</v>
      </c>
      <c r="U1358" t="s">
        <v>120</v>
      </c>
      <c r="V1358">
        <v>75</v>
      </c>
      <c r="W1358" t="s">
        <v>471</v>
      </c>
      <c r="X1358" t="s">
        <v>280</v>
      </c>
      <c r="Y1358">
        <v>540</v>
      </c>
      <c r="Z1358">
        <v>1</v>
      </c>
      <c r="AB1358">
        <v>0.2</v>
      </c>
      <c r="AC1358" t="s">
        <v>85</v>
      </c>
      <c r="AE1358" t="s">
        <v>63</v>
      </c>
      <c r="AI1358">
        <v>3</v>
      </c>
      <c r="AT1358" t="s">
        <v>150</v>
      </c>
      <c r="AV1358" t="s">
        <v>88</v>
      </c>
      <c r="AX1358">
        <v>211</v>
      </c>
    </row>
    <row r="1359" spans="1:50" hidden="1" x14ac:dyDescent="0.3">
      <c r="A1359" t="s">
        <v>467</v>
      </c>
      <c r="C1359" t="s">
        <v>251</v>
      </c>
      <c r="D1359" t="s">
        <v>470</v>
      </c>
      <c r="E1359">
        <v>100000000</v>
      </c>
      <c r="H1359">
        <v>0.25</v>
      </c>
      <c r="I1359" t="s">
        <v>56</v>
      </c>
      <c r="J1359">
        <v>2.5000000000000001E-5</v>
      </c>
      <c r="K1359" t="s">
        <v>57</v>
      </c>
      <c r="N1359" t="s">
        <v>314</v>
      </c>
      <c r="O1359">
        <v>211</v>
      </c>
      <c r="P1359" t="s">
        <v>262</v>
      </c>
      <c r="S1359">
        <v>2</v>
      </c>
      <c r="T1359">
        <v>25</v>
      </c>
      <c r="U1359" t="s">
        <v>120</v>
      </c>
      <c r="V1359">
        <v>75</v>
      </c>
      <c r="W1359" t="s">
        <v>471</v>
      </c>
      <c r="X1359" t="s">
        <v>280</v>
      </c>
      <c r="Y1359">
        <v>540</v>
      </c>
      <c r="Z1359">
        <v>1</v>
      </c>
      <c r="AB1359">
        <v>1.3</v>
      </c>
      <c r="AC1359" t="s">
        <v>85</v>
      </c>
      <c r="AE1359" t="s">
        <v>63</v>
      </c>
      <c r="AI1359">
        <v>3</v>
      </c>
      <c r="AT1359" t="s">
        <v>150</v>
      </c>
      <c r="AV1359" t="s">
        <v>88</v>
      </c>
      <c r="AX1359">
        <v>211</v>
      </c>
    </row>
    <row r="1360" spans="1:50" hidden="1" x14ac:dyDescent="0.3">
      <c r="A1360" t="s">
        <v>467</v>
      </c>
      <c r="C1360" t="s">
        <v>251</v>
      </c>
      <c r="D1360" t="s">
        <v>470</v>
      </c>
      <c r="E1360">
        <v>100000000</v>
      </c>
      <c r="H1360">
        <v>0.25</v>
      </c>
      <c r="I1360" t="s">
        <v>56</v>
      </c>
      <c r="J1360">
        <v>2.5000000000000001E-5</v>
      </c>
      <c r="K1360" t="s">
        <v>57</v>
      </c>
      <c r="N1360" t="s">
        <v>314</v>
      </c>
      <c r="O1360">
        <v>211</v>
      </c>
      <c r="P1360" t="s">
        <v>262</v>
      </c>
      <c r="S1360">
        <v>2</v>
      </c>
      <c r="T1360">
        <v>25</v>
      </c>
      <c r="U1360" t="s">
        <v>120</v>
      </c>
      <c r="V1360">
        <v>75</v>
      </c>
      <c r="W1360" t="s">
        <v>471</v>
      </c>
      <c r="X1360" t="s">
        <v>280</v>
      </c>
      <c r="Y1360">
        <v>540</v>
      </c>
      <c r="Z1360">
        <v>1</v>
      </c>
      <c r="AB1360">
        <v>1.6</v>
      </c>
      <c r="AC1360" t="s">
        <v>85</v>
      </c>
      <c r="AE1360" t="s">
        <v>63</v>
      </c>
      <c r="AI1360">
        <v>3</v>
      </c>
      <c r="AT1360" t="s">
        <v>150</v>
      </c>
      <c r="AV1360" t="s">
        <v>88</v>
      </c>
      <c r="AX1360">
        <v>211</v>
      </c>
    </row>
    <row r="1361" spans="1:53" hidden="1" x14ac:dyDescent="0.3">
      <c r="A1361" t="s">
        <v>467</v>
      </c>
      <c r="C1361" t="s">
        <v>251</v>
      </c>
      <c r="D1361" t="s">
        <v>470</v>
      </c>
      <c r="E1361">
        <v>100000000</v>
      </c>
      <c r="H1361">
        <v>0.25</v>
      </c>
      <c r="I1361" t="s">
        <v>56</v>
      </c>
      <c r="J1361">
        <v>2.5000000000000001E-5</v>
      </c>
      <c r="K1361" t="s">
        <v>57</v>
      </c>
      <c r="N1361" t="s">
        <v>314</v>
      </c>
      <c r="O1361">
        <v>211</v>
      </c>
      <c r="P1361" t="s">
        <v>262</v>
      </c>
      <c r="S1361">
        <v>2</v>
      </c>
      <c r="T1361">
        <v>25</v>
      </c>
      <c r="U1361" t="s">
        <v>120</v>
      </c>
      <c r="V1361">
        <v>75</v>
      </c>
      <c r="W1361" t="s">
        <v>471</v>
      </c>
      <c r="X1361" t="s">
        <v>280</v>
      </c>
      <c r="Y1361">
        <v>540</v>
      </c>
      <c r="Z1361">
        <v>1</v>
      </c>
      <c r="AB1361">
        <v>0</v>
      </c>
      <c r="AC1361" t="s">
        <v>85</v>
      </c>
      <c r="AE1361" t="s">
        <v>63</v>
      </c>
      <c r="AI1361">
        <v>3</v>
      </c>
      <c r="AT1361" t="s">
        <v>150</v>
      </c>
      <c r="AV1361" t="s">
        <v>88</v>
      </c>
      <c r="AX1361">
        <v>211</v>
      </c>
    </row>
    <row r="1362" spans="1:53" hidden="1" x14ac:dyDescent="0.3">
      <c r="A1362" t="s">
        <v>467</v>
      </c>
      <c r="C1362" t="s">
        <v>251</v>
      </c>
      <c r="D1362" t="s">
        <v>470</v>
      </c>
      <c r="E1362">
        <v>100000000</v>
      </c>
      <c r="H1362">
        <v>0.25</v>
      </c>
      <c r="I1362" t="s">
        <v>56</v>
      </c>
      <c r="J1362">
        <v>2.5000000000000001E-5</v>
      </c>
      <c r="K1362" t="s">
        <v>57</v>
      </c>
      <c r="N1362" t="s">
        <v>314</v>
      </c>
      <c r="O1362">
        <v>211</v>
      </c>
      <c r="P1362" t="s">
        <v>262</v>
      </c>
      <c r="S1362">
        <v>2</v>
      </c>
      <c r="T1362">
        <v>25</v>
      </c>
      <c r="U1362" t="s">
        <v>120</v>
      </c>
      <c r="V1362">
        <v>75</v>
      </c>
      <c r="W1362" t="s">
        <v>471</v>
      </c>
      <c r="X1362" t="s">
        <v>280</v>
      </c>
      <c r="Y1362">
        <v>540</v>
      </c>
      <c r="Z1362">
        <v>1</v>
      </c>
      <c r="AB1362">
        <v>0.1</v>
      </c>
      <c r="AC1362" t="s">
        <v>85</v>
      </c>
      <c r="AE1362" t="s">
        <v>63</v>
      </c>
      <c r="AI1362">
        <v>3</v>
      </c>
      <c r="AT1362" t="s">
        <v>150</v>
      </c>
      <c r="AV1362" t="s">
        <v>88</v>
      </c>
      <c r="AX1362">
        <v>211</v>
      </c>
    </row>
    <row r="1363" spans="1:53" hidden="1" x14ac:dyDescent="0.3">
      <c r="A1363" t="s">
        <v>467</v>
      </c>
      <c r="C1363" t="s">
        <v>251</v>
      </c>
      <c r="D1363" t="s">
        <v>81</v>
      </c>
      <c r="E1363">
        <v>100000000</v>
      </c>
      <c r="H1363">
        <v>14.25</v>
      </c>
      <c r="I1363" t="s">
        <v>56</v>
      </c>
      <c r="J1363">
        <v>1.4250000000000001E-3</v>
      </c>
      <c r="K1363" t="s">
        <v>57</v>
      </c>
      <c r="N1363" t="s">
        <v>314</v>
      </c>
      <c r="O1363">
        <v>211</v>
      </c>
      <c r="P1363" t="s">
        <v>262</v>
      </c>
      <c r="S1363">
        <v>2</v>
      </c>
      <c r="T1363">
        <v>37</v>
      </c>
      <c r="U1363" t="s">
        <v>120</v>
      </c>
      <c r="V1363">
        <v>75</v>
      </c>
      <c r="W1363" t="s">
        <v>468</v>
      </c>
      <c r="X1363" t="s">
        <v>280</v>
      </c>
      <c r="Y1363">
        <v>1080</v>
      </c>
      <c r="Z1363">
        <v>1</v>
      </c>
      <c r="AA1363" t="s">
        <v>94</v>
      </c>
      <c r="AB1363">
        <v>7.2</v>
      </c>
      <c r="AC1363" t="s">
        <v>85</v>
      </c>
      <c r="AI1363">
        <v>5</v>
      </c>
      <c r="AT1363" t="s">
        <v>318</v>
      </c>
      <c r="AV1363" t="s">
        <v>88</v>
      </c>
      <c r="AX1363">
        <v>211</v>
      </c>
      <c r="AZ1363">
        <v>0</v>
      </c>
      <c r="BA1363">
        <v>7.2</v>
      </c>
    </row>
    <row r="1364" spans="1:53" hidden="1" x14ac:dyDescent="0.3">
      <c r="A1364" t="s">
        <v>467</v>
      </c>
      <c r="C1364" t="s">
        <v>251</v>
      </c>
      <c r="D1364" t="s">
        <v>81</v>
      </c>
      <c r="E1364">
        <v>100000000</v>
      </c>
      <c r="H1364">
        <v>14.25</v>
      </c>
      <c r="I1364" t="s">
        <v>56</v>
      </c>
      <c r="J1364">
        <v>1.4250000000000001E-3</v>
      </c>
      <c r="K1364" t="s">
        <v>57</v>
      </c>
      <c r="N1364" t="s">
        <v>314</v>
      </c>
      <c r="O1364">
        <v>211</v>
      </c>
      <c r="P1364" t="s">
        <v>262</v>
      </c>
      <c r="S1364">
        <v>2</v>
      </c>
      <c r="T1364">
        <v>37</v>
      </c>
      <c r="U1364" t="s">
        <v>120</v>
      </c>
      <c r="V1364">
        <v>75</v>
      </c>
      <c r="W1364" t="s">
        <v>468</v>
      </c>
      <c r="X1364" t="s">
        <v>280</v>
      </c>
      <c r="Y1364">
        <v>1080</v>
      </c>
      <c r="Z1364">
        <v>1</v>
      </c>
      <c r="AA1364" t="s">
        <v>94</v>
      </c>
      <c r="AB1364">
        <v>7.4</v>
      </c>
      <c r="AC1364" t="s">
        <v>85</v>
      </c>
      <c r="AI1364">
        <v>5</v>
      </c>
      <c r="AT1364" t="s">
        <v>318</v>
      </c>
      <c r="AV1364" t="s">
        <v>88</v>
      </c>
      <c r="AX1364">
        <v>211</v>
      </c>
      <c r="AZ1364">
        <v>0</v>
      </c>
      <c r="BA1364">
        <v>7.4</v>
      </c>
    </row>
    <row r="1365" spans="1:53" hidden="1" x14ac:dyDescent="0.3">
      <c r="A1365" t="s">
        <v>467</v>
      </c>
      <c r="C1365" t="s">
        <v>251</v>
      </c>
      <c r="D1365" t="s">
        <v>81</v>
      </c>
      <c r="E1365">
        <v>100000000</v>
      </c>
      <c r="H1365">
        <v>14.25</v>
      </c>
      <c r="I1365" t="s">
        <v>56</v>
      </c>
      <c r="J1365">
        <v>1.4250000000000001E-3</v>
      </c>
      <c r="K1365" t="s">
        <v>57</v>
      </c>
      <c r="N1365" t="s">
        <v>314</v>
      </c>
      <c r="O1365">
        <v>211</v>
      </c>
      <c r="P1365" t="s">
        <v>262</v>
      </c>
      <c r="S1365">
        <v>2</v>
      </c>
      <c r="T1365">
        <v>37</v>
      </c>
      <c r="U1365" t="s">
        <v>120</v>
      </c>
      <c r="V1365">
        <v>75</v>
      </c>
      <c r="W1365" t="s">
        <v>468</v>
      </c>
      <c r="X1365" t="s">
        <v>280</v>
      </c>
      <c r="Y1365">
        <v>1080</v>
      </c>
      <c r="Z1365">
        <v>1</v>
      </c>
      <c r="AA1365" t="s">
        <v>94</v>
      </c>
      <c r="AB1365">
        <v>7.4</v>
      </c>
      <c r="AC1365" t="s">
        <v>85</v>
      </c>
      <c r="AI1365">
        <v>5</v>
      </c>
      <c r="AT1365" t="s">
        <v>318</v>
      </c>
      <c r="AV1365" t="s">
        <v>88</v>
      </c>
      <c r="AX1365">
        <v>211</v>
      </c>
      <c r="AZ1365">
        <v>0</v>
      </c>
      <c r="BA1365">
        <v>7.4</v>
      </c>
    </row>
    <row r="1366" spans="1:53" hidden="1" x14ac:dyDescent="0.3">
      <c r="A1366" t="s">
        <v>467</v>
      </c>
      <c r="C1366" t="s">
        <v>251</v>
      </c>
      <c r="D1366" t="s">
        <v>81</v>
      </c>
      <c r="E1366">
        <v>100000000</v>
      </c>
      <c r="H1366">
        <v>14.25</v>
      </c>
      <c r="I1366" t="s">
        <v>56</v>
      </c>
      <c r="J1366">
        <v>1.4250000000000001E-3</v>
      </c>
      <c r="K1366" t="s">
        <v>57</v>
      </c>
      <c r="N1366" t="s">
        <v>314</v>
      </c>
      <c r="O1366">
        <v>211</v>
      </c>
      <c r="P1366" t="s">
        <v>262</v>
      </c>
      <c r="S1366">
        <v>2</v>
      </c>
      <c r="T1366">
        <v>37</v>
      </c>
      <c r="U1366" t="s">
        <v>120</v>
      </c>
      <c r="V1366">
        <v>75</v>
      </c>
      <c r="W1366" t="s">
        <v>468</v>
      </c>
      <c r="X1366" t="s">
        <v>280</v>
      </c>
      <c r="Y1366">
        <v>540</v>
      </c>
      <c r="Z1366">
        <v>1</v>
      </c>
      <c r="AB1366">
        <v>3</v>
      </c>
      <c r="AC1366" t="s">
        <v>85</v>
      </c>
      <c r="AD1366" t="s">
        <v>194</v>
      </c>
      <c r="AE1366" t="s">
        <v>63</v>
      </c>
      <c r="AI1366">
        <v>5</v>
      </c>
      <c r="AT1366" t="s">
        <v>318</v>
      </c>
      <c r="AV1366" t="s">
        <v>88</v>
      </c>
      <c r="AX1366">
        <v>211</v>
      </c>
    </row>
    <row r="1367" spans="1:53" hidden="1" x14ac:dyDescent="0.3">
      <c r="A1367" t="s">
        <v>467</v>
      </c>
      <c r="C1367" t="s">
        <v>251</v>
      </c>
      <c r="D1367" t="s">
        <v>81</v>
      </c>
      <c r="E1367">
        <v>100000000</v>
      </c>
      <c r="H1367">
        <v>14.25</v>
      </c>
      <c r="I1367" t="s">
        <v>56</v>
      </c>
      <c r="J1367">
        <v>1.4250000000000001E-3</v>
      </c>
      <c r="K1367" t="s">
        <v>57</v>
      </c>
      <c r="N1367" t="s">
        <v>314</v>
      </c>
      <c r="O1367">
        <v>211</v>
      </c>
      <c r="P1367" t="s">
        <v>262</v>
      </c>
      <c r="S1367">
        <v>2</v>
      </c>
      <c r="T1367">
        <v>37</v>
      </c>
      <c r="U1367" t="s">
        <v>120</v>
      </c>
      <c r="V1367">
        <v>75</v>
      </c>
      <c r="W1367" t="s">
        <v>468</v>
      </c>
      <c r="X1367" t="s">
        <v>280</v>
      </c>
      <c r="Y1367">
        <v>540</v>
      </c>
      <c r="Z1367">
        <v>1</v>
      </c>
      <c r="AB1367">
        <v>3</v>
      </c>
      <c r="AC1367" t="s">
        <v>85</v>
      </c>
      <c r="AD1367" t="s">
        <v>314</v>
      </c>
      <c r="AE1367" t="s">
        <v>63</v>
      </c>
      <c r="AI1367">
        <v>5</v>
      </c>
      <c r="AT1367" t="s">
        <v>318</v>
      </c>
      <c r="AV1367" t="s">
        <v>88</v>
      </c>
      <c r="AX1367">
        <v>211</v>
      </c>
    </row>
    <row r="1368" spans="1:53" hidden="1" x14ac:dyDescent="0.3">
      <c r="A1368" t="s">
        <v>467</v>
      </c>
      <c r="C1368" t="s">
        <v>251</v>
      </c>
      <c r="D1368" t="s">
        <v>81</v>
      </c>
      <c r="E1368">
        <v>100000000</v>
      </c>
      <c r="H1368">
        <v>14.25</v>
      </c>
      <c r="I1368" t="s">
        <v>56</v>
      </c>
      <c r="J1368">
        <v>1.4250000000000001E-3</v>
      </c>
      <c r="K1368" t="s">
        <v>57</v>
      </c>
      <c r="N1368" t="s">
        <v>314</v>
      </c>
      <c r="O1368">
        <v>211</v>
      </c>
      <c r="P1368" t="s">
        <v>262</v>
      </c>
      <c r="S1368">
        <v>2</v>
      </c>
      <c r="T1368">
        <v>37</v>
      </c>
      <c r="U1368" t="s">
        <v>120</v>
      </c>
      <c r="V1368">
        <v>75</v>
      </c>
      <c r="W1368" t="s">
        <v>468</v>
      </c>
      <c r="X1368" t="s">
        <v>280</v>
      </c>
      <c r="Y1368">
        <v>540</v>
      </c>
      <c r="Z1368">
        <v>1</v>
      </c>
      <c r="AB1368">
        <v>2.9</v>
      </c>
      <c r="AC1368" t="s">
        <v>85</v>
      </c>
      <c r="AD1368" t="s">
        <v>314</v>
      </c>
      <c r="AE1368" t="s">
        <v>63</v>
      </c>
      <c r="AI1368">
        <v>5</v>
      </c>
      <c r="AT1368" t="s">
        <v>318</v>
      </c>
      <c r="AV1368" t="s">
        <v>88</v>
      </c>
      <c r="AX1368">
        <v>211</v>
      </c>
    </row>
    <row r="1369" spans="1:53" hidden="1" x14ac:dyDescent="0.3">
      <c r="A1369" t="s">
        <v>467</v>
      </c>
      <c r="C1369" t="s">
        <v>251</v>
      </c>
      <c r="D1369" t="s">
        <v>81</v>
      </c>
      <c r="E1369">
        <v>100000000</v>
      </c>
      <c r="H1369">
        <v>14.25</v>
      </c>
      <c r="I1369" t="s">
        <v>56</v>
      </c>
      <c r="J1369">
        <v>1.4250000000000001E-3</v>
      </c>
      <c r="K1369" t="s">
        <v>57</v>
      </c>
      <c r="N1369" t="s">
        <v>314</v>
      </c>
      <c r="O1369">
        <v>211</v>
      </c>
      <c r="P1369" t="s">
        <v>262</v>
      </c>
      <c r="S1369">
        <v>2</v>
      </c>
      <c r="T1369">
        <v>25</v>
      </c>
      <c r="U1369" t="s">
        <v>120</v>
      </c>
      <c r="V1369">
        <v>75</v>
      </c>
      <c r="W1369" t="s">
        <v>468</v>
      </c>
      <c r="X1369" t="s">
        <v>280</v>
      </c>
      <c r="Y1369">
        <v>540</v>
      </c>
      <c r="Z1369">
        <v>1</v>
      </c>
      <c r="AB1369">
        <v>0.8</v>
      </c>
      <c r="AC1369" t="s">
        <v>85</v>
      </c>
      <c r="AD1369" t="s">
        <v>321</v>
      </c>
      <c r="AE1369" t="s">
        <v>63</v>
      </c>
      <c r="AI1369">
        <v>5</v>
      </c>
      <c r="AT1369" t="s">
        <v>318</v>
      </c>
      <c r="AV1369" t="s">
        <v>88</v>
      </c>
      <c r="AX1369">
        <v>211</v>
      </c>
    </row>
    <row r="1370" spans="1:53" hidden="1" x14ac:dyDescent="0.3">
      <c r="A1370" t="s">
        <v>467</v>
      </c>
      <c r="C1370" t="s">
        <v>251</v>
      </c>
      <c r="D1370" t="s">
        <v>81</v>
      </c>
      <c r="E1370">
        <v>100000000</v>
      </c>
      <c r="H1370">
        <v>14.25</v>
      </c>
      <c r="I1370" t="s">
        <v>56</v>
      </c>
      <c r="J1370">
        <v>1.4250000000000001E-3</v>
      </c>
      <c r="K1370" t="s">
        <v>57</v>
      </c>
      <c r="N1370" t="s">
        <v>314</v>
      </c>
      <c r="O1370">
        <v>211</v>
      </c>
      <c r="P1370" t="s">
        <v>262</v>
      </c>
      <c r="S1370">
        <v>2</v>
      </c>
      <c r="T1370">
        <v>25</v>
      </c>
      <c r="U1370" t="s">
        <v>120</v>
      </c>
      <c r="V1370">
        <v>75</v>
      </c>
      <c r="W1370" t="s">
        <v>468</v>
      </c>
      <c r="X1370" t="s">
        <v>280</v>
      </c>
      <c r="Y1370">
        <v>540</v>
      </c>
      <c r="Z1370">
        <v>1</v>
      </c>
      <c r="AB1370">
        <v>0.8</v>
      </c>
      <c r="AC1370" t="s">
        <v>85</v>
      </c>
      <c r="AD1370" t="s">
        <v>314</v>
      </c>
      <c r="AE1370" t="s">
        <v>63</v>
      </c>
      <c r="AI1370">
        <v>5</v>
      </c>
      <c r="AT1370" t="s">
        <v>318</v>
      </c>
      <c r="AV1370" t="s">
        <v>88</v>
      </c>
      <c r="AX1370">
        <v>211</v>
      </c>
    </row>
    <row r="1371" spans="1:53" hidden="1" x14ac:dyDescent="0.3">
      <c r="A1371" t="s">
        <v>467</v>
      </c>
      <c r="C1371" t="s">
        <v>251</v>
      </c>
      <c r="D1371" t="s">
        <v>81</v>
      </c>
      <c r="E1371">
        <v>100000000</v>
      </c>
      <c r="H1371">
        <v>14.25</v>
      </c>
      <c r="I1371" t="s">
        <v>56</v>
      </c>
      <c r="J1371">
        <v>1.4250000000000001E-3</v>
      </c>
      <c r="K1371" t="s">
        <v>57</v>
      </c>
      <c r="N1371" t="s">
        <v>314</v>
      </c>
      <c r="O1371">
        <v>211</v>
      </c>
      <c r="P1371" t="s">
        <v>262</v>
      </c>
      <c r="S1371">
        <v>2</v>
      </c>
      <c r="T1371">
        <v>25</v>
      </c>
      <c r="U1371" t="s">
        <v>120</v>
      </c>
      <c r="V1371">
        <v>75</v>
      </c>
      <c r="W1371" t="s">
        <v>468</v>
      </c>
      <c r="X1371" t="s">
        <v>280</v>
      </c>
      <c r="Y1371">
        <v>540</v>
      </c>
      <c r="Z1371">
        <v>1</v>
      </c>
      <c r="AB1371">
        <v>1.2</v>
      </c>
      <c r="AC1371" t="s">
        <v>85</v>
      </c>
      <c r="AD1371" t="s">
        <v>314</v>
      </c>
      <c r="AE1371" t="s">
        <v>63</v>
      </c>
      <c r="AI1371">
        <v>5</v>
      </c>
      <c r="AT1371" t="s">
        <v>318</v>
      </c>
      <c r="AV1371" t="s">
        <v>88</v>
      </c>
      <c r="AX1371">
        <v>211</v>
      </c>
    </row>
    <row r="1372" spans="1:53" hidden="1" x14ac:dyDescent="0.3">
      <c r="A1372" t="s">
        <v>467</v>
      </c>
      <c r="C1372" t="s">
        <v>251</v>
      </c>
      <c r="D1372" t="s">
        <v>81</v>
      </c>
      <c r="E1372">
        <v>100000000</v>
      </c>
      <c r="H1372">
        <v>14.25</v>
      </c>
      <c r="I1372" t="s">
        <v>56</v>
      </c>
      <c r="J1372">
        <v>1.4250000000000001E-3</v>
      </c>
      <c r="K1372" t="s">
        <v>57</v>
      </c>
      <c r="N1372" t="s">
        <v>314</v>
      </c>
      <c r="O1372">
        <v>211</v>
      </c>
      <c r="P1372" t="s">
        <v>262</v>
      </c>
      <c r="S1372">
        <v>2</v>
      </c>
      <c r="T1372">
        <v>37</v>
      </c>
      <c r="U1372" t="s">
        <v>120</v>
      </c>
      <c r="V1372">
        <v>75</v>
      </c>
      <c r="W1372" t="s">
        <v>469</v>
      </c>
      <c r="X1372" t="s">
        <v>280</v>
      </c>
      <c r="Y1372">
        <v>1080</v>
      </c>
      <c r="Z1372">
        <v>1</v>
      </c>
      <c r="AA1372" t="s">
        <v>94</v>
      </c>
      <c r="AB1372">
        <v>6.7</v>
      </c>
      <c r="AC1372" t="s">
        <v>85</v>
      </c>
      <c r="AI1372">
        <v>5</v>
      </c>
      <c r="AT1372" t="s">
        <v>65</v>
      </c>
      <c r="AV1372" t="s">
        <v>88</v>
      </c>
      <c r="AX1372">
        <v>211</v>
      </c>
      <c r="AZ1372">
        <v>0</v>
      </c>
      <c r="BA1372">
        <v>6.7</v>
      </c>
    </row>
    <row r="1373" spans="1:53" hidden="1" x14ac:dyDescent="0.3">
      <c r="A1373" t="s">
        <v>467</v>
      </c>
      <c r="C1373" t="s">
        <v>251</v>
      </c>
      <c r="D1373" t="s">
        <v>81</v>
      </c>
      <c r="E1373">
        <v>100000000</v>
      </c>
      <c r="H1373">
        <v>14.25</v>
      </c>
      <c r="I1373" t="s">
        <v>56</v>
      </c>
      <c r="J1373">
        <v>1.4250000000000001E-3</v>
      </c>
      <c r="K1373" t="s">
        <v>57</v>
      </c>
      <c r="N1373" t="s">
        <v>314</v>
      </c>
      <c r="O1373">
        <v>211</v>
      </c>
      <c r="P1373" t="s">
        <v>262</v>
      </c>
      <c r="S1373">
        <v>2</v>
      </c>
      <c r="T1373">
        <v>37</v>
      </c>
      <c r="U1373" t="s">
        <v>120</v>
      </c>
      <c r="V1373">
        <v>75</v>
      </c>
      <c r="W1373" t="s">
        <v>469</v>
      </c>
      <c r="X1373" t="s">
        <v>280</v>
      </c>
      <c r="Y1373">
        <v>1080</v>
      </c>
      <c r="Z1373">
        <v>1</v>
      </c>
      <c r="AA1373" t="s">
        <v>94</v>
      </c>
      <c r="AB1373">
        <v>6.8</v>
      </c>
      <c r="AC1373" t="s">
        <v>85</v>
      </c>
      <c r="AI1373">
        <v>5</v>
      </c>
      <c r="AT1373" t="s">
        <v>65</v>
      </c>
      <c r="AV1373" t="s">
        <v>88</v>
      </c>
      <c r="AX1373">
        <v>211</v>
      </c>
      <c r="AZ1373">
        <v>0</v>
      </c>
      <c r="BA1373">
        <v>6.8</v>
      </c>
    </row>
    <row r="1374" spans="1:53" hidden="1" x14ac:dyDescent="0.3">
      <c r="A1374" t="s">
        <v>467</v>
      </c>
      <c r="C1374" t="s">
        <v>251</v>
      </c>
      <c r="D1374" t="s">
        <v>81</v>
      </c>
      <c r="E1374">
        <v>100000000</v>
      </c>
      <c r="H1374">
        <v>14.25</v>
      </c>
      <c r="I1374" t="s">
        <v>56</v>
      </c>
      <c r="J1374">
        <v>1.4250000000000001E-3</v>
      </c>
      <c r="K1374" t="s">
        <v>57</v>
      </c>
      <c r="N1374" t="s">
        <v>314</v>
      </c>
      <c r="O1374">
        <v>211</v>
      </c>
      <c r="P1374" t="s">
        <v>262</v>
      </c>
      <c r="S1374">
        <v>2</v>
      </c>
      <c r="T1374">
        <v>37</v>
      </c>
      <c r="U1374" t="s">
        <v>120</v>
      </c>
      <c r="V1374">
        <v>75</v>
      </c>
      <c r="W1374" t="s">
        <v>469</v>
      </c>
      <c r="X1374" t="s">
        <v>280</v>
      </c>
      <c r="Y1374">
        <v>1080</v>
      </c>
      <c r="Z1374">
        <v>1</v>
      </c>
      <c r="AA1374" t="s">
        <v>94</v>
      </c>
      <c r="AB1374">
        <v>6.8</v>
      </c>
      <c r="AC1374" t="s">
        <v>85</v>
      </c>
      <c r="AI1374">
        <v>5</v>
      </c>
      <c r="AT1374" t="s">
        <v>65</v>
      </c>
      <c r="AV1374" t="s">
        <v>88</v>
      </c>
      <c r="AX1374">
        <v>211</v>
      </c>
      <c r="AZ1374">
        <v>0</v>
      </c>
      <c r="BA1374">
        <v>6.8</v>
      </c>
    </row>
    <row r="1375" spans="1:53" hidden="1" x14ac:dyDescent="0.3">
      <c r="A1375" t="s">
        <v>467</v>
      </c>
      <c r="C1375" t="s">
        <v>251</v>
      </c>
      <c r="D1375" t="s">
        <v>81</v>
      </c>
      <c r="E1375">
        <v>100000000</v>
      </c>
      <c r="H1375">
        <v>14.25</v>
      </c>
      <c r="I1375" t="s">
        <v>56</v>
      </c>
      <c r="J1375">
        <v>1.4250000000000001E-3</v>
      </c>
      <c r="K1375" t="s">
        <v>57</v>
      </c>
      <c r="N1375" t="s">
        <v>314</v>
      </c>
      <c r="O1375">
        <v>211</v>
      </c>
      <c r="P1375" t="s">
        <v>262</v>
      </c>
      <c r="S1375">
        <v>2</v>
      </c>
      <c r="T1375">
        <v>37</v>
      </c>
      <c r="U1375" t="s">
        <v>120</v>
      </c>
      <c r="V1375">
        <v>75</v>
      </c>
      <c r="W1375" t="s">
        <v>469</v>
      </c>
      <c r="X1375" t="s">
        <v>280</v>
      </c>
      <c r="Y1375">
        <v>540</v>
      </c>
      <c r="Z1375">
        <v>1</v>
      </c>
      <c r="AB1375">
        <v>2.1</v>
      </c>
      <c r="AC1375" t="s">
        <v>85</v>
      </c>
      <c r="AD1375" t="s">
        <v>314</v>
      </c>
      <c r="AE1375" t="s">
        <v>63</v>
      </c>
      <c r="AI1375">
        <v>5</v>
      </c>
      <c r="AT1375" t="s">
        <v>65</v>
      </c>
      <c r="AV1375" t="s">
        <v>88</v>
      </c>
      <c r="AX1375">
        <v>211</v>
      </c>
    </row>
    <row r="1376" spans="1:53" hidden="1" x14ac:dyDescent="0.3">
      <c r="A1376" t="s">
        <v>467</v>
      </c>
      <c r="C1376" t="s">
        <v>251</v>
      </c>
      <c r="D1376" t="s">
        <v>81</v>
      </c>
      <c r="E1376">
        <v>100000000</v>
      </c>
      <c r="H1376">
        <v>14.25</v>
      </c>
      <c r="I1376" t="s">
        <v>56</v>
      </c>
      <c r="J1376">
        <v>1.4250000000000001E-3</v>
      </c>
      <c r="K1376" t="s">
        <v>57</v>
      </c>
      <c r="N1376" t="s">
        <v>314</v>
      </c>
      <c r="O1376">
        <v>211</v>
      </c>
      <c r="P1376" t="s">
        <v>262</v>
      </c>
      <c r="S1376">
        <v>2</v>
      </c>
      <c r="T1376">
        <v>37</v>
      </c>
      <c r="U1376" t="s">
        <v>120</v>
      </c>
      <c r="V1376">
        <v>75</v>
      </c>
      <c r="W1376" t="s">
        <v>469</v>
      </c>
      <c r="X1376" t="s">
        <v>280</v>
      </c>
      <c r="Y1376">
        <v>540</v>
      </c>
      <c r="Z1376">
        <v>1</v>
      </c>
      <c r="AB1376">
        <v>2</v>
      </c>
      <c r="AC1376" t="s">
        <v>85</v>
      </c>
      <c r="AD1376" t="s">
        <v>314</v>
      </c>
      <c r="AE1376" t="s">
        <v>63</v>
      </c>
      <c r="AI1376">
        <v>5</v>
      </c>
      <c r="AT1376" t="s">
        <v>65</v>
      </c>
      <c r="AV1376" t="s">
        <v>88</v>
      </c>
      <c r="AX1376">
        <v>211</v>
      </c>
    </row>
    <row r="1377" spans="1:53" hidden="1" x14ac:dyDescent="0.3">
      <c r="A1377" t="s">
        <v>467</v>
      </c>
      <c r="C1377" t="s">
        <v>251</v>
      </c>
      <c r="D1377" t="s">
        <v>81</v>
      </c>
      <c r="E1377">
        <v>100000000</v>
      </c>
      <c r="H1377">
        <v>14.25</v>
      </c>
      <c r="I1377" t="s">
        <v>56</v>
      </c>
      <c r="J1377">
        <v>1.4250000000000001E-3</v>
      </c>
      <c r="K1377" t="s">
        <v>57</v>
      </c>
      <c r="N1377" t="s">
        <v>314</v>
      </c>
      <c r="O1377">
        <v>211</v>
      </c>
      <c r="P1377" t="s">
        <v>262</v>
      </c>
      <c r="S1377">
        <v>2</v>
      </c>
      <c r="T1377">
        <v>37</v>
      </c>
      <c r="U1377" t="s">
        <v>120</v>
      </c>
      <c r="V1377">
        <v>75</v>
      </c>
      <c r="W1377" t="s">
        <v>469</v>
      </c>
      <c r="X1377" t="s">
        <v>280</v>
      </c>
      <c r="Y1377">
        <v>540</v>
      </c>
      <c r="Z1377">
        <v>1</v>
      </c>
      <c r="AB1377">
        <v>2</v>
      </c>
      <c r="AC1377" t="s">
        <v>85</v>
      </c>
      <c r="AD1377" t="s">
        <v>314</v>
      </c>
      <c r="AE1377" t="s">
        <v>63</v>
      </c>
      <c r="AI1377">
        <v>5</v>
      </c>
      <c r="AT1377" t="s">
        <v>65</v>
      </c>
      <c r="AV1377" t="s">
        <v>88</v>
      </c>
      <c r="AX1377">
        <v>211</v>
      </c>
    </row>
    <row r="1378" spans="1:53" hidden="1" x14ac:dyDescent="0.3">
      <c r="A1378" t="s">
        <v>467</v>
      </c>
      <c r="C1378" t="s">
        <v>251</v>
      </c>
      <c r="D1378" t="s">
        <v>81</v>
      </c>
      <c r="E1378">
        <v>100000000</v>
      </c>
      <c r="H1378">
        <v>14.25</v>
      </c>
      <c r="I1378" t="s">
        <v>56</v>
      </c>
      <c r="J1378">
        <v>1.4250000000000001E-3</v>
      </c>
      <c r="K1378" t="s">
        <v>57</v>
      </c>
      <c r="N1378" t="s">
        <v>314</v>
      </c>
      <c r="O1378">
        <v>211</v>
      </c>
      <c r="P1378" t="s">
        <v>262</v>
      </c>
      <c r="S1378">
        <v>2</v>
      </c>
      <c r="T1378">
        <v>25</v>
      </c>
      <c r="U1378" t="s">
        <v>120</v>
      </c>
      <c r="V1378">
        <v>75</v>
      </c>
      <c r="W1378" t="s">
        <v>469</v>
      </c>
      <c r="X1378" t="s">
        <v>280</v>
      </c>
      <c r="Y1378">
        <v>540</v>
      </c>
      <c r="Z1378">
        <v>1</v>
      </c>
      <c r="AB1378">
        <v>0.7</v>
      </c>
      <c r="AC1378" t="s">
        <v>85</v>
      </c>
      <c r="AD1378" t="s">
        <v>194</v>
      </c>
      <c r="AE1378" t="s">
        <v>63</v>
      </c>
      <c r="AI1378">
        <v>5</v>
      </c>
      <c r="AT1378" t="s">
        <v>65</v>
      </c>
      <c r="AV1378" t="s">
        <v>88</v>
      </c>
      <c r="AX1378">
        <v>211</v>
      </c>
    </row>
    <row r="1379" spans="1:53" hidden="1" x14ac:dyDescent="0.3">
      <c r="A1379" t="s">
        <v>467</v>
      </c>
      <c r="C1379" t="s">
        <v>251</v>
      </c>
      <c r="D1379" t="s">
        <v>81</v>
      </c>
      <c r="E1379">
        <v>100000000</v>
      </c>
      <c r="H1379">
        <v>14.25</v>
      </c>
      <c r="I1379" t="s">
        <v>56</v>
      </c>
      <c r="J1379">
        <v>1.4250000000000001E-3</v>
      </c>
      <c r="K1379" t="s">
        <v>57</v>
      </c>
      <c r="N1379" t="s">
        <v>314</v>
      </c>
      <c r="O1379">
        <v>211</v>
      </c>
      <c r="P1379" t="s">
        <v>262</v>
      </c>
      <c r="S1379">
        <v>2</v>
      </c>
      <c r="T1379">
        <v>25</v>
      </c>
      <c r="U1379" t="s">
        <v>120</v>
      </c>
      <c r="V1379">
        <v>75</v>
      </c>
      <c r="W1379" t="s">
        <v>469</v>
      </c>
      <c r="X1379" t="s">
        <v>280</v>
      </c>
      <c r="Y1379">
        <v>540</v>
      </c>
      <c r="Z1379">
        <v>1</v>
      </c>
      <c r="AB1379">
        <v>0.9</v>
      </c>
      <c r="AC1379" t="s">
        <v>85</v>
      </c>
      <c r="AD1379" t="s">
        <v>194</v>
      </c>
      <c r="AE1379" t="s">
        <v>63</v>
      </c>
      <c r="AI1379">
        <v>5</v>
      </c>
      <c r="AT1379" t="s">
        <v>65</v>
      </c>
      <c r="AV1379" t="s">
        <v>88</v>
      </c>
      <c r="AX1379">
        <v>211</v>
      </c>
    </row>
    <row r="1380" spans="1:53" hidden="1" x14ac:dyDescent="0.3">
      <c r="A1380" t="s">
        <v>467</v>
      </c>
      <c r="C1380" t="s">
        <v>251</v>
      </c>
      <c r="D1380" t="s">
        <v>81</v>
      </c>
      <c r="E1380">
        <v>100000000</v>
      </c>
      <c r="H1380">
        <v>14.25</v>
      </c>
      <c r="I1380" t="s">
        <v>56</v>
      </c>
      <c r="J1380">
        <v>1.4250000000000001E-3</v>
      </c>
      <c r="K1380" t="s">
        <v>57</v>
      </c>
      <c r="N1380" t="s">
        <v>314</v>
      </c>
      <c r="O1380">
        <v>211</v>
      </c>
      <c r="P1380" t="s">
        <v>262</v>
      </c>
      <c r="S1380">
        <v>2</v>
      </c>
      <c r="T1380">
        <v>25</v>
      </c>
      <c r="U1380" t="s">
        <v>120</v>
      </c>
      <c r="V1380">
        <v>75</v>
      </c>
      <c r="W1380" t="s">
        <v>469</v>
      </c>
      <c r="X1380" t="s">
        <v>280</v>
      </c>
      <c r="Y1380">
        <v>540</v>
      </c>
      <c r="Z1380">
        <v>1</v>
      </c>
      <c r="AB1380">
        <v>0.2</v>
      </c>
      <c r="AC1380" t="s">
        <v>85</v>
      </c>
      <c r="AD1380" t="s">
        <v>314</v>
      </c>
      <c r="AE1380" t="s">
        <v>63</v>
      </c>
      <c r="AI1380">
        <v>5</v>
      </c>
      <c r="AT1380" t="s">
        <v>65</v>
      </c>
      <c r="AV1380" t="s">
        <v>88</v>
      </c>
      <c r="AX1380">
        <v>211</v>
      </c>
    </row>
    <row r="1381" spans="1:53" hidden="1" x14ac:dyDescent="0.3">
      <c r="A1381" t="s">
        <v>467</v>
      </c>
      <c r="C1381" t="s">
        <v>251</v>
      </c>
      <c r="D1381" t="s">
        <v>81</v>
      </c>
      <c r="E1381">
        <v>100000000</v>
      </c>
      <c r="H1381">
        <v>0.25</v>
      </c>
      <c r="I1381" t="s">
        <v>56</v>
      </c>
      <c r="J1381">
        <v>2.5000000000000001E-5</v>
      </c>
      <c r="K1381" t="s">
        <v>57</v>
      </c>
      <c r="N1381" t="s">
        <v>314</v>
      </c>
      <c r="O1381">
        <v>211</v>
      </c>
      <c r="P1381" t="s">
        <v>262</v>
      </c>
      <c r="S1381">
        <v>2</v>
      </c>
      <c r="T1381">
        <v>37</v>
      </c>
      <c r="U1381" t="s">
        <v>120</v>
      </c>
      <c r="V1381">
        <v>75</v>
      </c>
      <c r="W1381" t="s">
        <v>147</v>
      </c>
      <c r="X1381" t="s">
        <v>280</v>
      </c>
      <c r="Y1381">
        <v>1080</v>
      </c>
      <c r="Z1381">
        <v>1</v>
      </c>
      <c r="AA1381" t="s">
        <v>94</v>
      </c>
      <c r="AB1381">
        <v>6.4</v>
      </c>
      <c r="AC1381" t="s">
        <v>85</v>
      </c>
      <c r="AI1381">
        <v>5</v>
      </c>
      <c r="AT1381" t="s">
        <v>150</v>
      </c>
      <c r="AV1381" t="s">
        <v>88</v>
      </c>
      <c r="AX1381">
        <v>211</v>
      </c>
      <c r="AZ1381">
        <v>0</v>
      </c>
      <c r="BA1381">
        <v>6.4</v>
      </c>
    </row>
    <row r="1382" spans="1:53" hidden="1" x14ac:dyDescent="0.3">
      <c r="A1382" t="s">
        <v>467</v>
      </c>
      <c r="C1382" t="s">
        <v>251</v>
      </c>
      <c r="D1382" t="s">
        <v>81</v>
      </c>
      <c r="E1382">
        <v>100000000</v>
      </c>
      <c r="H1382">
        <v>0.25</v>
      </c>
      <c r="I1382" t="s">
        <v>56</v>
      </c>
      <c r="J1382">
        <v>2.5000000000000001E-5</v>
      </c>
      <c r="K1382" t="s">
        <v>57</v>
      </c>
      <c r="N1382" t="s">
        <v>314</v>
      </c>
      <c r="O1382">
        <v>211</v>
      </c>
      <c r="P1382" t="s">
        <v>262</v>
      </c>
      <c r="S1382">
        <v>2</v>
      </c>
      <c r="T1382">
        <v>37</v>
      </c>
      <c r="U1382" t="s">
        <v>120</v>
      </c>
      <c r="V1382">
        <v>75</v>
      </c>
      <c r="W1382" t="s">
        <v>147</v>
      </c>
      <c r="X1382" t="s">
        <v>280</v>
      </c>
      <c r="Y1382">
        <v>1080</v>
      </c>
      <c r="Z1382">
        <v>1</v>
      </c>
      <c r="AA1382" t="s">
        <v>94</v>
      </c>
      <c r="AB1382">
        <v>6.7</v>
      </c>
      <c r="AC1382" t="s">
        <v>85</v>
      </c>
      <c r="AI1382">
        <v>5</v>
      </c>
      <c r="AT1382" t="s">
        <v>150</v>
      </c>
      <c r="AV1382" t="s">
        <v>88</v>
      </c>
      <c r="AX1382">
        <v>211</v>
      </c>
      <c r="AZ1382">
        <v>0</v>
      </c>
      <c r="BA1382">
        <v>6.7</v>
      </c>
    </row>
    <row r="1383" spans="1:53" hidden="1" x14ac:dyDescent="0.3">
      <c r="A1383" t="s">
        <v>467</v>
      </c>
      <c r="C1383" t="s">
        <v>251</v>
      </c>
      <c r="D1383" t="s">
        <v>81</v>
      </c>
      <c r="E1383">
        <v>100000000</v>
      </c>
      <c r="H1383">
        <v>0.25</v>
      </c>
      <c r="I1383" t="s">
        <v>56</v>
      </c>
      <c r="J1383">
        <v>2.5000000000000001E-5</v>
      </c>
      <c r="K1383" t="s">
        <v>57</v>
      </c>
      <c r="N1383" t="s">
        <v>314</v>
      </c>
      <c r="O1383">
        <v>211</v>
      </c>
      <c r="P1383" t="s">
        <v>262</v>
      </c>
      <c r="S1383">
        <v>2</v>
      </c>
      <c r="T1383">
        <v>37</v>
      </c>
      <c r="U1383" t="s">
        <v>120</v>
      </c>
      <c r="V1383">
        <v>75</v>
      </c>
      <c r="W1383" t="s">
        <v>147</v>
      </c>
      <c r="X1383" t="s">
        <v>280</v>
      </c>
      <c r="Y1383">
        <v>1080</v>
      </c>
      <c r="Z1383">
        <v>1</v>
      </c>
      <c r="AA1383" t="s">
        <v>94</v>
      </c>
      <c r="AB1383">
        <v>6.5</v>
      </c>
      <c r="AC1383" t="s">
        <v>85</v>
      </c>
      <c r="AI1383">
        <v>5</v>
      </c>
      <c r="AT1383" t="s">
        <v>150</v>
      </c>
      <c r="AV1383" t="s">
        <v>88</v>
      </c>
      <c r="AX1383">
        <v>211</v>
      </c>
      <c r="AZ1383">
        <v>0</v>
      </c>
      <c r="BA1383">
        <v>6.5</v>
      </c>
    </row>
    <row r="1384" spans="1:53" hidden="1" x14ac:dyDescent="0.3">
      <c r="A1384" t="s">
        <v>467</v>
      </c>
      <c r="C1384" t="s">
        <v>251</v>
      </c>
      <c r="D1384" t="s">
        <v>81</v>
      </c>
      <c r="E1384">
        <v>100000000</v>
      </c>
      <c r="H1384">
        <v>0.25</v>
      </c>
      <c r="I1384" t="s">
        <v>56</v>
      </c>
      <c r="J1384">
        <v>2.5000000000000001E-5</v>
      </c>
      <c r="K1384" t="s">
        <v>57</v>
      </c>
      <c r="N1384" t="s">
        <v>314</v>
      </c>
      <c r="O1384">
        <v>211</v>
      </c>
      <c r="P1384" t="s">
        <v>262</v>
      </c>
      <c r="S1384">
        <v>2</v>
      </c>
      <c r="T1384">
        <v>37</v>
      </c>
      <c r="U1384" t="s">
        <v>120</v>
      </c>
      <c r="V1384">
        <v>75</v>
      </c>
      <c r="W1384" t="s">
        <v>147</v>
      </c>
      <c r="X1384" t="s">
        <v>280</v>
      </c>
      <c r="Y1384">
        <v>540</v>
      </c>
      <c r="Z1384">
        <v>1</v>
      </c>
      <c r="AB1384">
        <v>2.8</v>
      </c>
      <c r="AC1384" t="s">
        <v>85</v>
      </c>
      <c r="AD1384" t="s">
        <v>194</v>
      </c>
      <c r="AE1384" t="s">
        <v>63</v>
      </c>
      <c r="AI1384">
        <v>5</v>
      </c>
      <c r="AT1384" t="s">
        <v>150</v>
      </c>
      <c r="AV1384" t="s">
        <v>88</v>
      </c>
      <c r="AX1384">
        <v>211</v>
      </c>
    </row>
    <row r="1385" spans="1:53" hidden="1" x14ac:dyDescent="0.3">
      <c r="A1385" t="s">
        <v>467</v>
      </c>
      <c r="C1385" t="s">
        <v>251</v>
      </c>
      <c r="D1385" t="s">
        <v>81</v>
      </c>
      <c r="E1385">
        <v>100000000</v>
      </c>
      <c r="H1385">
        <v>0.25</v>
      </c>
      <c r="I1385" t="s">
        <v>56</v>
      </c>
      <c r="J1385">
        <v>2.5000000000000001E-5</v>
      </c>
      <c r="K1385" t="s">
        <v>57</v>
      </c>
      <c r="N1385" t="s">
        <v>314</v>
      </c>
      <c r="O1385">
        <v>211</v>
      </c>
      <c r="P1385" t="s">
        <v>262</v>
      </c>
      <c r="S1385">
        <v>2</v>
      </c>
      <c r="T1385">
        <v>37</v>
      </c>
      <c r="U1385" t="s">
        <v>120</v>
      </c>
      <c r="V1385">
        <v>75</v>
      </c>
      <c r="W1385" t="s">
        <v>147</v>
      </c>
      <c r="X1385" t="s">
        <v>280</v>
      </c>
      <c r="Y1385">
        <v>540</v>
      </c>
      <c r="Z1385">
        <v>1</v>
      </c>
      <c r="AB1385">
        <v>2.5</v>
      </c>
      <c r="AC1385" t="s">
        <v>85</v>
      </c>
      <c r="AD1385" t="s">
        <v>314</v>
      </c>
      <c r="AE1385" t="s">
        <v>63</v>
      </c>
      <c r="AI1385">
        <v>5</v>
      </c>
      <c r="AT1385" t="s">
        <v>150</v>
      </c>
      <c r="AV1385" t="s">
        <v>88</v>
      </c>
      <c r="AX1385">
        <v>211</v>
      </c>
    </row>
    <row r="1386" spans="1:53" hidden="1" x14ac:dyDescent="0.3">
      <c r="A1386" t="s">
        <v>467</v>
      </c>
      <c r="C1386" t="s">
        <v>251</v>
      </c>
      <c r="D1386" t="s">
        <v>81</v>
      </c>
      <c r="E1386">
        <v>100000000</v>
      </c>
      <c r="H1386">
        <v>0.25</v>
      </c>
      <c r="I1386" t="s">
        <v>56</v>
      </c>
      <c r="J1386">
        <v>2.5000000000000001E-5</v>
      </c>
      <c r="K1386" t="s">
        <v>57</v>
      </c>
      <c r="N1386" t="s">
        <v>314</v>
      </c>
      <c r="O1386">
        <v>211</v>
      </c>
      <c r="P1386" t="s">
        <v>262</v>
      </c>
      <c r="S1386">
        <v>2</v>
      </c>
      <c r="T1386">
        <v>25</v>
      </c>
      <c r="U1386" t="s">
        <v>120</v>
      </c>
      <c r="V1386">
        <v>75</v>
      </c>
      <c r="W1386" t="s">
        <v>147</v>
      </c>
      <c r="X1386" t="s">
        <v>280</v>
      </c>
      <c r="Y1386">
        <v>540</v>
      </c>
      <c r="Z1386">
        <v>1</v>
      </c>
      <c r="AB1386">
        <v>3</v>
      </c>
      <c r="AC1386" t="s">
        <v>85</v>
      </c>
      <c r="AD1386" t="s">
        <v>321</v>
      </c>
      <c r="AE1386" t="s">
        <v>63</v>
      </c>
      <c r="AI1386">
        <v>5</v>
      </c>
      <c r="AT1386" t="s">
        <v>150</v>
      </c>
      <c r="AV1386" t="s">
        <v>88</v>
      </c>
      <c r="AX1386">
        <v>211</v>
      </c>
    </row>
    <row r="1387" spans="1:53" hidden="1" x14ac:dyDescent="0.3">
      <c r="A1387" t="s">
        <v>467</v>
      </c>
      <c r="C1387" t="s">
        <v>251</v>
      </c>
      <c r="D1387" t="s">
        <v>81</v>
      </c>
      <c r="E1387">
        <v>100000000</v>
      </c>
      <c r="H1387">
        <v>0.25</v>
      </c>
      <c r="I1387" t="s">
        <v>56</v>
      </c>
      <c r="J1387">
        <v>2.5000000000000001E-5</v>
      </c>
      <c r="K1387" t="s">
        <v>57</v>
      </c>
      <c r="N1387" t="s">
        <v>314</v>
      </c>
      <c r="O1387">
        <v>211</v>
      </c>
      <c r="P1387" t="s">
        <v>262</v>
      </c>
      <c r="S1387">
        <v>2</v>
      </c>
      <c r="T1387">
        <v>25</v>
      </c>
      <c r="U1387" t="s">
        <v>120</v>
      </c>
      <c r="V1387">
        <v>75</v>
      </c>
      <c r="W1387" t="s">
        <v>147</v>
      </c>
      <c r="X1387" t="s">
        <v>280</v>
      </c>
      <c r="Y1387">
        <v>540</v>
      </c>
      <c r="Z1387">
        <v>1</v>
      </c>
      <c r="AB1387">
        <v>1</v>
      </c>
      <c r="AC1387" t="s">
        <v>85</v>
      </c>
      <c r="AD1387" t="s">
        <v>194</v>
      </c>
      <c r="AE1387" t="s">
        <v>63</v>
      </c>
      <c r="AI1387">
        <v>5</v>
      </c>
      <c r="AT1387" t="s">
        <v>150</v>
      </c>
      <c r="AV1387" t="s">
        <v>88</v>
      </c>
      <c r="AX1387">
        <v>211</v>
      </c>
    </row>
    <row r="1388" spans="1:53" hidden="1" x14ac:dyDescent="0.3">
      <c r="A1388" t="s">
        <v>467</v>
      </c>
      <c r="C1388" t="s">
        <v>251</v>
      </c>
      <c r="D1388" t="s">
        <v>81</v>
      </c>
      <c r="E1388">
        <v>100000000</v>
      </c>
      <c r="H1388">
        <v>0.25</v>
      </c>
      <c r="I1388" t="s">
        <v>56</v>
      </c>
      <c r="J1388">
        <v>2.5000000000000001E-5</v>
      </c>
      <c r="K1388" t="s">
        <v>57</v>
      </c>
      <c r="N1388" t="s">
        <v>314</v>
      </c>
      <c r="O1388">
        <v>211</v>
      </c>
      <c r="P1388" t="s">
        <v>262</v>
      </c>
      <c r="S1388">
        <v>2</v>
      </c>
      <c r="T1388">
        <v>25</v>
      </c>
      <c r="U1388" t="s">
        <v>120</v>
      </c>
      <c r="V1388">
        <v>75</v>
      </c>
      <c r="W1388" t="s">
        <v>147</v>
      </c>
      <c r="X1388" t="s">
        <v>280</v>
      </c>
      <c r="Y1388">
        <v>540</v>
      </c>
      <c r="Z1388">
        <v>1</v>
      </c>
      <c r="AB1388">
        <v>1.1000000000000001</v>
      </c>
      <c r="AC1388" t="s">
        <v>85</v>
      </c>
      <c r="AD1388" t="s">
        <v>194</v>
      </c>
      <c r="AE1388" t="s">
        <v>63</v>
      </c>
      <c r="AI1388">
        <v>5</v>
      </c>
      <c r="AT1388" t="s">
        <v>150</v>
      </c>
      <c r="AV1388" t="s">
        <v>88</v>
      </c>
      <c r="AX1388">
        <v>211</v>
      </c>
    </row>
    <row r="1389" spans="1:53" hidden="1" x14ac:dyDescent="0.3">
      <c r="A1389" t="s">
        <v>467</v>
      </c>
      <c r="C1389" t="s">
        <v>251</v>
      </c>
      <c r="D1389" t="s">
        <v>81</v>
      </c>
      <c r="E1389">
        <v>100000000</v>
      </c>
      <c r="H1389">
        <v>0.25</v>
      </c>
      <c r="I1389" t="s">
        <v>56</v>
      </c>
      <c r="J1389">
        <v>2.5000000000000001E-5</v>
      </c>
      <c r="K1389" t="s">
        <v>57</v>
      </c>
      <c r="N1389" t="s">
        <v>314</v>
      </c>
      <c r="O1389">
        <v>211</v>
      </c>
      <c r="P1389" t="s">
        <v>262</v>
      </c>
      <c r="S1389">
        <v>2</v>
      </c>
      <c r="T1389">
        <v>25</v>
      </c>
      <c r="U1389" t="s">
        <v>120</v>
      </c>
      <c r="V1389">
        <v>75</v>
      </c>
      <c r="W1389" t="s">
        <v>147</v>
      </c>
      <c r="X1389" t="s">
        <v>280</v>
      </c>
      <c r="Y1389">
        <v>540</v>
      </c>
      <c r="Z1389">
        <v>1</v>
      </c>
      <c r="AB1389">
        <v>1.4</v>
      </c>
      <c r="AC1389" t="s">
        <v>85</v>
      </c>
      <c r="AD1389" t="s">
        <v>321</v>
      </c>
      <c r="AE1389" t="s">
        <v>63</v>
      </c>
      <c r="AI1389">
        <v>5</v>
      </c>
      <c r="AT1389" t="s">
        <v>150</v>
      </c>
      <c r="AV1389" t="s">
        <v>88</v>
      </c>
      <c r="AX1389">
        <v>211</v>
      </c>
    </row>
    <row r="1390" spans="1:53" hidden="1" x14ac:dyDescent="0.3">
      <c r="A1390" t="s">
        <v>467</v>
      </c>
      <c r="C1390" t="s">
        <v>251</v>
      </c>
      <c r="D1390" t="s">
        <v>81</v>
      </c>
      <c r="E1390">
        <v>100000000</v>
      </c>
      <c r="N1390" t="s">
        <v>314</v>
      </c>
      <c r="O1390">
        <v>211</v>
      </c>
      <c r="P1390" t="s">
        <v>262</v>
      </c>
      <c r="S1390">
        <v>2</v>
      </c>
      <c r="T1390">
        <v>37</v>
      </c>
      <c r="U1390" t="s">
        <v>120</v>
      </c>
      <c r="V1390">
        <v>75</v>
      </c>
      <c r="W1390" t="s">
        <v>474</v>
      </c>
      <c r="X1390" t="s">
        <v>280</v>
      </c>
      <c r="Y1390">
        <v>1080</v>
      </c>
      <c r="Z1390">
        <v>1</v>
      </c>
      <c r="AB1390">
        <v>5</v>
      </c>
      <c r="AC1390" t="s">
        <v>297</v>
      </c>
      <c r="AE1390" t="s">
        <v>63</v>
      </c>
      <c r="AI1390">
        <v>5</v>
      </c>
      <c r="AT1390" t="s">
        <v>65</v>
      </c>
      <c r="AV1390" t="s">
        <v>88</v>
      </c>
      <c r="AX1390">
        <v>211</v>
      </c>
      <c r="AZ1390">
        <v>5</v>
      </c>
    </row>
    <row r="1391" spans="1:53" hidden="1" x14ac:dyDescent="0.3">
      <c r="A1391" t="s">
        <v>467</v>
      </c>
      <c r="C1391" t="s">
        <v>251</v>
      </c>
      <c r="D1391" t="s">
        <v>81</v>
      </c>
      <c r="E1391">
        <v>100000000</v>
      </c>
      <c r="N1391" t="s">
        <v>314</v>
      </c>
      <c r="O1391">
        <v>211</v>
      </c>
      <c r="P1391" t="s">
        <v>262</v>
      </c>
      <c r="S1391">
        <v>2</v>
      </c>
      <c r="T1391">
        <v>37</v>
      </c>
      <c r="U1391" t="s">
        <v>120</v>
      </c>
      <c r="V1391">
        <v>75</v>
      </c>
      <c r="W1391" t="s">
        <v>474</v>
      </c>
      <c r="X1391" t="s">
        <v>280</v>
      </c>
      <c r="Y1391">
        <v>1080</v>
      </c>
      <c r="Z1391">
        <v>1</v>
      </c>
      <c r="AB1391">
        <v>5</v>
      </c>
      <c r="AC1391" t="s">
        <v>297</v>
      </c>
      <c r="AE1391" t="s">
        <v>63</v>
      </c>
      <c r="AI1391">
        <v>5</v>
      </c>
      <c r="AT1391" t="s">
        <v>65</v>
      </c>
      <c r="AV1391" t="s">
        <v>88</v>
      </c>
      <c r="AX1391">
        <v>211</v>
      </c>
      <c r="AZ1391">
        <v>5</v>
      </c>
    </row>
    <row r="1392" spans="1:53" hidden="1" x14ac:dyDescent="0.3">
      <c r="A1392" t="s">
        <v>467</v>
      </c>
      <c r="C1392" t="s">
        <v>251</v>
      </c>
      <c r="D1392" t="s">
        <v>81</v>
      </c>
      <c r="E1392">
        <v>100000000</v>
      </c>
      <c r="N1392" t="s">
        <v>314</v>
      </c>
      <c r="O1392">
        <v>211</v>
      </c>
      <c r="P1392" t="s">
        <v>262</v>
      </c>
      <c r="S1392">
        <v>2</v>
      </c>
      <c r="T1392">
        <v>37</v>
      </c>
      <c r="U1392" t="s">
        <v>120</v>
      </c>
      <c r="V1392">
        <v>75</v>
      </c>
      <c r="W1392" t="s">
        <v>474</v>
      </c>
      <c r="X1392" t="s">
        <v>280</v>
      </c>
      <c r="Y1392">
        <v>1080</v>
      </c>
      <c r="Z1392">
        <v>1</v>
      </c>
      <c r="AB1392">
        <v>5</v>
      </c>
      <c r="AC1392" t="s">
        <v>297</v>
      </c>
      <c r="AE1392" t="s">
        <v>63</v>
      </c>
      <c r="AI1392">
        <v>5</v>
      </c>
      <c r="AT1392" t="s">
        <v>65</v>
      </c>
      <c r="AV1392" t="s">
        <v>88</v>
      </c>
      <c r="AX1392">
        <v>211</v>
      </c>
      <c r="AZ1392">
        <v>5</v>
      </c>
    </row>
    <row r="1393" spans="1:52" hidden="1" x14ac:dyDescent="0.3">
      <c r="A1393" t="s">
        <v>467</v>
      </c>
      <c r="C1393" t="s">
        <v>251</v>
      </c>
      <c r="D1393" t="s">
        <v>81</v>
      </c>
      <c r="E1393">
        <v>100000000</v>
      </c>
      <c r="N1393" t="s">
        <v>314</v>
      </c>
      <c r="O1393">
        <v>211</v>
      </c>
      <c r="P1393" t="s">
        <v>262</v>
      </c>
      <c r="S1393">
        <v>2</v>
      </c>
      <c r="T1393">
        <v>37</v>
      </c>
      <c r="U1393" t="s">
        <v>120</v>
      </c>
      <c r="V1393">
        <v>75</v>
      </c>
      <c r="W1393" t="s">
        <v>474</v>
      </c>
      <c r="X1393" t="s">
        <v>280</v>
      </c>
      <c r="Y1393">
        <v>540</v>
      </c>
      <c r="Z1393">
        <v>1</v>
      </c>
      <c r="AB1393">
        <v>5</v>
      </c>
      <c r="AC1393" t="s">
        <v>297</v>
      </c>
      <c r="AE1393" t="s">
        <v>63</v>
      </c>
      <c r="AI1393">
        <v>5</v>
      </c>
      <c r="AT1393" t="s">
        <v>65</v>
      </c>
      <c r="AV1393" t="s">
        <v>88</v>
      </c>
      <c r="AX1393">
        <v>211</v>
      </c>
      <c r="AZ1393">
        <v>5</v>
      </c>
    </row>
    <row r="1394" spans="1:52" hidden="1" x14ac:dyDescent="0.3">
      <c r="A1394" t="s">
        <v>467</v>
      </c>
      <c r="C1394" t="s">
        <v>251</v>
      </c>
      <c r="D1394" t="s">
        <v>81</v>
      </c>
      <c r="E1394">
        <v>100000000</v>
      </c>
      <c r="N1394" t="s">
        <v>314</v>
      </c>
      <c r="O1394">
        <v>211</v>
      </c>
      <c r="P1394" t="s">
        <v>262</v>
      </c>
      <c r="S1394">
        <v>2</v>
      </c>
      <c r="T1394">
        <v>37</v>
      </c>
      <c r="U1394" t="s">
        <v>120</v>
      </c>
      <c r="V1394">
        <v>75</v>
      </c>
      <c r="W1394" t="s">
        <v>474</v>
      </c>
      <c r="X1394" t="s">
        <v>280</v>
      </c>
      <c r="Y1394">
        <v>540</v>
      </c>
      <c r="Z1394">
        <v>1</v>
      </c>
      <c r="AB1394">
        <v>5</v>
      </c>
      <c r="AC1394" t="s">
        <v>297</v>
      </c>
      <c r="AE1394" t="s">
        <v>63</v>
      </c>
      <c r="AI1394">
        <v>5</v>
      </c>
      <c r="AT1394" t="s">
        <v>65</v>
      </c>
      <c r="AV1394" t="s">
        <v>88</v>
      </c>
      <c r="AX1394">
        <v>211</v>
      </c>
      <c r="AZ1394">
        <v>5</v>
      </c>
    </row>
    <row r="1395" spans="1:52" hidden="1" x14ac:dyDescent="0.3">
      <c r="A1395" t="s">
        <v>467</v>
      </c>
      <c r="C1395" t="s">
        <v>251</v>
      </c>
      <c r="D1395" t="s">
        <v>81</v>
      </c>
      <c r="E1395">
        <v>100000000</v>
      </c>
      <c r="N1395" t="s">
        <v>314</v>
      </c>
      <c r="O1395">
        <v>211</v>
      </c>
      <c r="P1395" t="s">
        <v>262</v>
      </c>
      <c r="S1395">
        <v>2</v>
      </c>
      <c r="T1395">
        <v>37</v>
      </c>
      <c r="U1395" t="s">
        <v>120</v>
      </c>
      <c r="V1395">
        <v>75</v>
      </c>
      <c r="W1395" t="s">
        <v>474</v>
      </c>
      <c r="X1395" t="s">
        <v>280</v>
      </c>
      <c r="Y1395">
        <v>540</v>
      </c>
      <c r="Z1395">
        <v>1</v>
      </c>
      <c r="AB1395">
        <v>5</v>
      </c>
      <c r="AC1395" t="s">
        <v>297</v>
      </c>
      <c r="AE1395" t="s">
        <v>63</v>
      </c>
      <c r="AI1395">
        <v>5</v>
      </c>
      <c r="AT1395" t="s">
        <v>65</v>
      </c>
      <c r="AV1395" t="s">
        <v>88</v>
      </c>
      <c r="AX1395">
        <v>211</v>
      </c>
      <c r="AZ1395">
        <v>5</v>
      </c>
    </row>
    <row r="1396" spans="1:52" hidden="1" x14ac:dyDescent="0.3">
      <c r="A1396" t="s">
        <v>467</v>
      </c>
      <c r="C1396" t="s">
        <v>251</v>
      </c>
      <c r="D1396" t="s">
        <v>81</v>
      </c>
      <c r="E1396">
        <v>100000000</v>
      </c>
      <c r="N1396" t="s">
        <v>314</v>
      </c>
      <c r="O1396">
        <v>211</v>
      </c>
      <c r="P1396" t="s">
        <v>262</v>
      </c>
      <c r="S1396">
        <v>2</v>
      </c>
      <c r="T1396">
        <v>25</v>
      </c>
      <c r="U1396" t="s">
        <v>120</v>
      </c>
      <c r="V1396">
        <v>75</v>
      </c>
      <c r="W1396" t="s">
        <v>474</v>
      </c>
      <c r="X1396" t="s">
        <v>280</v>
      </c>
      <c r="Y1396">
        <v>540</v>
      </c>
      <c r="Z1396">
        <v>1</v>
      </c>
      <c r="AB1396">
        <v>5</v>
      </c>
      <c r="AC1396" t="s">
        <v>297</v>
      </c>
      <c r="AE1396" t="s">
        <v>63</v>
      </c>
      <c r="AI1396">
        <v>5</v>
      </c>
      <c r="AT1396" t="s">
        <v>65</v>
      </c>
      <c r="AV1396" t="s">
        <v>88</v>
      </c>
      <c r="AX1396">
        <v>211</v>
      </c>
      <c r="AZ1396">
        <v>5</v>
      </c>
    </row>
    <row r="1397" spans="1:52" hidden="1" x14ac:dyDescent="0.3">
      <c r="A1397" t="s">
        <v>467</v>
      </c>
      <c r="C1397" t="s">
        <v>251</v>
      </c>
      <c r="D1397" t="s">
        <v>81</v>
      </c>
      <c r="E1397">
        <v>100000000</v>
      </c>
      <c r="N1397" t="s">
        <v>314</v>
      </c>
      <c r="O1397">
        <v>211</v>
      </c>
      <c r="P1397" t="s">
        <v>262</v>
      </c>
      <c r="S1397">
        <v>2</v>
      </c>
      <c r="T1397">
        <v>25</v>
      </c>
      <c r="U1397" t="s">
        <v>120</v>
      </c>
      <c r="V1397">
        <v>75</v>
      </c>
      <c r="W1397" t="s">
        <v>474</v>
      </c>
      <c r="X1397" t="s">
        <v>280</v>
      </c>
      <c r="Y1397">
        <v>540</v>
      </c>
      <c r="Z1397">
        <v>1</v>
      </c>
      <c r="AB1397">
        <v>5</v>
      </c>
      <c r="AC1397" t="s">
        <v>297</v>
      </c>
      <c r="AE1397" t="s">
        <v>63</v>
      </c>
      <c r="AI1397">
        <v>5</v>
      </c>
      <c r="AT1397" t="s">
        <v>65</v>
      </c>
      <c r="AV1397" t="s">
        <v>88</v>
      </c>
      <c r="AX1397">
        <v>211</v>
      </c>
      <c r="AZ1397">
        <v>5</v>
      </c>
    </row>
    <row r="1398" spans="1:52" hidden="1" x14ac:dyDescent="0.3">
      <c r="A1398" t="s">
        <v>467</v>
      </c>
      <c r="C1398" t="s">
        <v>251</v>
      </c>
      <c r="D1398" t="s">
        <v>81</v>
      </c>
      <c r="E1398">
        <v>100000000</v>
      </c>
      <c r="N1398" t="s">
        <v>314</v>
      </c>
      <c r="O1398">
        <v>211</v>
      </c>
      <c r="P1398" t="s">
        <v>262</v>
      </c>
      <c r="S1398">
        <v>2</v>
      </c>
      <c r="T1398">
        <v>25</v>
      </c>
      <c r="U1398" t="s">
        <v>120</v>
      </c>
      <c r="V1398">
        <v>75</v>
      </c>
      <c r="W1398" t="s">
        <v>474</v>
      </c>
      <c r="X1398" t="s">
        <v>280</v>
      </c>
      <c r="Y1398">
        <v>540</v>
      </c>
      <c r="Z1398">
        <v>1</v>
      </c>
      <c r="AB1398">
        <v>5</v>
      </c>
      <c r="AC1398" t="s">
        <v>297</v>
      </c>
      <c r="AE1398" t="s">
        <v>63</v>
      </c>
      <c r="AI1398">
        <v>5</v>
      </c>
      <c r="AT1398" t="s">
        <v>65</v>
      </c>
      <c r="AV1398" t="s">
        <v>88</v>
      </c>
      <c r="AX1398">
        <v>211</v>
      </c>
      <c r="AZ1398">
        <v>5</v>
      </c>
    </row>
    <row r="1399" spans="1:52" hidden="1" x14ac:dyDescent="0.3">
      <c r="A1399" t="s">
        <v>477</v>
      </c>
      <c r="C1399" t="s">
        <v>251</v>
      </c>
      <c r="D1399" t="s">
        <v>81</v>
      </c>
      <c r="E1399">
        <v>100000000</v>
      </c>
      <c r="H1399">
        <v>14.25</v>
      </c>
      <c r="I1399" t="s">
        <v>56</v>
      </c>
      <c r="J1399">
        <v>1.4250000000000001E-3</v>
      </c>
      <c r="K1399" t="s">
        <v>57</v>
      </c>
      <c r="N1399" t="s">
        <v>478</v>
      </c>
      <c r="O1399">
        <v>9001</v>
      </c>
      <c r="P1399" t="s">
        <v>315</v>
      </c>
      <c r="S1399">
        <v>0.7</v>
      </c>
      <c r="T1399">
        <v>24.9</v>
      </c>
      <c r="U1399" t="s">
        <v>341</v>
      </c>
      <c r="V1399">
        <v>75.3</v>
      </c>
      <c r="W1399" t="s">
        <v>147</v>
      </c>
      <c r="X1399" t="s">
        <v>280</v>
      </c>
      <c r="Y1399">
        <v>240</v>
      </c>
      <c r="Z1399">
        <v>1</v>
      </c>
      <c r="AB1399">
        <v>1.1000000000000001</v>
      </c>
      <c r="AC1399" t="s">
        <v>85</v>
      </c>
      <c r="AD1399" t="s">
        <v>314</v>
      </c>
      <c r="AE1399" t="s">
        <v>479</v>
      </c>
      <c r="AI1399">
        <v>5</v>
      </c>
      <c r="AT1399" t="s">
        <v>150</v>
      </c>
      <c r="AV1399" t="s">
        <v>88</v>
      </c>
    </row>
    <row r="1400" spans="1:52" hidden="1" x14ac:dyDescent="0.3">
      <c r="A1400" t="s">
        <v>477</v>
      </c>
      <c r="C1400" t="s">
        <v>251</v>
      </c>
      <c r="D1400" t="s">
        <v>81</v>
      </c>
      <c r="E1400">
        <v>100000000</v>
      </c>
      <c r="H1400">
        <v>14.25</v>
      </c>
      <c r="I1400" t="s">
        <v>56</v>
      </c>
      <c r="J1400">
        <v>1.4250000000000001E-3</v>
      </c>
      <c r="K1400" t="s">
        <v>57</v>
      </c>
      <c r="N1400" t="s">
        <v>478</v>
      </c>
      <c r="O1400">
        <v>9001</v>
      </c>
      <c r="P1400" t="s">
        <v>315</v>
      </c>
      <c r="S1400">
        <v>0.7</v>
      </c>
      <c r="T1400">
        <v>24.9</v>
      </c>
      <c r="U1400" t="s">
        <v>341</v>
      </c>
      <c r="V1400">
        <v>75.3</v>
      </c>
      <c r="W1400" t="s">
        <v>462</v>
      </c>
      <c r="X1400" t="s">
        <v>280</v>
      </c>
      <c r="Y1400">
        <v>240</v>
      </c>
      <c r="Z1400">
        <v>1</v>
      </c>
      <c r="AB1400">
        <v>1.32</v>
      </c>
      <c r="AC1400" t="s">
        <v>85</v>
      </c>
      <c r="AD1400" t="s">
        <v>239</v>
      </c>
      <c r="AE1400" t="s">
        <v>479</v>
      </c>
      <c r="AI1400">
        <v>5</v>
      </c>
      <c r="AT1400" t="s">
        <v>212</v>
      </c>
      <c r="AV1400" t="s">
        <v>88</v>
      </c>
    </row>
    <row r="1401" spans="1:52" hidden="1" x14ac:dyDescent="0.3">
      <c r="A1401" t="s">
        <v>477</v>
      </c>
      <c r="C1401" t="s">
        <v>251</v>
      </c>
      <c r="D1401" t="s">
        <v>81</v>
      </c>
      <c r="E1401">
        <v>100000000</v>
      </c>
      <c r="H1401">
        <v>14.25</v>
      </c>
      <c r="I1401" t="s">
        <v>56</v>
      </c>
      <c r="J1401">
        <v>1.4250000000000001E-3</v>
      </c>
      <c r="K1401" t="s">
        <v>57</v>
      </c>
      <c r="N1401" t="s">
        <v>478</v>
      </c>
      <c r="O1401">
        <v>9001</v>
      </c>
      <c r="P1401" t="s">
        <v>315</v>
      </c>
      <c r="S1401">
        <v>0.7</v>
      </c>
      <c r="T1401">
        <v>24.9</v>
      </c>
      <c r="U1401" t="s">
        <v>341</v>
      </c>
      <c r="V1401">
        <v>75.3</v>
      </c>
      <c r="W1401" t="s">
        <v>469</v>
      </c>
      <c r="X1401" t="s">
        <v>280</v>
      </c>
      <c r="Y1401">
        <v>240</v>
      </c>
      <c r="Z1401">
        <v>1</v>
      </c>
      <c r="AB1401">
        <v>0.82</v>
      </c>
      <c r="AC1401" t="s">
        <v>85</v>
      </c>
      <c r="AD1401" t="s">
        <v>480</v>
      </c>
      <c r="AE1401" t="s">
        <v>479</v>
      </c>
      <c r="AI1401">
        <v>5</v>
      </c>
      <c r="AT1401" t="s">
        <v>65</v>
      </c>
      <c r="AV1401" t="s">
        <v>88</v>
      </c>
    </row>
    <row r="1402" spans="1:52" hidden="1" x14ac:dyDescent="0.3">
      <c r="A1402" t="s">
        <v>477</v>
      </c>
      <c r="C1402" t="s">
        <v>251</v>
      </c>
      <c r="D1402" t="s">
        <v>81</v>
      </c>
      <c r="E1402">
        <v>100000000</v>
      </c>
      <c r="H1402">
        <v>14.25</v>
      </c>
      <c r="I1402" t="s">
        <v>56</v>
      </c>
      <c r="J1402">
        <v>1.4250000000000001E-3</v>
      </c>
      <c r="K1402" t="s">
        <v>57</v>
      </c>
      <c r="N1402" t="s">
        <v>478</v>
      </c>
      <c r="O1402">
        <v>9001</v>
      </c>
      <c r="P1402" t="s">
        <v>315</v>
      </c>
      <c r="S1402">
        <v>0.7</v>
      </c>
      <c r="T1402">
        <v>24.9</v>
      </c>
      <c r="U1402" t="s">
        <v>341</v>
      </c>
      <c r="V1402">
        <v>75.3</v>
      </c>
      <c r="W1402" t="s">
        <v>147</v>
      </c>
      <c r="X1402" t="s">
        <v>280</v>
      </c>
      <c r="Y1402">
        <v>240</v>
      </c>
      <c r="Z1402">
        <v>1</v>
      </c>
      <c r="AB1402">
        <v>2.77</v>
      </c>
      <c r="AC1402" t="s">
        <v>85</v>
      </c>
      <c r="AD1402" t="s">
        <v>481</v>
      </c>
      <c r="AE1402" t="s">
        <v>479</v>
      </c>
      <c r="AI1402">
        <v>5</v>
      </c>
      <c r="AT1402" t="s">
        <v>150</v>
      </c>
      <c r="AV1402" t="s">
        <v>88</v>
      </c>
    </row>
    <row r="1403" spans="1:52" hidden="1" x14ac:dyDescent="0.3">
      <c r="A1403" t="s">
        <v>477</v>
      </c>
      <c r="C1403" t="s">
        <v>251</v>
      </c>
      <c r="D1403" t="s">
        <v>81</v>
      </c>
      <c r="E1403">
        <v>100000000</v>
      </c>
      <c r="H1403">
        <v>14.25</v>
      </c>
      <c r="I1403" t="s">
        <v>56</v>
      </c>
      <c r="J1403">
        <v>1.4250000000000001E-3</v>
      </c>
      <c r="K1403" t="s">
        <v>57</v>
      </c>
      <c r="N1403" t="s">
        <v>478</v>
      </c>
      <c r="O1403">
        <v>9001</v>
      </c>
      <c r="P1403" t="s">
        <v>315</v>
      </c>
      <c r="S1403">
        <v>0.7</v>
      </c>
      <c r="T1403">
        <v>24.9</v>
      </c>
      <c r="U1403" t="s">
        <v>341</v>
      </c>
      <c r="V1403">
        <v>75.3</v>
      </c>
      <c r="W1403" t="s">
        <v>462</v>
      </c>
      <c r="X1403" t="s">
        <v>280</v>
      </c>
      <c r="Y1403">
        <v>240</v>
      </c>
      <c r="Z1403">
        <v>1</v>
      </c>
      <c r="AB1403">
        <v>0.25</v>
      </c>
      <c r="AC1403" t="s">
        <v>85</v>
      </c>
      <c r="AD1403" t="s">
        <v>482</v>
      </c>
      <c r="AE1403" t="s">
        <v>479</v>
      </c>
      <c r="AI1403">
        <v>5</v>
      </c>
      <c r="AT1403" t="s">
        <v>212</v>
      </c>
      <c r="AV1403" t="s">
        <v>88</v>
      </c>
    </row>
    <row r="1404" spans="1:52" hidden="1" x14ac:dyDescent="0.3">
      <c r="A1404" t="s">
        <v>477</v>
      </c>
      <c r="C1404" t="s">
        <v>251</v>
      </c>
      <c r="D1404" t="s">
        <v>81</v>
      </c>
      <c r="E1404">
        <v>100000000</v>
      </c>
      <c r="H1404">
        <v>14.25</v>
      </c>
      <c r="I1404" t="s">
        <v>56</v>
      </c>
      <c r="J1404">
        <v>1.4250000000000001E-3</v>
      </c>
      <c r="K1404" t="s">
        <v>57</v>
      </c>
      <c r="N1404" t="s">
        <v>478</v>
      </c>
      <c r="O1404">
        <v>9001</v>
      </c>
      <c r="P1404" t="s">
        <v>315</v>
      </c>
      <c r="S1404">
        <v>0.7</v>
      </c>
      <c r="T1404">
        <v>24.9</v>
      </c>
      <c r="U1404" t="s">
        <v>341</v>
      </c>
      <c r="V1404">
        <v>75.3</v>
      </c>
      <c r="W1404" t="s">
        <v>469</v>
      </c>
      <c r="X1404" t="s">
        <v>280</v>
      </c>
      <c r="Y1404">
        <v>240</v>
      </c>
      <c r="Z1404">
        <v>1</v>
      </c>
      <c r="AB1404">
        <v>2.77</v>
      </c>
      <c r="AC1404" t="s">
        <v>85</v>
      </c>
      <c r="AD1404" t="s">
        <v>483</v>
      </c>
      <c r="AE1404" t="s">
        <v>479</v>
      </c>
      <c r="AI1404">
        <v>5</v>
      </c>
      <c r="AT1404" t="s">
        <v>65</v>
      </c>
      <c r="AV1404" t="s">
        <v>88</v>
      </c>
    </row>
    <row r="1405" spans="1:52" hidden="1" x14ac:dyDescent="0.3">
      <c r="A1405" t="s">
        <v>477</v>
      </c>
      <c r="C1405" t="s">
        <v>251</v>
      </c>
      <c r="D1405" t="s">
        <v>81</v>
      </c>
      <c r="E1405">
        <v>100000000</v>
      </c>
      <c r="H1405">
        <v>14.25</v>
      </c>
      <c r="I1405" t="s">
        <v>56</v>
      </c>
      <c r="J1405">
        <v>1.4250000000000001E-3</v>
      </c>
      <c r="K1405" t="s">
        <v>57</v>
      </c>
      <c r="N1405" t="s">
        <v>484</v>
      </c>
      <c r="O1405">
        <v>9022</v>
      </c>
      <c r="P1405" t="s">
        <v>315</v>
      </c>
      <c r="S1405">
        <v>0.6</v>
      </c>
      <c r="T1405">
        <v>25.1</v>
      </c>
      <c r="U1405" t="s">
        <v>485</v>
      </c>
      <c r="V1405">
        <v>76.400000000000006</v>
      </c>
      <c r="W1405" t="s">
        <v>147</v>
      </c>
      <c r="X1405" t="s">
        <v>486</v>
      </c>
      <c r="Y1405">
        <v>240</v>
      </c>
      <c r="Z1405">
        <v>1</v>
      </c>
      <c r="AB1405">
        <v>1.78</v>
      </c>
      <c r="AC1405" t="s">
        <v>85</v>
      </c>
      <c r="AD1405" t="s">
        <v>487</v>
      </c>
      <c r="AE1405" t="s">
        <v>479</v>
      </c>
      <c r="AI1405">
        <v>5</v>
      </c>
      <c r="AT1405" t="s">
        <v>150</v>
      </c>
      <c r="AV1405" t="s">
        <v>88</v>
      </c>
    </row>
    <row r="1406" spans="1:52" hidden="1" x14ac:dyDescent="0.3">
      <c r="A1406" t="s">
        <v>477</v>
      </c>
      <c r="C1406" t="s">
        <v>251</v>
      </c>
      <c r="D1406" t="s">
        <v>81</v>
      </c>
      <c r="E1406">
        <v>100000000</v>
      </c>
      <c r="H1406">
        <v>14.25</v>
      </c>
      <c r="I1406" t="s">
        <v>56</v>
      </c>
      <c r="J1406">
        <v>1.4250000000000001E-3</v>
      </c>
      <c r="K1406" t="s">
        <v>57</v>
      </c>
      <c r="N1406" t="s">
        <v>484</v>
      </c>
      <c r="O1406">
        <v>9022</v>
      </c>
      <c r="P1406" t="s">
        <v>315</v>
      </c>
      <c r="S1406">
        <v>0.6</v>
      </c>
      <c r="T1406">
        <v>25.1</v>
      </c>
      <c r="U1406" t="s">
        <v>485</v>
      </c>
      <c r="V1406">
        <v>76.400000000000006</v>
      </c>
      <c r="W1406" t="s">
        <v>462</v>
      </c>
      <c r="X1406" t="s">
        <v>486</v>
      </c>
      <c r="Y1406">
        <v>240</v>
      </c>
      <c r="Z1406">
        <v>1</v>
      </c>
      <c r="AB1406">
        <v>2.36</v>
      </c>
      <c r="AC1406" t="s">
        <v>85</v>
      </c>
      <c r="AD1406" t="s">
        <v>488</v>
      </c>
      <c r="AE1406" t="s">
        <v>479</v>
      </c>
      <c r="AI1406">
        <v>5</v>
      </c>
      <c r="AT1406" t="s">
        <v>212</v>
      </c>
      <c r="AV1406" t="s">
        <v>88</v>
      </c>
    </row>
    <row r="1407" spans="1:52" hidden="1" x14ac:dyDescent="0.3">
      <c r="A1407" t="s">
        <v>477</v>
      </c>
      <c r="C1407" t="s">
        <v>251</v>
      </c>
      <c r="D1407" t="s">
        <v>81</v>
      </c>
      <c r="E1407">
        <v>100000000</v>
      </c>
      <c r="H1407">
        <v>14.25</v>
      </c>
      <c r="I1407" t="s">
        <v>56</v>
      </c>
      <c r="J1407">
        <v>1.4250000000000001E-3</v>
      </c>
      <c r="K1407" t="s">
        <v>57</v>
      </c>
      <c r="N1407" t="s">
        <v>484</v>
      </c>
      <c r="O1407">
        <v>9022</v>
      </c>
      <c r="P1407" t="s">
        <v>315</v>
      </c>
      <c r="S1407">
        <v>0.6</v>
      </c>
      <c r="T1407">
        <v>25.1</v>
      </c>
      <c r="U1407" t="s">
        <v>485</v>
      </c>
      <c r="V1407">
        <v>76.400000000000006</v>
      </c>
      <c r="W1407" t="s">
        <v>469</v>
      </c>
      <c r="X1407" t="s">
        <v>486</v>
      </c>
      <c r="Y1407">
        <v>240</v>
      </c>
      <c r="Z1407">
        <v>1</v>
      </c>
      <c r="AB1407">
        <v>2.0499999999999901</v>
      </c>
      <c r="AC1407" t="s">
        <v>85</v>
      </c>
      <c r="AD1407" t="s">
        <v>239</v>
      </c>
      <c r="AE1407" t="s">
        <v>479</v>
      </c>
      <c r="AI1407">
        <v>5</v>
      </c>
      <c r="AT1407" t="s">
        <v>65</v>
      </c>
      <c r="AV1407" t="s">
        <v>88</v>
      </c>
    </row>
    <row r="1408" spans="1:52" hidden="1" x14ac:dyDescent="0.3">
      <c r="A1408" t="s">
        <v>477</v>
      </c>
      <c r="C1408" t="s">
        <v>251</v>
      </c>
      <c r="D1408" t="s">
        <v>81</v>
      </c>
      <c r="E1408">
        <v>100000000</v>
      </c>
      <c r="H1408">
        <v>14.25</v>
      </c>
      <c r="I1408" t="s">
        <v>56</v>
      </c>
      <c r="J1408">
        <v>1.4250000000000001E-3</v>
      </c>
      <c r="K1408" t="s">
        <v>57</v>
      </c>
      <c r="N1408" t="s">
        <v>484</v>
      </c>
      <c r="O1408">
        <v>9022</v>
      </c>
      <c r="P1408" t="s">
        <v>315</v>
      </c>
      <c r="S1408">
        <v>0.6</v>
      </c>
      <c r="T1408">
        <v>25.1</v>
      </c>
      <c r="U1408" t="s">
        <v>485</v>
      </c>
      <c r="V1408">
        <v>76.400000000000006</v>
      </c>
      <c r="W1408" t="s">
        <v>147</v>
      </c>
      <c r="X1408" t="s">
        <v>486</v>
      </c>
      <c r="Y1408">
        <v>240</v>
      </c>
      <c r="Z1408">
        <v>1</v>
      </c>
      <c r="AB1408">
        <v>4.3899999999999899</v>
      </c>
      <c r="AC1408" t="s">
        <v>85</v>
      </c>
      <c r="AD1408" t="s">
        <v>489</v>
      </c>
      <c r="AE1408" t="s">
        <v>479</v>
      </c>
      <c r="AI1408">
        <v>5</v>
      </c>
      <c r="AT1408" t="s">
        <v>150</v>
      </c>
      <c r="AV1408" t="s">
        <v>88</v>
      </c>
    </row>
    <row r="1409" spans="1:48" hidden="1" x14ac:dyDescent="0.3">
      <c r="A1409" t="s">
        <v>477</v>
      </c>
      <c r="C1409" t="s">
        <v>251</v>
      </c>
      <c r="D1409" t="s">
        <v>81</v>
      </c>
      <c r="E1409">
        <v>100000000</v>
      </c>
      <c r="H1409">
        <v>14.25</v>
      </c>
      <c r="I1409" t="s">
        <v>56</v>
      </c>
      <c r="J1409">
        <v>1.4250000000000001E-3</v>
      </c>
      <c r="K1409" t="s">
        <v>57</v>
      </c>
      <c r="N1409" t="s">
        <v>484</v>
      </c>
      <c r="O1409">
        <v>9022</v>
      </c>
      <c r="P1409" t="s">
        <v>315</v>
      </c>
      <c r="S1409">
        <v>0.6</v>
      </c>
      <c r="T1409">
        <v>25.1</v>
      </c>
      <c r="U1409" t="s">
        <v>485</v>
      </c>
      <c r="V1409">
        <v>76.400000000000006</v>
      </c>
      <c r="W1409" t="s">
        <v>462</v>
      </c>
      <c r="X1409" t="s">
        <v>486</v>
      </c>
      <c r="Y1409">
        <v>240</v>
      </c>
      <c r="Z1409">
        <v>1</v>
      </c>
      <c r="AB1409">
        <v>0.81</v>
      </c>
      <c r="AC1409" t="s">
        <v>85</v>
      </c>
      <c r="AD1409" t="s">
        <v>356</v>
      </c>
      <c r="AE1409" t="s">
        <v>479</v>
      </c>
      <c r="AI1409">
        <v>5</v>
      </c>
      <c r="AT1409" t="s">
        <v>212</v>
      </c>
      <c r="AV1409" t="s">
        <v>88</v>
      </c>
    </row>
    <row r="1410" spans="1:48" hidden="1" x14ac:dyDescent="0.3">
      <c r="A1410" t="s">
        <v>477</v>
      </c>
      <c r="C1410" t="s">
        <v>251</v>
      </c>
      <c r="D1410" t="s">
        <v>81</v>
      </c>
      <c r="E1410">
        <v>100000000</v>
      </c>
      <c r="H1410">
        <v>14.25</v>
      </c>
      <c r="I1410" t="s">
        <v>56</v>
      </c>
      <c r="J1410">
        <v>1.4250000000000001E-3</v>
      </c>
      <c r="K1410" t="s">
        <v>57</v>
      </c>
      <c r="N1410" t="s">
        <v>484</v>
      </c>
      <c r="O1410">
        <v>9022</v>
      </c>
      <c r="P1410" t="s">
        <v>315</v>
      </c>
      <c r="S1410">
        <v>0.6</v>
      </c>
      <c r="T1410">
        <v>25.1</v>
      </c>
      <c r="U1410" t="s">
        <v>485</v>
      </c>
      <c r="V1410">
        <v>76.400000000000006</v>
      </c>
      <c r="W1410" t="s">
        <v>469</v>
      </c>
      <c r="X1410" t="s">
        <v>486</v>
      </c>
      <c r="Y1410">
        <v>240</v>
      </c>
      <c r="Z1410">
        <v>1</v>
      </c>
      <c r="AB1410">
        <v>2.83</v>
      </c>
      <c r="AC1410" t="s">
        <v>85</v>
      </c>
      <c r="AD1410" t="s">
        <v>490</v>
      </c>
      <c r="AE1410" t="s">
        <v>479</v>
      </c>
      <c r="AI1410">
        <v>5</v>
      </c>
      <c r="AT1410" t="s">
        <v>65</v>
      </c>
      <c r="AV1410" t="s">
        <v>88</v>
      </c>
    </row>
    <row r="1411" spans="1:48" hidden="1" x14ac:dyDescent="0.3">
      <c r="A1411" t="s">
        <v>477</v>
      </c>
      <c r="C1411" t="s">
        <v>251</v>
      </c>
      <c r="D1411" t="s">
        <v>81</v>
      </c>
      <c r="E1411">
        <v>10000000</v>
      </c>
      <c r="H1411">
        <v>14.25</v>
      </c>
      <c r="I1411" t="s">
        <v>56</v>
      </c>
      <c r="J1411">
        <v>1.4250000000000001E-3</v>
      </c>
      <c r="K1411" t="s">
        <v>57</v>
      </c>
      <c r="N1411" t="s">
        <v>491</v>
      </c>
      <c r="O1411">
        <v>9035</v>
      </c>
      <c r="P1411" t="s">
        <v>315</v>
      </c>
      <c r="S1411">
        <v>0.4</v>
      </c>
      <c r="T1411">
        <v>24.6</v>
      </c>
      <c r="U1411" t="s">
        <v>492</v>
      </c>
      <c r="V1411">
        <v>74.2</v>
      </c>
      <c r="W1411" t="s">
        <v>147</v>
      </c>
      <c r="X1411" t="s">
        <v>486</v>
      </c>
      <c r="Y1411">
        <v>240</v>
      </c>
      <c r="Z1411">
        <v>1</v>
      </c>
      <c r="AB1411">
        <v>1.35</v>
      </c>
      <c r="AC1411" t="s">
        <v>85</v>
      </c>
      <c r="AD1411" t="s">
        <v>228</v>
      </c>
      <c r="AE1411" t="s">
        <v>479</v>
      </c>
      <c r="AI1411">
        <v>5</v>
      </c>
      <c r="AT1411" t="s">
        <v>150</v>
      </c>
      <c r="AV1411" t="s">
        <v>88</v>
      </c>
    </row>
    <row r="1412" spans="1:48" hidden="1" x14ac:dyDescent="0.3">
      <c r="A1412" t="s">
        <v>477</v>
      </c>
      <c r="C1412" t="s">
        <v>251</v>
      </c>
      <c r="D1412" t="s">
        <v>81</v>
      </c>
      <c r="E1412">
        <v>10000000</v>
      </c>
      <c r="H1412">
        <v>14.25</v>
      </c>
      <c r="I1412" t="s">
        <v>56</v>
      </c>
      <c r="J1412">
        <v>1.4250000000000001E-3</v>
      </c>
      <c r="K1412" t="s">
        <v>57</v>
      </c>
      <c r="N1412" t="s">
        <v>491</v>
      </c>
      <c r="O1412">
        <v>9035</v>
      </c>
      <c r="P1412" t="s">
        <v>315</v>
      </c>
      <c r="S1412">
        <v>0.4</v>
      </c>
      <c r="T1412">
        <v>24.6</v>
      </c>
      <c r="U1412" t="s">
        <v>492</v>
      </c>
      <c r="V1412">
        <v>74.2</v>
      </c>
      <c r="W1412" t="s">
        <v>462</v>
      </c>
      <c r="X1412" t="s">
        <v>486</v>
      </c>
      <c r="Y1412">
        <v>240</v>
      </c>
      <c r="Z1412">
        <v>1</v>
      </c>
      <c r="AB1412">
        <v>1.79</v>
      </c>
      <c r="AC1412" t="s">
        <v>85</v>
      </c>
      <c r="AD1412" t="s">
        <v>493</v>
      </c>
      <c r="AE1412" t="s">
        <v>479</v>
      </c>
      <c r="AI1412">
        <v>5</v>
      </c>
      <c r="AT1412" t="s">
        <v>212</v>
      </c>
      <c r="AV1412" t="s">
        <v>88</v>
      </c>
    </row>
    <row r="1413" spans="1:48" hidden="1" x14ac:dyDescent="0.3">
      <c r="A1413" t="s">
        <v>477</v>
      </c>
      <c r="C1413" t="s">
        <v>251</v>
      </c>
      <c r="D1413" t="s">
        <v>81</v>
      </c>
      <c r="E1413">
        <v>10000000</v>
      </c>
      <c r="H1413">
        <v>14.25</v>
      </c>
      <c r="I1413" t="s">
        <v>56</v>
      </c>
      <c r="J1413">
        <v>1.4250000000000001E-3</v>
      </c>
      <c r="K1413" t="s">
        <v>57</v>
      </c>
      <c r="N1413" t="s">
        <v>491</v>
      </c>
      <c r="O1413">
        <v>9035</v>
      </c>
      <c r="P1413" t="s">
        <v>315</v>
      </c>
      <c r="S1413">
        <v>0.4</v>
      </c>
      <c r="T1413">
        <v>24.6</v>
      </c>
      <c r="U1413" t="s">
        <v>492</v>
      </c>
      <c r="V1413">
        <v>74.2</v>
      </c>
      <c r="W1413" t="s">
        <v>469</v>
      </c>
      <c r="X1413" t="s">
        <v>486</v>
      </c>
      <c r="Y1413">
        <v>240</v>
      </c>
      <c r="Z1413">
        <v>1</v>
      </c>
      <c r="AB1413">
        <v>1.75</v>
      </c>
      <c r="AC1413" t="s">
        <v>85</v>
      </c>
      <c r="AD1413" t="s">
        <v>219</v>
      </c>
      <c r="AE1413" t="s">
        <v>479</v>
      </c>
      <c r="AI1413">
        <v>5</v>
      </c>
      <c r="AT1413" t="s">
        <v>65</v>
      </c>
      <c r="AV1413" t="s">
        <v>88</v>
      </c>
    </row>
    <row r="1414" spans="1:48" hidden="1" x14ac:dyDescent="0.3">
      <c r="A1414" t="s">
        <v>477</v>
      </c>
      <c r="C1414" t="s">
        <v>251</v>
      </c>
      <c r="D1414" t="s">
        <v>81</v>
      </c>
      <c r="E1414">
        <v>10000000</v>
      </c>
      <c r="H1414">
        <v>14.25</v>
      </c>
      <c r="I1414" t="s">
        <v>56</v>
      </c>
      <c r="J1414">
        <v>1.4250000000000001E-3</v>
      </c>
      <c r="K1414" t="s">
        <v>57</v>
      </c>
      <c r="N1414" t="s">
        <v>491</v>
      </c>
      <c r="O1414">
        <v>9035</v>
      </c>
      <c r="P1414" t="s">
        <v>315</v>
      </c>
      <c r="S1414">
        <v>0.4</v>
      </c>
      <c r="T1414">
        <v>24.6</v>
      </c>
      <c r="U1414" t="s">
        <v>492</v>
      </c>
      <c r="V1414">
        <v>74.2</v>
      </c>
      <c r="W1414" t="s">
        <v>147</v>
      </c>
      <c r="X1414" t="s">
        <v>486</v>
      </c>
      <c r="Y1414">
        <v>240</v>
      </c>
      <c r="Z1414">
        <v>1</v>
      </c>
      <c r="AB1414">
        <v>3.11</v>
      </c>
      <c r="AC1414" t="s">
        <v>85</v>
      </c>
      <c r="AD1414" t="s">
        <v>336</v>
      </c>
      <c r="AE1414" t="s">
        <v>479</v>
      </c>
      <c r="AI1414">
        <v>5</v>
      </c>
      <c r="AT1414" t="s">
        <v>150</v>
      </c>
      <c r="AV1414" t="s">
        <v>88</v>
      </c>
    </row>
    <row r="1415" spans="1:48" hidden="1" x14ac:dyDescent="0.3">
      <c r="A1415" t="s">
        <v>477</v>
      </c>
      <c r="C1415" t="s">
        <v>251</v>
      </c>
      <c r="D1415" t="s">
        <v>81</v>
      </c>
      <c r="E1415">
        <v>10000000</v>
      </c>
      <c r="H1415">
        <v>14.25</v>
      </c>
      <c r="I1415" t="s">
        <v>56</v>
      </c>
      <c r="J1415">
        <v>1.4250000000000001E-3</v>
      </c>
      <c r="K1415" t="s">
        <v>57</v>
      </c>
      <c r="N1415" t="s">
        <v>491</v>
      </c>
      <c r="O1415">
        <v>9035</v>
      </c>
      <c r="P1415" t="s">
        <v>315</v>
      </c>
      <c r="S1415">
        <v>0.4</v>
      </c>
      <c r="T1415">
        <v>24.6</v>
      </c>
      <c r="U1415" t="s">
        <v>492</v>
      </c>
      <c r="V1415">
        <v>74.2</v>
      </c>
      <c r="W1415" t="s">
        <v>462</v>
      </c>
      <c r="X1415" t="s">
        <v>486</v>
      </c>
      <c r="Y1415">
        <v>240</v>
      </c>
      <c r="Z1415">
        <v>1</v>
      </c>
      <c r="AB1415">
        <v>0.66</v>
      </c>
      <c r="AC1415" t="s">
        <v>85</v>
      </c>
      <c r="AD1415" t="s">
        <v>104</v>
      </c>
      <c r="AE1415" t="s">
        <v>479</v>
      </c>
      <c r="AI1415">
        <v>5</v>
      </c>
      <c r="AT1415" t="s">
        <v>212</v>
      </c>
      <c r="AV1415" t="s">
        <v>88</v>
      </c>
    </row>
    <row r="1416" spans="1:48" hidden="1" x14ac:dyDescent="0.3">
      <c r="A1416" t="s">
        <v>477</v>
      </c>
      <c r="C1416" t="s">
        <v>251</v>
      </c>
      <c r="D1416" t="s">
        <v>81</v>
      </c>
      <c r="E1416">
        <v>10000000</v>
      </c>
      <c r="H1416">
        <v>14.25</v>
      </c>
      <c r="I1416" t="s">
        <v>56</v>
      </c>
      <c r="J1416">
        <v>1.4250000000000001E-3</v>
      </c>
      <c r="K1416" t="s">
        <v>57</v>
      </c>
      <c r="N1416" t="s">
        <v>491</v>
      </c>
      <c r="O1416">
        <v>9035</v>
      </c>
      <c r="P1416" t="s">
        <v>315</v>
      </c>
      <c r="S1416">
        <v>0.4</v>
      </c>
      <c r="T1416">
        <v>24.6</v>
      </c>
      <c r="U1416" t="s">
        <v>492</v>
      </c>
      <c r="V1416">
        <v>74.2</v>
      </c>
      <c r="W1416" t="s">
        <v>469</v>
      </c>
      <c r="X1416" t="s">
        <v>486</v>
      </c>
      <c r="Y1416">
        <v>240</v>
      </c>
      <c r="Z1416">
        <v>1</v>
      </c>
      <c r="AB1416">
        <v>2.14</v>
      </c>
      <c r="AC1416" t="s">
        <v>85</v>
      </c>
      <c r="AD1416" t="s">
        <v>494</v>
      </c>
      <c r="AE1416" t="s">
        <v>479</v>
      </c>
      <c r="AI1416">
        <v>5</v>
      </c>
      <c r="AT1416" t="s">
        <v>65</v>
      </c>
      <c r="AV1416" t="s">
        <v>88</v>
      </c>
    </row>
    <row r="1417" spans="1:48" hidden="1" x14ac:dyDescent="0.3">
      <c r="A1417" t="s">
        <v>477</v>
      </c>
      <c r="C1417" t="s">
        <v>251</v>
      </c>
      <c r="D1417" t="s">
        <v>81</v>
      </c>
      <c r="E1417">
        <v>10000000</v>
      </c>
      <c r="H1417">
        <v>14.25</v>
      </c>
      <c r="I1417" t="s">
        <v>56</v>
      </c>
      <c r="J1417">
        <v>1.4250000000000001E-3</v>
      </c>
      <c r="K1417" t="s">
        <v>57</v>
      </c>
      <c r="N1417" t="s">
        <v>495</v>
      </c>
      <c r="O1417">
        <v>9046</v>
      </c>
      <c r="P1417" t="s">
        <v>315</v>
      </c>
      <c r="S1417">
        <v>0.5</v>
      </c>
      <c r="T1417">
        <v>24.3</v>
      </c>
      <c r="U1417" t="s">
        <v>335</v>
      </c>
      <c r="V1417">
        <v>75</v>
      </c>
      <c r="W1417" t="s">
        <v>147</v>
      </c>
      <c r="X1417" t="s">
        <v>486</v>
      </c>
      <c r="Y1417">
        <v>240</v>
      </c>
      <c r="Z1417">
        <v>1</v>
      </c>
      <c r="AB1417">
        <v>2.52999999999999</v>
      </c>
      <c r="AC1417" t="s">
        <v>85</v>
      </c>
      <c r="AD1417" t="s">
        <v>86</v>
      </c>
      <c r="AE1417" t="s">
        <v>479</v>
      </c>
      <c r="AI1417">
        <v>5</v>
      </c>
      <c r="AT1417" t="s">
        <v>150</v>
      </c>
      <c r="AV1417" t="s">
        <v>88</v>
      </c>
    </row>
    <row r="1418" spans="1:48" hidden="1" x14ac:dyDescent="0.3">
      <c r="A1418" t="s">
        <v>477</v>
      </c>
      <c r="C1418" t="s">
        <v>251</v>
      </c>
      <c r="D1418" t="s">
        <v>81</v>
      </c>
      <c r="E1418">
        <v>10000000</v>
      </c>
      <c r="H1418">
        <v>14.25</v>
      </c>
      <c r="I1418" t="s">
        <v>56</v>
      </c>
      <c r="J1418">
        <v>1.4250000000000001E-3</v>
      </c>
      <c r="K1418" t="s">
        <v>57</v>
      </c>
      <c r="N1418" t="s">
        <v>495</v>
      </c>
      <c r="O1418">
        <v>9046</v>
      </c>
      <c r="P1418" t="s">
        <v>315</v>
      </c>
      <c r="S1418">
        <v>0.5</v>
      </c>
      <c r="T1418">
        <v>24.3</v>
      </c>
      <c r="U1418" t="s">
        <v>335</v>
      </c>
      <c r="V1418">
        <v>75</v>
      </c>
      <c r="W1418" t="s">
        <v>462</v>
      </c>
      <c r="X1418" t="s">
        <v>486</v>
      </c>
      <c r="Y1418">
        <v>240</v>
      </c>
      <c r="Z1418">
        <v>1</v>
      </c>
      <c r="AB1418">
        <v>2.15</v>
      </c>
      <c r="AC1418" t="s">
        <v>85</v>
      </c>
      <c r="AD1418" t="s">
        <v>496</v>
      </c>
      <c r="AE1418" t="s">
        <v>479</v>
      </c>
      <c r="AI1418">
        <v>5</v>
      </c>
      <c r="AT1418" t="s">
        <v>212</v>
      </c>
      <c r="AV1418" t="s">
        <v>88</v>
      </c>
    </row>
    <row r="1419" spans="1:48" hidden="1" x14ac:dyDescent="0.3">
      <c r="A1419" t="s">
        <v>477</v>
      </c>
      <c r="C1419" t="s">
        <v>251</v>
      </c>
      <c r="D1419" t="s">
        <v>81</v>
      </c>
      <c r="E1419">
        <v>10000000</v>
      </c>
      <c r="H1419">
        <v>14.25</v>
      </c>
      <c r="I1419" t="s">
        <v>56</v>
      </c>
      <c r="J1419">
        <v>1.4250000000000001E-3</v>
      </c>
      <c r="K1419" t="s">
        <v>57</v>
      </c>
      <c r="N1419" t="s">
        <v>495</v>
      </c>
      <c r="O1419">
        <v>9046</v>
      </c>
      <c r="P1419" t="s">
        <v>315</v>
      </c>
      <c r="S1419">
        <v>0.5</v>
      </c>
      <c r="T1419">
        <v>24.3</v>
      </c>
      <c r="U1419" t="s">
        <v>335</v>
      </c>
      <c r="V1419">
        <v>75</v>
      </c>
      <c r="W1419" t="s">
        <v>469</v>
      </c>
      <c r="X1419" t="s">
        <v>486</v>
      </c>
      <c r="Y1419">
        <v>240</v>
      </c>
      <c r="Z1419">
        <v>1</v>
      </c>
      <c r="AB1419">
        <v>3.95</v>
      </c>
      <c r="AC1419" t="s">
        <v>85</v>
      </c>
      <c r="AD1419" t="s">
        <v>225</v>
      </c>
      <c r="AE1419" t="s">
        <v>479</v>
      </c>
      <c r="AI1419">
        <v>5</v>
      </c>
      <c r="AT1419" t="s">
        <v>65</v>
      </c>
      <c r="AV1419" t="s">
        <v>88</v>
      </c>
    </row>
    <row r="1420" spans="1:48" hidden="1" x14ac:dyDescent="0.3">
      <c r="A1420" t="s">
        <v>477</v>
      </c>
      <c r="C1420" t="s">
        <v>251</v>
      </c>
      <c r="D1420" t="s">
        <v>81</v>
      </c>
      <c r="E1420">
        <v>10000000</v>
      </c>
      <c r="H1420">
        <v>14.25</v>
      </c>
      <c r="I1420" t="s">
        <v>56</v>
      </c>
      <c r="J1420">
        <v>1.4250000000000001E-3</v>
      </c>
      <c r="K1420" t="s">
        <v>57</v>
      </c>
      <c r="N1420" t="s">
        <v>495</v>
      </c>
      <c r="O1420">
        <v>9046</v>
      </c>
      <c r="P1420" t="s">
        <v>315</v>
      </c>
      <c r="S1420">
        <v>0.5</v>
      </c>
      <c r="T1420">
        <v>24.3</v>
      </c>
      <c r="U1420" t="s">
        <v>335</v>
      </c>
      <c r="V1420">
        <v>75</v>
      </c>
      <c r="W1420" t="s">
        <v>147</v>
      </c>
      <c r="X1420" t="s">
        <v>486</v>
      </c>
      <c r="Y1420">
        <v>240</v>
      </c>
      <c r="Z1420">
        <v>1</v>
      </c>
      <c r="AB1420">
        <v>2.88</v>
      </c>
      <c r="AC1420" t="s">
        <v>85</v>
      </c>
      <c r="AD1420" t="s">
        <v>489</v>
      </c>
      <c r="AE1420" t="s">
        <v>479</v>
      </c>
      <c r="AI1420">
        <v>5</v>
      </c>
      <c r="AT1420" t="s">
        <v>150</v>
      </c>
      <c r="AV1420" t="s">
        <v>88</v>
      </c>
    </row>
    <row r="1421" spans="1:48" hidden="1" x14ac:dyDescent="0.3">
      <c r="A1421" t="s">
        <v>477</v>
      </c>
      <c r="C1421" t="s">
        <v>251</v>
      </c>
      <c r="D1421" t="s">
        <v>81</v>
      </c>
      <c r="E1421">
        <v>10000000</v>
      </c>
      <c r="H1421">
        <v>14.25</v>
      </c>
      <c r="I1421" t="s">
        <v>56</v>
      </c>
      <c r="J1421">
        <v>1.4250000000000001E-3</v>
      </c>
      <c r="K1421" t="s">
        <v>57</v>
      </c>
      <c r="N1421" t="s">
        <v>495</v>
      </c>
      <c r="O1421">
        <v>9046</v>
      </c>
      <c r="P1421" t="s">
        <v>315</v>
      </c>
      <c r="S1421">
        <v>0.5</v>
      </c>
      <c r="T1421">
        <v>24.3</v>
      </c>
      <c r="U1421" t="s">
        <v>335</v>
      </c>
      <c r="V1421">
        <v>75</v>
      </c>
      <c r="W1421" t="s">
        <v>462</v>
      </c>
      <c r="X1421" t="s">
        <v>486</v>
      </c>
      <c r="Y1421">
        <v>240</v>
      </c>
      <c r="Z1421">
        <v>1</v>
      </c>
      <c r="AB1421">
        <v>0.96</v>
      </c>
      <c r="AC1421" t="s">
        <v>85</v>
      </c>
      <c r="AD1421" t="s">
        <v>497</v>
      </c>
      <c r="AE1421" t="s">
        <v>479</v>
      </c>
      <c r="AI1421">
        <v>5</v>
      </c>
      <c r="AT1421" t="s">
        <v>212</v>
      </c>
      <c r="AV1421" t="s">
        <v>88</v>
      </c>
    </row>
    <row r="1422" spans="1:48" hidden="1" x14ac:dyDescent="0.3">
      <c r="A1422" t="s">
        <v>477</v>
      </c>
      <c r="C1422" t="s">
        <v>251</v>
      </c>
      <c r="D1422" t="s">
        <v>81</v>
      </c>
      <c r="E1422">
        <v>10000000</v>
      </c>
      <c r="H1422">
        <v>14.25</v>
      </c>
      <c r="I1422" t="s">
        <v>56</v>
      </c>
      <c r="J1422">
        <v>1.4250000000000001E-3</v>
      </c>
      <c r="K1422" t="s">
        <v>57</v>
      </c>
      <c r="N1422" t="s">
        <v>495</v>
      </c>
      <c r="O1422">
        <v>9046</v>
      </c>
      <c r="P1422" t="s">
        <v>315</v>
      </c>
      <c r="S1422">
        <v>0.5</v>
      </c>
      <c r="T1422">
        <v>24.3</v>
      </c>
      <c r="U1422" t="s">
        <v>335</v>
      </c>
      <c r="V1422">
        <v>75</v>
      </c>
      <c r="W1422" t="s">
        <v>469</v>
      </c>
      <c r="X1422" t="s">
        <v>486</v>
      </c>
      <c r="Y1422">
        <v>240</v>
      </c>
      <c r="Z1422">
        <v>1</v>
      </c>
      <c r="AB1422">
        <v>1.98</v>
      </c>
      <c r="AC1422" t="s">
        <v>85</v>
      </c>
      <c r="AD1422" t="s">
        <v>92</v>
      </c>
      <c r="AE1422" t="s">
        <v>479</v>
      </c>
      <c r="AI1422">
        <v>5</v>
      </c>
      <c r="AT1422" t="s">
        <v>65</v>
      </c>
      <c r="AV1422" t="s">
        <v>88</v>
      </c>
    </row>
    <row r="1423" spans="1:48" hidden="1" x14ac:dyDescent="0.3">
      <c r="A1423" t="s">
        <v>477</v>
      </c>
      <c r="C1423" t="s">
        <v>251</v>
      </c>
      <c r="D1423" t="s">
        <v>81</v>
      </c>
      <c r="E1423">
        <v>10000000</v>
      </c>
      <c r="H1423">
        <v>14.25</v>
      </c>
      <c r="I1423" t="s">
        <v>56</v>
      </c>
      <c r="J1423">
        <v>1.4250000000000001E-3</v>
      </c>
      <c r="K1423" t="s">
        <v>57</v>
      </c>
      <c r="N1423" t="s">
        <v>495</v>
      </c>
      <c r="O1423">
        <v>9002</v>
      </c>
      <c r="P1423" t="s">
        <v>315</v>
      </c>
      <c r="S1423">
        <v>0.6</v>
      </c>
      <c r="T1423">
        <v>24.1</v>
      </c>
      <c r="U1423" t="s">
        <v>334</v>
      </c>
      <c r="V1423">
        <v>78.7</v>
      </c>
      <c r="W1423" t="s">
        <v>147</v>
      </c>
      <c r="X1423" t="s">
        <v>498</v>
      </c>
      <c r="Y1423">
        <v>240</v>
      </c>
      <c r="Z1423">
        <v>1</v>
      </c>
      <c r="AB1423">
        <v>6.49</v>
      </c>
      <c r="AC1423" t="s">
        <v>85</v>
      </c>
      <c r="AD1423" t="s">
        <v>499</v>
      </c>
      <c r="AE1423" t="s">
        <v>479</v>
      </c>
      <c r="AI1423">
        <v>5</v>
      </c>
      <c r="AT1423" t="s">
        <v>150</v>
      </c>
      <c r="AV1423" t="s">
        <v>88</v>
      </c>
    </row>
    <row r="1424" spans="1:48" hidden="1" x14ac:dyDescent="0.3">
      <c r="A1424" t="s">
        <v>477</v>
      </c>
      <c r="C1424" t="s">
        <v>251</v>
      </c>
      <c r="D1424" t="s">
        <v>81</v>
      </c>
      <c r="E1424">
        <v>10000000</v>
      </c>
      <c r="H1424">
        <v>14.25</v>
      </c>
      <c r="I1424" t="s">
        <v>56</v>
      </c>
      <c r="J1424">
        <v>1.4250000000000001E-3</v>
      </c>
      <c r="K1424" t="s">
        <v>57</v>
      </c>
      <c r="N1424" t="s">
        <v>495</v>
      </c>
      <c r="O1424">
        <v>9002</v>
      </c>
      <c r="P1424" t="s">
        <v>315</v>
      </c>
      <c r="S1424">
        <v>0.6</v>
      </c>
      <c r="T1424">
        <v>24.1</v>
      </c>
      <c r="U1424" t="s">
        <v>334</v>
      </c>
      <c r="V1424">
        <v>78.7</v>
      </c>
      <c r="W1424" t="s">
        <v>462</v>
      </c>
      <c r="X1424" t="s">
        <v>498</v>
      </c>
      <c r="Y1424">
        <v>240</v>
      </c>
      <c r="Z1424">
        <v>1</v>
      </c>
      <c r="AB1424">
        <v>4.16</v>
      </c>
      <c r="AC1424" t="s">
        <v>85</v>
      </c>
      <c r="AD1424" t="s">
        <v>245</v>
      </c>
      <c r="AE1424" t="s">
        <v>479</v>
      </c>
      <c r="AI1424">
        <v>5</v>
      </c>
      <c r="AT1424" t="s">
        <v>212</v>
      </c>
      <c r="AV1424" t="s">
        <v>88</v>
      </c>
    </row>
    <row r="1425" spans="1:48" hidden="1" x14ac:dyDescent="0.3">
      <c r="A1425" t="s">
        <v>477</v>
      </c>
      <c r="C1425" t="s">
        <v>251</v>
      </c>
      <c r="D1425" t="s">
        <v>81</v>
      </c>
      <c r="E1425">
        <v>10000000</v>
      </c>
      <c r="H1425">
        <v>14.25</v>
      </c>
      <c r="I1425" t="s">
        <v>56</v>
      </c>
      <c r="J1425">
        <v>1.4250000000000001E-3</v>
      </c>
      <c r="K1425" t="s">
        <v>57</v>
      </c>
      <c r="N1425" t="s">
        <v>495</v>
      </c>
      <c r="O1425">
        <v>9002</v>
      </c>
      <c r="P1425" t="s">
        <v>315</v>
      </c>
      <c r="S1425">
        <v>0.6</v>
      </c>
      <c r="T1425">
        <v>24.1</v>
      </c>
      <c r="U1425" t="s">
        <v>334</v>
      </c>
      <c r="V1425">
        <v>78.7</v>
      </c>
      <c r="W1425" t="s">
        <v>469</v>
      </c>
      <c r="X1425" t="s">
        <v>498</v>
      </c>
      <c r="Y1425">
        <v>240</v>
      </c>
      <c r="Z1425">
        <v>1</v>
      </c>
      <c r="AB1425">
        <v>4.51</v>
      </c>
      <c r="AC1425" t="s">
        <v>85</v>
      </c>
      <c r="AD1425" t="s">
        <v>500</v>
      </c>
      <c r="AE1425" t="s">
        <v>479</v>
      </c>
      <c r="AI1425">
        <v>5</v>
      </c>
      <c r="AT1425" t="s">
        <v>65</v>
      </c>
      <c r="AV1425" t="s">
        <v>88</v>
      </c>
    </row>
    <row r="1426" spans="1:48" hidden="1" x14ac:dyDescent="0.3">
      <c r="A1426" t="s">
        <v>477</v>
      </c>
      <c r="C1426" t="s">
        <v>251</v>
      </c>
      <c r="D1426" t="s">
        <v>81</v>
      </c>
      <c r="E1426">
        <v>10000000</v>
      </c>
      <c r="H1426">
        <v>14.25</v>
      </c>
      <c r="I1426" t="s">
        <v>56</v>
      </c>
      <c r="J1426">
        <v>1.4250000000000001E-3</v>
      </c>
      <c r="K1426" t="s">
        <v>57</v>
      </c>
      <c r="N1426" t="s">
        <v>495</v>
      </c>
      <c r="O1426">
        <v>9002</v>
      </c>
      <c r="P1426" t="s">
        <v>315</v>
      </c>
      <c r="S1426">
        <v>0.6</v>
      </c>
      <c r="T1426">
        <v>24.1</v>
      </c>
      <c r="U1426" t="s">
        <v>334</v>
      </c>
      <c r="V1426">
        <v>78.7</v>
      </c>
      <c r="W1426" t="s">
        <v>147</v>
      </c>
      <c r="X1426" t="s">
        <v>498</v>
      </c>
      <c r="Y1426">
        <v>240</v>
      </c>
      <c r="Z1426">
        <v>1</v>
      </c>
      <c r="AB1426">
        <v>4.82</v>
      </c>
      <c r="AC1426" t="s">
        <v>85</v>
      </c>
      <c r="AD1426" t="s">
        <v>364</v>
      </c>
      <c r="AE1426" t="s">
        <v>479</v>
      </c>
      <c r="AI1426">
        <v>5</v>
      </c>
      <c r="AT1426" t="s">
        <v>150</v>
      </c>
      <c r="AV1426" t="s">
        <v>88</v>
      </c>
    </row>
    <row r="1427" spans="1:48" hidden="1" x14ac:dyDescent="0.3">
      <c r="A1427" t="s">
        <v>477</v>
      </c>
      <c r="C1427" t="s">
        <v>251</v>
      </c>
      <c r="D1427" t="s">
        <v>81</v>
      </c>
      <c r="E1427">
        <v>10000000</v>
      </c>
      <c r="H1427">
        <v>14.25</v>
      </c>
      <c r="I1427" t="s">
        <v>56</v>
      </c>
      <c r="J1427">
        <v>1.4250000000000001E-3</v>
      </c>
      <c r="K1427" t="s">
        <v>57</v>
      </c>
      <c r="N1427" t="s">
        <v>495</v>
      </c>
      <c r="O1427">
        <v>9002</v>
      </c>
      <c r="P1427" t="s">
        <v>315</v>
      </c>
      <c r="S1427">
        <v>0.6</v>
      </c>
      <c r="T1427">
        <v>24.1</v>
      </c>
      <c r="U1427" t="s">
        <v>334</v>
      </c>
      <c r="V1427">
        <v>78.7</v>
      </c>
      <c r="W1427" t="s">
        <v>462</v>
      </c>
      <c r="X1427" t="s">
        <v>498</v>
      </c>
      <c r="Y1427">
        <v>240</v>
      </c>
      <c r="Z1427">
        <v>1</v>
      </c>
      <c r="AB1427">
        <v>0.82</v>
      </c>
      <c r="AC1427" t="s">
        <v>85</v>
      </c>
      <c r="AD1427" t="s">
        <v>501</v>
      </c>
      <c r="AE1427" t="s">
        <v>479</v>
      </c>
      <c r="AI1427">
        <v>5</v>
      </c>
      <c r="AT1427" t="s">
        <v>212</v>
      </c>
      <c r="AV1427" t="s">
        <v>88</v>
      </c>
    </row>
    <row r="1428" spans="1:48" hidden="1" x14ac:dyDescent="0.3">
      <c r="A1428" t="s">
        <v>477</v>
      </c>
      <c r="C1428" t="s">
        <v>251</v>
      </c>
      <c r="D1428" t="s">
        <v>81</v>
      </c>
      <c r="E1428">
        <v>10000000</v>
      </c>
      <c r="H1428">
        <v>14.25</v>
      </c>
      <c r="I1428" t="s">
        <v>56</v>
      </c>
      <c r="J1428">
        <v>1.4250000000000001E-3</v>
      </c>
      <c r="K1428" t="s">
        <v>57</v>
      </c>
      <c r="N1428" t="s">
        <v>502</v>
      </c>
      <c r="O1428">
        <v>9001</v>
      </c>
      <c r="P1428" t="s">
        <v>315</v>
      </c>
      <c r="S1428">
        <v>0.8</v>
      </c>
      <c r="T1428">
        <v>23.6</v>
      </c>
      <c r="U1428" t="s">
        <v>130</v>
      </c>
      <c r="V1428">
        <v>74.400000000000006</v>
      </c>
      <c r="W1428" t="s">
        <v>147</v>
      </c>
      <c r="X1428" t="s">
        <v>498</v>
      </c>
      <c r="Y1428">
        <v>240</v>
      </c>
      <c r="Z1428">
        <v>1</v>
      </c>
      <c r="AB1428">
        <v>2.36</v>
      </c>
      <c r="AC1428" t="s">
        <v>85</v>
      </c>
      <c r="AD1428" t="s">
        <v>503</v>
      </c>
      <c r="AE1428" t="s">
        <v>479</v>
      </c>
      <c r="AI1428">
        <v>5</v>
      </c>
      <c r="AT1428" t="s">
        <v>150</v>
      </c>
      <c r="AV1428" t="s">
        <v>88</v>
      </c>
    </row>
    <row r="1429" spans="1:48" hidden="1" x14ac:dyDescent="0.3">
      <c r="A1429" t="s">
        <v>477</v>
      </c>
      <c r="C1429" t="s">
        <v>251</v>
      </c>
      <c r="D1429" t="s">
        <v>81</v>
      </c>
      <c r="E1429">
        <v>10000000</v>
      </c>
      <c r="H1429">
        <v>14.25</v>
      </c>
      <c r="I1429" t="s">
        <v>56</v>
      </c>
      <c r="J1429">
        <v>1.4250000000000001E-3</v>
      </c>
      <c r="K1429" t="s">
        <v>57</v>
      </c>
      <c r="N1429" t="s">
        <v>502</v>
      </c>
      <c r="O1429">
        <v>9001</v>
      </c>
      <c r="P1429" t="s">
        <v>315</v>
      </c>
      <c r="S1429">
        <v>0.8</v>
      </c>
      <c r="T1429">
        <v>23.6</v>
      </c>
      <c r="U1429" t="s">
        <v>130</v>
      </c>
      <c r="V1429">
        <v>74.400000000000006</v>
      </c>
      <c r="W1429" t="s">
        <v>462</v>
      </c>
      <c r="X1429" t="s">
        <v>498</v>
      </c>
      <c r="Y1429">
        <v>240</v>
      </c>
      <c r="Z1429">
        <v>1</v>
      </c>
      <c r="AB1429">
        <v>1.83</v>
      </c>
      <c r="AC1429" t="s">
        <v>85</v>
      </c>
      <c r="AD1429" t="s">
        <v>243</v>
      </c>
      <c r="AE1429" t="s">
        <v>479</v>
      </c>
      <c r="AI1429">
        <v>5</v>
      </c>
      <c r="AT1429" t="s">
        <v>212</v>
      </c>
      <c r="AV1429" t="s">
        <v>88</v>
      </c>
    </row>
    <row r="1430" spans="1:48" hidden="1" x14ac:dyDescent="0.3">
      <c r="A1430" t="s">
        <v>477</v>
      </c>
      <c r="C1430" t="s">
        <v>251</v>
      </c>
      <c r="D1430" t="s">
        <v>81</v>
      </c>
      <c r="E1430">
        <v>10000000</v>
      </c>
      <c r="H1430">
        <v>14.25</v>
      </c>
      <c r="I1430" t="s">
        <v>56</v>
      </c>
      <c r="J1430">
        <v>1.4250000000000001E-3</v>
      </c>
      <c r="K1430" t="s">
        <v>57</v>
      </c>
      <c r="N1430" t="s">
        <v>502</v>
      </c>
      <c r="O1430">
        <v>9001</v>
      </c>
      <c r="P1430" t="s">
        <v>315</v>
      </c>
      <c r="S1430">
        <v>0.8</v>
      </c>
      <c r="T1430">
        <v>23.6</v>
      </c>
      <c r="U1430" t="s">
        <v>130</v>
      </c>
      <c r="V1430">
        <v>74.400000000000006</v>
      </c>
      <c r="W1430" t="s">
        <v>469</v>
      </c>
      <c r="X1430" t="s">
        <v>498</v>
      </c>
      <c r="Y1430">
        <v>240</v>
      </c>
      <c r="Z1430">
        <v>1</v>
      </c>
      <c r="AB1430">
        <v>1.65</v>
      </c>
      <c r="AC1430" t="s">
        <v>85</v>
      </c>
      <c r="AD1430" t="s">
        <v>240</v>
      </c>
      <c r="AE1430" t="s">
        <v>479</v>
      </c>
      <c r="AI1430">
        <v>5</v>
      </c>
      <c r="AT1430" t="s">
        <v>65</v>
      </c>
      <c r="AV1430" t="s">
        <v>88</v>
      </c>
    </row>
    <row r="1431" spans="1:48" hidden="1" x14ac:dyDescent="0.3">
      <c r="A1431" t="s">
        <v>477</v>
      </c>
      <c r="C1431" t="s">
        <v>251</v>
      </c>
      <c r="D1431" t="s">
        <v>81</v>
      </c>
      <c r="E1431">
        <v>10000000</v>
      </c>
      <c r="H1431">
        <v>14.25</v>
      </c>
      <c r="I1431" t="s">
        <v>56</v>
      </c>
      <c r="J1431">
        <v>1.4250000000000001E-3</v>
      </c>
      <c r="K1431" t="s">
        <v>57</v>
      </c>
      <c r="N1431" t="s">
        <v>502</v>
      </c>
      <c r="O1431">
        <v>9001</v>
      </c>
      <c r="P1431" t="s">
        <v>315</v>
      </c>
      <c r="S1431">
        <v>0.8</v>
      </c>
      <c r="T1431">
        <v>23.6</v>
      </c>
      <c r="U1431" t="s">
        <v>130</v>
      </c>
      <c r="V1431">
        <v>74.400000000000006</v>
      </c>
      <c r="W1431" t="s">
        <v>147</v>
      </c>
      <c r="X1431" t="s">
        <v>498</v>
      </c>
      <c r="Y1431">
        <v>240</v>
      </c>
      <c r="Z1431">
        <v>1</v>
      </c>
      <c r="AB1431">
        <v>5.15</v>
      </c>
      <c r="AC1431" t="s">
        <v>85</v>
      </c>
      <c r="AD1431" t="s">
        <v>504</v>
      </c>
      <c r="AE1431" t="s">
        <v>479</v>
      </c>
      <c r="AI1431">
        <v>5</v>
      </c>
      <c r="AT1431" t="s">
        <v>150</v>
      </c>
      <c r="AV1431" t="s">
        <v>88</v>
      </c>
    </row>
    <row r="1432" spans="1:48" hidden="1" x14ac:dyDescent="0.3">
      <c r="A1432" t="s">
        <v>477</v>
      </c>
      <c r="C1432" t="s">
        <v>251</v>
      </c>
      <c r="D1432" t="s">
        <v>81</v>
      </c>
      <c r="E1432">
        <v>10000000</v>
      </c>
      <c r="H1432">
        <v>14.25</v>
      </c>
      <c r="I1432" t="s">
        <v>56</v>
      </c>
      <c r="J1432">
        <v>1.4250000000000001E-3</v>
      </c>
      <c r="K1432" t="s">
        <v>57</v>
      </c>
      <c r="N1432" t="s">
        <v>502</v>
      </c>
      <c r="O1432">
        <v>9001</v>
      </c>
      <c r="P1432" t="s">
        <v>315</v>
      </c>
      <c r="S1432">
        <v>0.8</v>
      </c>
      <c r="T1432">
        <v>23.6</v>
      </c>
      <c r="U1432" t="s">
        <v>130</v>
      </c>
      <c r="V1432">
        <v>74.400000000000006</v>
      </c>
      <c r="W1432" t="s">
        <v>462</v>
      </c>
      <c r="X1432" t="s">
        <v>498</v>
      </c>
      <c r="Y1432">
        <v>240</v>
      </c>
      <c r="Z1432">
        <v>1</v>
      </c>
      <c r="AB1432">
        <v>1.66</v>
      </c>
      <c r="AC1432" t="s">
        <v>85</v>
      </c>
      <c r="AD1432" t="s">
        <v>225</v>
      </c>
      <c r="AE1432" t="s">
        <v>479</v>
      </c>
      <c r="AI1432">
        <v>5</v>
      </c>
      <c r="AT1432" t="s">
        <v>212</v>
      </c>
      <c r="AV1432" t="s">
        <v>88</v>
      </c>
    </row>
    <row r="1433" spans="1:48" hidden="1" x14ac:dyDescent="0.3">
      <c r="A1433" t="s">
        <v>477</v>
      </c>
      <c r="C1433" t="s">
        <v>251</v>
      </c>
      <c r="D1433" t="s">
        <v>81</v>
      </c>
      <c r="E1433">
        <v>10000000</v>
      </c>
      <c r="H1433">
        <v>14.25</v>
      </c>
      <c r="I1433" t="s">
        <v>56</v>
      </c>
      <c r="J1433">
        <v>1.4250000000000001E-3</v>
      </c>
      <c r="K1433" t="s">
        <v>57</v>
      </c>
      <c r="N1433" t="s">
        <v>502</v>
      </c>
      <c r="O1433">
        <v>9001</v>
      </c>
      <c r="P1433" t="s">
        <v>315</v>
      </c>
      <c r="S1433">
        <v>0.8</v>
      </c>
      <c r="T1433">
        <v>23.6</v>
      </c>
      <c r="U1433" t="s">
        <v>130</v>
      </c>
      <c r="V1433">
        <v>74.400000000000006</v>
      </c>
      <c r="W1433" t="s">
        <v>469</v>
      </c>
      <c r="X1433" t="s">
        <v>498</v>
      </c>
      <c r="Y1433">
        <v>240</v>
      </c>
      <c r="Z1433">
        <v>1</v>
      </c>
      <c r="AB1433">
        <v>3.03</v>
      </c>
      <c r="AC1433" t="s">
        <v>85</v>
      </c>
      <c r="AD1433" t="s">
        <v>505</v>
      </c>
      <c r="AE1433" t="s">
        <v>479</v>
      </c>
      <c r="AI1433">
        <v>5</v>
      </c>
      <c r="AT1433" t="s">
        <v>65</v>
      </c>
      <c r="AV1433" t="s">
        <v>88</v>
      </c>
    </row>
    <row r="1434" spans="1:48" hidden="1" x14ac:dyDescent="0.3">
      <c r="A1434" t="s">
        <v>477</v>
      </c>
      <c r="C1434" t="s">
        <v>251</v>
      </c>
      <c r="D1434" t="s">
        <v>81</v>
      </c>
      <c r="E1434">
        <v>10000000</v>
      </c>
      <c r="H1434">
        <v>14.25</v>
      </c>
      <c r="I1434" t="s">
        <v>56</v>
      </c>
      <c r="J1434">
        <v>1.4250000000000001E-3</v>
      </c>
      <c r="K1434" t="s">
        <v>57</v>
      </c>
      <c r="N1434" t="s">
        <v>506</v>
      </c>
      <c r="O1434">
        <v>9007</v>
      </c>
      <c r="P1434" t="s">
        <v>315</v>
      </c>
      <c r="S1434">
        <v>0.7</v>
      </c>
      <c r="T1434">
        <v>24.1</v>
      </c>
      <c r="U1434" t="s">
        <v>335</v>
      </c>
      <c r="V1434">
        <v>73.3</v>
      </c>
      <c r="W1434" t="s">
        <v>147</v>
      </c>
      <c r="X1434" t="s">
        <v>498</v>
      </c>
      <c r="Y1434">
        <v>240</v>
      </c>
      <c r="Z1434">
        <v>1</v>
      </c>
      <c r="AB1434">
        <v>1.36</v>
      </c>
      <c r="AC1434" t="s">
        <v>85</v>
      </c>
      <c r="AD1434" t="s">
        <v>231</v>
      </c>
      <c r="AE1434" t="s">
        <v>479</v>
      </c>
      <c r="AI1434">
        <v>5</v>
      </c>
      <c r="AT1434" t="s">
        <v>150</v>
      </c>
      <c r="AV1434" t="s">
        <v>88</v>
      </c>
    </row>
    <row r="1435" spans="1:48" hidden="1" x14ac:dyDescent="0.3">
      <c r="A1435" t="s">
        <v>477</v>
      </c>
      <c r="C1435" t="s">
        <v>251</v>
      </c>
      <c r="D1435" t="s">
        <v>81</v>
      </c>
      <c r="E1435">
        <v>10000000</v>
      </c>
      <c r="H1435">
        <v>14.25</v>
      </c>
      <c r="I1435" t="s">
        <v>56</v>
      </c>
      <c r="J1435">
        <v>1.4250000000000001E-3</v>
      </c>
      <c r="K1435" t="s">
        <v>57</v>
      </c>
      <c r="N1435" t="s">
        <v>506</v>
      </c>
      <c r="O1435">
        <v>9007</v>
      </c>
      <c r="P1435" t="s">
        <v>315</v>
      </c>
      <c r="S1435">
        <v>0.7</v>
      </c>
      <c r="T1435">
        <v>24.1</v>
      </c>
      <c r="U1435" t="s">
        <v>335</v>
      </c>
      <c r="V1435">
        <v>73.3</v>
      </c>
      <c r="W1435" t="s">
        <v>462</v>
      </c>
      <c r="X1435" t="s">
        <v>498</v>
      </c>
      <c r="Y1435">
        <v>240</v>
      </c>
      <c r="Z1435">
        <v>1</v>
      </c>
      <c r="AB1435">
        <v>1.54</v>
      </c>
      <c r="AC1435" t="s">
        <v>85</v>
      </c>
      <c r="AD1435" t="s">
        <v>507</v>
      </c>
      <c r="AE1435" t="s">
        <v>479</v>
      </c>
      <c r="AI1435">
        <v>5</v>
      </c>
      <c r="AT1435" t="s">
        <v>212</v>
      </c>
      <c r="AV1435" t="s">
        <v>88</v>
      </c>
    </row>
    <row r="1436" spans="1:48" hidden="1" x14ac:dyDescent="0.3">
      <c r="A1436" t="s">
        <v>477</v>
      </c>
      <c r="C1436" t="s">
        <v>251</v>
      </c>
      <c r="D1436" t="s">
        <v>81</v>
      </c>
      <c r="E1436">
        <v>10000000</v>
      </c>
      <c r="H1436">
        <v>14.25</v>
      </c>
      <c r="I1436" t="s">
        <v>56</v>
      </c>
      <c r="J1436">
        <v>1.4250000000000001E-3</v>
      </c>
      <c r="K1436" t="s">
        <v>57</v>
      </c>
      <c r="N1436" t="s">
        <v>506</v>
      </c>
      <c r="O1436">
        <v>9007</v>
      </c>
      <c r="P1436" t="s">
        <v>315</v>
      </c>
      <c r="S1436">
        <v>0.7</v>
      </c>
      <c r="T1436">
        <v>24.1</v>
      </c>
      <c r="U1436" t="s">
        <v>335</v>
      </c>
      <c r="V1436">
        <v>73.3</v>
      </c>
      <c r="W1436" t="s">
        <v>469</v>
      </c>
      <c r="X1436" t="s">
        <v>498</v>
      </c>
      <c r="Y1436">
        <v>240</v>
      </c>
      <c r="Z1436">
        <v>1</v>
      </c>
      <c r="AB1436">
        <v>1.4</v>
      </c>
      <c r="AC1436" t="s">
        <v>85</v>
      </c>
      <c r="AD1436" t="s">
        <v>365</v>
      </c>
      <c r="AE1436" t="s">
        <v>479</v>
      </c>
      <c r="AI1436">
        <v>5</v>
      </c>
      <c r="AT1436" t="s">
        <v>65</v>
      </c>
      <c r="AV1436" t="s">
        <v>88</v>
      </c>
    </row>
    <row r="1437" spans="1:48" hidden="1" x14ac:dyDescent="0.3">
      <c r="A1437" t="s">
        <v>477</v>
      </c>
      <c r="C1437" t="s">
        <v>251</v>
      </c>
      <c r="D1437" t="s">
        <v>81</v>
      </c>
      <c r="E1437">
        <v>10000000</v>
      </c>
      <c r="H1437">
        <v>14.25</v>
      </c>
      <c r="I1437" t="s">
        <v>56</v>
      </c>
      <c r="J1437">
        <v>1.4250000000000001E-3</v>
      </c>
      <c r="K1437" t="s">
        <v>57</v>
      </c>
      <c r="N1437" t="s">
        <v>506</v>
      </c>
      <c r="O1437">
        <v>9007</v>
      </c>
      <c r="P1437" t="s">
        <v>315</v>
      </c>
      <c r="S1437">
        <v>0.7</v>
      </c>
      <c r="T1437">
        <v>24.1</v>
      </c>
      <c r="U1437" t="s">
        <v>335</v>
      </c>
      <c r="V1437">
        <v>73.3</v>
      </c>
      <c r="W1437" t="s">
        <v>147</v>
      </c>
      <c r="X1437" t="s">
        <v>498</v>
      </c>
      <c r="Y1437">
        <v>240</v>
      </c>
      <c r="Z1437">
        <v>1</v>
      </c>
      <c r="AB1437">
        <v>4.5599999999999898</v>
      </c>
      <c r="AC1437" t="s">
        <v>85</v>
      </c>
      <c r="AD1437" t="s">
        <v>508</v>
      </c>
      <c r="AE1437" t="s">
        <v>479</v>
      </c>
      <c r="AI1437">
        <v>5</v>
      </c>
      <c r="AT1437" t="s">
        <v>150</v>
      </c>
      <c r="AV1437" t="s">
        <v>88</v>
      </c>
    </row>
    <row r="1438" spans="1:48" hidden="1" x14ac:dyDescent="0.3">
      <c r="A1438" t="s">
        <v>477</v>
      </c>
      <c r="C1438" t="s">
        <v>251</v>
      </c>
      <c r="D1438" t="s">
        <v>81</v>
      </c>
      <c r="E1438">
        <v>10000000</v>
      </c>
      <c r="H1438">
        <v>14.25</v>
      </c>
      <c r="I1438" t="s">
        <v>56</v>
      </c>
      <c r="J1438">
        <v>1.4250000000000001E-3</v>
      </c>
      <c r="K1438" t="s">
        <v>57</v>
      </c>
      <c r="N1438" t="s">
        <v>506</v>
      </c>
      <c r="O1438">
        <v>9007</v>
      </c>
      <c r="P1438" t="s">
        <v>315</v>
      </c>
      <c r="S1438">
        <v>0.7</v>
      </c>
      <c r="T1438">
        <v>24.1</v>
      </c>
      <c r="U1438" t="s">
        <v>335</v>
      </c>
      <c r="V1438">
        <v>73.3</v>
      </c>
      <c r="W1438" t="s">
        <v>462</v>
      </c>
      <c r="X1438" t="s">
        <v>498</v>
      </c>
      <c r="Y1438">
        <v>240</v>
      </c>
      <c r="Z1438">
        <v>1</v>
      </c>
      <c r="AB1438">
        <v>0.36</v>
      </c>
      <c r="AC1438" t="s">
        <v>85</v>
      </c>
      <c r="AD1438" t="s">
        <v>509</v>
      </c>
      <c r="AE1438" t="s">
        <v>479</v>
      </c>
      <c r="AI1438">
        <v>5</v>
      </c>
      <c r="AT1438" t="s">
        <v>212</v>
      </c>
      <c r="AV1438" t="s">
        <v>88</v>
      </c>
    </row>
    <row r="1439" spans="1:48" hidden="1" x14ac:dyDescent="0.3">
      <c r="A1439" t="s">
        <v>477</v>
      </c>
      <c r="C1439" t="s">
        <v>251</v>
      </c>
      <c r="D1439" t="s">
        <v>81</v>
      </c>
      <c r="E1439">
        <v>10000000</v>
      </c>
      <c r="H1439">
        <v>14.25</v>
      </c>
      <c r="I1439" t="s">
        <v>56</v>
      </c>
      <c r="J1439">
        <v>1.4250000000000001E-3</v>
      </c>
      <c r="K1439" t="s">
        <v>57</v>
      </c>
      <c r="N1439" t="s">
        <v>506</v>
      </c>
      <c r="O1439">
        <v>9007</v>
      </c>
      <c r="P1439" t="s">
        <v>315</v>
      </c>
      <c r="S1439">
        <v>0.7</v>
      </c>
      <c r="T1439">
        <v>24.1</v>
      </c>
      <c r="U1439" t="s">
        <v>335</v>
      </c>
      <c r="V1439">
        <v>73.3</v>
      </c>
      <c r="W1439" t="s">
        <v>469</v>
      </c>
      <c r="X1439" t="s">
        <v>498</v>
      </c>
      <c r="Y1439">
        <v>240</v>
      </c>
      <c r="Z1439">
        <v>1</v>
      </c>
      <c r="AB1439">
        <v>1.59</v>
      </c>
      <c r="AC1439" t="s">
        <v>85</v>
      </c>
      <c r="AD1439" t="s">
        <v>509</v>
      </c>
      <c r="AE1439" t="s">
        <v>479</v>
      </c>
      <c r="AI1439">
        <v>5</v>
      </c>
      <c r="AT1439" t="s">
        <v>65</v>
      </c>
      <c r="AV1439" t="s">
        <v>88</v>
      </c>
    </row>
    <row r="1440" spans="1:48" hidden="1" x14ac:dyDescent="0.3">
      <c r="A1440" t="s">
        <v>477</v>
      </c>
      <c r="C1440" t="s">
        <v>251</v>
      </c>
      <c r="D1440" t="s">
        <v>81</v>
      </c>
      <c r="E1440">
        <v>10000000</v>
      </c>
      <c r="H1440">
        <v>14.25</v>
      </c>
      <c r="I1440" t="s">
        <v>56</v>
      </c>
      <c r="J1440">
        <v>1.4250000000000001E-3</v>
      </c>
      <c r="K1440" t="s">
        <v>57</v>
      </c>
      <c r="N1440" t="s">
        <v>510</v>
      </c>
      <c r="O1440">
        <v>9059</v>
      </c>
      <c r="P1440" t="s">
        <v>315</v>
      </c>
      <c r="S1440">
        <v>0.7</v>
      </c>
      <c r="T1440">
        <v>23.8</v>
      </c>
      <c r="U1440" t="s">
        <v>492</v>
      </c>
      <c r="V1440">
        <v>76.3</v>
      </c>
      <c r="W1440" t="s">
        <v>147</v>
      </c>
      <c r="X1440" t="s">
        <v>486</v>
      </c>
      <c r="Y1440">
        <v>240</v>
      </c>
      <c r="Z1440">
        <v>1</v>
      </c>
      <c r="AB1440">
        <v>1.5</v>
      </c>
      <c r="AC1440" t="s">
        <v>85</v>
      </c>
      <c r="AD1440" t="s">
        <v>511</v>
      </c>
      <c r="AE1440" t="s">
        <v>479</v>
      </c>
      <c r="AI1440">
        <v>5</v>
      </c>
      <c r="AT1440" t="s">
        <v>150</v>
      </c>
      <c r="AV1440" t="s">
        <v>88</v>
      </c>
    </row>
    <row r="1441" spans="1:48" hidden="1" x14ac:dyDescent="0.3">
      <c r="A1441" t="s">
        <v>477</v>
      </c>
      <c r="C1441" t="s">
        <v>251</v>
      </c>
      <c r="D1441" t="s">
        <v>81</v>
      </c>
      <c r="E1441">
        <v>10000000</v>
      </c>
      <c r="H1441">
        <v>14.25</v>
      </c>
      <c r="I1441" t="s">
        <v>56</v>
      </c>
      <c r="J1441">
        <v>1.4250000000000001E-3</v>
      </c>
      <c r="K1441" t="s">
        <v>57</v>
      </c>
      <c r="N1441" t="s">
        <v>510</v>
      </c>
      <c r="O1441">
        <v>9059</v>
      </c>
      <c r="P1441" t="s">
        <v>315</v>
      </c>
      <c r="S1441">
        <v>0.7</v>
      </c>
      <c r="T1441">
        <v>23.8</v>
      </c>
      <c r="U1441" t="s">
        <v>492</v>
      </c>
      <c r="V1441">
        <v>76.3</v>
      </c>
      <c r="W1441" t="s">
        <v>462</v>
      </c>
      <c r="X1441" t="s">
        <v>486</v>
      </c>
      <c r="Y1441">
        <v>240</v>
      </c>
      <c r="Z1441">
        <v>1</v>
      </c>
      <c r="AB1441">
        <v>2.37</v>
      </c>
      <c r="AC1441" t="s">
        <v>85</v>
      </c>
      <c r="AD1441" t="s">
        <v>225</v>
      </c>
      <c r="AE1441" t="s">
        <v>479</v>
      </c>
      <c r="AI1441">
        <v>5</v>
      </c>
      <c r="AT1441" t="s">
        <v>212</v>
      </c>
      <c r="AV1441" t="s">
        <v>88</v>
      </c>
    </row>
    <row r="1442" spans="1:48" hidden="1" x14ac:dyDescent="0.3">
      <c r="A1442" t="s">
        <v>477</v>
      </c>
      <c r="C1442" t="s">
        <v>251</v>
      </c>
      <c r="D1442" t="s">
        <v>81</v>
      </c>
      <c r="E1442">
        <v>10000000</v>
      </c>
      <c r="H1442">
        <v>14.25</v>
      </c>
      <c r="I1442" t="s">
        <v>56</v>
      </c>
      <c r="J1442">
        <v>1.4250000000000001E-3</v>
      </c>
      <c r="K1442" t="s">
        <v>57</v>
      </c>
      <c r="N1442" t="s">
        <v>510</v>
      </c>
      <c r="O1442">
        <v>9059</v>
      </c>
      <c r="P1442" t="s">
        <v>315</v>
      </c>
      <c r="S1442">
        <v>0.7</v>
      </c>
      <c r="T1442">
        <v>23.8</v>
      </c>
      <c r="U1442" t="s">
        <v>492</v>
      </c>
      <c r="V1442">
        <v>76.3</v>
      </c>
      <c r="W1442" t="s">
        <v>469</v>
      </c>
      <c r="X1442" t="s">
        <v>486</v>
      </c>
      <c r="Y1442">
        <v>240</v>
      </c>
      <c r="Z1442">
        <v>1</v>
      </c>
      <c r="AB1442">
        <v>1.73</v>
      </c>
      <c r="AC1442" t="s">
        <v>85</v>
      </c>
      <c r="AD1442" t="s">
        <v>103</v>
      </c>
      <c r="AE1442" t="s">
        <v>479</v>
      </c>
      <c r="AI1442">
        <v>5</v>
      </c>
      <c r="AT1442" t="s">
        <v>65</v>
      </c>
      <c r="AV1442" t="s">
        <v>88</v>
      </c>
    </row>
    <row r="1443" spans="1:48" hidden="1" x14ac:dyDescent="0.3">
      <c r="A1443" t="s">
        <v>477</v>
      </c>
      <c r="C1443" t="s">
        <v>251</v>
      </c>
      <c r="D1443" t="s">
        <v>81</v>
      </c>
      <c r="E1443">
        <v>10000000</v>
      </c>
      <c r="H1443">
        <v>14.25</v>
      </c>
      <c r="I1443" t="s">
        <v>56</v>
      </c>
      <c r="J1443">
        <v>1.4250000000000001E-3</v>
      </c>
      <c r="K1443" t="s">
        <v>57</v>
      </c>
      <c r="N1443" t="s">
        <v>510</v>
      </c>
      <c r="O1443">
        <v>9059</v>
      </c>
      <c r="P1443" t="s">
        <v>315</v>
      </c>
      <c r="S1443">
        <v>0.7</v>
      </c>
      <c r="T1443">
        <v>23.8</v>
      </c>
      <c r="U1443" t="s">
        <v>492</v>
      </c>
      <c r="V1443">
        <v>76.3</v>
      </c>
      <c r="W1443" t="s">
        <v>147</v>
      </c>
      <c r="X1443" t="s">
        <v>486</v>
      </c>
      <c r="Y1443">
        <v>240</v>
      </c>
      <c r="Z1443">
        <v>1</v>
      </c>
      <c r="AB1443">
        <v>5.8</v>
      </c>
      <c r="AC1443" t="s">
        <v>85</v>
      </c>
      <c r="AD1443" t="s">
        <v>512</v>
      </c>
      <c r="AE1443" t="s">
        <v>479</v>
      </c>
      <c r="AI1443">
        <v>5</v>
      </c>
      <c r="AT1443" t="s">
        <v>150</v>
      </c>
      <c r="AV1443" t="s">
        <v>88</v>
      </c>
    </row>
    <row r="1444" spans="1:48" hidden="1" x14ac:dyDescent="0.3">
      <c r="A1444" t="s">
        <v>477</v>
      </c>
      <c r="C1444" t="s">
        <v>251</v>
      </c>
      <c r="D1444" t="s">
        <v>81</v>
      </c>
      <c r="E1444">
        <v>10000000</v>
      </c>
      <c r="H1444">
        <v>14.25</v>
      </c>
      <c r="I1444" t="s">
        <v>56</v>
      </c>
      <c r="J1444">
        <v>1.4250000000000001E-3</v>
      </c>
      <c r="K1444" t="s">
        <v>57</v>
      </c>
      <c r="N1444" t="s">
        <v>510</v>
      </c>
      <c r="O1444">
        <v>9059</v>
      </c>
      <c r="P1444" t="s">
        <v>315</v>
      </c>
      <c r="S1444">
        <v>0.7</v>
      </c>
      <c r="T1444">
        <v>23.8</v>
      </c>
      <c r="U1444" t="s">
        <v>492</v>
      </c>
      <c r="V1444">
        <v>76.3</v>
      </c>
      <c r="W1444" t="s">
        <v>462</v>
      </c>
      <c r="X1444" t="s">
        <v>486</v>
      </c>
      <c r="Y1444">
        <v>240</v>
      </c>
      <c r="Z1444">
        <v>1</v>
      </c>
      <c r="AB1444">
        <v>1.3</v>
      </c>
      <c r="AC1444" t="s">
        <v>85</v>
      </c>
      <c r="AD1444" t="s">
        <v>440</v>
      </c>
      <c r="AE1444" t="s">
        <v>479</v>
      </c>
      <c r="AI1444">
        <v>5</v>
      </c>
      <c r="AT1444" t="s">
        <v>212</v>
      </c>
      <c r="AV1444" t="s">
        <v>88</v>
      </c>
    </row>
    <row r="1445" spans="1:48" hidden="1" x14ac:dyDescent="0.3">
      <c r="A1445" t="s">
        <v>477</v>
      </c>
      <c r="C1445" t="s">
        <v>251</v>
      </c>
      <c r="D1445" t="s">
        <v>81</v>
      </c>
      <c r="E1445">
        <v>10000000</v>
      </c>
      <c r="H1445">
        <v>14.25</v>
      </c>
      <c r="I1445" t="s">
        <v>56</v>
      </c>
      <c r="J1445">
        <v>1.4250000000000001E-3</v>
      </c>
      <c r="K1445" t="s">
        <v>57</v>
      </c>
      <c r="N1445" t="s">
        <v>510</v>
      </c>
      <c r="O1445">
        <v>9059</v>
      </c>
      <c r="P1445" t="s">
        <v>315</v>
      </c>
      <c r="S1445">
        <v>0.7</v>
      </c>
      <c r="T1445">
        <v>23.8</v>
      </c>
      <c r="U1445" t="s">
        <v>492</v>
      </c>
      <c r="V1445">
        <v>76.3</v>
      </c>
      <c r="W1445" t="s">
        <v>469</v>
      </c>
      <c r="X1445" t="s">
        <v>486</v>
      </c>
      <c r="Y1445">
        <v>240</v>
      </c>
      <c r="Z1445">
        <v>1</v>
      </c>
      <c r="AB1445">
        <v>2.4700000000000002</v>
      </c>
      <c r="AC1445" t="s">
        <v>85</v>
      </c>
      <c r="AD1445" t="s">
        <v>513</v>
      </c>
      <c r="AE1445" t="s">
        <v>479</v>
      </c>
      <c r="AI1445">
        <v>5</v>
      </c>
      <c r="AT1445" t="s">
        <v>65</v>
      </c>
      <c r="AV1445" t="s">
        <v>88</v>
      </c>
    </row>
    <row r="1446" spans="1:48" hidden="1" x14ac:dyDescent="0.3">
      <c r="A1446" t="s">
        <v>477</v>
      </c>
      <c r="C1446" t="s">
        <v>251</v>
      </c>
      <c r="D1446" t="s">
        <v>81</v>
      </c>
      <c r="E1446">
        <v>10000000</v>
      </c>
      <c r="H1446">
        <v>14.25</v>
      </c>
      <c r="I1446" t="s">
        <v>56</v>
      </c>
      <c r="J1446">
        <v>1.4250000000000001E-3</v>
      </c>
      <c r="K1446" t="s">
        <v>57</v>
      </c>
      <c r="N1446" t="s">
        <v>514</v>
      </c>
      <c r="O1446">
        <v>9025</v>
      </c>
      <c r="P1446" t="s">
        <v>315</v>
      </c>
      <c r="S1446">
        <v>0.5</v>
      </c>
      <c r="T1446">
        <v>23.6</v>
      </c>
      <c r="U1446" t="s">
        <v>334</v>
      </c>
      <c r="V1446">
        <v>71.7</v>
      </c>
      <c r="W1446" t="s">
        <v>147</v>
      </c>
      <c r="X1446" t="s">
        <v>280</v>
      </c>
      <c r="Y1446">
        <v>240</v>
      </c>
      <c r="Z1446">
        <v>1</v>
      </c>
      <c r="AB1446">
        <v>1.81</v>
      </c>
      <c r="AC1446" t="s">
        <v>85</v>
      </c>
      <c r="AD1446" t="s">
        <v>515</v>
      </c>
      <c r="AE1446" t="s">
        <v>479</v>
      </c>
      <c r="AI1446">
        <v>5</v>
      </c>
      <c r="AT1446" t="s">
        <v>150</v>
      </c>
      <c r="AV1446" t="s">
        <v>88</v>
      </c>
    </row>
    <row r="1447" spans="1:48" hidden="1" x14ac:dyDescent="0.3">
      <c r="A1447" t="s">
        <v>477</v>
      </c>
      <c r="C1447" t="s">
        <v>251</v>
      </c>
      <c r="D1447" t="s">
        <v>81</v>
      </c>
      <c r="E1447">
        <v>10000000</v>
      </c>
      <c r="H1447">
        <v>14.25</v>
      </c>
      <c r="I1447" t="s">
        <v>56</v>
      </c>
      <c r="J1447">
        <v>1.4250000000000001E-3</v>
      </c>
      <c r="K1447" t="s">
        <v>57</v>
      </c>
      <c r="N1447" t="s">
        <v>514</v>
      </c>
      <c r="O1447">
        <v>9025</v>
      </c>
      <c r="P1447" t="s">
        <v>315</v>
      </c>
      <c r="S1447">
        <v>0.5</v>
      </c>
      <c r="T1447">
        <v>23.6</v>
      </c>
      <c r="U1447" t="s">
        <v>334</v>
      </c>
      <c r="V1447">
        <v>71.7</v>
      </c>
      <c r="W1447" t="s">
        <v>462</v>
      </c>
      <c r="X1447" t="s">
        <v>280</v>
      </c>
      <c r="Y1447">
        <v>240</v>
      </c>
      <c r="Z1447">
        <v>1</v>
      </c>
      <c r="AB1447">
        <v>2.78</v>
      </c>
      <c r="AC1447" t="s">
        <v>85</v>
      </c>
      <c r="AD1447" t="s">
        <v>500</v>
      </c>
      <c r="AE1447" t="s">
        <v>479</v>
      </c>
      <c r="AI1447">
        <v>5</v>
      </c>
      <c r="AT1447" t="s">
        <v>212</v>
      </c>
      <c r="AV1447" t="s">
        <v>88</v>
      </c>
    </row>
    <row r="1448" spans="1:48" hidden="1" x14ac:dyDescent="0.3">
      <c r="A1448" t="s">
        <v>477</v>
      </c>
      <c r="C1448" t="s">
        <v>251</v>
      </c>
      <c r="D1448" t="s">
        <v>81</v>
      </c>
      <c r="E1448">
        <v>10000000</v>
      </c>
      <c r="H1448">
        <v>14.25</v>
      </c>
      <c r="I1448" t="s">
        <v>56</v>
      </c>
      <c r="J1448">
        <v>1.4250000000000001E-3</v>
      </c>
      <c r="K1448" t="s">
        <v>57</v>
      </c>
      <c r="N1448" t="s">
        <v>514</v>
      </c>
      <c r="O1448">
        <v>9025</v>
      </c>
      <c r="P1448" t="s">
        <v>315</v>
      </c>
      <c r="S1448">
        <v>0.5</v>
      </c>
      <c r="T1448">
        <v>23.6</v>
      </c>
      <c r="U1448" t="s">
        <v>334</v>
      </c>
      <c r="V1448">
        <v>71.7</v>
      </c>
      <c r="W1448" t="s">
        <v>469</v>
      </c>
      <c r="X1448" t="s">
        <v>280</v>
      </c>
      <c r="Y1448">
        <v>240</v>
      </c>
      <c r="Z1448">
        <v>1</v>
      </c>
      <c r="AB1448">
        <v>1.65</v>
      </c>
      <c r="AC1448" t="s">
        <v>85</v>
      </c>
      <c r="AD1448" t="s">
        <v>103</v>
      </c>
      <c r="AE1448" t="s">
        <v>479</v>
      </c>
      <c r="AI1448">
        <v>5</v>
      </c>
      <c r="AT1448" t="s">
        <v>65</v>
      </c>
      <c r="AV1448" t="s">
        <v>88</v>
      </c>
    </row>
    <row r="1449" spans="1:48" hidden="1" x14ac:dyDescent="0.3">
      <c r="A1449" t="s">
        <v>477</v>
      </c>
      <c r="C1449" t="s">
        <v>251</v>
      </c>
      <c r="D1449" t="s">
        <v>81</v>
      </c>
      <c r="E1449">
        <v>10000000</v>
      </c>
      <c r="H1449">
        <v>14.25</v>
      </c>
      <c r="I1449" t="s">
        <v>56</v>
      </c>
      <c r="J1449">
        <v>1.4250000000000001E-3</v>
      </c>
      <c r="K1449" t="s">
        <v>57</v>
      </c>
      <c r="N1449" t="s">
        <v>514</v>
      </c>
      <c r="O1449">
        <v>9025</v>
      </c>
      <c r="P1449" t="s">
        <v>315</v>
      </c>
      <c r="S1449">
        <v>0.5</v>
      </c>
      <c r="T1449">
        <v>23.6</v>
      </c>
      <c r="U1449" t="s">
        <v>334</v>
      </c>
      <c r="V1449">
        <v>71.7</v>
      </c>
      <c r="W1449" t="s">
        <v>147</v>
      </c>
      <c r="X1449" t="s">
        <v>280</v>
      </c>
      <c r="Y1449">
        <v>240</v>
      </c>
      <c r="Z1449">
        <v>1</v>
      </c>
      <c r="AB1449">
        <v>4.6399999999999899</v>
      </c>
      <c r="AC1449" t="s">
        <v>85</v>
      </c>
      <c r="AD1449" t="s">
        <v>516</v>
      </c>
      <c r="AE1449" t="s">
        <v>479</v>
      </c>
      <c r="AI1449">
        <v>5</v>
      </c>
      <c r="AT1449" t="s">
        <v>150</v>
      </c>
      <c r="AV1449" t="s">
        <v>88</v>
      </c>
    </row>
    <row r="1450" spans="1:48" hidden="1" x14ac:dyDescent="0.3">
      <c r="A1450" t="s">
        <v>477</v>
      </c>
      <c r="C1450" t="s">
        <v>251</v>
      </c>
      <c r="D1450" t="s">
        <v>81</v>
      </c>
      <c r="E1450">
        <v>10000000</v>
      </c>
      <c r="H1450">
        <v>14.25</v>
      </c>
      <c r="I1450" t="s">
        <v>56</v>
      </c>
      <c r="J1450">
        <v>1.4250000000000001E-3</v>
      </c>
      <c r="K1450" t="s">
        <v>57</v>
      </c>
      <c r="N1450" t="s">
        <v>514</v>
      </c>
      <c r="O1450">
        <v>9025</v>
      </c>
      <c r="P1450" t="s">
        <v>315</v>
      </c>
      <c r="S1450">
        <v>0.5</v>
      </c>
      <c r="T1450">
        <v>23.6</v>
      </c>
      <c r="U1450" t="s">
        <v>334</v>
      </c>
      <c r="V1450">
        <v>71.7</v>
      </c>
      <c r="W1450" t="s">
        <v>462</v>
      </c>
      <c r="X1450" t="s">
        <v>280</v>
      </c>
      <c r="Y1450">
        <v>240</v>
      </c>
      <c r="Z1450">
        <v>1</v>
      </c>
      <c r="AB1450">
        <v>1.82</v>
      </c>
      <c r="AC1450" t="s">
        <v>85</v>
      </c>
      <c r="AD1450" t="s">
        <v>517</v>
      </c>
      <c r="AE1450" t="s">
        <v>479</v>
      </c>
      <c r="AI1450">
        <v>5</v>
      </c>
      <c r="AT1450" t="s">
        <v>212</v>
      </c>
      <c r="AV1450" t="s">
        <v>88</v>
      </c>
    </row>
    <row r="1451" spans="1:48" hidden="1" x14ac:dyDescent="0.3">
      <c r="A1451" t="s">
        <v>477</v>
      </c>
      <c r="C1451" t="s">
        <v>251</v>
      </c>
      <c r="D1451" t="s">
        <v>81</v>
      </c>
      <c r="E1451">
        <v>10000000</v>
      </c>
      <c r="H1451">
        <v>14.25</v>
      </c>
      <c r="I1451" t="s">
        <v>56</v>
      </c>
      <c r="J1451">
        <v>1.4250000000000001E-3</v>
      </c>
      <c r="K1451" t="s">
        <v>57</v>
      </c>
      <c r="N1451" t="s">
        <v>514</v>
      </c>
      <c r="O1451">
        <v>9025</v>
      </c>
      <c r="P1451" t="s">
        <v>315</v>
      </c>
      <c r="S1451">
        <v>0.5</v>
      </c>
      <c r="T1451">
        <v>23.6</v>
      </c>
      <c r="U1451" t="s">
        <v>334</v>
      </c>
      <c r="V1451">
        <v>71.7</v>
      </c>
      <c r="W1451" t="s">
        <v>469</v>
      </c>
      <c r="X1451" t="s">
        <v>280</v>
      </c>
      <c r="Y1451">
        <v>240</v>
      </c>
      <c r="Z1451">
        <v>1</v>
      </c>
      <c r="AB1451">
        <v>2.86</v>
      </c>
      <c r="AC1451" t="s">
        <v>85</v>
      </c>
      <c r="AD1451" t="s">
        <v>513</v>
      </c>
      <c r="AE1451" t="s">
        <v>479</v>
      </c>
      <c r="AI1451">
        <v>5</v>
      </c>
      <c r="AT1451" t="s">
        <v>65</v>
      </c>
      <c r="AV1451" t="s">
        <v>88</v>
      </c>
    </row>
    <row r="1452" spans="1:48" hidden="1" x14ac:dyDescent="0.3">
      <c r="A1452" t="s">
        <v>477</v>
      </c>
      <c r="C1452" t="s">
        <v>251</v>
      </c>
      <c r="D1452" t="s">
        <v>81</v>
      </c>
      <c r="E1452">
        <v>10000000</v>
      </c>
      <c r="H1452">
        <v>14.25</v>
      </c>
      <c r="I1452" t="s">
        <v>56</v>
      </c>
      <c r="J1452">
        <v>1.4250000000000001E-3</v>
      </c>
      <c r="K1452" t="s">
        <v>57</v>
      </c>
      <c r="N1452" t="s">
        <v>518</v>
      </c>
      <c r="O1452">
        <v>8995</v>
      </c>
      <c r="P1452" t="s">
        <v>315</v>
      </c>
      <c r="S1452">
        <v>0.7</v>
      </c>
      <c r="T1452">
        <v>23.2</v>
      </c>
      <c r="U1452" t="s">
        <v>492</v>
      </c>
      <c r="V1452">
        <v>79.5</v>
      </c>
      <c r="W1452" t="s">
        <v>147</v>
      </c>
      <c r="X1452" t="s">
        <v>280</v>
      </c>
      <c r="Y1452">
        <v>240</v>
      </c>
      <c r="Z1452">
        <v>1</v>
      </c>
      <c r="AB1452">
        <v>1.8</v>
      </c>
      <c r="AC1452" t="s">
        <v>85</v>
      </c>
      <c r="AD1452" t="s">
        <v>237</v>
      </c>
      <c r="AE1452" t="s">
        <v>479</v>
      </c>
      <c r="AI1452">
        <v>5</v>
      </c>
      <c r="AT1452" t="s">
        <v>150</v>
      </c>
      <c r="AV1452" t="s">
        <v>88</v>
      </c>
    </row>
    <row r="1453" spans="1:48" hidden="1" x14ac:dyDescent="0.3">
      <c r="A1453" t="s">
        <v>477</v>
      </c>
      <c r="C1453" t="s">
        <v>251</v>
      </c>
      <c r="D1453" t="s">
        <v>81</v>
      </c>
      <c r="E1453">
        <v>10000000</v>
      </c>
      <c r="H1453">
        <v>14.25</v>
      </c>
      <c r="I1453" t="s">
        <v>56</v>
      </c>
      <c r="J1453">
        <v>1.4250000000000001E-3</v>
      </c>
      <c r="K1453" t="s">
        <v>57</v>
      </c>
      <c r="N1453" t="s">
        <v>518</v>
      </c>
      <c r="O1453">
        <v>8995</v>
      </c>
      <c r="P1453" t="s">
        <v>315</v>
      </c>
      <c r="S1453">
        <v>0.7</v>
      </c>
      <c r="T1453">
        <v>23.2</v>
      </c>
      <c r="U1453" t="s">
        <v>492</v>
      </c>
      <c r="V1453">
        <v>79.5</v>
      </c>
      <c r="W1453" t="s">
        <v>462</v>
      </c>
      <c r="X1453" t="s">
        <v>280</v>
      </c>
      <c r="Y1453">
        <v>240</v>
      </c>
      <c r="Z1453">
        <v>1</v>
      </c>
      <c r="AB1453">
        <v>2.92</v>
      </c>
      <c r="AC1453" t="s">
        <v>85</v>
      </c>
      <c r="AD1453" t="s">
        <v>519</v>
      </c>
      <c r="AE1453" t="s">
        <v>479</v>
      </c>
      <c r="AI1453">
        <v>5</v>
      </c>
      <c r="AT1453" t="s">
        <v>212</v>
      </c>
      <c r="AV1453" t="s">
        <v>88</v>
      </c>
    </row>
    <row r="1454" spans="1:48" hidden="1" x14ac:dyDescent="0.3">
      <c r="A1454" t="s">
        <v>477</v>
      </c>
      <c r="C1454" t="s">
        <v>251</v>
      </c>
      <c r="D1454" t="s">
        <v>81</v>
      </c>
      <c r="E1454">
        <v>10000000</v>
      </c>
      <c r="H1454">
        <v>14.25</v>
      </c>
      <c r="I1454" t="s">
        <v>56</v>
      </c>
      <c r="J1454">
        <v>1.4250000000000001E-3</v>
      </c>
      <c r="K1454" t="s">
        <v>57</v>
      </c>
      <c r="N1454" t="s">
        <v>518</v>
      </c>
      <c r="O1454">
        <v>8995</v>
      </c>
      <c r="P1454" t="s">
        <v>315</v>
      </c>
      <c r="S1454">
        <v>0.7</v>
      </c>
      <c r="T1454">
        <v>23.2</v>
      </c>
      <c r="U1454" t="s">
        <v>492</v>
      </c>
      <c r="V1454">
        <v>79.5</v>
      </c>
      <c r="W1454" t="s">
        <v>469</v>
      </c>
      <c r="X1454" t="s">
        <v>280</v>
      </c>
      <c r="Y1454">
        <v>240</v>
      </c>
      <c r="Z1454">
        <v>1</v>
      </c>
      <c r="AB1454">
        <v>2.16</v>
      </c>
      <c r="AC1454" t="s">
        <v>85</v>
      </c>
      <c r="AD1454" t="s">
        <v>503</v>
      </c>
      <c r="AE1454" t="s">
        <v>479</v>
      </c>
      <c r="AI1454">
        <v>5</v>
      </c>
      <c r="AT1454" t="s">
        <v>65</v>
      </c>
      <c r="AV1454" t="s">
        <v>88</v>
      </c>
    </row>
    <row r="1455" spans="1:48" hidden="1" x14ac:dyDescent="0.3">
      <c r="A1455" t="s">
        <v>477</v>
      </c>
      <c r="C1455" t="s">
        <v>251</v>
      </c>
      <c r="D1455" t="s">
        <v>81</v>
      </c>
      <c r="E1455">
        <v>10000000</v>
      </c>
      <c r="H1455">
        <v>14.25</v>
      </c>
      <c r="I1455" t="s">
        <v>56</v>
      </c>
      <c r="J1455">
        <v>1.4250000000000001E-3</v>
      </c>
      <c r="K1455" t="s">
        <v>57</v>
      </c>
      <c r="N1455" t="s">
        <v>518</v>
      </c>
      <c r="O1455">
        <v>8995</v>
      </c>
      <c r="P1455" t="s">
        <v>315</v>
      </c>
      <c r="S1455">
        <v>0.7</v>
      </c>
      <c r="T1455">
        <v>23.2</v>
      </c>
      <c r="U1455" t="s">
        <v>492</v>
      </c>
      <c r="V1455">
        <v>79.5</v>
      </c>
      <c r="W1455" t="s">
        <v>147</v>
      </c>
      <c r="X1455" t="s">
        <v>280</v>
      </c>
      <c r="Y1455">
        <v>240</v>
      </c>
      <c r="Z1455">
        <v>1</v>
      </c>
      <c r="AB1455">
        <v>5.67</v>
      </c>
      <c r="AC1455" t="s">
        <v>85</v>
      </c>
      <c r="AD1455" t="s">
        <v>520</v>
      </c>
      <c r="AE1455" t="s">
        <v>479</v>
      </c>
      <c r="AI1455">
        <v>5</v>
      </c>
      <c r="AT1455" t="s">
        <v>150</v>
      </c>
      <c r="AV1455" t="s">
        <v>88</v>
      </c>
    </row>
    <row r="1456" spans="1:48" hidden="1" x14ac:dyDescent="0.3">
      <c r="A1456" t="s">
        <v>477</v>
      </c>
      <c r="C1456" t="s">
        <v>251</v>
      </c>
      <c r="D1456" t="s">
        <v>81</v>
      </c>
      <c r="E1456">
        <v>10000000</v>
      </c>
      <c r="H1456">
        <v>14.25</v>
      </c>
      <c r="I1456" t="s">
        <v>56</v>
      </c>
      <c r="J1456">
        <v>1.4250000000000001E-3</v>
      </c>
      <c r="K1456" t="s">
        <v>57</v>
      </c>
      <c r="N1456" t="s">
        <v>518</v>
      </c>
      <c r="O1456">
        <v>8995</v>
      </c>
      <c r="P1456" t="s">
        <v>315</v>
      </c>
      <c r="S1456">
        <v>0.7</v>
      </c>
      <c r="T1456">
        <v>23.2</v>
      </c>
      <c r="U1456" t="s">
        <v>492</v>
      </c>
      <c r="V1456">
        <v>79.5</v>
      </c>
      <c r="W1456" t="s">
        <v>462</v>
      </c>
      <c r="X1456" t="s">
        <v>280</v>
      </c>
      <c r="Y1456">
        <v>240</v>
      </c>
      <c r="Z1456">
        <v>1</v>
      </c>
      <c r="AB1456">
        <v>1.23</v>
      </c>
      <c r="AC1456" t="s">
        <v>85</v>
      </c>
      <c r="AD1456" t="s">
        <v>521</v>
      </c>
      <c r="AE1456" t="s">
        <v>479</v>
      </c>
      <c r="AI1456">
        <v>5</v>
      </c>
      <c r="AT1456" t="s">
        <v>212</v>
      </c>
      <c r="AV1456" t="s">
        <v>88</v>
      </c>
    </row>
    <row r="1457" spans="1:48" hidden="1" x14ac:dyDescent="0.3">
      <c r="A1457" t="s">
        <v>477</v>
      </c>
      <c r="C1457" t="s">
        <v>251</v>
      </c>
      <c r="D1457" t="s">
        <v>81</v>
      </c>
      <c r="E1457">
        <v>10000000</v>
      </c>
      <c r="H1457">
        <v>14.25</v>
      </c>
      <c r="I1457" t="s">
        <v>56</v>
      </c>
      <c r="J1457">
        <v>1.4250000000000001E-3</v>
      </c>
      <c r="K1457" t="s">
        <v>57</v>
      </c>
      <c r="N1457" t="s">
        <v>518</v>
      </c>
      <c r="O1457">
        <v>8995</v>
      </c>
      <c r="P1457" t="s">
        <v>315</v>
      </c>
      <c r="S1457">
        <v>0.7</v>
      </c>
      <c r="T1457">
        <v>23.2</v>
      </c>
      <c r="U1457" t="s">
        <v>492</v>
      </c>
      <c r="V1457">
        <v>79.5</v>
      </c>
      <c r="W1457" t="s">
        <v>469</v>
      </c>
      <c r="X1457" t="s">
        <v>280</v>
      </c>
      <c r="Y1457">
        <v>240</v>
      </c>
      <c r="Z1457">
        <v>1</v>
      </c>
      <c r="AB1457">
        <v>2.73</v>
      </c>
      <c r="AC1457" t="s">
        <v>85</v>
      </c>
      <c r="AD1457" t="s">
        <v>522</v>
      </c>
      <c r="AE1457" t="s">
        <v>479</v>
      </c>
      <c r="AI1457">
        <v>5</v>
      </c>
      <c r="AT1457" t="s">
        <v>65</v>
      </c>
      <c r="AV1457" t="s">
        <v>88</v>
      </c>
    </row>
    <row r="1458" spans="1:48" hidden="1" x14ac:dyDescent="0.3">
      <c r="A1458" t="s">
        <v>477</v>
      </c>
      <c r="C1458" t="s">
        <v>251</v>
      </c>
      <c r="D1458" t="s">
        <v>81</v>
      </c>
      <c r="E1458">
        <v>10000000</v>
      </c>
      <c r="H1458">
        <v>14.25</v>
      </c>
      <c r="I1458" t="s">
        <v>56</v>
      </c>
      <c r="J1458">
        <v>1.4250000000000001E-3</v>
      </c>
      <c r="K1458" t="s">
        <v>57</v>
      </c>
      <c r="N1458" t="s">
        <v>523</v>
      </c>
      <c r="O1458">
        <v>9050</v>
      </c>
      <c r="P1458" t="s">
        <v>315</v>
      </c>
      <c r="S1458">
        <v>0.6</v>
      </c>
      <c r="T1458">
        <v>23.2</v>
      </c>
      <c r="U1458" t="s">
        <v>339</v>
      </c>
      <c r="V1458">
        <v>70.7</v>
      </c>
      <c r="W1458" t="s">
        <v>147</v>
      </c>
      <c r="X1458" t="s">
        <v>280</v>
      </c>
      <c r="Y1458">
        <v>240</v>
      </c>
      <c r="Z1458">
        <v>1</v>
      </c>
      <c r="AB1458">
        <v>1.39</v>
      </c>
      <c r="AC1458" t="s">
        <v>85</v>
      </c>
      <c r="AD1458" t="s">
        <v>524</v>
      </c>
      <c r="AE1458" t="s">
        <v>479</v>
      </c>
      <c r="AI1458">
        <v>5</v>
      </c>
      <c r="AT1458" t="s">
        <v>150</v>
      </c>
      <c r="AV1458" t="s">
        <v>88</v>
      </c>
    </row>
    <row r="1459" spans="1:48" hidden="1" x14ac:dyDescent="0.3">
      <c r="A1459" t="s">
        <v>477</v>
      </c>
      <c r="C1459" t="s">
        <v>251</v>
      </c>
      <c r="D1459" t="s">
        <v>81</v>
      </c>
      <c r="E1459">
        <v>100000000</v>
      </c>
      <c r="H1459">
        <v>14.25</v>
      </c>
      <c r="I1459" t="s">
        <v>56</v>
      </c>
      <c r="J1459">
        <v>1.4250000000000001E-3</v>
      </c>
      <c r="K1459" t="s">
        <v>57</v>
      </c>
      <c r="N1459" t="s">
        <v>523</v>
      </c>
      <c r="O1459">
        <v>9050</v>
      </c>
      <c r="P1459" t="s">
        <v>315</v>
      </c>
      <c r="S1459">
        <v>0.6</v>
      </c>
      <c r="T1459">
        <v>23.2</v>
      </c>
      <c r="U1459" t="s">
        <v>339</v>
      </c>
      <c r="V1459">
        <v>70.7</v>
      </c>
      <c r="W1459" t="s">
        <v>462</v>
      </c>
      <c r="X1459" t="s">
        <v>280</v>
      </c>
      <c r="Y1459">
        <v>240</v>
      </c>
      <c r="Z1459">
        <v>1</v>
      </c>
      <c r="AB1459">
        <v>2.35</v>
      </c>
      <c r="AC1459" t="s">
        <v>85</v>
      </c>
      <c r="AD1459" t="s">
        <v>104</v>
      </c>
      <c r="AE1459" t="s">
        <v>479</v>
      </c>
      <c r="AI1459">
        <v>5</v>
      </c>
      <c r="AT1459" t="s">
        <v>212</v>
      </c>
      <c r="AV1459" t="s">
        <v>88</v>
      </c>
    </row>
    <row r="1460" spans="1:48" hidden="1" x14ac:dyDescent="0.3">
      <c r="A1460" t="s">
        <v>477</v>
      </c>
      <c r="C1460" t="s">
        <v>251</v>
      </c>
      <c r="D1460" t="s">
        <v>81</v>
      </c>
      <c r="E1460">
        <v>100000000</v>
      </c>
      <c r="H1460">
        <v>14.25</v>
      </c>
      <c r="I1460" t="s">
        <v>56</v>
      </c>
      <c r="J1460">
        <v>1.4250000000000001E-3</v>
      </c>
      <c r="K1460" t="s">
        <v>57</v>
      </c>
      <c r="N1460" t="s">
        <v>523</v>
      </c>
      <c r="O1460">
        <v>9050</v>
      </c>
      <c r="P1460" t="s">
        <v>315</v>
      </c>
      <c r="S1460">
        <v>0.6</v>
      </c>
      <c r="T1460">
        <v>23.2</v>
      </c>
      <c r="U1460" t="s">
        <v>339</v>
      </c>
      <c r="V1460">
        <v>70.7</v>
      </c>
      <c r="W1460" t="s">
        <v>469</v>
      </c>
      <c r="X1460" t="s">
        <v>280</v>
      </c>
      <c r="Y1460">
        <v>240</v>
      </c>
      <c r="Z1460">
        <v>1</v>
      </c>
      <c r="AB1460">
        <v>2.59</v>
      </c>
      <c r="AC1460" t="s">
        <v>85</v>
      </c>
      <c r="AD1460" t="s">
        <v>525</v>
      </c>
      <c r="AE1460" t="s">
        <v>479</v>
      </c>
      <c r="AI1460">
        <v>5</v>
      </c>
      <c r="AT1460" t="s">
        <v>65</v>
      </c>
      <c r="AV1460" t="s">
        <v>88</v>
      </c>
    </row>
    <row r="1461" spans="1:48" hidden="1" x14ac:dyDescent="0.3">
      <c r="A1461" t="s">
        <v>477</v>
      </c>
      <c r="C1461" t="s">
        <v>251</v>
      </c>
      <c r="D1461" t="s">
        <v>81</v>
      </c>
      <c r="E1461">
        <v>100000000</v>
      </c>
      <c r="H1461">
        <v>14.25</v>
      </c>
      <c r="I1461" t="s">
        <v>56</v>
      </c>
      <c r="J1461">
        <v>1.4250000000000001E-3</v>
      </c>
      <c r="K1461" t="s">
        <v>57</v>
      </c>
      <c r="N1461" t="s">
        <v>523</v>
      </c>
      <c r="O1461">
        <v>9050</v>
      </c>
      <c r="P1461" t="s">
        <v>315</v>
      </c>
      <c r="S1461">
        <v>0.6</v>
      </c>
      <c r="T1461">
        <v>23.2</v>
      </c>
      <c r="U1461" t="s">
        <v>339</v>
      </c>
      <c r="V1461">
        <v>70.7</v>
      </c>
      <c r="W1461" t="s">
        <v>147</v>
      </c>
      <c r="X1461" t="s">
        <v>280</v>
      </c>
      <c r="Y1461">
        <v>240</v>
      </c>
      <c r="Z1461">
        <v>1</v>
      </c>
      <c r="AB1461">
        <v>3.04</v>
      </c>
      <c r="AC1461" t="s">
        <v>85</v>
      </c>
      <c r="AD1461" t="s">
        <v>433</v>
      </c>
      <c r="AE1461" t="s">
        <v>479</v>
      </c>
      <c r="AI1461">
        <v>5</v>
      </c>
      <c r="AT1461" t="s">
        <v>150</v>
      </c>
      <c r="AV1461" t="s">
        <v>88</v>
      </c>
    </row>
    <row r="1462" spans="1:48" hidden="1" x14ac:dyDescent="0.3">
      <c r="A1462" t="s">
        <v>477</v>
      </c>
      <c r="C1462" t="s">
        <v>251</v>
      </c>
      <c r="D1462" t="s">
        <v>81</v>
      </c>
      <c r="E1462">
        <v>100000000</v>
      </c>
      <c r="H1462">
        <v>14.25</v>
      </c>
      <c r="I1462" t="s">
        <v>56</v>
      </c>
      <c r="J1462">
        <v>1.4250000000000001E-3</v>
      </c>
      <c r="K1462" t="s">
        <v>57</v>
      </c>
      <c r="N1462" t="s">
        <v>523</v>
      </c>
      <c r="O1462">
        <v>9050</v>
      </c>
      <c r="P1462" t="s">
        <v>315</v>
      </c>
      <c r="S1462">
        <v>0.6</v>
      </c>
      <c r="T1462">
        <v>23.2</v>
      </c>
      <c r="U1462" t="s">
        <v>339</v>
      </c>
      <c r="V1462">
        <v>70.7</v>
      </c>
      <c r="W1462" t="s">
        <v>462</v>
      </c>
      <c r="X1462" t="s">
        <v>280</v>
      </c>
      <c r="Y1462">
        <v>240</v>
      </c>
      <c r="Z1462">
        <v>1</v>
      </c>
      <c r="AB1462">
        <v>0.82</v>
      </c>
      <c r="AC1462" t="s">
        <v>85</v>
      </c>
      <c r="AD1462" t="s">
        <v>98</v>
      </c>
      <c r="AE1462" t="s">
        <v>479</v>
      </c>
      <c r="AI1462">
        <v>5</v>
      </c>
      <c r="AT1462" t="s">
        <v>212</v>
      </c>
      <c r="AV1462" t="s">
        <v>88</v>
      </c>
    </row>
    <row r="1463" spans="1:48" hidden="1" x14ac:dyDescent="0.3">
      <c r="A1463" t="s">
        <v>477</v>
      </c>
      <c r="C1463" t="s">
        <v>251</v>
      </c>
      <c r="D1463" t="s">
        <v>81</v>
      </c>
      <c r="E1463">
        <v>100000000</v>
      </c>
      <c r="H1463">
        <v>14.25</v>
      </c>
      <c r="I1463" t="s">
        <v>56</v>
      </c>
      <c r="J1463">
        <v>1.4250000000000001E-3</v>
      </c>
      <c r="K1463" t="s">
        <v>57</v>
      </c>
      <c r="N1463" t="s">
        <v>523</v>
      </c>
      <c r="O1463">
        <v>9050</v>
      </c>
      <c r="P1463" t="s">
        <v>315</v>
      </c>
      <c r="S1463">
        <v>0.6</v>
      </c>
      <c r="T1463">
        <v>23.2</v>
      </c>
      <c r="U1463" t="s">
        <v>339</v>
      </c>
      <c r="V1463">
        <v>70.7</v>
      </c>
      <c r="W1463" t="s">
        <v>469</v>
      </c>
      <c r="X1463" t="s">
        <v>280</v>
      </c>
      <c r="Y1463">
        <v>240</v>
      </c>
      <c r="Z1463">
        <v>1</v>
      </c>
      <c r="AB1463">
        <v>1.68</v>
      </c>
      <c r="AC1463" t="s">
        <v>85</v>
      </c>
      <c r="AD1463" t="s">
        <v>519</v>
      </c>
      <c r="AE1463" t="s">
        <v>479</v>
      </c>
      <c r="AI1463">
        <v>5</v>
      </c>
      <c r="AT1463" t="s">
        <v>65</v>
      </c>
      <c r="AV1463" t="s">
        <v>88</v>
      </c>
    </row>
    <row r="1464" spans="1:48" hidden="1" x14ac:dyDescent="0.3">
      <c r="A1464" t="s">
        <v>477</v>
      </c>
      <c r="C1464" t="s">
        <v>251</v>
      </c>
      <c r="D1464" t="s">
        <v>81</v>
      </c>
      <c r="E1464">
        <v>100000000</v>
      </c>
      <c r="H1464">
        <v>14.25</v>
      </c>
      <c r="I1464" t="s">
        <v>56</v>
      </c>
      <c r="J1464">
        <v>1.4250000000000001E-3</v>
      </c>
      <c r="K1464" t="s">
        <v>57</v>
      </c>
      <c r="N1464" t="s">
        <v>526</v>
      </c>
      <c r="O1464">
        <v>9025</v>
      </c>
      <c r="P1464" t="s">
        <v>315</v>
      </c>
      <c r="S1464">
        <v>0.5</v>
      </c>
      <c r="T1464">
        <v>23.9</v>
      </c>
      <c r="U1464" t="s">
        <v>485</v>
      </c>
      <c r="V1464">
        <v>81.400000000000006</v>
      </c>
      <c r="W1464" t="s">
        <v>147</v>
      </c>
      <c r="X1464" t="s">
        <v>280</v>
      </c>
      <c r="Y1464">
        <v>240</v>
      </c>
      <c r="Z1464">
        <v>1</v>
      </c>
      <c r="AB1464">
        <v>2.0699999999999901</v>
      </c>
      <c r="AC1464" t="s">
        <v>85</v>
      </c>
      <c r="AD1464" t="s">
        <v>527</v>
      </c>
      <c r="AE1464" t="s">
        <v>479</v>
      </c>
      <c r="AI1464">
        <v>5</v>
      </c>
      <c r="AT1464" t="s">
        <v>150</v>
      </c>
      <c r="AV1464" t="s">
        <v>88</v>
      </c>
    </row>
    <row r="1465" spans="1:48" hidden="1" x14ac:dyDescent="0.3">
      <c r="A1465" t="s">
        <v>477</v>
      </c>
      <c r="C1465" t="s">
        <v>251</v>
      </c>
      <c r="D1465" t="s">
        <v>81</v>
      </c>
      <c r="E1465">
        <v>100000000</v>
      </c>
      <c r="H1465">
        <v>14.25</v>
      </c>
      <c r="I1465" t="s">
        <v>56</v>
      </c>
      <c r="J1465">
        <v>1.4250000000000001E-3</v>
      </c>
      <c r="K1465" t="s">
        <v>57</v>
      </c>
      <c r="N1465" t="s">
        <v>526</v>
      </c>
      <c r="O1465">
        <v>9025</v>
      </c>
      <c r="P1465" t="s">
        <v>315</v>
      </c>
      <c r="S1465">
        <v>0.5</v>
      </c>
      <c r="T1465">
        <v>23.9</v>
      </c>
      <c r="U1465" t="s">
        <v>485</v>
      </c>
      <c r="V1465">
        <v>81.400000000000006</v>
      </c>
      <c r="W1465" t="s">
        <v>462</v>
      </c>
      <c r="X1465" t="s">
        <v>280</v>
      </c>
      <c r="Y1465">
        <v>240</v>
      </c>
      <c r="AB1465">
        <v>2.94</v>
      </c>
      <c r="AC1465" t="s">
        <v>85</v>
      </c>
      <c r="AD1465" t="s">
        <v>528</v>
      </c>
      <c r="AE1465" t="s">
        <v>479</v>
      </c>
      <c r="AI1465">
        <v>5</v>
      </c>
      <c r="AT1465" t="s">
        <v>212</v>
      </c>
      <c r="AV1465" t="s">
        <v>88</v>
      </c>
    </row>
    <row r="1466" spans="1:48" hidden="1" x14ac:dyDescent="0.3">
      <c r="A1466" t="s">
        <v>477</v>
      </c>
      <c r="C1466" t="s">
        <v>251</v>
      </c>
      <c r="D1466" t="s">
        <v>81</v>
      </c>
      <c r="E1466">
        <v>100000000</v>
      </c>
      <c r="H1466">
        <v>14.25</v>
      </c>
      <c r="I1466" t="s">
        <v>56</v>
      </c>
      <c r="J1466">
        <v>1.4250000000000001E-3</v>
      </c>
      <c r="K1466" t="s">
        <v>57</v>
      </c>
      <c r="N1466" t="s">
        <v>526</v>
      </c>
      <c r="O1466">
        <v>9025</v>
      </c>
      <c r="P1466" t="s">
        <v>315</v>
      </c>
      <c r="S1466">
        <v>0.5</v>
      </c>
      <c r="T1466">
        <v>23.9</v>
      </c>
      <c r="U1466" t="s">
        <v>485</v>
      </c>
      <c r="V1466">
        <v>81.400000000000006</v>
      </c>
      <c r="W1466" t="s">
        <v>469</v>
      </c>
      <c r="X1466" t="s">
        <v>280</v>
      </c>
      <c r="Y1466">
        <v>240</v>
      </c>
      <c r="AB1466">
        <v>2.38</v>
      </c>
      <c r="AC1466" t="s">
        <v>85</v>
      </c>
      <c r="AD1466" t="s">
        <v>529</v>
      </c>
      <c r="AE1466" t="s">
        <v>479</v>
      </c>
      <c r="AI1466">
        <v>5</v>
      </c>
      <c r="AT1466" t="s">
        <v>65</v>
      </c>
      <c r="AV1466" t="s">
        <v>88</v>
      </c>
    </row>
    <row r="1467" spans="1:48" hidden="1" x14ac:dyDescent="0.3">
      <c r="A1467" t="s">
        <v>477</v>
      </c>
      <c r="C1467" t="s">
        <v>251</v>
      </c>
      <c r="D1467" t="s">
        <v>81</v>
      </c>
      <c r="E1467">
        <v>100000000</v>
      </c>
      <c r="H1467">
        <v>14.25</v>
      </c>
      <c r="I1467" t="s">
        <v>56</v>
      </c>
      <c r="J1467">
        <v>1.4250000000000001E-3</v>
      </c>
      <c r="K1467" t="s">
        <v>57</v>
      </c>
      <c r="N1467" t="s">
        <v>526</v>
      </c>
      <c r="O1467">
        <v>9025</v>
      </c>
      <c r="P1467" t="s">
        <v>315</v>
      </c>
      <c r="S1467">
        <v>0.5</v>
      </c>
      <c r="T1467">
        <v>23.9</v>
      </c>
      <c r="U1467" t="s">
        <v>485</v>
      </c>
      <c r="V1467">
        <v>81.400000000000006</v>
      </c>
      <c r="W1467" t="s">
        <v>147</v>
      </c>
      <c r="X1467" t="s">
        <v>280</v>
      </c>
      <c r="Y1467">
        <v>240</v>
      </c>
      <c r="AB1467">
        <v>6.67</v>
      </c>
      <c r="AC1467" t="s">
        <v>85</v>
      </c>
      <c r="AD1467" t="s">
        <v>530</v>
      </c>
      <c r="AE1467" t="s">
        <v>479</v>
      </c>
      <c r="AI1467">
        <v>5</v>
      </c>
      <c r="AT1467" t="s">
        <v>150</v>
      </c>
      <c r="AV1467" t="s">
        <v>88</v>
      </c>
    </row>
    <row r="1468" spans="1:48" hidden="1" x14ac:dyDescent="0.3">
      <c r="A1468" t="s">
        <v>477</v>
      </c>
      <c r="C1468" t="s">
        <v>251</v>
      </c>
      <c r="D1468" t="s">
        <v>81</v>
      </c>
      <c r="E1468">
        <v>100000000</v>
      </c>
      <c r="H1468">
        <v>14.25</v>
      </c>
      <c r="I1468" t="s">
        <v>56</v>
      </c>
      <c r="J1468">
        <v>1.4250000000000001E-3</v>
      </c>
      <c r="K1468" t="s">
        <v>57</v>
      </c>
      <c r="N1468" t="s">
        <v>526</v>
      </c>
      <c r="O1468">
        <v>9025</v>
      </c>
      <c r="P1468" t="s">
        <v>315</v>
      </c>
      <c r="S1468">
        <v>0.5</v>
      </c>
      <c r="T1468">
        <v>23.9</v>
      </c>
      <c r="U1468" t="s">
        <v>485</v>
      </c>
      <c r="V1468">
        <v>81.400000000000006</v>
      </c>
      <c r="W1468" t="s">
        <v>462</v>
      </c>
      <c r="X1468" t="s">
        <v>280</v>
      </c>
      <c r="Y1468">
        <v>240</v>
      </c>
      <c r="AB1468">
        <v>3.58</v>
      </c>
      <c r="AC1468" t="s">
        <v>85</v>
      </c>
      <c r="AD1468" t="s">
        <v>531</v>
      </c>
      <c r="AE1468" t="s">
        <v>479</v>
      </c>
      <c r="AI1468">
        <v>5</v>
      </c>
      <c r="AT1468" t="s">
        <v>212</v>
      </c>
      <c r="AV1468" t="s">
        <v>88</v>
      </c>
    </row>
    <row r="1469" spans="1:48" hidden="1" x14ac:dyDescent="0.3">
      <c r="A1469" t="s">
        <v>477</v>
      </c>
      <c r="C1469" t="s">
        <v>251</v>
      </c>
      <c r="D1469" t="s">
        <v>81</v>
      </c>
      <c r="E1469">
        <v>100000000</v>
      </c>
      <c r="H1469">
        <v>14.25</v>
      </c>
      <c r="I1469" t="s">
        <v>56</v>
      </c>
      <c r="J1469">
        <v>1.4250000000000001E-3</v>
      </c>
      <c r="K1469" t="s">
        <v>57</v>
      </c>
      <c r="N1469" t="s">
        <v>526</v>
      </c>
      <c r="O1469">
        <v>9025</v>
      </c>
      <c r="P1469" t="s">
        <v>315</v>
      </c>
      <c r="S1469">
        <v>0.5</v>
      </c>
      <c r="T1469">
        <v>23.9</v>
      </c>
      <c r="U1469" t="s">
        <v>485</v>
      </c>
      <c r="V1469">
        <v>81.400000000000006</v>
      </c>
      <c r="W1469" t="s">
        <v>469</v>
      </c>
      <c r="X1469" t="s">
        <v>280</v>
      </c>
      <c r="Y1469">
        <v>240</v>
      </c>
      <c r="AB1469">
        <v>3.05</v>
      </c>
      <c r="AC1469" t="s">
        <v>85</v>
      </c>
      <c r="AD1469" t="s">
        <v>107</v>
      </c>
      <c r="AE1469" t="s">
        <v>479</v>
      </c>
      <c r="AI1469">
        <v>5</v>
      </c>
      <c r="AT1469" t="s">
        <v>65</v>
      </c>
      <c r="AV1469" t="s">
        <v>88</v>
      </c>
    </row>
    <row r="1470" spans="1:48" hidden="1" x14ac:dyDescent="0.3">
      <c r="A1470" t="s">
        <v>477</v>
      </c>
      <c r="C1470" t="s">
        <v>251</v>
      </c>
      <c r="D1470" t="s">
        <v>81</v>
      </c>
      <c r="E1470">
        <v>100000000</v>
      </c>
      <c r="H1470">
        <v>14.25</v>
      </c>
      <c r="I1470" t="s">
        <v>56</v>
      </c>
      <c r="J1470">
        <v>1.4250000000000001E-3</v>
      </c>
      <c r="K1470" t="s">
        <v>57</v>
      </c>
      <c r="N1470" t="s">
        <v>532</v>
      </c>
      <c r="O1470">
        <v>8980</v>
      </c>
      <c r="P1470" t="s">
        <v>315</v>
      </c>
      <c r="S1470">
        <v>0.6</v>
      </c>
      <c r="T1470">
        <v>24.2</v>
      </c>
      <c r="U1470" t="s">
        <v>336</v>
      </c>
      <c r="V1470">
        <v>81.400000000000006</v>
      </c>
      <c r="W1470" t="s">
        <v>147</v>
      </c>
      <c r="X1470" t="s">
        <v>498</v>
      </c>
      <c r="Y1470">
        <v>240</v>
      </c>
      <c r="AB1470">
        <v>5.32</v>
      </c>
      <c r="AC1470" t="s">
        <v>85</v>
      </c>
      <c r="AD1470" t="s">
        <v>533</v>
      </c>
      <c r="AE1470" t="s">
        <v>479</v>
      </c>
      <c r="AI1470">
        <v>5</v>
      </c>
      <c r="AT1470" t="s">
        <v>150</v>
      </c>
      <c r="AV1470" t="s">
        <v>88</v>
      </c>
    </row>
    <row r="1471" spans="1:48" hidden="1" x14ac:dyDescent="0.3">
      <c r="A1471" t="s">
        <v>477</v>
      </c>
      <c r="C1471" t="s">
        <v>251</v>
      </c>
      <c r="D1471" t="s">
        <v>81</v>
      </c>
      <c r="E1471">
        <v>100000000</v>
      </c>
      <c r="H1471">
        <v>14.25</v>
      </c>
      <c r="I1471" t="s">
        <v>56</v>
      </c>
      <c r="J1471">
        <v>1.4250000000000001E-3</v>
      </c>
      <c r="K1471" t="s">
        <v>57</v>
      </c>
      <c r="N1471" t="s">
        <v>532</v>
      </c>
      <c r="O1471">
        <v>8980</v>
      </c>
      <c r="P1471" t="s">
        <v>315</v>
      </c>
      <c r="S1471">
        <v>0.6</v>
      </c>
      <c r="T1471">
        <v>24.2</v>
      </c>
      <c r="U1471" t="s">
        <v>336</v>
      </c>
      <c r="V1471">
        <v>81.400000000000006</v>
      </c>
      <c r="W1471" t="s">
        <v>462</v>
      </c>
      <c r="X1471" t="s">
        <v>498</v>
      </c>
      <c r="Y1471">
        <v>240</v>
      </c>
      <c r="AB1471">
        <v>5.0199999999999898</v>
      </c>
      <c r="AC1471" t="s">
        <v>85</v>
      </c>
      <c r="AD1471" t="s">
        <v>534</v>
      </c>
      <c r="AE1471" t="s">
        <v>479</v>
      </c>
      <c r="AI1471">
        <v>5</v>
      </c>
      <c r="AT1471" t="s">
        <v>212</v>
      </c>
      <c r="AV1471" t="s">
        <v>88</v>
      </c>
    </row>
    <row r="1472" spans="1:48" hidden="1" x14ac:dyDescent="0.3">
      <c r="A1472" t="s">
        <v>477</v>
      </c>
      <c r="C1472" t="s">
        <v>251</v>
      </c>
      <c r="D1472" t="s">
        <v>81</v>
      </c>
      <c r="E1472">
        <v>100000000</v>
      </c>
      <c r="H1472">
        <v>14.25</v>
      </c>
      <c r="I1472" t="s">
        <v>56</v>
      </c>
      <c r="J1472">
        <v>1.4250000000000001E-3</v>
      </c>
      <c r="K1472" t="s">
        <v>57</v>
      </c>
      <c r="N1472" t="s">
        <v>532</v>
      </c>
      <c r="O1472">
        <v>8980</v>
      </c>
      <c r="P1472" t="s">
        <v>315</v>
      </c>
      <c r="S1472">
        <v>0.6</v>
      </c>
      <c r="T1472">
        <v>24.2</v>
      </c>
      <c r="U1472" t="s">
        <v>336</v>
      </c>
      <c r="V1472">
        <v>81.400000000000006</v>
      </c>
      <c r="W1472" t="s">
        <v>469</v>
      </c>
      <c r="X1472" t="s">
        <v>498</v>
      </c>
      <c r="Y1472">
        <v>240</v>
      </c>
      <c r="AB1472">
        <v>3.13</v>
      </c>
      <c r="AC1472" t="s">
        <v>85</v>
      </c>
      <c r="AD1472" t="s">
        <v>98</v>
      </c>
      <c r="AE1472" t="s">
        <v>479</v>
      </c>
      <c r="AI1472">
        <v>5</v>
      </c>
      <c r="AT1472" t="s">
        <v>65</v>
      </c>
      <c r="AV1472" t="s">
        <v>88</v>
      </c>
    </row>
    <row r="1473" spans="1:48" hidden="1" x14ac:dyDescent="0.3">
      <c r="A1473" t="s">
        <v>477</v>
      </c>
      <c r="C1473" t="s">
        <v>251</v>
      </c>
      <c r="D1473" t="s">
        <v>81</v>
      </c>
      <c r="E1473">
        <v>100000000</v>
      </c>
      <c r="H1473">
        <v>14.25</v>
      </c>
      <c r="I1473" t="s">
        <v>56</v>
      </c>
      <c r="J1473">
        <v>1.4250000000000001E-3</v>
      </c>
      <c r="K1473" t="s">
        <v>57</v>
      </c>
      <c r="N1473" t="s">
        <v>532</v>
      </c>
      <c r="O1473">
        <v>8980</v>
      </c>
      <c r="P1473" t="s">
        <v>315</v>
      </c>
      <c r="S1473">
        <v>0.6</v>
      </c>
      <c r="T1473">
        <v>24.2</v>
      </c>
      <c r="U1473" t="s">
        <v>336</v>
      </c>
      <c r="V1473">
        <v>81.400000000000006</v>
      </c>
      <c r="W1473" t="s">
        <v>147</v>
      </c>
      <c r="X1473" t="s">
        <v>498</v>
      </c>
      <c r="Y1473">
        <v>240</v>
      </c>
      <c r="AB1473">
        <v>6.84</v>
      </c>
      <c r="AC1473" t="s">
        <v>85</v>
      </c>
      <c r="AD1473" t="s">
        <v>535</v>
      </c>
      <c r="AE1473" t="s">
        <v>479</v>
      </c>
      <c r="AI1473">
        <v>5</v>
      </c>
      <c r="AT1473" t="s">
        <v>150</v>
      </c>
      <c r="AV1473" t="s">
        <v>88</v>
      </c>
    </row>
    <row r="1474" spans="1:48" hidden="1" x14ac:dyDescent="0.3">
      <c r="A1474" t="s">
        <v>477</v>
      </c>
      <c r="C1474" t="s">
        <v>251</v>
      </c>
      <c r="D1474" t="s">
        <v>81</v>
      </c>
      <c r="E1474">
        <v>100000000</v>
      </c>
      <c r="H1474">
        <v>14.25</v>
      </c>
      <c r="I1474" t="s">
        <v>56</v>
      </c>
      <c r="J1474">
        <v>1.4250000000000001E-3</v>
      </c>
      <c r="K1474" t="s">
        <v>57</v>
      </c>
      <c r="N1474" t="s">
        <v>532</v>
      </c>
      <c r="O1474">
        <v>8980</v>
      </c>
      <c r="P1474" t="s">
        <v>315</v>
      </c>
      <c r="S1474">
        <v>0.6</v>
      </c>
      <c r="T1474">
        <v>24.2</v>
      </c>
      <c r="U1474" t="s">
        <v>336</v>
      </c>
      <c r="V1474">
        <v>81.400000000000006</v>
      </c>
      <c r="W1474" t="s">
        <v>462</v>
      </c>
      <c r="X1474" t="s">
        <v>498</v>
      </c>
      <c r="Y1474">
        <v>240</v>
      </c>
      <c r="AB1474">
        <v>0.95</v>
      </c>
      <c r="AC1474" t="s">
        <v>85</v>
      </c>
      <c r="AD1474" t="s">
        <v>536</v>
      </c>
      <c r="AE1474" t="s">
        <v>479</v>
      </c>
      <c r="AI1474">
        <v>5</v>
      </c>
      <c r="AT1474" t="s">
        <v>212</v>
      </c>
      <c r="AV1474" t="s">
        <v>88</v>
      </c>
    </row>
    <row r="1475" spans="1:48" hidden="1" x14ac:dyDescent="0.3">
      <c r="A1475" t="s">
        <v>477</v>
      </c>
      <c r="C1475" t="s">
        <v>251</v>
      </c>
      <c r="D1475" t="s">
        <v>81</v>
      </c>
      <c r="E1475">
        <v>100000000</v>
      </c>
      <c r="H1475">
        <v>14.25</v>
      </c>
      <c r="I1475" t="s">
        <v>56</v>
      </c>
      <c r="J1475">
        <v>1.4250000000000001E-3</v>
      </c>
      <c r="K1475" t="s">
        <v>57</v>
      </c>
      <c r="N1475" t="s">
        <v>532</v>
      </c>
      <c r="O1475">
        <v>8980</v>
      </c>
      <c r="P1475" t="s">
        <v>315</v>
      </c>
      <c r="S1475">
        <v>0.6</v>
      </c>
      <c r="T1475">
        <v>24.2</v>
      </c>
      <c r="U1475" t="s">
        <v>336</v>
      </c>
      <c r="V1475">
        <v>81.400000000000006</v>
      </c>
      <c r="W1475" t="s">
        <v>469</v>
      </c>
      <c r="X1475" t="s">
        <v>498</v>
      </c>
      <c r="Y1475">
        <v>240</v>
      </c>
      <c r="AB1475">
        <v>4.0999999999999899</v>
      </c>
      <c r="AC1475" t="s">
        <v>85</v>
      </c>
      <c r="AD1475" t="s">
        <v>482</v>
      </c>
      <c r="AE1475" t="s">
        <v>479</v>
      </c>
      <c r="AI1475">
        <v>5</v>
      </c>
      <c r="AT1475" t="s">
        <v>65</v>
      </c>
      <c r="AV1475" t="s">
        <v>88</v>
      </c>
    </row>
    <row r="1476" spans="1:48" hidden="1" x14ac:dyDescent="0.3">
      <c r="A1476" t="s">
        <v>537</v>
      </c>
      <c r="C1476" t="s">
        <v>251</v>
      </c>
      <c r="D1476" t="s">
        <v>81</v>
      </c>
      <c r="E1476">
        <v>100000000</v>
      </c>
      <c r="H1476">
        <v>14.25</v>
      </c>
      <c r="I1476" t="s">
        <v>56</v>
      </c>
      <c r="J1476">
        <v>1.4250000000000001E-3</v>
      </c>
      <c r="K1476" t="s">
        <v>57</v>
      </c>
      <c r="L1476" t="s">
        <v>58</v>
      </c>
      <c r="N1476" t="s">
        <v>538</v>
      </c>
      <c r="O1476">
        <v>300</v>
      </c>
      <c r="P1476" t="s">
        <v>262</v>
      </c>
      <c r="S1476">
        <v>1.02</v>
      </c>
      <c r="T1476">
        <v>50</v>
      </c>
      <c r="U1476" t="s">
        <v>539</v>
      </c>
      <c r="V1476">
        <v>30</v>
      </c>
      <c r="W1476" t="s">
        <v>147</v>
      </c>
      <c r="X1476" t="s">
        <v>280</v>
      </c>
      <c r="Y1476">
        <v>180</v>
      </c>
      <c r="AB1476">
        <v>4.7699999999999996</v>
      </c>
      <c r="AC1476" t="s">
        <v>85</v>
      </c>
      <c r="AD1476">
        <v>0.91</v>
      </c>
      <c r="AE1476" t="s">
        <v>138</v>
      </c>
      <c r="AI1476">
        <v>5</v>
      </c>
      <c r="AJ1476" t="s">
        <v>201</v>
      </c>
      <c r="AT1476" t="s">
        <v>150</v>
      </c>
      <c r="AV1476" t="s">
        <v>88</v>
      </c>
    </row>
    <row r="1477" spans="1:48" hidden="1" x14ac:dyDescent="0.3">
      <c r="A1477" t="s">
        <v>537</v>
      </c>
      <c r="C1477" t="s">
        <v>251</v>
      </c>
      <c r="D1477" t="s">
        <v>81</v>
      </c>
      <c r="E1477">
        <v>100000000</v>
      </c>
      <c r="H1477">
        <v>14.25</v>
      </c>
      <c r="I1477" t="s">
        <v>56</v>
      </c>
      <c r="J1477">
        <v>1.4250000000000001E-3</v>
      </c>
      <c r="K1477" t="s">
        <v>57</v>
      </c>
      <c r="L1477" t="s">
        <v>58</v>
      </c>
      <c r="N1477" t="s">
        <v>538</v>
      </c>
      <c r="O1477">
        <v>300</v>
      </c>
      <c r="P1477" t="s">
        <v>262</v>
      </c>
      <c r="S1477">
        <v>1.02</v>
      </c>
      <c r="T1477">
        <v>50</v>
      </c>
      <c r="U1477" t="s">
        <v>539</v>
      </c>
      <c r="V1477">
        <v>30</v>
      </c>
      <c r="W1477" t="s">
        <v>540</v>
      </c>
      <c r="X1477" t="s">
        <v>280</v>
      </c>
      <c r="Y1477">
        <v>180</v>
      </c>
      <c r="AB1477">
        <v>4.26</v>
      </c>
      <c r="AC1477" t="s">
        <v>85</v>
      </c>
      <c r="AD1477">
        <v>0.47</v>
      </c>
      <c r="AE1477" t="s">
        <v>138</v>
      </c>
      <c r="AI1477">
        <v>5</v>
      </c>
      <c r="AJ1477" t="s">
        <v>201</v>
      </c>
      <c r="AT1477" t="s">
        <v>212</v>
      </c>
      <c r="AV1477" t="s">
        <v>88</v>
      </c>
    </row>
    <row r="1478" spans="1:48" hidden="1" x14ac:dyDescent="0.3">
      <c r="A1478" t="s">
        <v>537</v>
      </c>
      <c r="C1478" t="s">
        <v>251</v>
      </c>
      <c r="D1478" t="s">
        <v>81</v>
      </c>
      <c r="E1478">
        <v>100000000</v>
      </c>
      <c r="H1478">
        <v>14.25</v>
      </c>
      <c r="I1478" t="s">
        <v>56</v>
      </c>
      <c r="J1478">
        <v>1.4250000000000001E-3</v>
      </c>
      <c r="K1478" t="s">
        <v>57</v>
      </c>
      <c r="L1478" t="s">
        <v>58</v>
      </c>
      <c r="N1478" t="s">
        <v>538</v>
      </c>
      <c r="O1478">
        <v>300</v>
      </c>
      <c r="P1478" t="s">
        <v>262</v>
      </c>
      <c r="S1478">
        <v>1.02</v>
      </c>
      <c r="T1478">
        <v>50</v>
      </c>
      <c r="U1478" t="s">
        <v>539</v>
      </c>
      <c r="V1478">
        <v>30</v>
      </c>
      <c r="W1478" t="s">
        <v>541</v>
      </c>
      <c r="X1478" t="s">
        <v>280</v>
      </c>
      <c r="Y1478">
        <v>180</v>
      </c>
      <c r="AB1478">
        <v>4.54</v>
      </c>
      <c r="AC1478" t="s">
        <v>85</v>
      </c>
      <c r="AD1478">
        <v>0.59</v>
      </c>
      <c r="AE1478" t="s">
        <v>138</v>
      </c>
      <c r="AI1478">
        <v>5</v>
      </c>
      <c r="AJ1478" t="s">
        <v>201</v>
      </c>
      <c r="AT1478" t="s">
        <v>382</v>
      </c>
      <c r="AV1478" t="s">
        <v>88</v>
      </c>
    </row>
    <row r="1479" spans="1:48" hidden="1" x14ac:dyDescent="0.3">
      <c r="A1479" t="s">
        <v>537</v>
      </c>
      <c r="C1479" t="s">
        <v>251</v>
      </c>
      <c r="D1479" t="s">
        <v>81</v>
      </c>
      <c r="E1479">
        <v>100000000</v>
      </c>
      <c r="H1479">
        <v>14.25</v>
      </c>
      <c r="I1479" t="s">
        <v>56</v>
      </c>
      <c r="J1479">
        <v>1.4250000000000001E-3</v>
      </c>
      <c r="K1479" t="s">
        <v>57</v>
      </c>
      <c r="L1479" t="s">
        <v>58</v>
      </c>
      <c r="N1479" t="s">
        <v>538</v>
      </c>
      <c r="O1479">
        <v>300</v>
      </c>
      <c r="P1479" t="s">
        <v>262</v>
      </c>
      <c r="S1479">
        <v>1.02</v>
      </c>
      <c r="T1479">
        <v>50</v>
      </c>
      <c r="U1479" t="s">
        <v>539</v>
      </c>
      <c r="V1479">
        <v>30</v>
      </c>
      <c r="W1479" t="s">
        <v>542</v>
      </c>
      <c r="X1479" t="s">
        <v>280</v>
      </c>
      <c r="Y1479">
        <v>180</v>
      </c>
      <c r="AB1479">
        <v>1.78</v>
      </c>
      <c r="AC1479" t="s">
        <v>85</v>
      </c>
      <c r="AD1479">
        <v>0.14000000000000001</v>
      </c>
      <c r="AE1479" t="s">
        <v>138</v>
      </c>
      <c r="AI1479">
        <v>5</v>
      </c>
      <c r="AJ1479" t="s">
        <v>201</v>
      </c>
      <c r="AT1479" t="s">
        <v>382</v>
      </c>
      <c r="AV1479" t="s">
        <v>88</v>
      </c>
    </row>
    <row r="1480" spans="1:48" hidden="1" x14ac:dyDescent="0.3">
      <c r="A1480" t="s">
        <v>537</v>
      </c>
      <c r="C1480" t="s">
        <v>251</v>
      </c>
      <c r="D1480" t="s">
        <v>81</v>
      </c>
      <c r="E1480">
        <v>100000000</v>
      </c>
      <c r="H1480">
        <v>14.25</v>
      </c>
      <c r="I1480" t="s">
        <v>56</v>
      </c>
      <c r="J1480">
        <v>1.4250000000000001E-3</v>
      </c>
      <c r="K1480" t="s">
        <v>57</v>
      </c>
      <c r="L1480" t="s">
        <v>58</v>
      </c>
      <c r="N1480" t="s">
        <v>538</v>
      </c>
      <c r="O1480">
        <v>300</v>
      </c>
      <c r="P1480" t="s">
        <v>262</v>
      </c>
      <c r="S1480">
        <v>1.02</v>
      </c>
      <c r="T1480">
        <v>50</v>
      </c>
      <c r="U1480" t="s">
        <v>539</v>
      </c>
      <c r="V1480">
        <v>30</v>
      </c>
      <c r="W1480" t="s">
        <v>543</v>
      </c>
      <c r="X1480" t="s">
        <v>280</v>
      </c>
      <c r="Y1480">
        <v>180</v>
      </c>
      <c r="AB1480">
        <v>3.04</v>
      </c>
      <c r="AC1480" t="s">
        <v>85</v>
      </c>
      <c r="AD1480">
        <v>0.23</v>
      </c>
      <c r="AE1480" t="s">
        <v>138</v>
      </c>
      <c r="AI1480">
        <v>5</v>
      </c>
      <c r="AJ1480" t="s">
        <v>201</v>
      </c>
      <c r="AT1480" t="s">
        <v>382</v>
      </c>
      <c r="AV1480" t="s">
        <v>88</v>
      </c>
    </row>
    <row r="1481" spans="1:48" hidden="1" x14ac:dyDescent="0.3">
      <c r="A1481" t="s">
        <v>537</v>
      </c>
      <c r="C1481" t="s">
        <v>251</v>
      </c>
      <c r="D1481" t="s">
        <v>81</v>
      </c>
      <c r="E1481">
        <v>100000000</v>
      </c>
      <c r="H1481">
        <v>14.25</v>
      </c>
      <c r="I1481" t="s">
        <v>56</v>
      </c>
      <c r="J1481">
        <v>1.4250000000000001E-3</v>
      </c>
      <c r="K1481" t="s">
        <v>57</v>
      </c>
      <c r="L1481" t="s">
        <v>58</v>
      </c>
      <c r="N1481" t="s">
        <v>538</v>
      </c>
      <c r="O1481">
        <v>300</v>
      </c>
      <c r="P1481" t="s">
        <v>262</v>
      </c>
      <c r="S1481">
        <v>1.02</v>
      </c>
      <c r="T1481">
        <v>50</v>
      </c>
      <c r="U1481" t="s">
        <v>539</v>
      </c>
      <c r="V1481">
        <v>30</v>
      </c>
      <c r="W1481" t="s">
        <v>544</v>
      </c>
      <c r="X1481" t="s">
        <v>280</v>
      </c>
      <c r="Y1481">
        <v>180</v>
      </c>
      <c r="AB1481">
        <v>4.99</v>
      </c>
      <c r="AC1481" t="s">
        <v>85</v>
      </c>
      <c r="AD1481">
        <v>0.71</v>
      </c>
      <c r="AE1481" t="s">
        <v>138</v>
      </c>
      <c r="AI1481">
        <v>5</v>
      </c>
      <c r="AJ1481" t="s">
        <v>201</v>
      </c>
      <c r="AT1481" t="s">
        <v>65</v>
      </c>
      <c r="AV1481" t="s">
        <v>88</v>
      </c>
    </row>
    <row r="1482" spans="1:48" hidden="1" x14ac:dyDescent="0.3">
      <c r="A1482" t="s">
        <v>537</v>
      </c>
      <c r="C1482" t="s">
        <v>251</v>
      </c>
      <c r="D1482" t="s">
        <v>81</v>
      </c>
      <c r="E1482">
        <v>100000000</v>
      </c>
      <c r="H1482">
        <v>14.25</v>
      </c>
      <c r="I1482" t="s">
        <v>56</v>
      </c>
      <c r="J1482">
        <v>1.4250000000000001E-3</v>
      </c>
      <c r="K1482" t="s">
        <v>57</v>
      </c>
      <c r="L1482" t="s">
        <v>58</v>
      </c>
      <c r="N1482" t="s">
        <v>538</v>
      </c>
      <c r="O1482">
        <v>150</v>
      </c>
      <c r="P1482" t="s">
        <v>262</v>
      </c>
      <c r="S1482">
        <v>1.02</v>
      </c>
      <c r="T1482">
        <v>50</v>
      </c>
      <c r="U1482" t="s">
        <v>539</v>
      </c>
      <c r="V1482">
        <v>50</v>
      </c>
      <c r="W1482" t="s">
        <v>147</v>
      </c>
      <c r="X1482" t="s">
        <v>280</v>
      </c>
      <c r="Y1482">
        <v>45</v>
      </c>
      <c r="AB1482">
        <v>3.89</v>
      </c>
      <c r="AC1482" t="s">
        <v>85</v>
      </c>
      <c r="AD1482">
        <v>0.35</v>
      </c>
      <c r="AE1482" t="s">
        <v>138</v>
      </c>
      <c r="AI1482">
        <v>5</v>
      </c>
      <c r="AJ1482" t="s">
        <v>201</v>
      </c>
      <c r="AT1482" t="s">
        <v>150</v>
      </c>
      <c r="AV1482" t="s">
        <v>88</v>
      </c>
    </row>
    <row r="1483" spans="1:48" hidden="1" x14ac:dyDescent="0.3">
      <c r="A1483" t="s">
        <v>537</v>
      </c>
      <c r="C1483" t="s">
        <v>251</v>
      </c>
      <c r="D1483" t="s">
        <v>81</v>
      </c>
      <c r="E1483">
        <v>100000000</v>
      </c>
      <c r="H1483">
        <v>14.25</v>
      </c>
      <c r="I1483" t="s">
        <v>56</v>
      </c>
      <c r="J1483">
        <v>1.4250000000000001E-3</v>
      </c>
      <c r="K1483" t="s">
        <v>57</v>
      </c>
      <c r="L1483" t="s">
        <v>58</v>
      </c>
      <c r="N1483" t="s">
        <v>538</v>
      </c>
      <c r="O1483">
        <v>150</v>
      </c>
      <c r="P1483" t="s">
        <v>262</v>
      </c>
      <c r="S1483">
        <v>1.02</v>
      </c>
      <c r="T1483">
        <v>50</v>
      </c>
      <c r="U1483" t="s">
        <v>539</v>
      </c>
      <c r="V1483">
        <v>50</v>
      </c>
      <c r="W1483" t="s">
        <v>540</v>
      </c>
      <c r="X1483" t="s">
        <v>280</v>
      </c>
      <c r="Y1483">
        <v>45</v>
      </c>
      <c r="AB1483">
        <v>3.31</v>
      </c>
      <c r="AC1483" t="s">
        <v>85</v>
      </c>
      <c r="AD1483">
        <v>0.59</v>
      </c>
      <c r="AE1483" t="s">
        <v>138</v>
      </c>
      <c r="AI1483">
        <v>5</v>
      </c>
      <c r="AJ1483" t="s">
        <v>201</v>
      </c>
      <c r="AT1483" t="s">
        <v>212</v>
      </c>
      <c r="AV1483" t="s">
        <v>88</v>
      </c>
    </row>
    <row r="1484" spans="1:48" hidden="1" x14ac:dyDescent="0.3">
      <c r="A1484" t="s">
        <v>537</v>
      </c>
      <c r="C1484" t="s">
        <v>251</v>
      </c>
      <c r="D1484" t="s">
        <v>81</v>
      </c>
      <c r="E1484">
        <v>100000000</v>
      </c>
      <c r="H1484">
        <v>14.25</v>
      </c>
      <c r="I1484" t="s">
        <v>56</v>
      </c>
      <c r="J1484">
        <v>1.4250000000000001E-3</v>
      </c>
      <c r="K1484" t="s">
        <v>57</v>
      </c>
      <c r="L1484" t="s">
        <v>58</v>
      </c>
      <c r="N1484" t="s">
        <v>538</v>
      </c>
      <c r="O1484">
        <v>150</v>
      </c>
      <c r="P1484" t="s">
        <v>262</v>
      </c>
      <c r="S1484">
        <v>1.02</v>
      </c>
      <c r="T1484">
        <v>50</v>
      </c>
      <c r="U1484" t="s">
        <v>539</v>
      </c>
      <c r="V1484">
        <v>50</v>
      </c>
      <c r="W1484" t="s">
        <v>541</v>
      </c>
      <c r="X1484" t="s">
        <v>280</v>
      </c>
      <c r="Y1484">
        <v>45</v>
      </c>
      <c r="AB1484">
        <v>3.11</v>
      </c>
      <c r="AC1484" t="s">
        <v>85</v>
      </c>
      <c r="AD1484">
        <v>0.09</v>
      </c>
      <c r="AE1484" t="s">
        <v>138</v>
      </c>
      <c r="AI1484">
        <v>5</v>
      </c>
      <c r="AJ1484" t="s">
        <v>201</v>
      </c>
      <c r="AT1484" t="s">
        <v>382</v>
      </c>
      <c r="AV1484" t="s">
        <v>88</v>
      </c>
    </row>
    <row r="1485" spans="1:48" hidden="1" x14ac:dyDescent="0.3">
      <c r="A1485" t="s">
        <v>537</v>
      </c>
      <c r="C1485" t="s">
        <v>251</v>
      </c>
      <c r="D1485" t="s">
        <v>81</v>
      </c>
      <c r="E1485">
        <v>100000000</v>
      </c>
      <c r="H1485">
        <v>14.25</v>
      </c>
      <c r="I1485" t="s">
        <v>56</v>
      </c>
      <c r="J1485">
        <v>1.4250000000000001E-3</v>
      </c>
      <c r="K1485" t="s">
        <v>57</v>
      </c>
      <c r="L1485" t="s">
        <v>58</v>
      </c>
      <c r="N1485" t="s">
        <v>538</v>
      </c>
      <c r="O1485">
        <v>150</v>
      </c>
      <c r="P1485" t="s">
        <v>262</v>
      </c>
      <c r="S1485">
        <v>1.02</v>
      </c>
      <c r="T1485">
        <v>50</v>
      </c>
      <c r="U1485" t="s">
        <v>539</v>
      </c>
      <c r="V1485">
        <v>50</v>
      </c>
      <c r="W1485" t="s">
        <v>542</v>
      </c>
      <c r="X1485" t="s">
        <v>280</v>
      </c>
      <c r="Y1485">
        <v>45</v>
      </c>
      <c r="AB1485">
        <v>2.1</v>
      </c>
      <c r="AC1485" t="s">
        <v>85</v>
      </c>
      <c r="AD1485">
        <v>7.0000000000000007E-2</v>
      </c>
      <c r="AE1485" t="s">
        <v>138</v>
      </c>
      <c r="AI1485">
        <v>5</v>
      </c>
      <c r="AJ1485" t="s">
        <v>201</v>
      </c>
      <c r="AT1485" t="s">
        <v>382</v>
      </c>
      <c r="AV1485" t="s">
        <v>88</v>
      </c>
    </row>
    <row r="1486" spans="1:48" hidden="1" x14ac:dyDescent="0.3">
      <c r="A1486" t="s">
        <v>537</v>
      </c>
      <c r="C1486" t="s">
        <v>251</v>
      </c>
      <c r="D1486" t="s">
        <v>81</v>
      </c>
      <c r="E1486">
        <v>100000000</v>
      </c>
      <c r="H1486">
        <v>14.25</v>
      </c>
      <c r="I1486" t="s">
        <v>56</v>
      </c>
      <c r="J1486">
        <v>1.4250000000000001E-3</v>
      </c>
      <c r="K1486" t="s">
        <v>57</v>
      </c>
      <c r="L1486" t="s">
        <v>58</v>
      </c>
      <c r="N1486" t="s">
        <v>538</v>
      </c>
      <c r="O1486">
        <v>150</v>
      </c>
      <c r="P1486" t="s">
        <v>262</v>
      </c>
      <c r="S1486">
        <v>1.02</v>
      </c>
      <c r="T1486">
        <v>50</v>
      </c>
      <c r="U1486" t="s">
        <v>539</v>
      </c>
      <c r="V1486">
        <v>50</v>
      </c>
      <c r="W1486" t="s">
        <v>543</v>
      </c>
      <c r="X1486" t="s">
        <v>280</v>
      </c>
      <c r="Y1486">
        <v>45</v>
      </c>
      <c r="AB1486">
        <v>2.77</v>
      </c>
      <c r="AC1486" t="s">
        <v>85</v>
      </c>
      <c r="AD1486">
        <v>0.17</v>
      </c>
      <c r="AE1486" t="s">
        <v>138</v>
      </c>
      <c r="AI1486">
        <v>5</v>
      </c>
      <c r="AJ1486" t="s">
        <v>201</v>
      </c>
      <c r="AT1486" t="s">
        <v>382</v>
      </c>
      <c r="AV1486" t="s">
        <v>88</v>
      </c>
    </row>
    <row r="1487" spans="1:48" hidden="1" x14ac:dyDescent="0.3">
      <c r="A1487" t="s">
        <v>537</v>
      </c>
      <c r="C1487" t="s">
        <v>251</v>
      </c>
      <c r="D1487" t="s">
        <v>81</v>
      </c>
      <c r="E1487">
        <v>100000000</v>
      </c>
      <c r="H1487">
        <v>14.25</v>
      </c>
      <c r="I1487" t="s">
        <v>56</v>
      </c>
      <c r="J1487">
        <v>1.4250000000000001E-3</v>
      </c>
      <c r="K1487" t="s">
        <v>57</v>
      </c>
      <c r="L1487" t="s">
        <v>58</v>
      </c>
      <c r="N1487" t="s">
        <v>538</v>
      </c>
      <c r="O1487">
        <v>150</v>
      </c>
      <c r="P1487" t="s">
        <v>262</v>
      </c>
      <c r="S1487">
        <v>1.02</v>
      </c>
      <c r="T1487">
        <v>50</v>
      </c>
      <c r="U1487" t="s">
        <v>539</v>
      </c>
      <c r="V1487">
        <v>50</v>
      </c>
      <c r="W1487" t="s">
        <v>544</v>
      </c>
      <c r="X1487" t="s">
        <v>280</v>
      </c>
      <c r="Y1487">
        <v>45</v>
      </c>
      <c r="AB1487">
        <v>3.83</v>
      </c>
      <c r="AC1487" t="s">
        <v>85</v>
      </c>
      <c r="AD1487">
        <v>0.2</v>
      </c>
      <c r="AE1487" t="s">
        <v>138</v>
      </c>
      <c r="AI1487">
        <v>5</v>
      </c>
      <c r="AJ1487" t="s">
        <v>201</v>
      </c>
      <c r="AT1487" t="s">
        <v>65</v>
      </c>
      <c r="AV1487" t="s">
        <v>88</v>
      </c>
    </row>
    <row r="1488" spans="1:48" hidden="1" x14ac:dyDescent="0.3">
      <c r="A1488" t="s">
        <v>537</v>
      </c>
      <c r="C1488" t="s">
        <v>251</v>
      </c>
      <c r="D1488" t="s">
        <v>81</v>
      </c>
      <c r="E1488">
        <v>100000000</v>
      </c>
      <c r="H1488">
        <v>14.25</v>
      </c>
      <c r="I1488" t="s">
        <v>56</v>
      </c>
      <c r="J1488">
        <v>1.4250000000000001E-3</v>
      </c>
      <c r="K1488" t="s">
        <v>57</v>
      </c>
      <c r="L1488" t="s">
        <v>58</v>
      </c>
      <c r="N1488" t="s">
        <v>538</v>
      </c>
      <c r="O1488">
        <v>150</v>
      </c>
      <c r="P1488" t="s">
        <v>262</v>
      </c>
      <c r="S1488">
        <v>1.02</v>
      </c>
      <c r="T1488">
        <v>50</v>
      </c>
      <c r="U1488" t="s">
        <v>539</v>
      </c>
      <c r="V1488">
        <v>50</v>
      </c>
      <c r="W1488" t="s">
        <v>147</v>
      </c>
      <c r="X1488" t="s">
        <v>280</v>
      </c>
      <c r="Y1488">
        <v>90</v>
      </c>
      <c r="AB1488">
        <v>5.68</v>
      </c>
      <c r="AC1488" t="s">
        <v>85</v>
      </c>
      <c r="AD1488">
        <v>1.82</v>
      </c>
      <c r="AE1488" t="s">
        <v>138</v>
      </c>
      <c r="AI1488">
        <v>5</v>
      </c>
      <c r="AJ1488" t="s">
        <v>201</v>
      </c>
      <c r="AT1488" t="s">
        <v>150</v>
      </c>
      <c r="AV1488" t="s">
        <v>88</v>
      </c>
    </row>
    <row r="1489" spans="1:53" hidden="1" x14ac:dyDescent="0.3">
      <c r="A1489" t="s">
        <v>537</v>
      </c>
      <c r="C1489" t="s">
        <v>251</v>
      </c>
      <c r="D1489" t="s">
        <v>81</v>
      </c>
      <c r="E1489">
        <v>100000000</v>
      </c>
      <c r="H1489">
        <v>14.25</v>
      </c>
      <c r="I1489" t="s">
        <v>56</v>
      </c>
      <c r="J1489">
        <v>1.4250000000000001E-3</v>
      </c>
      <c r="K1489" t="s">
        <v>57</v>
      </c>
      <c r="L1489" t="s">
        <v>58</v>
      </c>
      <c r="N1489" t="s">
        <v>538</v>
      </c>
      <c r="O1489">
        <v>150</v>
      </c>
      <c r="P1489" t="s">
        <v>262</v>
      </c>
      <c r="S1489">
        <v>1.02</v>
      </c>
      <c r="T1489">
        <v>50</v>
      </c>
      <c r="U1489" t="s">
        <v>539</v>
      </c>
      <c r="V1489">
        <v>50</v>
      </c>
      <c r="W1489" t="s">
        <v>540</v>
      </c>
      <c r="X1489" t="s">
        <v>280</v>
      </c>
      <c r="Y1489">
        <v>90</v>
      </c>
      <c r="AA1489" t="s">
        <v>94</v>
      </c>
      <c r="AB1489">
        <v>6.62</v>
      </c>
      <c r="AC1489" t="s">
        <v>85</v>
      </c>
      <c r="AD1489">
        <v>0.12</v>
      </c>
      <c r="AE1489" t="s">
        <v>138</v>
      </c>
      <c r="AI1489">
        <v>5</v>
      </c>
      <c r="AJ1489" t="s">
        <v>201</v>
      </c>
      <c r="AT1489" t="s">
        <v>212</v>
      </c>
      <c r="AV1489" t="s">
        <v>88</v>
      </c>
      <c r="AZ1489">
        <v>0</v>
      </c>
      <c r="BA1489">
        <v>6.62</v>
      </c>
    </row>
    <row r="1490" spans="1:53" hidden="1" x14ac:dyDescent="0.3">
      <c r="A1490" t="s">
        <v>537</v>
      </c>
      <c r="C1490" t="s">
        <v>251</v>
      </c>
      <c r="D1490" t="s">
        <v>81</v>
      </c>
      <c r="E1490">
        <v>100000000</v>
      </c>
      <c r="H1490">
        <v>14.25</v>
      </c>
      <c r="I1490" t="s">
        <v>56</v>
      </c>
      <c r="J1490">
        <v>1.4250000000000001E-3</v>
      </c>
      <c r="K1490" t="s">
        <v>57</v>
      </c>
      <c r="L1490" t="s">
        <v>58</v>
      </c>
      <c r="N1490" t="s">
        <v>538</v>
      </c>
      <c r="O1490">
        <v>150</v>
      </c>
      <c r="P1490" t="s">
        <v>262</v>
      </c>
      <c r="S1490">
        <v>1.02</v>
      </c>
      <c r="T1490">
        <v>50</v>
      </c>
      <c r="U1490" t="s">
        <v>539</v>
      </c>
      <c r="V1490">
        <v>50</v>
      </c>
      <c r="W1490" t="s">
        <v>541</v>
      </c>
      <c r="X1490" t="s">
        <v>280</v>
      </c>
      <c r="Y1490">
        <v>90</v>
      </c>
      <c r="AB1490">
        <v>4.6500000000000004</v>
      </c>
      <c r="AC1490" t="s">
        <v>85</v>
      </c>
      <c r="AD1490">
        <v>1.5</v>
      </c>
      <c r="AE1490" t="s">
        <v>138</v>
      </c>
      <c r="AI1490">
        <v>5</v>
      </c>
      <c r="AJ1490" t="s">
        <v>201</v>
      </c>
      <c r="AT1490" t="s">
        <v>382</v>
      </c>
      <c r="AV1490" t="s">
        <v>88</v>
      </c>
    </row>
    <row r="1491" spans="1:53" hidden="1" x14ac:dyDescent="0.3">
      <c r="A1491" t="s">
        <v>537</v>
      </c>
      <c r="C1491" t="s">
        <v>251</v>
      </c>
      <c r="D1491" t="s">
        <v>81</v>
      </c>
      <c r="E1491">
        <v>100000000</v>
      </c>
      <c r="H1491">
        <v>14.25</v>
      </c>
      <c r="I1491" t="s">
        <v>56</v>
      </c>
      <c r="J1491">
        <v>1.4250000000000001E-3</v>
      </c>
      <c r="K1491" t="s">
        <v>57</v>
      </c>
      <c r="L1491" t="s">
        <v>58</v>
      </c>
      <c r="N1491" t="s">
        <v>538</v>
      </c>
      <c r="O1491">
        <v>150</v>
      </c>
      <c r="P1491" t="s">
        <v>262</v>
      </c>
      <c r="S1491">
        <v>1.02</v>
      </c>
      <c r="T1491">
        <v>50</v>
      </c>
      <c r="U1491" t="s">
        <v>539</v>
      </c>
      <c r="V1491">
        <v>50</v>
      </c>
      <c r="W1491" t="s">
        <v>542</v>
      </c>
      <c r="X1491" t="s">
        <v>280</v>
      </c>
      <c r="Y1491">
        <v>90</v>
      </c>
      <c r="AB1491">
        <v>3.38</v>
      </c>
      <c r="AC1491" t="s">
        <v>85</v>
      </c>
      <c r="AD1491">
        <v>0.28000000000000003</v>
      </c>
      <c r="AE1491" t="s">
        <v>138</v>
      </c>
      <c r="AI1491">
        <v>5</v>
      </c>
      <c r="AJ1491" t="s">
        <v>201</v>
      </c>
      <c r="AT1491" t="s">
        <v>382</v>
      </c>
      <c r="AV1491" t="s">
        <v>88</v>
      </c>
    </row>
    <row r="1492" spans="1:53" hidden="1" x14ac:dyDescent="0.3">
      <c r="A1492" t="s">
        <v>537</v>
      </c>
      <c r="C1492" t="s">
        <v>251</v>
      </c>
      <c r="D1492" t="s">
        <v>81</v>
      </c>
      <c r="E1492">
        <v>100000000</v>
      </c>
      <c r="H1492">
        <v>14.25</v>
      </c>
      <c r="I1492" t="s">
        <v>56</v>
      </c>
      <c r="J1492">
        <v>1.4250000000000001E-3</v>
      </c>
      <c r="K1492" t="s">
        <v>57</v>
      </c>
      <c r="L1492" t="s">
        <v>58</v>
      </c>
      <c r="N1492" t="s">
        <v>538</v>
      </c>
      <c r="O1492">
        <v>150</v>
      </c>
      <c r="P1492" t="s">
        <v>262</v>
      </c>
      <c r="S1492">
        <v>1.02</v>
      </c>
      <c r="T1492">
        <v>50</v>
      </c>
      <c r="U1492" t="s">
        <v>539</v>
      </c>
      <c r="V1492">
        <v>50</v>
      </c>
      <c r="W1492" t="s">
        <v>543</v>
      </c>
      <c r="X1492" t="s">
        <v>280</v>
      </c>
      <c r="Y1492">
        <v>90</v>
      </c>
      <c r="AB1492">
        <v>4.6500000000000004</v>
      </c>
      <c r="AC1492" t="s">
        <v>85</v>
      </c>
      <c r="AD1492">
        <v>0.47</v>
      </c>
      <c r="AE1492" t="s">
        <v>138</v>
      </c>
      <c r="AI1492">
        <v>5</v>
      </c>
      <c r="AJ1492" t="s">
        <v>201</v>
      </c>
      <c r="AT1492" t="s">
        <v>382</v>
      </c>
      <c r="AV1492" t="s">
        <v>88</v>
      </c>
    </row>
    <row r="1493" spans="1:53" hidden="1" x14ac:dyDescent="0.3">
      <c r="A1493" t="s">
        <v>537</v>
      </c>
      <c r="C1493" t="s">
        <v>251</v>
      </c>
      <c r="D1493" t="s">
        <v>81</v>
      </c>
      <c r="E1493">
        <v>100000000</v>
      </c>
      <c r="H1493">
        <v>14.25</v>
      </c>
      <c r="I1493" t="s">
        <v>56</v>
      </c>
      <c r="J1493">
        <v>1.4250000000000001E-3</v>
      </c>
      <c r="K1493" t="s">
        <v>57</v>
      </c>
      <c r="L1493" t="s">
        <v>58</v>
      </c>
      <c r="N1493" t="s">
        <v>538</v>
      </c>
      <c r="O1493">
        <v>150</v>
      </c>
      <c r="P1493" t="s">
        <v>262</v>
      </c>
      <c r="S1493">
        <v>1.02</v>
      </c>
      <c r="T1493">
        <v>50</v>
      </c>
      <c r="U1493" t="s">
        <v>539</v>
      </c>
      <c r="V1493">
        <v>50</v>
      </c>
      <c r="W1493" t="s">
        <v>544</v>
      </c>
      <c r="X1493" t="s">
        <v>280</v>
      </c>
      <c r="Y1493">
        <v>90</v>
      </c>
      <c r="AB1493">
        <v>3.45</v>
      </c>
      <c r="AC1493" t="s">
        <v>85</v>
      </c>
      <c r="AD1493">
        <v>0.31</v>
      </c>
      <c r="AE1493" t="s">
        <v>138</v>
      </c>
      <c r="AI1493">
        <v>5</v>
      </c>
      <c r="AJ1493" t="s">
        <v>201</v>
      </c>
      <c r="AT1493" t="s">
        <v>65</v>
      </c>
      <c r="AV1493" t="s">
        <v>88</v>
      </c>
    </row>
    <row r="1494" spans="1:53" hidden="1" x14ac:dyDescent="0.3">
      <c r="A1494" t="s">
        <v>537</v>
      </c>
      <c r="C1494" t="s">
        <v>251</v>
      </c>
      <c r="D1494" t="s">
        <v>81</v>
      </c>
      <c r="E1494">
        <v>100000000</v>
      </c>
      <c r="H1494">
        <v>14.25</v>
      </c>
      <c r="I1494" t="s">
        <v>56</v>
      </c>
      <c r="J1494">
        <v>1.4250000000000001E-3</v>
      </c>
      <c r="K1494" t="s">
        <v>57</v>
      </c>
      <c r="L1494" t="s">
        <v>58</v>
      </c>
      <c r="N1494" t="s">
        <v>538</v>
      </c>
      <c r="O1494">
        <v>150</v>
      </c>
      <c r="P1494" t="s">
        <v>262</v>
      </c>
      <c r="S1494">
        <v>1.02</v>
      </c>
      <c r="T1494">
        <v>50</v>
      </c>
      <c r="U1494" t="s">
        <v>539</v>
      </c>
      <c r="V1494">
        <v>50</v>
      </c>
      <c r="W1494" t="s">
        <v>147</v>
      </c>
      <c r="X1494" t="s">
        <v>280</v>
      </c>
      <c r="Y1494">
        <v>180</v>
      </c>
      <c r="AB1494">
        <v>5.84</v>
      </c>
      <c r="AC1494" t="s">
        <v>85</v>
      </c>
      <c r="AD1494">
        <v>1.07</v>
      </c>
      <c r="AE1494" t="s">
        <v>138</v>
      </c>
      <c r="AI1494">
        <v>5</v>
      </c>
      <c r="AJ1494" t="s">
        <v>201</v>
      </c>
      <c r="AT1494" t="s">
        <v>150</v>
      </c>
      <c r="AV1494" t="s">
        <v>88</v>
      </c>
    </row>
    <row r="1495" spans="1:53" hidden="1" x14ac:dyDescent="0.3">
      <c r="A1495" t="s">
        <v>537</v>
      </c>
      <c r="C1495" t="s">
        <v>251</v>
      </c>
      <c r="D1495" t="s">
        <v>81</v>
      </c>
      <c r="E1495">
        <v>100000000</v>
      </c>
      <c r="H1495">
        <v>14.25</v>
      </c>
      <c r="I1495" t="s">
        <v>56</v>
      </c>
      <c r="J1495">
        <v>1.4250000000000001E-3</v>
      </c>
      <c r="K1495" t="s">
        <v>57</v>
      </c>
      <c r="L1495" t="s">
        <v>58</v>
      </c>
      <c r="N1495" t="s">
        <v>538</v>
      </c>
      <c r="O1495">
        <v>150</v>
      </c>
      <c r="P1495" t="s">
        <v>262</v>
      </c>
      <c r="S1495">
        <v>1.02</v>
      </c>
      <c r="T1495">
        <v>50</v>
      </c>
      <c r="U1495" t="s">
        <v>539</v>
      </c>
      <c r="V1495">
        <v>50</v>
      </c>
      <c r="W1495" t="s">
        <v>540</v>
      </c>
      <c r="X1495" t="s">
        <v>280</v>
      </c>
      <c r="Y1495">
        <v>180</v>
      </c>
      <c r="AB1495">
        <v>5.77</v>
      </c>
      <c r="AC1495" t="s">
        <v>85</v>
      </c>
      <c r="AD1495">
        <v>1.2</v>
      </c>
      <c r="AE1495" t="s">
        <v>138</v>
      </c>
      <c r="AI1495">
        <v>5</v>
      </c>
      <c r="AJ1495" t="s">
        <v>201</v>
      </c>
      <c r="AT1495" t="s">
        <v>212</v>
      </c>
      <c r="AV1495" t="s">
        <v>88</v>
      </c>
    </row>
    <row r="1496" spans="1:53" hidden="1" x14ac:dyDescent="0.3">
      <c r="A1496" t="s">
        <v>537</v>
      </c>
      <c r="C1496" t="s">
        <v>251</v>
      </c>
      <c r="D1496" t="s">
        <v>81</v>
      </c>
      <c r="E1496">
        <v>100000000</v>
      </c>
      <c r="H1496">
        <v>14.25</v>
      </c>
      <c r="I1496" t="s">
        <v>56</v>
      </c>
      <c r="J1496">
        <v>1.4250000000000001E-3</v>
      </c>
      <c r="K1496" t="s">
        <v>57</v>
      </c>
      <c r="L1496" t="s">
        <v>58</v>
      </c>
      <c r="N1496" t="s">
        <v>538</v>
      </c>
      <c r="O1496">
        <v>150</v>
      </c>
      <c r="P1496" t="s">
        <v>262</v>
      </c>
      <c r="S1496">
        <v>1.02</v>
      </c>
      <c r="T1496">
        <v>50</v>
      </c>
      <c r="U1496" t="s">
        <v>539</v>
      </c>
      <c r="V1496">
        <v>50</v>
      </c>
      <c r="W1496" t="s">
        <v>541</v>
      </c>
      <c r="X1496" t="s">
        <v>280</v>
      </c>
      <c r="Y1496">
        <v>180</v>
      </c>
      <c r="AB1496">
        <v>7.48</v>
      </c>
      <c r="AC1496" t="s">
        <v>85</v>
      </c>
      <c r="AD1496">
        <v>0.83</v>
      </c>
      <c r="AE1496" t="s">
        <v>138</v>
      </c>
      <c r="AI1496">
        <v>5</v>
      </c>
      <c r="AJ1496" t="s">
        <v>201</v>
      </c>
      <c r="AT1496" t="s">
        <v>382</v>
      </c>
      <c r="AV1496" t="s">
        <v>88</v>
      </c>
    </row>
    <row r="1497" spans="1:53" hidden="1" x14ac:dyDescent="0.3">
      <c r="A1497" t="s">
        <v>537</v>
      </c>
      <c r="C1497" t="s">
        <v>251</v>
      </c>
      <c r="D1497" t="s">
        <v>81</v>
      </c>
      <c r="E1497">
        <v>100000000</v>
      </c>
      <c r="H1497">
        <v>14.25</v>
      </c>
      <c r="I1497" t="s">
        <v>56</v>
      </c>
      <c r="J1497">
        <v>1.4250000000000001E-3</v>
      </c>
      <c r="K1497" t="s">
        <v>57</v>
      </c>
      <c r="L1497" t="s">
        <v>58</v>
      </c>
      <c r="N1497" t="s">
        <v>538</v>
      </c>
      <c r="O1497">
        <v>150</v>
      </c>
      <c r="P1497" t="s">
        <v>262</v>
      </c>
      <c r="S1497">
        <v>1.02</v>
      </c>
      <c r="T1497">
        <v>50</v>
      </c>
      <c r="U1497" t="s">
        <v>539</v>
      </c>
      <c r="V1497">
        <v>50</v>
      </c>
      <c r="W1497" t="s">
        <v>542</v>
      </c>
      <c r="X1497" t="s">
        <v>280</v>
      </c>
      <c r="Y1497">
        <v>180</v>
      </c>
      <c r="AB1497">
        <v>2.86</v>
      </c>
      <c r="AC1497" t="s">
        <v>85</v>
      </c>
      <c r="AD1497">
        <v>0.21</v>
      </c>
      <c r="AE1497" t="s">
        <v>138</v>
      </c>
      <c r="AI1497">
        <v>5</v>
      </c>
      <c r="AJ1497" t="s">
        <v>201</v>
      </c>
      <c r="AT1497" t="s">
        <v>382</v>
      </c>
      <c r="AV1497" t="s">
        <v>88</v>
      </c>
    </row>
    <row r="1498" spans="1:53" hidden="1" x14ac:dyDescent="0.3">
      <c r="A1498" t="s">
        <v>537</v>
      </c>
      <c r="C1498" t="s">
        <v>251</v>
      </c>
      <c r="D1498" t="s">
        <v>81</v>
      </c>
      <c r="E1498">
        <v>100000000</v>
      </c>
      <c r="H1498">
        <v>14.25</v>
      </c>
      <c r="I1498" t="s">
        <v>56</v>
      </c>
      <c r="J1498">
        <v>1.4250000000000001E-3</v>
      </c>
      <c r="K1498" t="s">
        <v>57</v>
      </c>
      <c r="L1498" t="s">
        <v>58</v>
      </c>
      <c r="N1498" t="s">
        <v>538</v>
      </c>
      <c r="O1498">
        <v>150</v>
      </c>
      <c r="P1498" t="s">
        <v>262</v>
      </c>
      <c r="S1498">
        <v>1.02</v>
      </c>
      <c r="T1498">
        <v>50</v>
      </c>
      <c r="U1498" t="s">
        <v>539</v>
      </c>
      <c r="V1498">
        <v>50</v>
      </c>
      <c r="W1498" t="s">
        <v>543</v>
      </c>
      <c r="X1498" t="s">
        <v>280</v>
      </c>
      <c r="Y1498">
        <v>180</v>
      </c>
      <c r="AB1498">
        <v>4.8499999999999996</v>
      </c>
      <c r="AC1498" t="s">
        <v>85</v>
      </c>
      <c r="AD1498">
        <v>0.79</v>
      </c>
      <c r="AE1498" t="s">
        <v>138</v>
      </c>
      <c r="AI1498">
        <v>5</v>
      </c>
      <c r="AJ1498" t="s">
        <v>201</v>
      </c>
      <c r="AT1498" t="s">
        <v>382</v>
      </c>
      <c r="AV1498" t="s">
        <v>88</v>
      </c>
    </row>
    <row r="1499" spans="1:53" hidden="1" x14ac:dyDescent="0.3">
      <c r="A1499" t="s">
        <v>537</v>
      </c>
      <c r="C1499" t="s">
        <v>251</v>
      </c>
      <c r="D1499" t="s">
        <v>81</v>
      </c>
      <c r="E1499">
        <v>100000000</v>
      </c>
      <c r="H1499">
        <v>14.25</v>
      </c>
      <c r="I1499" t="s">
        <v>56</v>
      </c>
      <c r="J1499">
        <v>1.4250000000000001E-3</v>
      </c>
      <c r="K1499" t="s">
        <v>57</v>
      </c>
      <c r="L1499" t="s">
        <v>58</v>
      </c>
      <c r="N1499" t="s">
        <v>538</v>
      </c>
      <c r="O1499">
        <v>150</v>
      </c>
      <c r="P1499" t="s">
        <v>262</v>
      </c>
      <c r="S1499">
        <v>1.02</v>
      </c>
      <c r="T1499">
        <v>50</v>
      </c>
      <c r="U1499" t="s">
        <v>539</v>
      </c>
      <c r="V1499">
        <v>50</v>
      </c>
      <c r="W1499" t="s">
        <v>544</v>
      </c>
      <c r="X1499" t="s">
        <v>280</v>
      </c>
      <c r="Y1499">
        <v>180</v>
      </c>
      <c r="AA1499" t="s">
        <v>94</v>
      </c>
      <c r="AB1499">
        <v>6.86</v>
      </c>
      <c r="AC1499" t="s">
        <v>85</v>
      </c>
      <c r="AD1499">
        <v>1.02</v>
      </c>
      <c r="AE1499" t="s">
        <v>138</v>
      </c>
      <c r="AI1499">
        <v>5</v>
      </c>
      <c r="AJ1499" t="s">
        <v>201</v>
      </c>
      <c r="AT1499" t="s">
        <v>65</v>
      </c>
      <c r="AV1499" t="s">
        <v>88</v>
      </c>
      <c r="AZ1499">
        <v>0</v>
      </c>
      <c r="BA1499">
        <v>6.86</v>
      </c>
    </row>
    <row r="1500" spans="1:53" hidden="1" x14ac:dyDescent="0.3">
      <c r="A1500" t="s">
        <v>537</v>
      </c>
      <c r="C1500" t="s">
        <v>251</v>
      </c>
      <c r="D1500" t="s">
        <v>81</v>
      </c>
      <c r="E1500">
        <v>100000000</v>
      </c>
      <c r="H1500">
        <v>14.25</v>
      </c>
      <c r="I1500" t="s">
        <v>56</v>
      </c>
      <c r="J1500">
        <v>1.4250000000000001E-3</v>
      </c>
      <c r="K1500" t="s">
        <v>57</v>
      </c>
      <c r="L1500" t="s">
        <v>58</v>
      </c>
      <c r="N1500" t="s">
        <v>538</v>
      </c>
      <c r="O1500">
        <v>300</v>
      </c>
      <c r="P1500" t="s">
        <v>262</v>
      </c>
      <c r="S1500">
        <v>1.02</v>
      </c>
      <c r="T1500">
        <v>50</v>
      </c>
      <c r="U1500" t="s">
        <v>539</v>
      </c>
      <c r="V1500">
        <v>50</v>
      </c>
      <c r="W1500" t="s">
        <v>147</v>
      </c>
      <c r="X1500" t="s">
        <v>280</v>
      </c>
      <c r="Y1500">
        <v>45</v>
      </c>
      <c r="AB1500">
        <v>5.61</v>
      </c>
      <c r="AC1500" t="s">
        <v>85</v>
      </c>
      <c r="AD1500">
        <v>0.93</v>
      </c>
      <c r="AE1500" t="s">
        <v>138</v>
      </c>
      <c r="AI1500">
        <v>5</v>
      </c>
      <c r="AJ1500" t="s">
        <v>201</v>
      </c>
      <c r="AT1500" t="s">
        <v>150</v>
      </c>
      <c r="AV1500" t="s">
        <v>88</v>
      </c>
    </row>
    <row r="1501" spans="1:53" hidden="1" x14ac:dyDescent="0.3">
      <c r="A1501" t="s">
        <v>537</v>
      </c>
      <c r="C1501" t="s">
        <v>251</v>
      </c>
      <c r="D1501" t="s">
        <v>81</v>
      </c>
      <c r="E1501">
        <v>100000000</v>
      </c>
      <c r="H1501">
        <v>14.25</v>
      </c>
      <c r="I1501" t="s">
        <v>56</v>
      </c>
      <c r="J1501">
        <v>1.4250000000000001E-3</v>
      </c>
      <c r="K1501" t="s">
        <v>57</v>
      </c>
      <c r="L1501" t="s">
        <v>58</v>
      </c>
      <c r="N1501" t="s">
        <v>538</v>
      </c>
      <c r="O1501">
        <v>300</v>
      </c>
      <c r="P1501" t="s">
        <v>262</v>
      </c>
      <c r="S1501">
        <v>1.02</v>
      </c>
      <c r="T1501">
        <v>50</v>
      </c>
      <c r="U1501" t="s">
        <v>539</v>
      </c>
      <c r="V1501">
        <v>50</v>
      </c>
      <c r="W1501" t="s">
        <v>540</v>
      </c>
      <c r="X1501" t="s">
        <v>280</v>
      </c>
      <c r="Y1501">
        <v>45</v>
      </c>
      <c r="AB1501">
        <v>6.09</v>
      </c>
      <c r="AC1501" t="s">
        <v>85</v>
      </c>
      <c r="AD1501">
        <v>1.01</v>
      </c>
      <c r="AE1501" t="s">
        <v>138</v>
      </c>
      <c r="AI1501">
        <v>5</v>
      </c>
      <c r="AJ1501" t="s">
        <v>201</v>
      </c>
      <c r="AT1501" t="s">
        <v>212</v>
      </c>
      <c r="AV1501" t="s">
        <v>88</v>
      </c>
    </row>
    <row r="1502" spans="1:53" hidden="1" x14ac:dyDescent="0.3">
      <c r="A1502" t="s">
        <v>537</v>
      </c>
      <c r="C1502" t="s">
        <v>251</v>
      </c>
      <c r="D1502" t="s">
        <v>81</v>
      </c>
      <c r="E1502">
        <v>100000000</v>
      </c>
      <c r="H1502">
        <v>14.25</v>
      </c>
      <c r="I1502" t="s">
        <v>56</v>
      </c>
      <c r="J1502">
        <v>1.4250000000000001E-3</v>
      </c>
      <c r="K1502" t="s">
        <v>57</v>
      </c>
      <c r="L1502" t="s">
        <v>58</v>
      </c>
      <c r="N1502" t="s">
        <v>538</v>
      </c>
      <c r="O1502">
        <v>300</v>
      </c>
      <c r="P1502" t="s">
        <v>262</v>
      </c>
      <c r="S1502">
        <v>1.02</v>
      </c>
      <c r="T1502">
        <v>50</v>
      </c>
      <c r="U1502" t="s">
        <v>539</v>
      </c>
      <c r="V1502">
        <v>50</v>
      </c>
      <c r="W1502" t="s">
        <v>541</v>
      </c>
      <c r="X1502" t="s">
        <v>280</v>
      </c>
      <c r="Y1502">
        <v>45</v>
      </c>
      <c r="AB1502">
        <v>7.08</v>
      </c>
      <c r="AC1502" t="s">
        <v>85</v>
      </c>
      <c r="AD1502">
        <v>0.9</v>
      </c>
      <c r="AE1502" t="s">
        <v>138</v>
      </c>
      <c r="AI1502">
        <v>5</v>
      </c>
      <c r="AJ1502" t="s">
        <v>201</v>
      </c>
      <c r="AT1502" t="s">
        <v>382</v>
      </c>
      <c r="AV1502" t="s">
        <v>88</v>
      </c>
    </row>
    <row r="1503" spans="1:53" hidden="1" x14ac:dyDescent="0.3">
      <c r="A1503" t="s">
        <v>537</v>
      </c>
      <c r="C1503" t="s">
        <v>251</v>
      </c>
      <c r="D1503" t="s">
        <v>81</v>
      </c>
      <c r="E1503">
        <v>100000000</v>
      </c>
      <c r="H1503">
        <v>14.25</v>
      </c>
      <c r="I1503" t="s">
        <v>56</v>
      </c>
      <c r="J1503">
        <v>1.4250000000000001E-3</v>
      </c>
      <c r="K1503" t="s">
        <v>57</v>
      </c>
      <c r="L1503" t="s">
        <v>58</v>
      </c>
      <c r="N1503" t="s">
        <v>538</v>
      </c>
      <c r="O1503">
        <v>300</v>
      </c>
      <c r="P1503" t="s">
        <v>262</v>
      </c>
      <c r="S1503">
        <v>1.02</v>
      </c>
      <c r="T1503">
        <v>50</v>
      </c>
      <c r="U1503" t="s">
        <v>539</v>
      </c>
      <c r="V1503">
        <v>50</v>
      </c>
      <c r="W1503" t="s">
        <v>542</v>
      </c>
      <c r="X1503" t="s">
        <v>280</v>
      </c>
      <c r="Y1503">
        <v>45</v>
      </c>
      <c r="AB1503">
        <v>2.54</v>
      </c>
      <c r="AC1503" t="s">
        <v>85</v>
      </c>
      <c r="AD1503">
        <v>0.09</v>
      </c>
      <c r="AE1503" t="s">
        <v>138</v>
      </c>
      <c r="AI1503">
        <v>5</v>
      </c>
      <c r="AJ1503" t="s">
        <v>201</v>
      </c>
      <c r="AT1503" t="s">
        <v>382</v>
      </c>
      <c r="AV1503" t="s">
        <v>88</v>
      </c>
    </row>
    <row r="1504" spans="1:53" hidden="1" x14ac:dyDescent="0.3">
      <c r="A1504" t="s">
        <v>537</v>
      </c>
      <c r="C1504" t="s">
        <v>251</v>
      </c>
      <c r="D1504" t="s">
        <v>81</v>
      </c>
      <c r="E1504">
        <v>100000000</v>
      </c>
      <c r="H1504">
        <v>14.25</v>
      </c>
      <c r="I1504" t="s">
        <v>56</v>
      </c>
      <c r="J1504">
        <v>1.4250000000000001E-3</v>
      </c>
      <c r="K1504" t="s">
        <v>57</v>
      </c>
      <c r="L1504" t="s">
        <v>58</v>
      </c>
      <c r="N1504" t="s">
        <v>538</v>
      </c>
      <c r="O1504">
        <v>300</v>
      </c>
      <c r="P1504" t="s">
        <v>262</v>
      </c>
      <c r="S1504">
        <v>1.02</v>
      </c>
      <c r="T1504">
        <v>50</v>
      </c>
      <c r="U1504" t="s">
        <v>539</v>
      </c>
      <c r="V1504">
        <v>50</v>
      </c>
      <c r="W1504" t="s">
        <v>543</v>
      </c>
      <c r="X1504" t="s">
        <v>280</v>
      </c>
      <c r="Y1504">
        <v>45</v>
      </c>
      <c r="AB1504">
        <v>4.51</v>
      </c>
      <c r="AC1504" t="s">
        <v>85</v>
      </c>
      <c r="AD1504">
        <v>0.19</v>
      </c>
      <c r="AE1504" t="s">
        <v>138</v>
      </c>
      <c r="AI1504">
        <v>5</v>
      </c>
      <c r="AJ1504" t="s">
        <v>201</v>
      </c>
      <c r="AT1504" t="s">
        <v>382</v>
      </c>
      <c r="AV1504" t="s">
        <v>88</v>
      </c>
    </row>
    <row r="1505" spans="1:53" hidden="1" x14ac:dyDescent="0.3">
      <c r="A1505" t="s">
        <v>537</v>
      </c>
      <c r="C1505" t="s">
        <v>251</v>
      </c>
      <c r="D1505" t="s">
        <v>81</v>
      </c>
      <c r="E1505">
        <v>100000000</v>
      </c>
      <c r="H1505">
        <v>14.25</v>
      </c>
      <c r="I1505" t="s">
        <v>56</v>
      </c>
      <c r="J1505">
        <v>1.4250000000000001E-3</v>
      </c>
      <c r="K1505" t="s">
        <v>57</v>
      </c>
      <c r="L1505" t="s">
        <v>58</v>
      </c>
      <c r="N1505" t="s">
        <v>538</v>
      </c>
      <c r="O1505">
        <v>300</v>
      </c>
      <c r="P1505" t="s">
        <v>262</v>
      </c>
      <c r="S1505">
        <v>1.02</v>
      </c>
      <c r="T1505">
        <v>50</v>
      </c>
      <c r="U1505" t="s">
        <v>539</v>
      </c>
      <c r="V1505">
        <v>50</v>
      </c>
      <c r="W1505" t="s">
        <v>544</v>
      </c>
      <c r="X1505" t="s">
        <v>280</v>
      </c>
      <c r="Y1505">
        <v>45</v>
      </c>
      <c r="AB1505">
        <v>6.22</v>
      </c>
      <c r="AC1505" t="s">
        <v>85</v>
      </c>
      <c r="AD1505">
        <v>0.96</v>
      </c>
      <c r="AE1505" t="s">
        <v>138</v>
      </c>
      <c r="AI1505">
        <v>5</v>
      </c>
      <c r="AJ1505" t="s">
        <v>201</v>
      </c>
      <c r="AT1505" t="s">
        <v>65</v>
      </c>
      <c r="AV1505" t="s">
        <v>88</v>
      </c>
    </row>
    <row r="1506" spans="1:53" hidden="1" x14ac:dyDescent="0.3">
      <c r="A1506" t="s">
        <v>537</v>
      </c>
      <c r="C1506" t="s">
        <v>251</v>
      </c>
      <c r="D1506" t="s">
        <v>81</v>
      </c>
      <c r="E1506">
        <v>100000000</v>
      </c>
      <c r="H1506">
        <v>14.25</v>
      </c>
      <c r="I1506" t="s">
        <v>56</v>
      </c>
      <c r="J1506">
        <v>1.4250000000000001E-3</v>
      </c>
      <c r="K1506" t="s">
        <v>57</v>
      </c>
      <c r="L1506" t="s">
        <v>58</v>
      </c>
      <c r="N1506" t="s">
        <v>538</v>
      </c>
      <c r="O1506">
        <v>300</v>
      </c>
      <c r="P1506" t="s">
        <v>262</v>
      </c>
      <c r="S1506">
        <v>1.02</v>
      </c>
      <c r="T1506">
        <v>50</v>
      </c>
      <c r="U1506" t="s">
        <v>539</v>
      </c>
      <c r="V1506">
        <v>50</v>
      </c>
      <c r="W1506" t="s">
        <v>147</v>
      </c>
      <c r="X1506" t="s">
        <v>280</v>
      </c>
      <c r="Y1506">
        <v>90</v>
      </c>
      <c r="AB1506">
        <v>6.64</v>
      </c>
      <c r="AC1506" t="s">
        <v>85</v>
      </c>
      <c r="AD1506">
        <v>0.93</v>
      </c>
      <c r="AE1506" t="s">
        <v>138</v>
      </c>
      <c r="AI1506">
        <v>5</v>
      </c>
      <c r="AJ1506" t="s">
        <v>201</v>
      </c>
      <c r="AT1506" t="s">
        <v>150</v>
      </c>
      <c r="AV1506" t="s">
        <v>88</v>
      </c>
    </row>
    <row r="1507" spans="1:53" hidden="1" x14ac:dyDescent="0.3">
      <c r="A1507" t="s">
        <v>537</v>
      </c>
      <c r="C1507" t="s">
        <v>251</v>
      </c>
      <c r="D1507" t="s">
        <v>81</v>
      </c>
      <c r="E1507">
        <v>100000000</v>
      </c>
      <c r="H1507">
        <v>14.25</v>
      </c>
      <c r="I1507" t="s">
        <v>56</v>
      </c>
      <c r="J1507">
        <v>1.4250000000000001E-3</v>
      </c>
      <c r="K1507" t="s">
        <v>57</v>
      </c>
      <c r="L1507" t="s">
        <v>58</v>
      </c>
      <c r="N1507" t="s">
        <v>538</v>
      </c>
      <c r="O1507">
        <v>300</v>
      </c>
      <c r="P1507" t="s">
        <v>262</v>
      </c>
      <c r="S1507">
        <v>1.02</v>
      </c>
      <c r="T1507">
        <v>50</v>
      </c>
      <c r="U1507" t="s">
        <v>539</v>
      </c>
      <c r="V1507">
        <v>50</v>
      </c>
      <c r="W1507" t="s">
        <v>540</v>
      </c>
      <c r="X1507" t="s">
        <v>280</v>
      </c>
      <c r="Y1507">
        <v>90</v>
      </c>
      <c r="AB1507">
        <v>6.34</v>
      </c>
      <c r="AC1507" t="s">
        <v>85</v>
      </c>
      <c r="AD1507">
        <v>0.6</v>
      </c>
      <c r="AE1507" t="s">
        <v>138</v>
      </c>
      <c r="AI1507">
        <v>5</v>
      </c>
      <c r="AJ1507" t="s">
        <v>201</v>
      </c>
      <c r="AT1507" t="s">
        <v>212</v>
      </c>
      <c r="AV1507" t="s">
        <v>88</v>
      </c>
    </row>
    <row r="1508" spans="1:53" hidden="1" x14ac:dyDescent="0.3">
      <c r="A1508" t="s">
        <v>537</v>
      </c>
      <c r="C1508" t="s">
        <v>251</v>
      </c>
      <c r="D1508" t="s">
        <v>81</v>
      </c>
      <c r="E1508">
        <v>100000000</v>
      </c>
      <c r="H1508">
        <v>14.25</v>
      </c>
      <c r="I1508" t="s">
        <v>56</v>
      </c>
      <c r="J1508">
        <v>1.4250000000000001E-3</v>
      </c>
      <c r="K1508" t="s">
        <v>57</v>
      </c>
      <c r="L1508" t="s">
        <v>58</v>
      </c>
      <c r="N1508" t="s">
        <v>538</v>
      </c>
      <c r="O1508">
        <v>300</v>
      </c>
      <c r="P1508" t="s">
        <v>262</v>
      </c>
      <c r="S1508">
        <v>1.02</v>
      </c>
      <c r="T1508">
        <v>50</v>
      </c>
      <c r="U1508" t="s">
        <v>539</v>
      </c>
      <c r="V1508">
        <v>50</v>
      </c>
      <c r="W1508" t="s">
        <v>541</v>
      </c>
      <c r="X1508" t="s">
        <v>280</v>
      </c>
      <c r="Y1508">
        <v>90</v>
      </c>
      <c r="AA1508" t="s">
        <v>94</v>
      </c>
      <c r="AB1508">
        <v>7.42</v>
      </c>
      <c r="AC1508" t="s">
        <v>85</v>
      </c>
      <c r="AD1508">
        <v>0.79</v>
      </c>
      <c r="AE1508" t="s">
        <v>138</v>
      </c>
      <c r="AI1508">
        <v>5</v>
      </c>
      <c r="AJ1508" t="s">
        <v>201</v>
      </c>
      <c r="AT1508" t="s">
        <v>382</v>
      </c>
      <c r="AV1508" t="s">
        <v>88</v>
      </c>
      <c r="AZ1508">
        <v>0</v>
      </c>
      <c r="BA1508">
        <v>7.42</v>
      </c>
    </row>
    <row r="1509" spans="1:53" hidden="1" x14ac:dyDescent="0.3">
      <c r="A1509" t="s">
        <v>537</v>
      </c>
      <c r="C1509" t="s">
        <v>251</v>
      </c>
      <c r="D1509" t="s">
        <v>81</v>
      </c>
      <c r="E1509">
        <v>100000000</v>
      </c>
      <c r="H1509">
        <v>14.25</v>
      </c>
      <c r="I1509" t="s">
        <v>56</v>
      </c>
      <c r="J1509">
        <v>1.4250000000000001E-3</v>
      </c>
      <c r="K1509" t="s">
        <v>57</v>
      </c>
      <c r="L1509" t="s">
        <v>58</v>
      </c>
      <c r="N1509" t="s">
        <v>538</v>
      </c>
      <c r="O1509">
        <v>300</v>
      </c>
      <c r="P1509" t="s">
        <v>262</v>
      </c>
      <c r="S1509">
        <v>1.02</v>
      </c>
      <c r="T1509">
        <v>50</v>
      </c>
      <c r="U1509" t="s">
        <v>539</v>
      </c>
      <c r="V1509">
        <v>50</v>
      </c>
      <c r="W1509" t="s">
        <v>542</v>
      </c>
      <c r="X1509" t="s">
        <v>280</v>
      </c>
      <c r="Y1509">
        <v>90</v>
      </c>
      <c r="AB1509">
        <v>5.28</v>
      </c>
      <c r="AC1509" t="s">
        <v>85</v>
      </c>
      <c r="AD1509">
        <v>1.21</v>
      </c>
      <c r="AE1509" t="s">
        <v>138</v>
      </c>
      <c r="AI1509">
        <v>5</v>
      </c>
      <c r="AJ1509" t="s">
        <v>201</v>
      </c>
      <c r="AT1509" t="s">
        <v>382</v>
      </c>
      <c r="AV1509" t="s">
        <v>88</v>
      </c>
    </row>
    <row r="1510" spans="1:53" hidden="1" x14ac:dyDescent="0.3">
      <c r="A1510" t="s">
        <v>537</v>
      </c>
      <c r="C1510" t="s">
        <v>251</v>
      </c>
      <c r="D1510" t="s">
        <v>81</v>
      </c>
      <c r="E1510">
        <v>100000000</v>
      </c>
      <c r="H1510">
        <v>14.25</v>
      </c>
      <c r="I1510" t="s">
        <v>56</v>
      </c>
      <c r="J1510">
        <v>1.4250000000000001E-3</v>
      </c>
      <c r="K1510" t="s">
        <v>57</v>
      </c>
      <c r="L1510" t="s">
        <v>58</v>
      </c>
      <c r="N1510" t="s">
        <v>538</v>
      </c>
      <c r="O1510">
        <v>300</v>
      </c>
      <c r="P1510" t="s">
        <v>262</v>
      </c>
      <c r="S1510">
        <v>1.02</v>
      </c>
      <c r="T1510">
        <v>50</v>
      </c>
      <c r="U1510" t="s">
        <v>539</v>
      </c>
      <c r="V1510">
        <v>50</v>
      </c>
      <c r="W1510" t="s">
        <v>543</v>
      </c>
      <c r="X1510" t="s">
        <v>280</v>
      </c>
      <c r="Y1510">
        <v>90</v>
      </c>
      <c r="AB1510">
        <v>6.65</v>
      </c>
      <c r="AC1510" t="s">
        <v>85</v>
      </c>
      <c r="AD1510">
        <v>0.87</v>
      </c>
      <c r="AE1510" t="s">
        <v>138</v>
      </c>
      <c r="AI1510">
        <v>5</v>
      </c>
      <c r="AJ1510" t="s">
        <v>201</v>
      </c>
      <c r="AT1510" t="s">
        <v>382</v>
      </c>
      <c r="AV1510" t="s">
        <v>88</v>
      </c>
    </row>
    <row r="1511" spans="1:53" hidden="1" x14ac:dyDescent="0.3">
      <c r="A1511" t="s">
        <v>537</v>
      </c>
      <c r="C1511" t="s">
        <v>251</v>
      </c>
      <c r="D1511" t="s">
        <v>81</v>
      </c>
      <c r="E1511">
        <v>100000000</v>
      </c>
      <c r="H1511">
        <v>14.25</v>
      </c>
      <c r="I1511" t="s">
        <v>56</v>
      </c>
      <c r="J1511">
        <v>1.4250000000000001E-3</v>
      </c>
      <c r="K1511" t="s">
        <v>57</v>
      </c>
      <c r="L1511" t="s">
        <v>58</v>
      </c>
      <c r="N1511" t="s">
        <v>538</v>
      </c>
      <c r="O1511">
        <v>300</v>
      </c>
      <c r="P1511" t="s">
        <v>262</v>
      </c>
      <c r="S1511">
        <v>1.02</v>
      </c>
      <c r="T1511">
        <v>50</v>
      </c>
      <c r="U1511" t="s">
        <v>539</v>
      </c>
      <c r="V1511">
        <v>50</v>
      </c>
      <c r="W1511" t="s">
        <v>544</v>
      </c>
      <c r="X1511" t="s">
        <v>280</v>
      </c>
      <c r="Y1511">
        <v>90</v>
      </c>
      <c r="AB1511">
        <v>7.28</v>
      </c>
      <c r="AC1511" t="s">
        <v>85</v>
      </c>
      <c r="AD1511">
        <v>0.61</v>
      </c>
      <c r="AE1511" t="s">
        <v>138</v>
      </c>
      <c r="AI1511">
        <v>5</v>
      </c>
      <c r="AJ1511" t="s">
        <v>201</v>
      </c>
      <c r="AT1511" t="s">
        <v>65</v>
      </c>
      <c r="AV1511" t="s">
        <v>88</v>
      </c>
    </row>
    <row r="1512" spans="1:53" hidden="1" x14ac:dyDescent="0.3">
      <c r="A1512" t="s">
        <v>537</v>
      </c>
      <c r="C1512" t="s">
        <v>251</v>
      </c>
      <c r="D1512" t="s">
        <v>81</v>
      </c>
      <c r="E1512">
        <v>100000000</v>
      </c>
      <c r="H1512">
        <v>14.25</v>
      </c>
      <c r="I1512" t="s">
        <v>56</v>
      </c>
      <c r="J1512">
        <v>1.4250000000000001E-3</v>
      </c>
      <c r="K1512" t="s">
        <v>57</v>
      </c>
      <c r="L1512" t="s">
        <v>58</v>
      </c>
      <c r="N1512" t="s">
        <v>538</v>
      </c>
      <c r="O1512">
        <v>300</v>
      </c>
      <c r="P1512" t="s">
        <v>262</v>
      </c>
      <c r="S1512">
        <v>1.02</v>
      </c>
      <c r="T1512">
        <v>50</v>
      </c>
      <c r="U1512" t="s">
        <v>539</v>
      </c>
      <c r="V1512">
        <v>50</v>
      </c>
      <c r="W1512" t="s">
        <v>147</v>
      </c>
      <c r="X1512" t="s">
        <v>280</v>
      </c>
      <c r="Y1512">
        <v>180</v>
      </c>
      <c r="AA1512" t="s">
        <v>94</v>
      </c>
      <c r="AB1512">
        <v>7.63</v>
      </c>
      <c r="AC1512" t="s">
        <v>85</v>
      </c>
      <c r="AD1512">
        <v>0.09</v>
      </c>
      <c r="AE1512" t="s">
        <v>138</v>
      </c>
      <c r="AI1512">
        <v>5</v>
      </c>
      <c r="AJ1512" t="s">
        <v>201</v>
      </c>
      <c r="AT1512" t="s">
        <v>150</v>
      </c>
      <c r="AV1512" t="s">
        <v>88</v>
      </c>
      <c r="AZ1512">
        <v>0</v>
      </c>
      <c r="BA1512">
        <v>7.63</v>
      </c>
    </row>
    <row r="1513" spans="1:53" hidden="1" x14ac:dyDescent="0.3">
      <c r="A1513" t="s">
        <v>537</v>
      </c>
      <c r="C1513" t="s">
        <v>251</v>
      </c>
      <c r="D1513" t="s">
        <v>81</v>
      </c>
      <c r="E1513">
        <v>100000000</v>
      </c>
      <c r="H1513">
        <v>14.25</v>
      </c>
      <c r="I1513" t="s">
        <v>56</v>
      </c>
      <c r="J1513">
        <v>1.4250000000000001E-3</v>
      </c>
      <c r="K1513" t="s">
        <v>57</v>
      </c>
      <c r="L1513" t="s">
        <v>58</v>
      </c>
      <c r="N1513" t="s">
        <v>538</v>
      </c>
      <c r="O1513">
        <v>300</v>
      </c>
      <c r="P1513" t="s">
        <v>262</v>
      </c>
      <c r="S1513">
        <v>1.02</v>
      </c>
      <c r="T1513">
        <v>50</v>
      </c>
      <c r="U1513" t="s">
        <v>539</v>
      </c>
      <c r="V1513">
        <v>50</v>
      </c>
      <c r="W1513" t="s">
        <v>540</v>
      </c>
      <c r="X1513" t="s">
        <v>280</v>
      </c>
      <c r="Y1513">
        <v>180</v>
      </c>
      <c r="AA1513" t="s">
        <v>94</v>
      </c>
      <c r="AB1513">
        <v>6.56</v>
      </c>
      <c r="AC1513" t="s">
        <v>85</v>
      </c>
      <c r="AD1513">
        <v>0.22</v>
      </c>
      <c r="AE1513" t="s">
        <v>138</v>
      </c>
      <c r="AI1513">
        <v>5</v>
      </c>
      <c r="AJ1513" t="s">
        <v>201</v>
      </c>
      <c r="AT1513" t="s">
        <v>212</v>
      </c>
      <c r="AV1513" t="s">
        <v>88</v>
      </c>
      <c r="AZ1513">
        <v>0</v>
      </c>
      <c r="BA1513">
        <v>6.56</v>
      </c>
    </row>
    <row r="1514" spans="1:53" hidden="1" x14ac:dyDescent="0.3">
      <c r="A1514" t="s">
        <v>537</v>
      </c>
      <c r="C1514" t="s">
        <v>251</v>
      </c>
      <c r="D1514" t="s">
        <v>81</v>
      </c>
      <c r="E1514">
        <v>100000000</v>
      </c>
      <c r="H1514">
        <v>14.25</v>
      </c>
      <c r="I1514" t="s">
        <v>56</v>
      </c>
      <c r="J1514">
        <v>1.4250000000000001E-3</v>
      </c>
      <c r="K1514" t="s">
        <v>57</v>
      </c>
      <c r="L1514" t="s">
        <v>58</v>
      </c>
      <c r="N1514" t="s">
        <v>538</v>
      </c>
      <c r="O1514">
        <v>300</v>
      </c>
      <c r="P1514" t="s">
        <v>262</v>
      </c>
      <c r="S1514">
        <v>1.02</v>
      </c>
      <c r="T1514">
        <v>50</v>
      </c>
      <c r="U1514" t="s">
        <v>539</v>
      </c>
      <c r="V1514">
        <v>50</v>
      </c>
      <c r="W1514" t="s">
        <v>541</v>
      </c>
      <c r="X1514" t="s">
        <v>280</v>
      </c>
      <c r="Y1514">
        <v>180</v>
      </c>
      <c r="AA1514" t="s">
        <v>94</v>
      </c>
      <c r="AB1514">
        <v>7.79</v>
      </c>
      <c r="AC1514" t="s">
        <v>85</v>
      </c>
      <c r="AD1514">
        <v>0.04</v>
      </c>
      <c r="AE1514" t="s">
        <v>138</v>
      </c>
      <c r="AI1514">
        <v>5</v>
      </c>
      <c r="AJ1514" t="s">
        <v>201</v>
      </c>
      <c r="AT1514" t="s">
        <v>382</v>
      </c>
      <c r="AV1514" t="s">
        <v>88</v>
      </c>
      <c r="AZ1514">
        <v>0</v>
      </c>
      <c r="BA1514">
        <v>7.79</v>
      </c>
    </row>
    <row r="1515" spans="1:53" hidden="1" x14ac:dyDescent="0.3">
      <c r="A1515" t="s">
        <v>537</v>
      </c>
      <c r="C1515" t="s">
        <v>251</v>
      </c>
      <c r="D1515" t="s">
        <v>81</v>
      </c>
      <c r="E1515">
        <v>100000000</v>
      </c>
      <c r="H1515">
        <v>14.25</v>
      </c>
      <c r="I1515" t="s">
        <v>56</v>
      </c>
      <c r="J1515">
        <v>1.4250000000000001E-3</v>
      </c>
      <c r="K1515" t="s">
        <v>57</v>
      </c>
      <c r="L1515" t="s">
        <v>58</v>
      </c>
      <c r="N1515" t="s">
        <v>538</v>
      </c>
      <c r="O1515">
        <v>300</v>
      </c>
      <c r="P1515" t="s">
        <v>262</v>
      </c>
      <c r="S1515">
        <v>1.02</v>
      </c>
      <c r="T1515">
        <v>50</v>
      </c>
      <c r="U1515" t="s">
        <v>539</v>
      </c>
      <c r="V1515">
        <v>50</v>
      </c>
      <c r="W1515" t="s">
        <v>542</v>
      </c>
      <c r="X1515" t="s">
        <v>280</v>
      </c>
      <c r="Y1515">
        <v>180</v>
      </c>
      <c r="AB1515">
        <v>3.78</v>
      </c>
      <c r="AC1515" t="s">
        <v>85</v>
      </c>
      <c r="AD1515">
        <v>0.33</v>
      </c>
      <c r="AE1515" t="s">
        <v>138</v>
      </c>
      <c r="AI1515">
        <v>5</v>
      </c>
      <c r="AJ1515" t="s">
        <v>201</v>
      </c>
      <c r="AT1515" t="s">
        <v>382</v>
      </c>
      <c r="AV1515" t="s">
        <v>88</v>
      </c>
    </row>
    <row r="1516" spans="1:53" hidden="1" x14ac:dyDescent="0.3">
      <c r="A1516" t="s">
        <v>537</v>
      </c>
      <c r="C1516" t="s">
        <v>251</v>
      </c>
      <c r="D1516" t="s">
        <v>81</v>
      </c>
      <c r="E1516">
        <v>100000000</v>
      </c>
      <c r="H1516">
        <v>14.25</v>
      </c>
      <c r="I1516" t="s">
        <v>56</v>
      </c>
      <c r="J1516">
        <v>1.4250000000000001E-3</v>
      </c>
      <c r="K1516" t="s">
        <v>57</v>
      </c>
      <c r="L1516" t="s">
        <v>58</v>
      </c>
      <c r="N1516" t="s">
        <v>538</v>
      </c>
      <c r="O1516">
        <v>300</v>
      </c>
      <c r="P1516" t="s">
        <v>262</v>
      </c>
      <c r="S1516">
        <v>1.02</v>
      </c>
      <c r="T1516">
        <v>50</v>
      </c>
      <c r="U1516" t="s">
        <v>539</v>
      </c>
      <c r="V1516">
        <v>50</v>
      </c>
      <c r="W1516" t="s">
        <v>543</v>
      </c>
      <c r="X1516" t="s">
        <v>280</v>
      </c>
      <c r="Y1516">
        <v>180</v>
      </c>
      <c r="AA1516" t="s">
        <v>94</v>
      </c>
      <c r="AB1516">
        <v>7.18</v>
      </c>
      <c r="AC1516" t="s">
        <v>85</v>
      </c>
      <c r="AD1516">
        <v>0.11</v>
      </c>
      <c r="AE1516" t="s">
        <v>138</v>
      </c>
      <c r="AI1516">
        <v>5</v>
      </c>
      <c r="AJ1516" t="s">
        <v>201</v>
      </c>
      <c r="AT1516" t="s">
        <v>382</v>
      </c>
      <c r="AV1516" t="s">
        <v>88</v>
      </c>
      <c r="AZ1516">
        <v>0</v>
      </c>
      <c r="BA1516">
        <v>7.18</v>
      </c>
    </row>
    <row r="1517" spans="1:53" hidden="1" x14ac:dyDescent="0.3">
      <c r="A1517" t="s">
        <v>537</v>
      </c>
      <c r="C1517" t="s">
        <v>251</v>
      </c>
      <c r="D1517" t="s">
        <v>81</v>
      </c>
      <c r="E1517">
        <v>100000000</v>
      </c>
      <c r="H1517">
        <v>14.25</v>
      </c>
      <c r="I1517" t="s">
        <v>56</v>
      </c>
      <c r="J1517">
        <v>1.4250000000000001E-3</v>
      </c>
      <c r="K1517" t="s">
        <v>57</v>
      </c>
      <c r="L1517" t="s">
        <v>58</v>
      </c>
      <c r="N1517" t="s">
        <v>538</v>
      </c>
      <c r="O1517">
        <v>300</v>
      </c>
      <c r="P1517" t="s">
        <v>262</v>
      </c>
      <c r="S1517">
        <v>1.02</v>
      </c>
      <c r="T1517">
        <v>50</v>
      </c>
      <c r="U1517" t="s">
        <v>539</v>
      </c>
      <c r="V1517">
        <v>50</v>
      </c>
      <c r="W1517" t="s">
        <v>544</v>
      </c>
      <c r="X1517" t="s">
        <v>280</v>
      </c>
      <c r="Y1517">
        <v>180</v>
      </c>
      <c r="AA1517" t="s">
        <v>94</v>
      </c>
      <c r="AB1517">
        <v>7.61</v>
      </c>
      <c r="AC1517" t="s">
        <v>85</v>
      </c>
      <c r="AD1517">
        <v>0.12</v>
      </c>
      <c r="AE1517" t="s">
        <v>138</v>
      </c>
      <c r="AI1517">
        <v>5</v>
      </c>
      <c r="AJ1517" t="s">
        <v>201</v>
      </c>
      <c r="AT1517" t="s">
        <v>65</v>
      </c>
      <c r="AV1517" t="s">
        <v>88</v>
      </c>
      <c r="AZ1517">
        <v>0</v>
      </c>
      <c r="BA1517">
        <v>7.61</v>
      </c>
    </row>
    <row r="1518" spans="1:53" hidden="1" x14ac:dyDescent="0.3">
      <c r="A1518" t="s">
        <v>537</v>
      </c>
      <c r="C1518" t="s">
        <v>251</v>
      </c>
      <c r="D1518" t="s">
        <v>81</v>
      </c>
      <c r="E1518">
        <v>100000000</v>
      </c>
      <c r="H1518">
        <v>14.25</v>
      </c>
      <c r="I1518" t="s">
        <v>56</v>
      </c>
      <c r="J1518">
        <v>1.4250000000000001E-3</v>
      </c>
      <c r="K1518" t="s">
        <v>57</v>
      </c>
      <c r="L1518" t="s">
        <v>58</v>
      </c>
      <c r="N1518" t="s">
        <v>538</v>
      </c>
      <c r="O1518">
        <v>300</v>
      </c>
      <c r="P1518" t="s">
        <v>262</v>
      </c>
      <c r="S1518">
        <v>1.02</v>
      </c>
      <c r="T1518">
        <v>50</v>
      </c>
      <c r="U1518" t="s">
        <v>539</v>
      </c>
      <c r="V1518">
        <v>50</v>
      </c>
      <c r="W1518" t="s">
        <v>147</v>
      </c>
      <c r="X1518" t="s">
        <v>280</v>
      </c>
      <c r="Y1518">
        <v>180</v>
      </c>
      <c r="AB1518">
        <v>6.25</v>
      </c>
      <c r="AC1518" t="s">
        <v>85</v>
      </c>
      <c r="AD1518">
        <v>1.2</v>
      </c>
      <c r="AE1518" t="s">
        <v>138</v>
      </c>
      <c r="AI1518">
        <v>5</v>
      </c>
      <c r="AJ1518" t="s">
        <v>201</v>
      </c>
      <c r="AT1518" t="s">
        <v>150</v>
      </c>
      <c r="AV1518" t="s">
        <v>88</v>
      </c>
    </row>
    <row r="1519" spans="1:53" hidden="1" x14ac:dyDescent="0.3">
      <c r="A1519" t="s">
        <v>537</v>
      </c>
      <c r="C1519" t="s">
        <v>251</v>
      </c>
      <c r="D1519" t="s">
        <v>81</v>
      </c>
      <c r="E1519">
        <v>100000000</v>
      </c>
      <c r="H1519">
        <v>14.25</v>
      </c>
      <c r="I1519" t="s">
        <v>56</v>
      </c>
      <c r="J1519">
        <v>1.4250000000000001E-3</v>
      </c>
      <c r="K1519" t="s">
        <v>57</v>
      </c>
      <c r="L1519" t="s">
        <v>58</v>
      </c>
      <c r="N1519" t="s">
        <v>538</v>
      </c>
      <c r="O1519">
        <v>300</v>
      </c>
      <c r="P1519" t="s">
        <v>262</v>
      </c>
      <c r="S1519">
        <v>1.02</v>
      </c>
      <c r="T1519">
        <v>50</v>
      </c>
      <c r="U1519" t="s">
        <v>539</v>
      </c>
      <c r="V1519">
        <v>50</v>
      </c>
      <c r="W1519" t="s">
        <v>540</v>
      </c>
      <c r="X1519" t="s">
        <v>280</v>
      </c>
      <c r="Y1519">
        <v>180</v>
      </c>
      <c r="AB1519">
        <v>5.99</v>
      </c>
      <c r="AC1519" t="s">
        <v>85</v>
      </c>
      <c r="AD1519">
        <v>0.79</v>
      </c>
      <c r="AE1519" t="s">
        <v>138</v>
      </c>
      <c r="AI1519">
        <v>5</v>
      </c>
      <c r="AJ1519" t="s">
        <v>201</v>
      </c>
      <c r="AT1519" t="s">
        <v>212</v>
      </c>
      <c r="AV1519" t="s">
        <v>88</v>
      </c>
    </row>
    <row r="1520" spans="1:53" hidden="1" x14ac:dyDescent="0.3">
      <c r="A1520" t="s">
        <v>537</v>
      </c>
      <c r="C1520" t="s">
        <v>251</v>
      </c>
      <c r="D1520" t="s">
        <v>81</v>
      </c>
      <c r="E1520">
        <v>100000000</v>
      </c>
      <c r="H1520">
        <v>14.25</v>
      </c>
      <c r="I1520" t="s">
        <v>56</v>
      </c>
      <c r="J1520">
        <v>1.4250000000000001E-3</v>
      </c>
      <c r="K1520" t="s">
        <v>57</v>
      </c>
      <c r="L1520" t="s">
        <v>58</v>
      </c>
      <c r="N1520" t="s">
        <v>538</v>
      </c>
      <c r="O1520">
        <v>300</v>
      </c>
      <c r="P1520" t="s">
        <v>262</v>
      </c>
      <c r="S1520">
        <v>1.02</v>
      </c>
      <c r="T1520">
        <v>50</v>
      </c>
      <c r="U1520" t="s">
        <v>539</v>
      </c>
      <c r="V1520">
        <v>50</v>
      </c>
      <c r="W1520" t="s">
        <v>541</v>
      </c>
      <c r="X1520" t="s">
        <v>280</v>
      </c>
      <c r="Y1520">
        <v>180</v>
      </c>
      <c r="AA1520" t="s">
        <v>94</v>
      </c>
      <c r="AB1520">
        <v>7.91</v>
      </c>
      <c r="AC1520" t="s">
        <v>85</v>
      </c>
      <c r="AD1520">
        <v>0.02</v>
      </c>
      <c r="AE1520" t="s">
        <v>138</v>
      </c>
      <c r="AI1520">
        <v>5</v>
      </c>
      <c r="AJ1520" t="s">
        <v>201</v>
      </c>
      <c r="AT1520" t="s">
        <v>382</v>
      </c>
      <c r="AV1520" t="s">
        <v>88</v>
      </c>
      <c r="AZ1520">
        <v>0</v>
      </c>
      <c r="BA1520">
        <v>7.91</v>
      </c>
    </row>
    <row r="1521" spans="1:53" hidden="1" x14ac:dyDescent="0.3">
      <c r="A1521" t="s">
        <v>537</v>
      </c>
      <c r="C1521" t="s">
        <v>251</v>
      </c>
      <c r="D1521" t="s">
        <v>81</v>
      </c>
      <c r="E1521">
        <v>100000000</v>
      </c>
      <c r="H1521">
        <v>14.25</v>
      </c>
      <c r="I1521" t="s">
        <v>56</v>
      </c>
      <c r="J1521">
        <v>1.4250000000000001E-3</v>
      </c>
      <c r="K1521" t="s">
        <v>57</v>
      </c>
      <c r="L1521" t="s">
        <v>58</v>
      </c>
      <c r="N1521" t="s">
        <v>538</v>
      </c>
      <c r="O1521">
        <v>300</v>
      </c>
      <c r="P1521" t="s">
        <v>262</v>
      </c>
      <c r="S1521">
        <v>1.02</v>
      </c>
      <c r="T1521">
        <v>50</v>
      </c>
      <c r="U1521" t="s">
        <v>539</v>
      </c>
      <c r="V1521">
        <v>50</v>
      </c>
      <c r="W1521" t="s">
        <v>542</v>
      </c>
      <c r="X1521" t="s">
        <v>280</v>
      </c>
      <c r="Y1521">
        <v>180</v>
      </c>
      <c r="AB1521">
        <v>6.01</v>
      </c>
      <c r="AC1521" t="s">
        <v>85</v>
      </c>
      <c r="AD1521">
        <v>1.36</v>
      </c>
      <c r="AE1521" t="s">
        <v>138</v>
      </c>
      <c r="AI1521">
        <v>5</v>
      </c>
      <c r="AJ1521" t="s">
        <v>201</v>
      </c>
      <c r="AT1521" t="s">
        <v>382</v>
      </c>
      <c r="AV1521" t="s">
        <v>88</v>
      </c>
    </row>
    <row r="1522" spans="1:53" hidden="1" x14ac:dyDescent="0.3">
      <c r="A1522" t="s">
        <v>537</v>
      </c>
      <c r="C1522" t="s">
        <v>251</v>
      </c>
      <c r="D1522" t="s">
        <v>81</v>
      </c>
      <c r="E1522">
        <v>100000000</v>
      </c>
      <c r="H1522">
        <v>14.25</v>
      </c>
      <c r="I1522" t="s">
        <v>56</v>
      </c>
      <c r="J1522">
        <v>1.4250000000000001E-3</v>
      </c>
      <c r="K1522" t="s">
        <v>57</v>
      </c>
      <c r="L1522" t="s">
        <v>58</v>
      </c>
      <c r="N1522" t="s">
        <v>538</v>
      </c>
      <c r="O1522">
        <v>300</v>
      </c>
      <c r="P1522" t="s">
        <v>262</v>
      </c>
      <c r="S1522">
        <v>1.02</v>
      </c>
      <c r="T1522">
        <v>50</v>
      </c>
      <c r="U1522" t="s">
        <v>539</v>
      </c>
      <c r="V1522">
        <v>50</v>
      </c>
      <c r="W1522" t="s">
        <v>543</v>
      </c>
      <c r="X1522" t="s">
        <v>280</v>
      </c>
      <c r="Y1522">
        <v>180</v>
      </c>
      <c r="AB1522">
        <v>5.53</v>
      </c>
      <c r="AC1522" t="s">
        <v>85</v>
      </c>
      <c r="AD1522">
        <v>0.99</v>
      </c>
      <c r="AE1522" t="s">
        <v>138</v>
      </c>
      <c r="AI1522">
        <v>5</v>
      </c>
      <c r="AJ1522" t="s">
        <v>201</v>
      </c>
      <c r="AT1522" t="s">
        <v>382</v>
      </c>
      <c r="AV1522" t="s">
        <v>88</v>
      </c>
    </row>
    <row r="1523" spans="1:53" hidden="1" x14ac:dyDescent="0.3">
      <c r="A1523" t="s">
        <v>537</v>
      </c>
      <c r="C1523" t="s">
        <v>251</v>
      </c>
      <c r="D1523" t="s">
        <v>81</v>
      </c>
      <c r="E1523">
        <v>100000000</v>
      </c>
      <c r="H1523">
        <v>14.25</v>
      </c>
      <c r="I1523" t="s">
        <v>56</v>
      </c>
      <c r="J1523">
        <v>1.4250000000000001E-3</v>
      </c>
      <c r="K1523" t="s">
        <v>57</v>
      </c>
      <c r="L1523" t="s">
        <v>58</v>
      </c>
      <c r="N1523" t="s">
        <v>538</v>
      </c>
      <c r="O1523">
        <v>300</v>
      </c>
      <c r="P1523" t="s">
        <v>262</v>
      </c>
      <c r="S1523">
        <v>1.02</v>
      </c>
      <c r="T1523">
        <v>50</v>
      </c>
      <c r="U1523" t="s">
        <v>539</v>
      </c>
      <c r="V1523">
        <v>50</v>
      </c>
      <c r="W1523" t="s">
        <v>544</v>
      </c>
      <c r="X1523" t="s">
        <v>280</v>
      </c>
      <c r="Y1523">
        <v>180</v>
      </c>
      <c r="AA1523" t="s">
        <v>94</v>
      </c>
      <c r="AB1523">
        <v>7.67</v>
      </c>
      <c r="AC1523" t="s">
        <v>85</v>
      </c>
      <c r="AD1523">
        <v>0.72</v>
      </c>
      <c r="AE1523" t="s">
        <v>138</v>
      </c>
      <c r="AI1523">
        <v>5</v>
      </c>
      <c r="AJ1523" t="s">
        <v>201</v>
      </c>
      <c r="AT1523" t="s">
        <v>65</v>
      </c>
      <c r="AV1523" t="s">
        <v>88</v>
      </c>
      <c r="AZ1523">
        <v>0</v>
      </c>
      <c r="BA1523">
        <v>7.67</v>
      </c>
    </row>
    <row r="1524" spans="1:53" hidden="1" x14ac:dyDescent="0.3">
      <c r="A1524" t="s">
        <v>537</v>
      </c>
      <c r="C1524" t="s">
        <v>251</v>
      </c>
      <c r="D1524" t="s">
        <v>81</v>
      </c>
      <c r="E1524">
        <v>100000000</v>
      </c>
      <c r="H1524">
        <v>14.25</v>
      </c>
      <c r="I1524" t="s">
        <v>56</v>
      </c>
      <c r="J1524">
        <v>1.4250000000000001E-3</v>
      </c>
      <c r="K1524" t="s">
        <v>57</v>
      </c>
      <c r="L1524" t="s">
        <v>58</v>
      </c>
      <c r="N1524" t="s">
        <v>538</v>
      </c>
      <c r="O1524">
        <v>300</v>
      </c>
      <c r="P1524" t="s">
        <v>262</v>
      </c>
      <c r="S1524">
        <v>1.02</v>
      </c>
      <c r="T1524">
        <v>50</v>
      </c>
      <c r="U1524" t="s">
        <v>539</v>
      </c>
      <c r="V1524">
        <v>50</v>
      </c>
      <c r="W1524" t="s">
        <v>147</v>
      </c>
      <c r="X1524" t="s">
        <v>280</v>
      </c>
      <c r="Y1524">
        <v>360</v>
      </c>
      <c r="AA1524" t="s">
        <v>94</v>
      </c>
      <c r="AB1524">
        <v>7.72</v>
      </c>
      <c r="AC1524" t="s">
        <v>85</v>
      </c>
      <c r="AD1524">
        <v>0.05</v>
      </c>
      <c r="AE1524" t="s">
        <v>138</v>
      </c>
      <c r="AI1524">
        <v>5</v>
      </c>
      <c r="AJ1524" t="s">
        <v>201</v>
      </c>
      <c r="AT1524" t="s">
        <v>150</v>
      </c>
      <c r="AV1524" t="s">
        <v>88</v>
      </c>
      <c r="AZ1524">
        <v>0</v>
      </c>
      <c r="BA1524">
        <v>7.72</v>
      </c>
    </row>
    <row r="1525" spans="1:53" hidden="1" x14ac:dyDescent="0.3">
      <c r="A1525" t="s">
        <v>537</v>
      </c>
      <c r="C1525" t="s">
        <v>251</v>
      </c>
      <c r="D1525" t="s">
        <v>81</v>
      </c>
      <c r="E1525">
        <v>100000000</v>
      </c>
      <c r="H1525">
        <v>14.25</v>
      </c>
      <c r="I1525" t="s">
        <v>56</v>
      </c>
      <c r="J1525">
        <v>1.4250000000000001E-3</v>
      </c>
      <c r="K1525" t="s">
        <v>57</v>
      </c>
      <c r="L1525" t="s">
        <v>58</v>
      </c>
      <c r="N1525" t="s">
        <v>538</v>
      </c>
      <c r="O1525">
        <v>300</v>
      </c>
      <c r="P1525" t="s">
        <v>262</v>
      </c>
      <c r="S1525">
        <v>1.02</v>
      </c>
      <c r="T1525">
        <v>50</v>
      </c>
      <c r="U1525" t="s">
        <v>539</v>
      </c>
      <c r="V1525">
        <v>50</v>
      </c>
      <c r="W1525" t="s">
        <v>540</v>
      </c>
      <c r="X1525" t="s">
        <v>280</v>
      </c>
      <c r="Y1525">
        <v>360</v>
      </c>
      <c r="AA1525" t="s">
        <v>94</v>
      </c>
      <c r="AB1525">
        <v>6.79</v>
      </c>
      <c r="AC1525" t="s">
        <v>85</v>
      </c>
      <c r="AD1525">
        <v>0.11</v>
      </c>
      <c r="AE1525" t="s">
        <v>138</v>
      </c>
      <c r="AI1525">
        <v>5</v>
      </c>
      <c r="AJ1525" t="s">
        <v>201</v>
      </c>
      <c r="AT1525" t="s">
        <v>212</v>
      </c>
      <c r="AV1525" t="s">
        <v>88</v>
      </c>
      <c r="AZ1525">
        <v>0</v>
      </c>
      <c r="BA1525">
        <v>6.79</v>
      </c>
    </row>
    <row r="1526" spans="1:53" hidden="1" x14ac:dyDescent="0.3">
      <c r="A1526" t="s">
        <v>537</v>
      </c>
      <c r="C1526" t="s">
        <v>251</v>
      </c>
      <c r="D1526" t="s">
        <v>81</v>
      </c>
      <c r="E1526">
        <v>100000000</v>
      </c>
      <c r="H1526">
        <v>14.25</v>
      </c>
      <c r="I1526" t="s">
        <v>56</v>
      </c>
      <c r="J1526">
        <v>1.4250000000000001E-3</v>
      </c>
      <c r="K1526" t="s">
        <v>57</v>
      </c>
      <c r="L1526" t="s">
        <v>58</v>
      </c>
      <c r="N1526" t="s">
        <v>538</v>
      </c>
      <c r="O1526">
        <v>300</v>
      </c>
      <c r="P1526" t="s">
        <v>262</v>
      </c>
      <c r="S1526">
        <v>1.02</v>
      </c>
      <c r="T1526">
        <v>50</v>
      </c>
      <c r="U1526" t="s">
        <v>539</v>
      </c>
      <c r="V1526">
        <v>50</v>
      </c>
      <c r="W1526" t="s">
        <v>541</v>
      </c>
      <c r="X1526" t="s">
        <v>280</v>
      </c>
      <c r="Y1526">
        <v>360</v>
      </c>
      <c r="AA1526" t="s">
        <v>94</v>
      </c>
      <c r="AB1526">
        <v>7.98</v>
      </c>
      <c r="AC1526" t="s">
        <v>85</v>
      </c>
      <c r="AD1526">
        <v>0.03</v>
      </c>
      <c r="AE1526" t="s">
        <v>138</v>
      </c>
      <c r="AI1526">
        <v>5</v>
      </c>
      <c r="AJ1526" t="s">
        <v>201</v>
      </c>
      <c r="AT1526" t="s">
        <v>382</v>
      </c>
      <c r="AV1526" t="s">
        <v>88</v>
      </c>
      <c r="AZ1526">
        <v>0</v>
      </c>
      <c r="BA1526">
        <v>7.98</v>
      </c>
    </row>
    <row r="1527" spans="1:53" hidden="1" x14ac:dyDescent="0.3">
      <c r="A1527" t="s">
        <v>537</v>
      </c>
      <c r="C1527" t="s">
        <v>251</v>
      </c>
      <c r="D1527" t="s">
        <v>81</v>
      </c>
      <c r="E1527">
        <v>100000000</v>
      </c>
      <c r="H1527">
        <v>14.25</v>
      </c>
      <c r="I1527" t="s">
        <v>56</v>
      </c>
      <c r="J1527">
        <v>1.4250000000000001E-3</v>
      </c>
      <c r="K1527" t="s">
        <v>57</v>
      </c>
      <c r="L1527" t="s">
        <v>58</v>
      </c>
      <c r="N1527" t="s">
        <v>538</v>
      </c>
      <c r="O1527">
        <v>300</v>
      </c>
      <c r="P1527" t="s">
        <v>262</v>
      </c>
      <c r="S1527">
        <v>1.02</v>
      </c>
      <c r="T1527">
        <v>50</v>
      </c>
      <c r="U1527" t="s">
        <v>539</v>
      </c>
      <c r="V1527">
        <v>50</v>
      </c>
      <c r="W1527" t="s">
        <v>542</v>
      </c>
      <c r="X1527" t="s">
        <v>280</v>
      </c>
      <c r="Y1527">
        <v>360</v>
      </c>
      <c r="AB1527">
        <v>4.68</v>
      </c>
      <c r="AC1527" t="s">
        <v>85</v>
      </c>
      <c r="AD1527">
        <v>0.42</v>
      </c>
      <c r="AE1527" t="s">
        <v>138</v>
      </c>
      <c r="AI1527">
        <v>5</v>
      </c>
      <c r="AJ1527" t="s">
        <v>201</v>
      </c>
      <c r="AT1527" t="s">
        <v>382</v>
      </c>
      <c r="AV1527" t="s">
        <v>88</v>
      </c>
    </row>
    <row r="1528" spans="1:53" hidden="1" x14ac:dyDescent="0.3">
      <c r="A1528" t="s">
        <v>537</v>
      </c>
      <c r="C1528" t="s">
        <v>251</v>
      </c>
      <c r="D1528" t="s">
        <v>81</v>
      </c>
      <c r="E1528">
        <v>100000000</v>
      </c>
      <c r="H1528">
        <v>14.25</v>
      </c>
      <c r="I1528" t="s">
        <v>56</v>
      </c>
      <c r="J1528">
        <v>1.4250000000000001E-3</v>
      </c>
      <c r="K1528" t="s">
        <v>57</v>
      </c>
      <c r="L1528" t="s">
        <v>58</v>
      </c>
      <c r="N1528" t="s">
        <v>538</v>
      </c>
      <c r="O1528">
        <v>300</v>
      </c>
      <c r="P1528" t="s">
        <v>262</v>
      </c>
      <c r="S1528">
        <v>1.02</v>
      </c>
      <c r="T1528">
        <v>50</v>
      </c>
      <c r="U1528" t="s">
        <v>539</v>
      </c>
      <c r="V1528">
        <v>50</v>
      </c>
      <c r="W1528" t="s">
        <v>543</v>
      </c>
      <c r="X1528" t="s">
        <v>280</v>
      </c>
      <c r="Y1528">
        <v>360</v>
      </c>
      <c r="AA1528" t="s">
        <v>94</v>
      </c>
      <c r="AB1528">
        <v>7.52</v>
      </c>
      <c r="AC1528" t="s">
        <v>85</v>
      </c>
      <c r="AD1528">
        <v>0.11</v>
      </c>
      <c r="AE1528" t="s">
        <v>138</v>
      </c>
      <c r="AI1528">
        <v>5</v>
      </c>
      <c r="AJ1528" t="s">
        <v>201</v>
      </c>
      <c r="AT1528" t="s">
        <v>382</v>
      </c>
      <c r="AV1528" t="s">
        <v>88</v>
      </c>
      <c r="AZ1528">
        <v>0</v>
      </c>
      <c r="BA1528">
        <v>7.52</v>
      </c>
    </row>
    <row r="1529" spans="1:53" hidden="1" x14ac:dyDescent="0.3">
      <c r="A1529" t="s">
        <v>537</v>
      </c>
      <c r="C1529" t="s">
        <v>251</v>
      </c>
      <c r="D1529" t="s">
        <v>81</v>
      </c>
      <c r="E1529">
        <v>100000000</v>
      </c>
      <c r="H1529">
        <v>14.25</v>
      </c>
      <c r="I1529" t="s">
        <v>56</v>
      </c>
      <c r="J1529">
        <v>1.4250000000000001E-3</v>
      </c>
      <c r="K1529" t="s">
        <v>57</v>
      </c>
      <c r="L1529" t="s">
        <v>58</v>
      </c>
      <c r="N1529" t="s">
        <v>538</v>
      </c>
      <c r="O1529">
        <v>300</v>
      </c>
      <c r="P1529" t="s">
        <v>262</v>
      </c>
      <c r="S1529">
        <v>1.02</v>
      </c>
      <c r="T1529">
        <v>50</v>
      </c>
      <c r="U1529" t="s">
        <v>539</v>
      </c>
      <c r="V1529">
        <v>50</v>
      </c>
      <c r="W1529" t="s">
        <v>544</v>
      </c>
      <c r="X1529" t="s">
        <v>280</v>
      </c>
      <c r="Y1529">
        <v>360</v>
      </c>
      <c r="AA1529" t="s">
        <v>94</v>
      </c>
      <c r="AB1529">
        <v>8.0299999999999994</v>
      </c>
      <c r="AC1529" t="s">
        <v>85</v>
      </c>
      <c r="AD1529">
        <v>0.06</v>
      </c>
      <c r="AE1529" t="s">
        <v>138</v>
      </c>
      <c r="AI1529">
        <v>5</v>
      </c>
      <c r="AJ1529" t="s">
        <v>201</v>
      </c>
      <c r="AT1529" t="s">
        <v>65</v>
      </c>
      <c r="AV1529" t="s">
        <v>88</v>
      </c>
      <c r="AZ1529">
        <v>0</v>
      </c>
      <c r="BA1529">
        <v>8.0299999999999994</v>
      </c>
    </row>
    <row r="1530" spans="1:53" hidden="1" x14ac:dyDescent="0.3">
      <c r="A1530" t="s">
        <v>537</v>
      </c>
      <c r="C1530" t="s">
        <v>251</v>
      </c>
      <c r="D1530" t="s">
        <v>81</v>
      </c>
      <c r="E1530">
        <v>100000000</v>
      </c>
      <c r="H1530">
        <v>14.25</v>
      </c>
      <c r="I1530" t="s">
        <v>56</v>
      </c>
      <c r="J1530">
        <v>1.4250000000000001E-3</v>
      </c>
      <c r="K1530" t="s">
        <v>57</v>
      </c>
      <c r="L1530" t="s">
        <v>58</v>
      </c>
      <c r="N1530" t="s">
        <v>538</v>
      </c>
      <c r="O1530">
        <v>600</v>
      </c>
      <c r="P1530" t="s">
        <v>262</v>
      </c>
      <c r="S1530">
        <v>1.02</v>
      </c>
      <c r="T1530">
        <v>50</v>
      </c>
      <c r="U1530" t="s">
        <v>539</v>
      </c>
      <c r="V1530">
        <v>50</v>
      </c>
      <c r="W1530" t="s">
        <v>147</v>
      </c>
      <c r="X1530" t="s">
        <v>280</v>
      </c>
      <c r="Y1530">
        <v>180</v>
      </c>
      <c r="AA1530" t="s">
        <v>94</v>
      </c>
      <c r="AB1530">
        <v>7.66</v>
      </c>
      <c r="AC1530" t="s">
        <v>85</v>
      </c>
      <c r="AD1530">
        <v>0.04</v>
      </c>
      <c r="AE1530" t="s">
        <v>138</v>
      </c>
      <c r="AI1530">
        <v>5</v>
      </c>
      <c r="AJ1530" t="s">
        <v>201</v>
      </c>
      <c r="AT1530" t="s">
        <v>150</v>
      </c>
      <c r="AV1530" t="s">
        <v>88</v>
      </c>
      <c r="AZ1530">
        <v>0</v>
      </c>
      <c r="BA1530">
        <v>7.66</v>
      </c>
    </row>
    <row r="1531" spans="1:53" hidden="1" x14ac:dyDescent="0.3">
      <c r="A1531" t="s">
        <v>537</v>
      </c>
      <c r="C1531" t="s">
        <v>251</v>
      </c>
      <c r="D1531" t="s">
        <v>81</v>
      </c>
      <c r="E1531">
        <v>100000000</v>
      </c>
      <c r="H1531">
        <v>14.25</v>
      </c>
      <c r="I1531" t="s">
        <v>56</v>
      </c>
      <c r="J1531">
        <v>1.4250000000000001E-3</v>
      </c>
      <c r="K1531" t="s">
        <v>57</v>
      </c>
      <c r="L1531" t="s">
        <v>58</v>
      </c>
      <c r="N1531" t="s">
        <v>538</v>
      </c>
      <c r="O1531">
        <v>600</v>
      </c>
      <c r="P1531" t="s">
        <v>262</v>
      </c>
      <c r="S1531">
        <v>1.02</v>
      </c>
      <c r="T1531">
        <v>50</v>
      </c>
      <c r="U1531" t="s">
        <v>539</v>
      </c>
      <c r="V1531">
        <v>50</v>
      </c>
      <c r="W1531" t="s">
        <v>540</v>
      </c>
      <c r="X1531" t="s">
        <v>280</v>
      </c>
      <c r="Y1531">
        <v>180</v>
      </c>
      <c r="AA1531" t="s">
        <v>94</v>
      </c>
      <c r="AB1531">
        <v>6.91</v>
      </c>
      <c r="AC1531" t="s">
        <v>85</v>
      </c>
      <c r="AD1531">
        <v>0.05</v>
      </c>
      <c r="AE1531" t="s">
        <v>138</v>
      </c>
      <c r="AI1531">
        <v>5</v>
      </c>
      <c r="AJ1531" t="s">
        <v>201</v>
      </c>
      <c r="AT1531" t="s">
        <v>212</v>
      </c>
      <c r="AV1531" t="s">
        <v>88</v>
      </c>
      <c r="AZ1531">
        <v>0</v>
      </c>
      <c r="BA1531">
        <v>6.91</v>
      </c>
    </row>
    <row r="1532" spans="1:53" hidden="1" x14ac:dyDescent="0.3">
      <c r="A1532" t="s">
        <v>537</v>
      </c>
      <c r="C1532" t="s">
        <v>251</v>
      </c>
      <c r="D1532" t="s">
        <v>81</v>
      </c>
      <c r="E1532">
        <v>100000000</v>
      </c>
      <c r="H1532">
        <v>14.25</v>
      </c>
      <c r="I1532" t="s">
        <v>56</v>
      </c>
      <c r="J1532">
        <v>1.4250000000000001E-3</v>
      </c>
      <c r="K1532" t="s">
        <v>57</v>
      </c>
      <c r="L1532" t="s">
        <v>58</v>
      </c>
      <c r="N1532" t="s">
        <v>538</v>
      </c>
      <c r="O1532">
        <v>600</v>
      </c>
      <c r="P1532" t="s">
        <v>262</v>
      </c>
      <c r="S1532">
        <v>1.02</v>
      </c>
      <c r="T1532">
        <v>50</v>
      </c>
      <c r="U1532" t="s">
        <v>539</v>
      </c>
      <c r="V1532">
        <v>50</v>
      </c>
      <c r="W1532" t="s">
        <v>541</v>
      </c>
      <c r="X1532" t="s">
        <v>280</v>
      </c>
      <c r="Y1532">
        <v>180</v>
      </c>
      <c r="AA1532" t="s">
        <v>94</v>
      </c>
      <c r="AB1532">
        <v>7.93</v>
      </c>
      <c r="AC1532" t="s">
        <v>85</v>
      </c>
      <c r="AD1532">
        <v>0.04</v>
      </c>
      <c r="AE1532" t="s">
        <v>138</v>
      </c>
      <c r="AI1532">
        <v>5</v>
      </c>
      <c r="AJ1532" t="s">
        <v>201</v>
      </c>
      <c r="AT1532" t="s">
        <v>382</v>
      </c>
      <c r="AV1532" t="s">
        <v>88</v>
      </c>
      <c r="AZ1532">
        <v>0</v>
      </c>
      <c r="BA1532">
        <v>7.93</v>
      </c>
    </row>
    <row r="1533" spans="1:53" hidden="1" x14ac:dyDescent="0.3">
      <c r="A1533" t="s">
        <v>537</v>
      </c>
      <c r="C1533" t="s">
        <v>251</v>
      </c>
      <c r="D1533" t="s">
        <v>81</v>
      </c>
      <c r="E1533">
        <v>100000000</v>
      </c>
      <c r="H1533">
        <v>14.25</v>
      </c>
      <c r="I1533" t="s">
        <v>56</v>
      </c>
      <c r="J1533">
        <v>1.4250000000000001E-3</v>
      </c>
      <c r="K1533" t="s">
        <v>57</v>
      </c>
      <c r="L1533" t="s">
        <v>58</v>
      </c>
      <c r="N1533" t="s">
        <v>538</v>
      </c>
      <c r="O1533">
        <v>600</v>
      </c>
      <c r="P1533" t="s">
        <v>262</v>
      </c>
      <c r="S1533">
        <v>1.02</v>
      </c>
      <c r="T1533">
        <v>50</v>
      </c>
      <c r="U1533" t="s">
        <v>539</v>
      </c>
      <c r="V1533">
        <v>50</v>
      </c>
      <c r="W1533" t="s">
        <v>542</v>
      </c>
      <c r="X1533" t="s">
        <v>280</v>
      </c>
      <c r="Y1533">
        <v>180</v>
      </c>
      <c r="AA1533" t="s">
        <v>94</v>
      </c>
      <c r="AB1533">
        <v>7.75</v>
      </c>
      <c r="AC1533" t="s">
        <v>85</v>
      </c>
      <c r="AD1533">
        <v>0.03</v>
      </c>
      <c r="AE1533" t="s">
        <v>138</v>
      </c>
      <c r="AI1533">
        <v>5</v>
      </c>
      <c r="AJ1533" t="s">
        <v>201</v>
      </c>
      <c r="AT1533" t="s">
        <v>382</v>
      </c>
      <c r="AV1533" t="s">
        <v>88</v>
      </c>
      <c r="AZ1533">
        <v>0</v>
      </c>
      <c r="BA1533">
        <v>7.75</v>
      </c>
    </row>
    <row r="1534" spans="1:53" hidden="1" x14ac:dyDescent="0.3">
      <c r="A1534" t="s">
        <v>537</v>
      </c>
      <c r="C1534" t="s">
        <v>251</v>
      </c>
      <c r="D1534" t="s">
        <v>81</v>
      </c>
      <c r="E1534">
        <v>100000000</v>
      </c>
      <c r="H1534">
        <v>14.25</v>
      </c>
      <c r="I1534" t="s">
        <v>56</v>
      </c>
      <c r="J1534">
        <v>1.4250000000000001E-3</v>
      </c>
      <c r="K1534" t="s">
        <v>57</v>
      </c>
      <c r="L1534" t="s">
        <v>58</v>
      </c>
      <c r="N1534" t="s">
        <v>538</v>
      </c>
      <c r="O1534">
        <v>600</v>
      </c>
      <c r="P1534" t="s">
        <v>262</v>
      </c>
      <c r="S1534">
        <v>1.02</v>
      </c>
      <c r="T1534">
        <v>50</v>
      </c>
      <c r="U1534" t="s">
        <v>539</v>
      </c>
      <c r="V1534">
        <v>50</v>
      </c>
      <c r="W1534" t="s">
        <v>543</v>
      </c>
      <c r="X1534" t="s">
        <v>280</v>
      </c>
      <c r="Y1534">
        <v>180</v>
      </c>
      <c r="AA1534" t="s">
        <v>94</v>
      </c>
      <c r="AB1534">
        <v>7.36</v>
      </c>
      <c r="AC1534" t="s">
        <v>85</v>
      </c>
      <c r="AD1534">
        <v>0.14000000000000001</v>
      </c>
      <c r="AE1534" t="s">
        <v>138</v>
      </c>
      <c r="AI1534">
        <v>5</v>
      </c>
      <c r="AJ1534" t="s">
        <v>201</v>
      </c>
      <c r="AT1534" t="s">
        <v>382</v>
      </c>
      <c r="AV1534" t="s">
        <v>88</v>
      </c>
      <c r="AZ1534">
        <v>0</v>
      </c>
      <c r="BA1534">
        <v>7.36</v>
      </c>
    </row>
    <row r="1535" spans="1:53" hidden="1" x14ac:dyDescent="0.3">
      <c r="A1535" t="s">
        <v>537</v>
      </c>
      <c r="C1535" t="s">
        <v>251</v>
      </c>
      <c r="D1535" t="s">
        <v>81</v>
      </c>
      <c r="E1535">
        <v>100000000</v>
      </c>
      <c r="H1535">
        <v>14.25</v>
      </c>
      <c r="I1535" t="s">
        <v>56</v>
      </c>
      <c r="J1535">
        <v>1.4250000000000001E-3</v>
      </c>
      <c r="K1535" t="s">
        <v>57</v>
      </c>
      <c r="L1535" t="s">
        <v>58</v>
      </c>
      <c r="N1535" t="s">
        <v>538</v>
      </c>
      <c r="O1535">
        <v>600</v>
      </c>
      <c r="P1535" t="s">
        <v>262</v>
      </c>
      <c r="S1535">
        <v>1.02</v>
      </c>
      <c r="T1535">
        <v>50</v>
      </c>
      <c r="U1535" t="s">
        <v>539</v>
      </c>
      <c r="V1535">
        <v>50</v>
      </c>
      <c r="W1535" t="s">
        <v>544</v>
      </c>
      <c r="X1535" t="s">
        <v>280</v>
      </c>
      <c r="Y1535">
        <v>180</v>
      </c>
      <c r="AA1535" t="s">
        <v>94</v>
      </c>
      <c r="AB1535">
        <v>7.83</v>
      </c>
      <c r="AC1535" t="s">
        <v>85</v>
      </c>
      <c r="AD1535">
        <v>0.05</v>
      </c>
      <c r="AE1535" t="s">
        <v>138</v>
      </c>
      <c r="AI1535">
        <v>5</v>
      </c>
      <c r="AJ1535" t="s">
        <v>201</v>
      </c>
      <c r="AT1535" t="s">
        <v>65</v>
      </c>
      <c r="AV1535" t="s">
        <v>88</v>
      </c>
      <c r="AZ1535">
        <v>0</v>
      </c>
      <c r="BA1535">
        <v>7.83</v>
      </c>
    </row>
    <row r="1536" spans="1:53" hidden="1" x14ac:dyDescent="0.3">
      <c r="A1536" t="s">
        <v>537</v>
      </c>
      <c r="C1536" t="s">
        <v>251</v>
      </c>
      <c r="D1536" t="s">
        <v>81</v>
      </c>
      <c r="E1536">
        <v>100000000</v>
      </c>
      <c r="H1536">
        <v>14.25</v>
      </c>
      <c r="I1536" t="s">
        <v>56</v>
      </c>
      <c r="J1536">
        <v>1.4250000000000001E-3</v>
      </c>
      <c r="K1536" t="s">
        <v>57</v>
      </c>
      <c r="L1536" t="s">
        <v>58</v>
      </c>
      <c r="N1536" t="s">
        <v>538</v>
      </c>
      <c r="O1536">
        <v>300</v>
      </c>
      <c r="P1536" t="s">
        <v>262</v>
      </c>
      <c r="S1536">
        <v>1.02</v>
      </c>
      <c r="T1536">
        <v>50</v>
      </c>
      <c r="U1536" t="s">
        <v>539</v>
      </c>
      <c r="V1536">
        <v>60</v>
      </c>
      <c r="W1536" t="s">
        <v>147</v>
      </c>
      <c r="X1536" t="s">
        <v>280</v>
      </c>
      <c r="Y1536">
        <v>180</v>
      </c>
      <c r="AA1536" t="s">
        <v>94</v>
      </c>
      <c r="AB1536">
        <v>7.77</v>
      </c>
      <c r="AC1536" t="s">
        <v>85</v>
      </c>
      <c r="AD1536">
        <v>7.0000000000000007E-2</v>
      </c>
      <c r="AE1536" t="s">
        <v>138</v>
      </c>
      <c r="AI1536">
        <v>5</v>
      </c>
      <c r="AJ1536" t="s">
        <v>201</v>
      </c>
      <c r="AT1536" t="s">
        <v>150</v>
      </c>
      <c r="AV1536" t="s">
        <v>88</v>
      </c>
      <c r="AZ1536">
        <v>0</v>
      </c>
      <c r="BA1536">
        <v>7.77</v>
      </c>
    </row>
    <row r="1537" spans="1:53" hidden="1" x14ac:dyDescent="0.3">
      <c r="A1537" t="s">
        <v>537</v>
      </c>
      <c r="C1537" t="s">
        <v>251</v>
      </c>
      <c r="D1537" t="s">
        <v>81</v>
      </c>
      <c r="E1537">
        <v>100000000</v>
      </c>
      <c r="H1537">
        <v>14.25</v>
      </c>
      <c r="I1537" t="s">
        <v>56</v>
      </c>
      <c r="J1537">
        <v>1.4250000000000001E-3</v>
      </c>
      <c r="K1537" t="s">
        <v>57</v>
      </c>
      <c r="L1537" t="s">
        <v>58</v>
      </c>
      <c r="N1537" t="s">
        <v>538</v>
      </c>
      <c r="O1537">
        <v>300</v>
      </c>
      <c r="P1537" t="s">
        <v>262</v>
      </c>
      <c r="S1537">
        <v>1.02</v>
      </c>
      <c r="T1537">
        <v>50</v>
      </c>
      <c r="U1537" t="s">
        <v>539</v>
      </c>
      <c r="V1537">
        <v>60</v>
      </c>
      <c r="W1537" t="s">
        <v>540</v>
      </c>
      <c r="X1537" t="s">
        <v>280</v>
      </c>
      <c r="Y1537">
        <v>180</v>
      </c>
      <c r="AA1537" t="s">
        <v>94</v>
      </c>
      <c r="AB1537">
        <v>6.8</v>
      </c>
      <c r="AC1537" t="s">
        <v>85</v>
      </c>
      <c r="AD1537">
        <v>0.03</v>
      </c>
      <c r="AE1537" t="s">
        <v>138</v>
      </c>
      <c r="AI1537">
        <v>5</v>
      </c>
      <c r="AJ1537" t="s">
        <v>201</v>
      </c>
      <c r="AT1537" t="s">
        <v>212</v>
      </c>
      <c r="AV1537" t="s">
        <v>88</v>
      </c>
      <c r="AZ1537">
        <v>0</v>
      </c>
      <c r="BA1537">
        <v>6.8</v>
      </c>
    </row>
    <row r="1538" spans="1:53" hidden="1" x14ac:dyDescent="0.3">
      <c r="A1538" t="s">
        <v>537</v>
      </c>
      <c r="C1538" t="s">
        <v>251</v>
      </c>
      <c r="D1538" t="s">
        <v>81</v>
      </c>
      <c r="E1538">
        <v>100000000</v>
      </c>
      <c r="H1538">
        <v>14.25</v>
      </c>
      <c r="I1538" t="s">
        <v>56</v>
      </c>
      <c r="J1538">
        <v>1.4250000000000001E-3</v>
      </c>
      <c r="K1538" t="s">
        <v>57</v>
      </c>
      <c r="L1538" t="s">
        <v>58</v>
      </c>
      <c r="N1538" t="s">
        <v>538</v>
      </c>
      <c r="O1538">
        <v>300</v>
      </c>
      <c r="P1538" t="s">
        <v>262</v>
      </c>
      <c r="S1538">
        <v>1.02</v>
      </c>
      <c r="T1538">
        <v>50</v>
      </c>
      <c r="U1538" t="s">
        <v>539</v>
      </c>
      <c r="V1538">
        <v>60</v>
      </c>
      <c r="W1538" t="s">
        <v>541</v>
      </c>
      <c r="X1538" t="s">
        <v>280</v>
      </c>
      <c r="Y1538">
        <v>180</v>
      </c>
      <c r="AA1538" t="s">
        <v>94</v>
      </c>
      <c r="AB1538">
        <v>7.86</v>
      </c>
      <c r="AC1538" t="s">
        <v>85</v>
      </c>
      <c r="AD1538">
        <v>0.04</v>
      </c>
      <c r="AE1538" t="s">
        <v>138</v>
      </c>
      <c r="AI1538">
        <v>5</v>
      </c>
      <c r="AJ1538" t="s">
        <v>201</v>
      </c>
      <c r="AT1538" t="s">
        <v>382</v>
      </c>
      <c r="AV1538" t="s">
        <v>88</v>
      </c>
      <c r="AZ1538">
        <v>0</v>
      </c>
      <c r="BA1538">
        <v>7.86</v>
      </c>
    </row>
    <row r="1539" spans="1:53" hidden="1" x14ac:dyDescent="0.3">
      <c r="A1539" t="s">
        <v>537</v>
      </c>
      <c r="C1539" t="s">
        <v>251</v>
      </c>
      <c r="D1539" t="s">
        <v>81</v>
      </c>
      <c r="E1539">
        <v>100000000</v>
      </c>
      <c r="H1539">
        <v>14.25</v>
      </c>
      <c r="I1539" t="s">
        <v>56</v>
      </c>
      <c r="J1539">
        <v>1.4250000000000001E-3</v>
      </c>
      <c r="K1539" t="s">
        <v>57</v>
      </c>
      <c r="L1539" t="s">
        <v>58</v>
      </c>
      <c r="N1539" t="s">
        <v>538</v>
      </c>
      <c r="O1539">
        <v>300</v>
      </c>
      <c r="P1539" t="s">
        <v>262</v>
      </c>
      <c r="S1539">
        <v>1.02</v>
      </c>
      <c r="T1539">
        <v>50</v>
      </c>
      <c r="U1539" t="s">
        <v>539</v>
      </c>
      <c r="V1539">
        <v>60</v>
      </c>
      <c r="W1539" t="s">
        <v>542</v>
      </c>
      <c r="X1539" t="s">
        <v>280</v>
      </c>
      <c r="Y1539">
        <v>180</v>
      </c>
      <c r="AA1539" t="s">
        <v>94</v>
      </c>
      <c r="AB1539">
        <v>7.7</v>
      </c>
      <c r="AC1539" t="s">
        <v>85</v>
      </c>
      <c r="AD1539">
        <v>0.04</v>
      </c>
      <c r="AE1539" t="s">
        <v>138</v>
      </c>
      <c r="AI1539">
        <v>5</v>
      </c>
      <c r="AJ1539" t="s">
        <v>201</v>
      </c>
      <c r="AT1539" t="s">
        <v>382</v>
      </c>
      <c r="AV1539" t="s">
        <v>88</v>
      </c>
      <c r="AZ1539">
        <v>0</v>
      </c>
      <c r="BA1539">
        <v>7.7</v>
      </c>
    </row>
    <row r="1540" spans="1:53" hidden="1" x14ac:dyDescent="0.3">
      <c r="A1540" t="s">
        <v>537</v>
      </c>
      <c r="C1540" t="s">
        <v>251</v>
      </c>
      <c r="D1540" t="s">
        <v>81</v>
      </c>
      <c r="E1540">
        <v>100000000</v>
      </c>
      <c r="H1540">
        <v>14.25</v>
      </c>
      <c r="I1540" t="s">
        <v>56</v>
      </c>
      <c r="J1540">
        <v>1.4250000000000001E-3</v>
      </c>
      <c r="K1540" t="s">
        <v>57</v>
      </c>
      <c r="L1540" t="s">
        <v>58</v>
      </c>
      <c r="N1540" t="s">
        <v>538</v>
      </c>
      <c r="O1540">
        <v>300</v>
      </c>
      <c r="P1540" t="s">
        <v>262</v>
      </c>
      <c r="S1540">
        <v>1.02</v>
      </c>
      <c r="T1540">
        <v>50</v>
      </c>
      <c r="U1540" t="s">
        <v>539</v>
      </c>
      <c r="V1540">
        <v>60</v>
      </c>
      <c r="W1540" t="s">
        <v>543</v>
      </c>
      <c r="X1540" t="s">
        <v>280</v>
      </c>
      <c r="Y1540">
        <v>180</v>
      </c>
      <c r="AB1540">
        <v>7.42</v>
      </c>
      <c r="AC1540" t="s">
        <v>85</v>
      </c>
      <c r="AD1540">
        <v>0.11</v>
      </c>
      <c r="AE1540" t="s">
        <v>138</v>
      </c>
      <c r="AI1540">
        <v>5</v>
      </c>
      <c r="AJ1540" t="s">
        <v>201</v>
      </c>
      <c r="AT1540" t="s">
        <v>382</v>
      </c>
      <c r="AV1540" t="s">
        <v>88</v>
      </c>
    </row>
    <row r="1541" spans="1:53" hidden="1" x14ac:dyDescent="0.3">
      <c r="A1541" t="s">
        <v>537</v>
      </c>
      <c r="C1541" t="s">
        <v>251</v>
      </c>
      <c r="D1541" t="s">
        <v>81</v>
      </c>
      <c r="E1541">
        <v>100000000</v>
      </c>
      <c r="H1541">
        <v>14.25</v>
      </c>
      <c r="I1541" t="s">
        <v>56</v>
      </c>
      <c r="J1541">
        <v>1.4250000000000001E-3</v>
      </c>
      <c r="K1541" t="s">
        <v>57</v>
      </c>
      <c r="L1541" t="s">
        <v>58</v>
      </c>
      <c r="N1541" t="s">
        <v>538</v>
      </c>
      <c r="O1541">
        <v>300</v>
      </c>
      <c r="P1541" t="s">
        <v>262</v>
      </c>
      <c r="S1541">
        <v>1.02</v>
      </c>
      <c r="T1541">
        <v>50</v>
      </c>
      <c r="U1541" t="s">
        <v>539</v>
      </c>
      <c r="V1541">
        <v>60</v>
      </c>
      <c r="W1541" t="s">
        <v>544</v>
      </c>
      <c r="X1541" t="s">
        <v>280</v>
      </c>
      <c r="Y1541">
        <v>180</v>
      </c>
      <c r="AB1541">
        <v>7.67</v>
      </c>
      <c r="AC1541" t="s">
        <v>85</v>
      </c>
      <c r="AD1541">
        <v>0.04</v>
      </c>
      <c r="AE1541" t="s">
        <v>138</v>
      </c>
      <c r="AI1541">
        <v>5</v>
      </c>
      <c r="AJ1541" t="s">
        <v>201</v>
      </c>
      <c r="AT1541" t="s">
        <v>65</v>
      </c>
      <c r="AV1541" t="s">
        <v>88</v>
      </c>
    </row>
    <row r="1542" spans="1:53" hidden="1" x14ac:dyDescent="0.3">
      <c r="A1542" t="s">
        <v>537</v>
      </c>
      <c r="C1542" t="s">
        <v>251</v>
      </c>
      <c r="D1542" t="s">
        <v>81</v>
      </c>
      <c r="E1542">
        <v>100000000</v>
      </c>
      <c r="H1542">
        <v>14.25</v>
      </c>
      <c r="I1542" t="s">
        <v>56</v>
      </c>
      <c r="J1542">
        <v>1.4250000000000001E-3</v>
      </c>
      <c r="K1542" t="s">
        <v>57</v>
      </c>
      <c r="L1542" t="s">
        <v>58</v>
      </c>
      <c r="N1542" t="s">
        <v>538</v>
      </c>
      <c r="O1542">
        <v>600</v>
      </c>
      <c r="P1542" t="s">
        <v>262</v>
      </c>
      <c r="S1542">
        <v>1.02</v>
      </c>
      <c r="T1542">
        <v>50</v>
      </c>
      <c r="U1542" t="s">
        <v>539</v>
      </c>
      <c r="V1542">
        <v>60</v>
      </c>
      <c r="W1542" t="s">
        <v>147</v>
      </c>
      <c r="X1542" t="s">
        <v>280</v>
      </c>
      <c r="Y1542">
        <v>360</v>
      </c>
      <c r="AA1542" t="s">
        <v>94</v>
      </c>
      <c r="AB1542">
        <v>7.61</v>
      </c>
      <c r="AC1542" t="s">
        <v>85</v>
      </c>
      <c r="AD1542">
        <v>0.08</v>
      </c>
      <c r="AE1542" t="s">
        <v>138</v>
      </c>
      <c r="AI1542">
        <v>5</v>
      </c>
      <c r="AJ1542" t="s">
        <v>201</v>
      </c>
      <c r="AT1542" t="s">
        <v>150</v>
      </c>
      <c r="AV1542" t="s">
        <v>88</v>
      </c>
      <c r="AZ1542">
        <v>0</v>
      </c>
      <c r="BA1542">
        <v>7.61</v>
      </c>
    </row>
    <row r="1543" spans="1:53" hidden="1" x14ac:dyDescent="0.3">
      <c r="A1543" t="s">
        <v>537</v>
      </c>
      <c r="C1543" t="s">
        <v>251</v>
      </c>
      <c r="D1543" t="s">
        <v>81</v>
      </c>
      <c r="E1543">
        <v>100000000</v>
      </c>
      <c r="H1543">
        <v>14.25</v>
      </c>
      <c r="I1543" t="s">
        <v>56</v>
      </c>
      <c r="J1543">
        <v>1.4250000000000001E-3</v>
      </c>
      <c r="K1543" t="s">
        <v>57</v>
      </c>
      <c r="L1543" t="s">
        <v>58</v>
      </c>
      <c r="N1543" t="s">
        <v>538</v>
      </c>
      <c r="O1543">
        <v>600</v>
      </c>
      <c r="P1543" t="s">
        <v>262</v>
      </c>
      <c r="S1543">
        <v>1.02</v>
      </c>
      <c r="T1543">
        <v>50</v>
      </c>
      <c r="U1543" t="s">
        <v>539</v>
      </c>
      <c r="V1543">
        <v>60</v>
      </c>
      <c r="W1543" t="s">
        <v>540</v>
      </c>
      <c r="X1543" t="s">
        <v>280</v>
      </c>
      <c r="Y1543">
        <v>360</v>
      </c>
      <c r="AA1543" t="s">
        <v>94</v>
      </c>
      <c r="AB1543">
        <v>6.85</v>
      </c>
      <c r="AC1543" t="s">
        <v>85</v>
      </c>
      <c r="AD1543">
        <v>0.23</v>
      </c>
      <c r="AE1543" t="s">
        <v>138</v>
      </c>
      <c r="AI1543">
        <v>5</v>
      </c>
      <c r="AJ1543" t="s">
        <v>201</v>
      </c>
      <c r="AT1543" t="s">
        <v>212</v>
      </c>
      <c r="AV1543" t="s">
        <v>88</v>
      </c>
      <c r="AZ1543">
        <v>0</v>
      </c>
      <c r="BA1543">
        <v>6.85</v>
      </c>
    </row>
    <row r="1544" spans="1:53" hidden="1" x14ac:dyDescent="0.3">
      <c r="A1544" t="s">
        <v>537</v>
      </c>
      <c r="C1544" t="s">
        <v>251</v>
      </c>
      <c r="D1544" t="s">
        <v>81</v>
      </c>
      <c r="E1544">
        <v>100000000</v>
      </c>
      <c r="H1544">
        <v>14.25</v>
      </c>
      <c r="I1544" t="s">
        <v>56</v>
      </c>
      <c r="J1544">
        <v>1.4250000000000001E-3</v>
      </c>
      <c r="K1544" t="s">
        <v>57</v>
      </c>
      <c r="L1544" t="s">
        <v>58</v>
      </c>
      <c r="N1544" t="s">
        <v>538</v>
      </c>
      <c r="O1544">
        <v>600</v>
      </c>
      <c r="P1544" t="s">
        <v>262</v>
      </c>
      <c r="S1544">
        <v>1.02</v>
      </c>
      <c r="T1544">
        <v>50</v>
      </c>
      <c r="U1544" t="s">
        <v>539</v>
      </c>
      <c r="V1544">
        <v>60</v>
      </c>
      <c r="W1544" t="s">
        <v>541</v>
      </c>
      <c r="X1544" t="s">
        <v>280</v>
      </c>
      <c r="Y1544">
        <v>360</v>
      </c>
      <c r="AA1544" t="s">
        <v>94</v>
      </c>
      <c r="AB1544">
        <v>7.98</v>
      </c>
      <c r="AC1544" t="s">
        <v>85</v>
      </c>
      <c r="AD1544">
        <v>0.03</v>
      </c>
      <c r="AE1544" t="s">
        <v>138</v>
      </c>
      <c r="AI1544">
        <v>5</v>
      </c>
      <c r="AJ1544" t="s">
        <v>201</v>
      </c>
      <c r="AT1544" t="s">
        <v>382</v>
      </c>
      <c r="AV1544" t="s">
        <v>88</v>
      </c>
      <c r="AZ1544">
        <v>0</v>
      </c>
      <c r="BA1544">
        <v>7.98</v>
      </c>
    </row>
    <row r="1545" spans="1:53" hidden="1" x14ac:dyDescent="0.3">
      <c r="A1545" t="s">
        <v>537</v>
      </c>
      <c r="C1545" t="s">
        <v>251</v>
      </c>
      <c r="D1545" t="s">
        <v>81</v>
      </c>
      <c r="E1545">
        <v>100000000</v>
      </c>
      <c r="H1545">
        <v>14.25</v>
      </c>
      <c r="I1545" t="s">
        <v>56</v>
      </c>
      <c r="J1545">
        <v>1.4250000000000001E-3</v>
      </c>
      <c r="K1545" t="s">
        <v>57</v>
      </c>
      <c r="L1545" t="s">
        <v>58</v>
      </c>
      <c r="N1545" t="s">
        <v>538</v>
      </c>
      <c r="O1545">
        <v>600</v>
      </c>
      <c r="P1545" t="s">
        <v>262</v>
      </c>
      <c r="S1545">
        <v>1.02</v>
      </c>
      <c r="T1545">
        <v>50</v>
      </c>
      <c r="U1545" t="s">
        <v>539</v>
      </c>
      <c r="V1545">
        <v>60</v>
      </c>
      <c r="W1545" t="s">
        <v>542</v>
      </c>
      <c r="X1545" t="s">
        <v>280</v>
      </c>
      <c r="Y1545">
        <v>360</v>
      </c>
      <c r="AA1545" t="s">
        <v>94</v>
      </c>
      <c r="AB1545">
        <v>7.62</v>
      </c>
      <c r="AC1545" t="s">
        <v>85</v>
      </c>
      <c r="AD1545">
        <v>0.08</v>
      </c>
      <c r="AE1545" t="s">
        <v>138</v>
      </c>
      <c r="AI1545">
        <v>5</v>
      </c>
      <c r="AJ1545" t="s">
        <v>201</v>
      </c>
      <c r="AT1545" t="s">
        <v>382</v>
      </c>
      <c r="AV1545" t="s">
        <v>88</v>
      </c>
      <c r="AZ1545">
        <v>0</v>
      </c>
      <c r="BA1545">
        <v>7.62</v>
      </c>
    </row>
    <row r="1546" spans="1:53" hidden="1" x14ac:dyDescent="0.3">
      <c r="A1546" t="s">
        <v>537</v>
      </c>
      <c r="C1546" t="s">
        <v>251</v>
      </c>
      <c r="D1546" t="s">
        <v>81</v>
      </c>
      <c r="E1546">
        <v>100000000</v>
      </c>
      <c r="H1546">
        <v>14.25</v>
      </c>
      <c r="I1546" t="s">
        <v>56</v>
      </c>
      <c r="J1546">
        <v>1.4250000000000001E-3</v>
      </c>
      <c r="K1546" t="s">
        <v>57</v>
      </c>
      <c r="L1546" t="s">
        <v>58</v>
      </c>
      <c r="N1546" t="s">
        <v>538</v>
      </c>
      <c r="O1546">
        <v>600</v>
      </c>
      <c r="P1546" t="s">
        <v>262</v>
      </c>
      <c r="S1546">
        <v>1.02</v>
      </c>
      <c r="T1546">
        <v>50</v>
      </c>
      <c r="U1546" t="s">
        <v>539</v>
      </c>
      <c r="V1546">
        <v>60</v>
      </c>
      <c r="W1546" t="s">
        <v>543</v>
      </c>
      <c r="X1546" t="s">
        <v>280</v>
      </c>
      <c r="Y1546">
        <v>360</v>
      </c>
      <c r="AA1546" t="s">
        <v>94</v>
      </c>
      <c r="AB1546">
        <v>7.33</v>
      </c>
      <c r="AC1546" t="s">
        <v>85</v>
      </c>
      <c r="AD1546">
        <v>0.12</v>
      </c>
      <c r="AE1546" t="s">
        <v>138</v>
      </c>
      <c r="AI1546">
        <v>5</v>
      </c>
      <c r="AJ1546" t="s">
        <v>201</v>
      </c>
      <c r="AT1546" t="s">
        <v>382</v>
      </c>
      <c r="AV1546" t="s">
        <v>88</v>
      </c>
      <c r="AZ1546">
        <v>0</v>
      </c>
      <c r="BA1546">
        <v>7.33</v>
      </c>
    </row>
    <row r="1547" spans="1:53" hidden="1" x14ac:dyDescent="0.3">
      <c r="A1547" t="s">
        <v>537</v>
      </c>
      <c r="C1547" t="s">
        <v>251</v>
      </c>
      <c r="D1547" t="s">
        <v>81</v>
      </c>
      <c r="E1547">
        <v>100000000</v>
      </c>
      <c r="H1547">
        <v>14.25</v>
      </c>
      <c r="I1547" t="s">
        <v>56</v>
      </c>
      <c r="J1547">
        <v>1.4250000000000001E-3</v>
      </c>
      <c r="K1547" t="s">
        <v>57</v>
      </c>
      <c r="L1547" t="s">
        <v>58</v>
      </c>
      <c r="N1547" t="s">
        <v>538</v>
      </c>
      <c r="O1547">
        <v>600</v>
      </c>
      <c r="P1547" t="s">
        <v>262</v>
      </c>
      <c r="S1547">
        <v>1.02</v>
      </c>
      <c r="T1547">
        <v>50</v>
      </c>
      <c r="U1547" t="s">
        <v>539</v>
      </c>
      <c r="V1547">
        <v>60</v>
      </c>
      <c r="W1547" t="s">
        <v>544</v>
      </c>
      <c r="X1547" t="s">
        <v>280</v>
      </c>
      <c r="Y1547">
        <v>360</v>
      </c>
      <c r="AA1547" t="s">
        <v>94</v>
      </c>
      <c r="AB1547">
        <v>7.42</v>
      </c>
      <c r="AC1547" t="s">
        <v>85</v>
      </c>
      <c r="AD1547">
        <v>0.17</v>
      </c>
      <c r="AE1547" t="s">
        <v>138</v>
      </c>
      <c r="AI1547">
        <v>5</v>
      </c>
      <c r="AJ1547" t="s">
        <v>201</v>
      </c>
      <c r="AT1547" t="s">
        <v>65</v>
      </c>
      <c r="AV1547" t="s">
        <v>88</v>
      </c>
      <c r="AZ1547">
        <v>0</v>
      </c>
      <c r="BA1547">
        <v>7.42</v>
      </c>
    </row>
    <row r="1548" spans="1:53" hidden="1" x14ac:dyDescent="0.3">
      <c r="A1548" t="s">
        <v>537</v>
      </c>
      <c r="C1548" t="s">
        <v>251</v>
      </c>
      <c r="D1548" t="s">
        <v>81</v>
      </c>
      <c r="E1548">
        <v>100000000</v>
      </c>
      <c r="H1548">
        <v>14.25</v>
      </c>
      <c r="I1548" t="s">
        <v>56</v>
      </c>
      <c r="J1548">
        <v>1.4250000000000001E-3</v>
      </c>
      <c r="K1548" t="s">
        <v>57</v>
      </c>
      <c r="L1548" t="s">
        <v>58</v>
      </c>
      <c r="N1548" t="s">
        <v>538</v>
      </c>
      <c r="O1548">
        <v>150</v>
      </c>
      <c r="P1548" t="s">
        <v>262</v>
      </c>
      <c r="S1548">
        <v>1.02</v>
      </c>
      <c r="T1548">
        <v>50</v>
      </c>
      <c r="U1548" t="s">
        <v>539</v>
      </c>
      <c r="V1548">
        <v>75</v>
      </c>
      <c r="W1548" t="s">
        <v>147</v>
      </c>
      <c r="X1548" t="s">
        <v>280</v>
      </c>
      <c r="Y1548">
        <v>180</v>
      </c>
      <c r="AA1548" t="s">
        <v>94</v>
      </c>
      <c r="AB1548">
        <v>7.69</v>
      </c>
      <c r="AC1548" t="s">
        <v>85</v>
      </c>
      <c r="AD1548">
        <v>0.14000000000000001</v>
      </c>
      <c r="AE1548" t="s">
        <v>138</v>
      </c>
      <c r="AI1548">
        <v>5</v>
      </c>
      <c r="AJ1548" t="s">
        <v>201</v>
      </c>
      <c r="AT1548" t="s">
        <v>150</v>
      </c>
      <c r="AV1548" t="s">
        <v>88</v>
      </c>
      <c r="AZ1548">
        <v>0</v>
      </c>
      <c r="BA1548">
        <v>7.69</v>
      </c>
    </row>
    <row r="1549" spans="1:53" hidden="1" x14ac:dyDescent="0.3">
      <c r="A1549" t="s">
        <v>537</v>
      </c>
      <c r="C1549" t="s">
        <v>251</v>
      </c>
      <c r="D1549" t="s">
        <v>81</v>
      </c>
      <c r="E1549">
        <v>100000000</v>
      </c>
      <c r="H1549">
        <v>14.25</v>
      </c>
      <c r="I1549" t="s">
        <v>56</v>
      </c>
      <c r="J1549">
        <v>1.4250000000000001E-3</v>
      </c>
      <c r="K1549" t="s">
        <v>57</v>
      </c>
      <c r="L1549" t="s">
        <v>58</v>
      </c>
      <c r="N1549" t="s">
        <v>538</v>
      </c>
      <c r="O1549">
        <v>150</v>
      </c>
      <c r="P1549" t="s">
        <v>262</v>
      </c>
      <c r="S1549">
        <v>1.02</v>
      </c>
      <c r="T1549">
        <v>50</v>
      </c>
      <c r="U1549" t="s">
        <v>539</v>
      </c>
      <c r="V1549">
        <v>75</v>
      </c>
      <c r="W1549" t="s">
        <v>540</v>
      </c>
      <c r="X1549" t="s">
        <v>280</v>
      </c>
      <c r="Y1549">
        <v>180</v>
      </c>
      <c r="AA1549" t="s">
        <v>94</v>
      </c>
      <c r="AB1549">
        <v>6.73</v>
      </c>
      <c r="AC1549" t="s">
        <v>85</v>
      </c>
      <c r="AD1549">
        <v>0.12</v>
      </c>
      <c r="AE1549" t="s">
        <v>138</v>
      </c>
      <c r="AI1549">
        <v>5</v>
      </c>
      <c r="AJ1549" t="s">
        <v>201</v>
      </c>
      <c r="AT1549" t="s">
        <v>212</v>
      </c>
      <c r="AV1549" t="s">
        <v>88</v>
      </c>
      <c r="AZ1549">
        <v>0</v>
      </c>
      <c r="BA1549">
        <v>6.73</v>
      </c>
    </row>
    <row r="1550" spans="1:53" hidden="1" x14ac:dyDescent="0.3">
      <c r="A1550" t="s">
        <v>537</v>
      </c>
      <c r="C1550" t="s">
        <v>251</v>
      </c>
      <c r="D1550" t="s">
        <v>81</v>
      </c>
      <c r="E1550">
        <v>100000000</v>
      </c>
      <c r="H1550">
        <v>14.25</v>
      </c>
      <c r="I1550" t="s">
        <v>56</v>
      </c>
      <c r="J1550">
        <v>1.4250000000000001E-3</v>
      </c>
      <c r="K1550" t="s">
        <v>57</v>
      </c>
      <c r="L1550" t="s">
        <v>58</v>
      </c>
      <c r="N1550" t="s">
        <v>538</v>
      </c>
      <c r="O1550">
        <v>150</v>
      </c>
      <c r="P1550" t="s">
        <v>262</v>
      </c>
      <c r="S1550">
        <v>1.02</v>
      </c>
      <c r="T1550">
        <v>50</v>
      </c>
      <c r="U1550" t="s">
        <v>539</v>
      </c>
      <c r="V1550">
        <v>75</v>
      </c>
      <c r="W1550" t="s">
        <v>541</v>
      </c>
      <c r="X1550" t="s">
        <v>280</v>
      </c>
      <c r="Y1550">
        <v>180</v>
      </c>
      <c r="AA1550" t="s">
        <v>94</v>
      </c>
      <c r="AB1550">
        <v>7.89</v>
      </c>
      <c r="AC1550" t="s">
        <v>85</v>
      </c>
      <c r="AD1550">
        <v>0.03</v>
      </c>
      <c r="AE1550" t="s">
        <v>138</v>
      </c>
      <c r="AI1550">
        <v>5</v>
      </c>
      <c r="AJ1550" t="s">
        <v>201</v>
      </c>
      <c r="AT1550" t="s">
        <v>382</v>
      </c>
      <c r="AV1550" t="s">
        <v>88</v>
      </c>
      <c r="AZ1550">
        <v>0</v>
      </c>
      <c r="BA1550">
        <v>7.89</v>
      </c>
    </row>
    <row r="1551" spans="1:53" hidden="1" x14ac:dyDescent="0.3">
      <c r="A1551" t="s">
        <v>537</v>
      </c>
      <c r="C1551" t="s">
        <v>251</v>
      </c>
      <c r="D1551" t="s">
        <v>81</v>
      </c>
      <c r="E1551">
        <v>100000000</v>
      </c>
      <c r="H1551">
        <v>14.25</v>
      </c>
      <c r="I1551" t="s">
        <v>56</v>
      </c>
      <c r="J1551">
        <v>1.4250000000000001E-3</v>
      </c>
      <c r="K1551" t="s">
        <v>57</v>
      </c>
      <c r="L1551" t="s">
        <v>58</v>
      </c>
      <c r="N1551" t="s">
        <v>538</v>
      </c>
      <c r="O1551">
        <v>150</v>
      </c>
      <c r="P1551" t="s">
        <v>262</v>
      </c>
      <c r="S1551">
        <v>1.02</v>
      </c>
      <c r="T1551">
        <v>50</v>
      </c>
      <c r="U1551" t="s">
        <v>539</v>
      </c>
      <c r="V1551">
        <v>75</v>
      </c>
      <c r="W1551" t="s">
        <v>542</v>
      </c>
      <c r="X1551" t="s">
        <v>280</v>
      </c>
      <c r="Y1551">
        <v>180</v>
      </c>
      <c r="AA1551" t="s">
        <v>94</v>
      </c>
      <c r="AB1551">
        <v>7.61</v>
      </c>
      <c r="AC1551" t="s">
        <v>85</v>
      </c>
      <c r="AD1551">
        <v>0.03</v>
      </c>
      <c r="AE1551" t="s">
        <v>138</v>
      </c>
      <c r="AI1551">
        <v>5</v>
      </c>
      <c r="AJ1551" t="s">
        <v>201</v>
      </c>
      <c r="AT1551" t="s">
        <v>382</v>
      </c>
      <c r="AV1551" t="s">
        <v>88</v>
      </c>
      <c r="AZ1551">
        <v>0</v>
      </c>
      <c r="BA1551">
        <v>7.61</v>
      </c>
    </row>
    <row r="1552" spans="1:53" hidden="1" x14ac:dyDescent="0.3">
      <c r="A1552" t="s">
        <v>537</v>
      </c>
      <c r="C1552" t="s">
        <v>251</v>
      </c>
      <c r="D1552" t="s">
        <v>81</v>
      </c>
      <c r="E1552">
        <v>100000000</v>
      </c>
      <c r="H1552">
        <v>14.25</v>
      </c>
      <c r="I1552" t="s">
        <v>56</v>
      </c>
      <c r="J1552">
        <v>1.4250000000000001E-3</v>
      </c>
      <c r="K1552" t="s">
        <v>57</v>
      </c>
      <c r="L1552" t="s">
        <v>58</v>
      </c>
      <c r="N1552" t="s">
        <v>538</v>
      </c>
      <c r="O1552">
        <v>150</v>
      </c>
      <c r="P1552" t="s">
        <v>262</v>
      </c>
      <c r="S1552">
        <v>1.02</v>
      </c>
      <c r="T1552">
        <v>50</v>
      </c>
      <c r="U1552" t="s">
        <v>539</v>
      </c>
      <c r="V1552">
        <v>75</v>
      </c>
      <c r="W1552" t="s">
        <v>543</v>
      </c>
      <c r="X1552" t="s">
        <v>280</v>
      </c>
      <c r="Y1552">
        <v>180</v>
      </c>
      <c r="AA1552" t="s">
        <v>94</v>
      </c>
      <c r="AB1552">
        <v>7.23</v>
      </c>
      <c r="AC1552" t="s">
        <v>85</v>
      </c>
      <c r="AD1552">
        <v>0.14000000000000001</v>
      </c>
      <c r="AE1552" t="s">
        <v>138</v>
      </c>
      <c r="AI1552">
        <v>5</v>
      </c>
      <c r="AJ1552" t="s">
        <v>201</v>
      </c>
      <c r="AT1552" t="s">
        <v>382</v>
      </c>
      <c r="AV1552" t="s">
        <v>88</v>
      </c>
      <c r="AZ1552">
        <v>0</v>
      </c>
      <c r="BA1552">
        <v>7.23</v>
      </c>
    </row>
    <row r="1553" spans="1:53" hidden="1" x14ac:dyDescent="0.3">
      <c r="A1553" t="s">
        <v>537</v>
      </c>
      <c r="C1553" t="s">
        <v>251</v>
      </c>
      <c r="D1553" t="s">
        <v>81</v>
      </c>
      <c r="E1553">
        <v>100000000</v>
      </c>
      <c r="H1553">
        <v>14.25</v>
      </c>
      <c r="I1553" t="s">
        <v>56</v>
      </c>
      <c r="J1553">
        <v>1.4250000000000001E-3</v>
      </c>
      <c r="K1553" t="s">
        <v>57</v>
      </c>
      <c r="L1553" t="s">
        <v>58</v>
      </c>
      <c r="N1553" t="s">
        <v>538</v>
      </c>
      <c r="O1553">
        <v>150</v>
      </c>
      <c r="P1553" t="s">
        <v>262</v>
      </c>
      <c r="S1553">
        <v>1.02</v>
      </c>
      <c r="T1553">
        <v>50</v>
      </c>
      <c r="U1553" t="s">
        <v>539</v>
      </c>
      <c r="V1553">
        <v>75</v>
      </c>
      <c r="W1553" t="s">
        <v>544</v>
      </c>
      <c r="X1553" t="s">
        <v>280</v>
      </c>
      <c r="Y1553">
        <v>180</v>
      </c>
      <c r="AA1553" t="s">
        <v>94</v>
      </c>
      <c r="AB1553">
        <v>7.86</v>
      </c>
      <c r="AC1553" t="s">
        <v>85</v>
      </c>
      <c r="AD1553">
        <v>0.06</v>
      </c>
      <c r="AE1553" t="s">
        <v>138</v>
      </c>
      <c r="AI1553">
        <v>5</v>
      </c>
      <c r="AJ1553" t="s">
        <v>201</v>
      </c>
      <c r="AT1553" t="s">
        <v>65</v>
      </c>
      <c r="AV1553" t="s">
        <v>88</v>
      </c>
      <c r="AZ1553">
        <v>0</v>
      </c>
      <c r="BA1553">
        <v>7.86</v>
      </c>
    </row>
    <row r="1554" spans="1:53" hidden="1" x14ac:dyDescent="0.3">
      <c r="A1554" t="s">
        <v>537</v>
      </c>
      <c r="C1554" t="s">
        <v>251</v>
      </c>
      <c r="D1554" t="s">
        <v>81</v>
      </c>
      <c r="E1554">
        <v>100000000</v>
      </c>
      <c r="H1554">
        <v>14.25</v>
      </c>
      <c r="I1554" t="s">
        <v>56</v>
      </c>
      <c r="J1554">
        <v>1.4250000000000001E-3</v>
      </c>
      <c r="K1554" t="s">
        <v>57</v>
      </c>
      <c r="L1554" t="s">
        <v>58</v>
      </c>
      <c r="N1554" t="s">
        <v>538</v>
      </c>
      <c r="O1554">
        <v>300</v>
      </c>
      <c r="P1554" t="s">
        <v>262</v>
      </c>
      <c r="S1554">
        <v>1.02</v>
      </c>
      <c r="T1554">
        <v>50</v>
      </c>
      <c r="U1554" t="s">
        <v>539</v>
      </c>
      <c r="V1554">
        <v>75</v>
      </c>
      <c r="W1554" t="s">
        <v>147</v>
      </c>
      <c r="X1554" t="s">
        <v>280</v>
      </c>
      <c r="Y1554">
        <v>45</v>
      </c>
      <c r="AB1554">
        <v>6.43</v>
      </c>
      <c r="AC1554" t="s">
        <v>85</v>
      </c>
      <c r="AD1554">
        <v>0.86</v>
      </c>
      <c r="AE1554" t="s">
        <v>138</v>
      </c>
      <c r="AI1554">
        <v>5</v>
      </c>
      <c r="AJ1554" t="s">
        <v>201</v>
      </c>
      <c r="AT1554" t="s">
        <v>150</v>
      </c>
      <c r="AV1554" t="s">
        <v>88</v>
      </c>
    </row>
    <row r="1555" spans="1:53" hidden="1" x14ac:dyDescent="0.3">
      <c r="A1555" t="s">
        <v>537</v>
      </c>
      <c r="C1555" t="s">
        <v>251</v>
      </c>
      <c r="D1555" t="s">
        <v>81</v>
      </c>
      <c r="E1555">
        <v>100000000</v>
      </c>
      <c r="H1555">
        <v>14.25</v>
      </c>
      <c r="I1555" t="s">
        <v>56</v>
      </c>
      <c r="J1555">
        <v>1.4250000000000001E-3</v>
      </c>
      <c r="K1555" t="s">
        <v>57</v>
      </c>
      <c r="L1555" t="s">
        <v>58</v>
      </c>
      <c r="N1555" t="s">
        <v>538</v>
      </c>
      <c r="O1555">
        <v>300</v>
      </c>
      <c r="P1555" t="s">
        <v>262</v>
      </c>
      <c r="S1555">
        <v>1.02</v>
      </c>
      <c r="T1555">
        <v>50</v>
      </c>
      <c r="U1555" t="s">
        <v>539</v>
      </c>
      <c r="V1555">
        <v>75</v>
      </c>
      <c r="W1555" t="s">
        <v>540</v>
      </c>
      <c r="X1555" t="s">
        <v>280</v>
      </c>
      <c r="Y1555">
        <v>45</v>
      </c>
      <c r="AA1555" t="s">
        <v>94</v>
      </c>
      <c r="AB1555">
        <v>6.84</v>
      </c>
      <c r="AC1555" t="s">
        <v>85</v>
      </c>
      <c r="AD1555">
        <v>0.05</v>
      </c>
      <c r="AE1555" t="s">
        <v>138</v>
      </c>
      <c r="AI1555">
        <v>5</v>
      </c>
      <c r="AJ1555" t="s">
        <v>201</v>
      </c>
      <c r="AT1555" t="s">
        <v>212</v>
      </c>
      <c r="AV1555" t="s">
        <v>88</v>
      </c>
      <c r="AZ1555">
        <v>0</v>
      </c>
      <c r="BA1555">
        <v>6.84</v>
      </c>
    </row>
    <row r="1556" spans="1:53" hidden="1" x14ac:dyDescent="0.3">
      <c r="A1556" t="s">
        <v>537</v>
      </c>
      <c r="C1556" t="s">
        <v>251</v>
      </c>
      <c r="D1556" t="s">
        <v>81</v>
      </c>
      <c r="E1556">
        <v>100000000</v>
      </c>
      <c r="H1556">
        <v>14.25</v>
      </c>
      <c r="I1556" t="s">
        <v>56</v>
      </c>
      <c r="J1556">
        <v>1.4250000000000001E-3</v>
      </c>
      <c r="K1556" t="s">
        <v>57</v>
      </c>
      <c r="L1556" t="s">
        <v>58</v>
      </c>
      <c r="N1556" t="s">
        <v>538</v>
      </c>
      <c r="O1556">
        <v>300</v>
      </c>
      <c r="P1556" t="s">
        <v>262</v>
      </c>
      <c r="S1556">
        <v>1.02</v>
      </c>
      <c r="T1556">
        <v>50</v>
      </c>
      <c r="U1556" t="s">
        <v>539</v>
      </c>
      <c r="V1556">
        <v>75</v>
      </c>
      <c r="W1556" t="s">
        <v>541</v>
      </c>
      <c r="X1556" t="s">
        <v>280</v>
      </c>
      <c r="Y1556">
        <v>45</v>
      </c>
      <c r="AB1556">
        <v>7.57</v>
      </c>
      <c r="AC1556" t="s">
        <v>85</v>
      </c>
      <c r="AD1556">
        <v>0.6</v>
      </c>
      <c r="AE1556" t="s">
        <v>138</v>
      </c>
      <c r="AI1556">
        <v>5</v>
      </c>
      <c r="AJ1556" t="s">
        <v>201</v>
      </c>
      <c r="AT1556" t="s">
        <v>382</v>
      </c>
      <c r="AV1556" t="s">
        <v>88</v>
      </c>
    </row>
    <row r="1557" spans="1:53" hidden="1" x14ac:dyDescent="0.3">
      <c r="A1557" t="s">
        <v>537</v>
      </c>
      <c r="C1557" t="s">
        <v>251</v>
      </c>
      <c r="D1557" t="s">
        <v>81</v>
      </c>
      <c r="E1557">
        <v>100000000</v>
      </c>
      <c r="H1557">
        <v>14.25</v>
      </c>
      <c r="I1557" t="s">
        <v>56</v>
      </c>
      <c r="J1557">
        <v>1.4250000000000001E-3</v>
      </c>
      <c r="K1557" t="s">
        <v>57</v>
      </c>
      <c r="L1557" t="s">
        <v>58</v>
      </c>
      <c r="N1557" t="s">
        <v>538</v>
      </c>
      <c r="O1557">
        <v>300</v>
      </c>
      <c r="P1557" t="s">
        <v>262</v>
      </c>
      <c r="S1557">
        <v>1.02</v>
      </c>
      <c r="T1557">
        <v>50</v>
      </c>
      <c r="U1557" t="s">
        <v>539</v>
      </c>
      <c r="V1557">
        <v>75</v>
      </c>
      <c r="W1557" t="s">
        <v>542</v>
      </c>
      <c r="X1557" t="s">
        <v>280</v>
      </c>
      <c r="Y1557">
        <v>45</v>
      </c>
      <c r="AA1557" t="s">
        <v>94</v>
      </c>
      <c r="AB1557">
        <v>7.59</v>
      </c>
      <c r="AC1557" t="s">
        <v>85</v>
      </c>
      <c r="AD1557">
        <v>0.24</v>
      </c>
      <c r="AE1557" t="s">
        <v>138</v>
      </c>
      <c r="AI1557">
        <v>5</v>
      </c>
      <c r="AJ1557" t="s">
        <v>201</v>
      </c>
      <c r="AT1557" t="s">
        <v>382</v>
      </c>
      <c r="AV1557" t="s">
        <v>88</v>
      </c>
      <c r="AZ1557">
        <v>0</v>
      </c>
      <c r="BA1557">
        <v>7.59</v>
      </c>
    </row>
    <row r="1558" spans="1:53" hidden="1" x14ac:dyDescent="0.3">
      <c r="A1558" t="s">
        <v>537</v>
      </c>
      <c r="C1558" t="s">
        <v>251</v>
      </c>
      <c r="D1558" t="s">
        <v>81</v>
      </c>
      <c r="E1558">
        <v>100000000</v>
      </c>
      <c r="H1558">
        <v>14.25</v>
      </c>
      <c r="I1558" t="s">
        <v>56</v>
      </c>
      <c r="J1558">
        <v>1.4250000000000001E-3</v>
      </c>
      <c r="K1558" t="s">
        <v>57</v>
      </c>
      <c r="L1558" t="s">
        <v>58</v>
      </c>
      <c r="N1558" t="s">
        <v>538</v>
      </c>
      <c r="O1558">
        <v>300</v>
      </c>
      <c r="P1558" t="s">
        <v>262</v>
      </c>
      <c r="S1558">
        <v>1.02</v>
      </c>
      <c r="T1558">
        <v>50</v>
      </c>
      <c r="U1558" t="s">
        <v>539</v>
      </c>
      <c r="V1558">
        <v>75</v>
      </c>
      <c r="W1558" t="s">
        <v>543</v>
      </c>
      <c r="X1558" t="s">
        <v>280</v>
      </c>
      <c r="Y1558">
        <v>45</v>
      </c>
      <c r="AA1558" t="s">
        <v>94</v>
      </c>
      <c r="AB1558">
        <v>7.27</v>
      </c>
      <c r="AC1558" t="s">
        <v>85</v>
      </c>
      <c r="AD1558">
        <v>0.16</v>
      </c>
      <c r="AE1558" t="s">
        <v>138</v>
      </c>
      <c r="AI1558">
        <v>5</v>
      </c>
      <c r="AJ1558" t="s">
        <v>201</v>
      </c>
      <c r="AT1558" t="s">
        <v>382</v>
      </c>
      <c r="AV1558" t="s">
        <v>88</v>
      </c>
      <c r="AZ1558">
        <v>0</v>
      </c>
      <c r="BA1558">
        <v>7.27</v>
      </c>
    </row>
    <row r="1559" spans="1:53" hidden="1" x14ac:dyDescent="0.3">
      <c r="A1559" t="s">
        <v>537</v>
      </c>
      <c r="C1559" t="s">
        <v>251</v>
      </c>
      <c r="D1559" t="s">
        <v>81</v>
      </c>
      <c r="E1559">
        <v>100000000</v>
      </c>
      <c r="H1559">
        <v>14.25</v>
      </c>
      <c r="I1559" t="s">
        <v>56</v>
      </c>
      <c r="J1559">
        <v>1.4250000000000001E-3</v>
      </c>
      <c r="K1559" t="s">
        <v>57</v>
      </c>
      <c r="L1559" t="s">
        <v>58</v>
      </c>
      <c r="N1559" t="s">
        <v>538</v>
      </c>
      <c r="O1559">
        <v>300</v>
      </c>
      <c r="P1559" t="s">
        <v>262</v>
      </c>
      <c r="S1559">
        <v>1.02</v>
      </c>
      <c r="T1559">
        <v>50</v>
      </c>
      <c r="U1559" t="s">
        <v>539</v>
      </c>
      <c r="V1559">
        <v>75</v>
      </c>
      <c r="W1559" t="s">
        <v>544</v>
      </c>
      <c r="X1559" t="s">
        <v>280</v>
      </c>
      <c r="Y1559">
        <v>45</v>
      </c>
      <c r="AA1559" t="s">
        <v>94</v>
      </c>
      <c r="AB1559">
        <v>7.56</v>
      </c>
      <c r="AC1559" t="s">
        <v>85</v>
      </c>
      <c r="AD1559">
        <v>0.05</v>
      </c>
      <c r="AE1559" t="s">
        <v>138</v>
      </c>
      <c r="AI1559">
        <v>5</v>
      </c>
      <c r="AJ1559" t="s">
        <v>201</v>
      </c>
      <c r="AT1559" t="s">
        <v>65</v>
      </c>
      <c r="AV1559" t="s">
        <v>88</v>
      </c>
      <c r="AZ1559">
        <v>0</v>
      </c>
      <c r="BA1559">
        <v>7.56</v>
      </c>
    </row>
    <row r="1560" spans="1:53" hidden="1" x14ac:dyDescent="0.3">
      <c r="A1560" t="s">
        <v>537</v>
      </c>
      <c r="C1560" t="s">
        <v>251</v>
      </c>
      <c r="D1560" t="s">
        <v>81</v>
      </c>
      <c r="E1560">
        <v>100000000</v>
      </c>
      <c r="H1560">
        <v>14.25</v>
      </c>
      <c r="I1560" t="s">
        <v>56</v>
      </c>
      <c r="J1560">
        <v>1.4250000000000001E-3</v>
      </c>
      <c r="K1560" t="s">
        <v>57</v>
      </c>
      <c r="L1560" t="s">
        <v>58</v>
      </c>
      <c r="N1560" t="s">
        <v>538</v>
      </c>
      <c r="O1560">
        <v>300</v>
      </c>
      <c r="P1560" t="s">
        <v>262</v>
      </c>
      <c r="S1560">
        <v>1.02</v>
      </c>
      <c r="T1560">
        <v>50</v>
      </c>
      <c r="U1560" t="s">
        <v>539</v>
      </c>
      <c r="V1560">
        <v>75</v>
      </c>
      <c r="W1560" t="s">
        <v>147</v>
      </c>
      <c r="X1560" t="s">
        <v>280</v>
      </c>
      <c r="Y1560">
        <v>90</v>
      </c>
      <c r="AA1560" t="s">
        <v>94</v>
      </c>
      <c r="AB1560">
        <v>7.54</v>
      </c>
      <c r="AC1560" t="s">
        <v>85</v>
      </c>
      <c r="AD1560">
        <v>0.19</v>
      </c>
      <c r="AE1560" t="s">
        <v>138</v>
      </c>
      <c r="AI1560">
        <v>5</v>
      </c>
      <c r="AJ1560" t="s">
        <v>201</v>
      </c>
      <c r="AT1560" t="s">
        <v>150</v>
      </c>
      <c r="AV1560" t="s">
        <v>88</v>
      </c>
      <c r="AZ1560">
        <v>0</v>
      </c>
      <c r="BA1560">
        <v>7.54</v>
      </c>
    </row>
    <row r="1561" spans="1:53" hidden="1" x14ac:dyDescent="0.3">
      <c r="A1561" t="s">
        <v>537</v>
      </c>
      <c r="C1561" t="s">
        <v>251</v>
      </c>
      <c r="D1561" t="s">
        <v>81</v>
      </c>
      <c r="E1561">
        <v>100000000</v>
      </c>
      <c r="H1561">
        <v>14.25</v>
      </c>
      <c r="I1561" t="s">
        <v>56</v>
      </c>
      <c r="J1561">
        <v>1.4250000000000001E-3</v>
      </c>
      <c r="K1561" t="s">
        <v>57</v>
      </c>
      <c r="L1561" t="s">
        <v>58</v>
      </c>
      <c r="N1561" t="s">
        <v>538</v>
      </c>
      <c r="O1561">
        <v>300</v>
      </c>
      <c r="P1561" t="s">
        <v>262</v>
      </c>
      <c r="S1561">
        <v>1.02</v>
      </c>
      <c r="T1561">
        <v>50</v>
      </c>
      <c r="U1561" t="s">
        <v>539</v>
      </c>
      <c r="V1561">
        <v>75</v>
      </c>
      <c r="W1561" t="s">
        <v>540</v>
      </c>
      <c r="X1561" t="s">
        <v>280</v>
      </c>
      <c r="Y1561">
        <v>90</v>
      </c>
      <c r="AA1561" t="s">
        <v>94</v>
      </c>
      <c r="AB1561">
        <v>6.72</v>
      </c>
      <c r="AC1561" t="s">
        <v>85</v>
      </c>
      <c r="AD1561">
        <v>0.08</v>
      </c>
      <c r="AE1561" t="s">
        <v>138</v>
      </c>
      <c r="AI1561">
        <v>5</v>
      </c>
      <c r="AJ1561" t="s">
        <v>201</v>
      </c>
      <c r="AT1561" t="s">
        <v>212</v>
      </c>
      <c r="AV1561" t="s">
        <v>88</v>
      </c>
      <c r="AZ1561">
        <v>0</v>
      </c>
      <c r="BA1561">
        <v>6.72</v>
      </c>
    </row>
    <row r="1562" spans="1:53" hidden="1" x14ac:dyDescent="0.3">
      <c r="A1562" t="s">
        <v>537</v>
      </c>
      <c r="C1562" t="s">
        <v>251</v>
      </c>
      <c r="D1562" t="s">
        <v>81</v>
      </c>
      <c r="E1562">
        <v>100000000</v>
      </c>
      <c r="H1562">
        <v>14.25</v>
      </c>
      <c r="I1562" t="s">
        <v>56</v>
      </c>
      <c r="J1562">
        <v>1.4250000000000001E-3</v>
      </c>
      <c r="K1562" t="s">
        <v>57</v>
      </c>
      <c r="L1562" t="s">
        <v>58</v>
      </c>
      <c r="N1562" t="s">
        <v>538</v>
      </c>
      <c r="O1562">
        <v>300</v>
      </c>
      <c r="P1562" t="s">
        <v>262</v>
      </c>
      <c r="S1562">
        <v>1.02</v>
      </c>
      <c r="T1562">
        <v>50</v>
      </c>
      <c r="U1562" t="s">
        <v>539</v>
      </c>
      <c r="V1562">
        <v>75</v>
      </c>
      <c r="W1562" t="s">
        <v>541</v>
      </c>
      <c r="X1562" t="s">
        <v>280</v>
      </c>
      <c r="Y1562">
        <v>90</v>
      </c>
      <c r="AA1562" t="s">
        <v>94</v>
      </c>
      <c r="AB1562">
        <v>7.83</v>
      </c>
      <c r="AC1562" t="s">
        <v>85</v>
      </c>
      <c r="AD1562">
        <v>0.03</v>
      </c>
      <c r="AE1562" t="s">
        <v>138</v>
      </c>
      <c r="AI1562">
        <v>5</v>
      </c>
      <c r="AJ1562" t="s">
        <v>201</v>
      </c>
      <c r="AT1562" t="s">
        <v>382</v>
      </c>
      <c r="AV1562" t="s">
        <v>88</v>
      </c>
      <c r="AZ1562">
        <v>0</v>
      </c>
      <c r="BA1562">
        <v>7.83</v>
      </c>
    </row>
    <row r="1563" spans="1:53" hidden="1" x14ac:dyDescent="0.3">
      <c r="A1563" t="s">
        <v>537</v>
      </c>
      <c r="C1563" t="s">
        <v>251</v>
      </c>
      <c r="D1563" t="s">
        <v>81</v>
      </c>
      <c r="E1563">
        <v>100000000</v>
      </c>
      <c r="H1563">
        <v>14.25</v>
      </c>
      <c r="I1563" t="s">
        <v>56</v>
      </c>
      <c r="J1563">
        <v>1.4250000000000001E-3</v>
      </c>
      <c r="K1563" t="s">
        <v>57</v>
      </c>
      <c r="L1563" t="s">
        <v>58</v>
      </c>
      <c r="N1563" t="s">
        <v>538</v>
      </c>
      <c r="O1563">
        <v>300</v>
      </c>
      <c r="P1563" t="s">
        <v>262</v>
      </c>
      <c r="S1563">
        <v>1.02</v>
      </c>
      <c r="T1563">
        <v>50</v>
      </c>
      <c r="U1563" t="s">
        <v>539</v>
      </c>
      <c r="V1563">
        <v>75</v>
      </c>
      <c r="W1563" t="s">
        <v>542</v>
      </c>
      <c r="X1563" t="s">
        <v>280</v>
      </c>
      <c r="Y1563">
        <v>90</v>
      </c>
      <c r="AA1563" t="s">
        <v>94</v>
      </c>
      <c r="AB1563">
        <v>7.65</v>
      </c>
      <c r="AC1563" t="s">
        <v>85</v>
      </c>
      <c r="AD1563">
        <v>0.04</v>
      </c>
      <c r="AE1563" t="s">
        <v>138</v>
      </c>
      <c r="AI1563">
        <v>5</v>
      </c>
      <c r="AJ1563" t="s">
        <v>201</v>
      </c>
      <c r="AT1563" t="s">
        <v>382</v>
      </c>
      <c r="AV1563" t="s">
        <v>88</v>
      </c>
      <c r="AZ1563">
        <v>0</v>
      </c>
      <c r="BA1563">
        <v>7.65</v>
      </c>
    </row>
    <row r="1564" spans="1:53" hidden="1" x14ac:dyDescent="0.3">
      <c r="A1564" t="s">
        <v>537</v>
      </c>
      <c r="C1564" t="s">
        <v>251</v>
      </c>
      <c r="D1564" t="s">
        <v>81</v>
      </c>
      <c r="E1564">
        <v>100000000</v>
      </c>
      <c r="H1564">
        <v>14.25</v>
      </c>
      <c r="I1564" t="s">
        <v>56</v>
      </c>
      <c r="J1564">
        <v>1.4250000000000001E-3</v>
      </c>
      <c r="K1564" t="s">
        <v>57</v>
      </c>
      <c r="L1564" t="s">
        <v>58</v>
      </c>
      <c r="N1564" t="s">
        <v>538</v>
      </c>
      <c r="O1564">
        <v>300</v>
      </c>
      <c r="P1564" t="s">
        <v>262</v>
      </c>
      <c r="S1564">
        <v>1.02</v>
      </c>
      <c r="T1564">
        <v>50</v>
      </c>
      <c r="U1564" t="s">
        <v>539</v>
      </c>
      <c r="V1564">
        <v>75</v>
      </c>
      <c r="W1564" t="s">
        <v>543</v>
      </c>
      <c r="X1564" t="s">
        <v>280</v>
      </c>
      <c r="Y1564">
        <v>90</v>
      </c>
      <c r="AA1564" t="s">
        <v>94</v>
      </c>
      <c r="AB1564">
        <v>7.47</v>
      </c>
      <c r="AC1564" t="s">
        <v>85</v>
      </c>
      <c r="AD1564">
        <v>0.16</v>
      </c>
      <c r="AE1564" t="s">
        <v>138</v>
      </c>
      <c r="AI1564">
        <v>5</v>
      </c>
      <c r="AJ1564" t="s">
        <v>201</v>
      </c>
      <c r="AT1564" t="s">
        <v>382</v>
      </c>
      <c r="AV1564" t="s">
        <v>88</v>
      </c>
      <c r="AZ1564">
        <v>0</v>
      </c>
      <c r="BA1564">
        <v>7.47</v>
      </c>
    </row>
    <row r="1565" spans="1:53" hidden="1" x14ac:dyDescent="0.3">
      <c r="A1565" t="s">
        <v>537</v>
      </c>
      <c r="C1565" t="s">
        <v>251</v>
      </c>
      <c r="D1565" t="s">
        <v>81</v>
      </c>
      <c r="E1565">
        <v>100000000</v>
      </c>
      <c r="H1565">
        <v>14.25</v>
      </c>
      <c r="I1565" t="s">
        <v>56</v>
      </c>
      <c r="J1565">
        <v>1.4250000000000001E-3</v>
      </c>
      <c r="K1565" t="s">
        <v>57</v>
      </c>
      <c r="L1565" t="s">
        <v>58</v>
      </c>
      <c r="N1565" t="s">
        <v>538</v>
      </c>
      <c r="O1565">
        <v>300</v>
      </c>
      <c r="P1565" t="s">
        <v>262</v>
      </c>
      <c r="S1565">
        <v>1.02</v>
      </c>
      <c r="T1565">
        <v>50</v>
      </c>
      <c r="U1565" t="s">
        <v>539</v>
      </c>
      <c r="V1565">
        <v>75</v>
      </c>
      <c r="W1565" t="s">
        <v>544</v>
      </c>
      <c r="X1565" t="s">
        <v>280</v>
      </c>
      <c r="Y1565">
        <v>90</v>
      </c>
      <c r="AA1565" t="s">
        <v>94</v>
      </c>
      <c r="AB1565">
        <v>7.12</v>
      </c>
      <c r="AC1565" t="s">
        <v>85</v>
      </c>
      <c r="AD1565">
        <v>0.03</v>
      </c>
      <c r="AE1565" t="s">
        <v>138</v>
      </c>
      <c r="AI1565">
        <v>5</v>
      </c>
      <c r="AJ1565" t="s">
        <v>201</v>
      </c>
      <c r="AT1565" t="s">
        <v>65</v>
      </c>
      <c r="AV1565" t="s">
        <v>88</v>
      </c>
      <c r="AZ1565">
        <v>0</v>
      </c>
      <c r="BA1565">
        <v>7.12</v>
      </c>
    </row>
    <row r="1566" spans="1:53" hidden="1" x14ac:dyDescent="0.3">
      <c r="A1566" t="s">
        <v>537</v>
      </c>
      <c r="C1566" t="s">
        <v>251</v>
      </c>
      <c r="D1566" t="s">
        <v>81</v>
      </c>
      <c r="E1566">
        <v>100000000</v>
      </c>
      <c r="H1566">
        <v>14.25</v>
      </c>
      <c r="I1566" t="s">
        <v>56</v>
      </c>
      <c r="J1566">
        <v>1.4250000000000001E-3</v>
      </c>
      <c r="K1566" t="s">
        <v>57</v>
      </c>
      <c r="L1566" t="s">
        <v>58</v>
      </c>
      <c r="N1566" t="s">
        <v>538</v>
      </c>
      <c r="O1566">
        <v>300</v>
      </c>
      <c r="P1566" t="s">
        <v>262</v>
      </c>
      <c r="S1566">
        <v>1.02</v>
      </c>
      <c r="T1566">
        <v>50</v>
      </c>
      <c r="U1566" t="s">
        <v>539</v>
      </c>
      <c r="V1566">
        <v>75</v>
      </c>
      <c r="W1566" t="s">
        <v>147</v>
      </c>
      <c r="X1566" t="s">
        <v>280</v>
      </c>
      <c r="Y1566">
        <v>180</v>
      </c>
      <c r="AA1566" t="s">
        <v>94</v>
      </c>
      <c r="AB1566">
        <v>7.6</v>
      </c>
      <c r="AC1566" t="s">
        <v>85</v>
      </c>
      <c r="AD1566">
        <v>0.08</v>
      </c>
      <c r="AE1566" t="s">
        <v>138</v>
      </c>
      <c r="AI1566">
        <v>5</v>
      </c>
      <c r="AJ1566" t="s">
        <v>201</v>
      </c>
      <c r="AT1566" t="s">
        <v>150</v>
      </c>
      <c r="AV1566" t="s">
        <v>88</v>
      </c>
      <c r="AZ1566">
        <v>0</v>
      </c>
      <c r="BA1566">
        <v>7.6</v>
      </c>
    </row>
    <row r="1567" spans="1:53" hidden="1" x14ac:dyDescent="0.3">
      <c r="A1567" t="s">
        <v>537</v>
      </c>
      <c r="C1567" t="s">
        <v>251</v>
      </c>
      <c r="D1567" t="s">
        <v>81</v>
      </c>
      <c r="E1567">
        <v>100000000</v>
      </c>
      <c r="H1567">
        <v>14.25</v>
      </c>
      <c r="I1567" t="s">
        <v>56</v>
      </c>
      <c r="J1567">
        <v>1.4250000000000001E-3</v>
      </c>
      <c r="K1567" t="s">
        <v>57</v>
      </c>
      <c r="L1567" t="s">
        <v>58</v>
      </c>
      <c r="N1567" t="s">
        <v>538</v>
      </c>
      <c r="O1567">
        <v>300</v>
      </c>
      <c r="P1567" t="s">
        <v>262</v>
      </c>
      <c r="S1567">
        <v>1.02</v>
      </c>
      <c r="T1567">
        <v>50</v>
      </c>
      <c r="U1567" t="s">
        <v>539</v>
      </c>
      <c r="V1567">
        <v>75</v>
      </c>
      <c r="W1567" t="s">
        <v>540</v>
      </c>
      <c r="X1567" t="s">
        <v>280</v>
      </c>
      <c r="Y1567">
        <v>180</v>
      </c>
      <c r="AA1567" t="s">
        <v>94</v>
      </c>
      <c r="AB1567">
        <v>6.71</v>
      </c>
      <c r="AC1567" t="s">
        <v>85</v>
      </c>
      <c r="AD1567">
        <v>0.2</v>
      </c>
      <c r="AE1567" t="s">
        <v>138</v>
      </c>
      <c r="AI1567">
        <v>5</v>
      </c>
      <c r="AJ1567" t="s">
        <v>201</v>
      </c>
      <c r="AT1567" t="s">
        <v>212</v>
      </c>
      <c r="AV1567" t="s">
        <v>88</v>
      </c>
      <c r="AZ1567">
        <v>0</v>
      </c>
      <c r="BA1567">
        <v>6.71</v>
      </c>
    </row>
    <row r="1568" spans="1:53" hidden="1" x14ac:dyDescent="0.3">
      <c r="A1568" t="s">
        <v>537</v>
      </c>
      <c r="C1568" t="s">
        <v>251</v>
      </c>
      <c r="D1568" t="s">
        <v>81</v>
      </c>
      <c r="E1568">
        <v>100000000</v>
      </c>
      <c r="H1568">
        <v>14.25</v>
      </c>
      <c r="I1568" t="s">
        <v>56</v>
      </c>
      <c r="J1568">
        <v>1.4250000000000001E-3</v>
      </c>
      <c r="K1568" t="s">
        <v>57</v>
      </c>
      <c r="L1568" t="s">
        <v>58</v>
      </c>
      <c r="N1568" t="s">
        <v>538</v>
      </c>
      <c r="O1568">
        <v>300</v>
      </c>
      <c r="P1568" t="s">
        <v>262</v>
      </c>
      <c r="S1568">
        <v>1.02</v>
      </c>
      <c r="T1568">
        <v>50</v>
      </c>
      <c r="U1568" t="s">
        <v>539</v>
      </c>
      <c r="V1568">
        <v>75</v>
      </c>
      <c r="W1568" t="s">
        <v>541</v>
      </c>
      <c r="X1568" t="s">
        <v>280</v>
      </c>
      <c r="Y1568">
        <v>180</v>
      </c>
      <c r="AA1568" t="s">
        <v>94</v>
      </c>
      <c r="AB1568">
        <v>7.79</v>
      </c>
      <c r="AC1568" t="s">
        <v>85</v>
      </c>
      <c r="AD1568">
        <v>0.02</v>
      </c>
      <c r="AE1568" t="s">
        <v>138</v>
      </c>
      <c r="AI1568">
        <v>5</v>
      </c>
      <c r="AJ1568" t="s">
        <v>201</v>
      </c>
      <c r="AT1568" t="s">
        <v>382</v>
      </c>
      <c r="AV1568" t="s">
        <v>88</v>
      </c>
      <c r="AZ1568">
        <v>0</v>
      </c>
      <c r="BA1568">
        <v>7.79</v>
      </c>
    </row>
    <row r="1569" spans="1:53" hidden="1" x14ac:dyDescent="0.3">
      <c r="A1569" t="s">
        <v>537</v>
      </c>
      <c r="C1569" t="s">
        <v>251</v>
      </c>
      <c r="D1569" t="s">
        <v>81</v>
      </c>
      <c r="E1569">
        <v>100000000</v>
      </c>
      <c r="H1569">
        <v>14.25</v>
      </c>
      <c r="I1569" t="s">
        <v>56</v>
      </c>
      <c r="J1569">
        <v>1.4250000000000001E-3</v>
      </c>
      <c r="K1569" t="s">
        <v>57</v>
      </c>
      <c r="L1569" t="s">
        <v>58</v>
      </c>
      <c r="N1569" t="s">
        <v>538</v>
      </c>
      <c r="O1569">
        <v>300</v>
      </c>
      <c r="P1569" t="s">
        <v>262</v>
      </c>
      <c r="S1569">
        <v>1.02</v>
      </c>
      <c r="T1569">
        <v>50</v>
      </c>
      <c r="U1569" t="s">
        <v>539</v>
      </c>
      <c r="V1569">
        <v>75</v>
      </c>
      <c r="W1569" t="s">
        <v>542</v>
      </c>
      <c r="X1569" t="s">
        <v>280</v>
      </c>
      <c r="Y1569">
        <v>180</v>
      </c>
      <c r="AA1569" t="s">
        <v>94</v>
      </c>
      <c r="AB1569">
        <v>7.58</v>
      </c>
      <c r="AC1569" t="s">
        <v>85</v>
      </c>
      <c r="AD1569">
        <v>0.04</v>
      </c>
      <c r="AE1569" t="s">
        <v>138</v>
      </c>
      <c r="AI1569">
        <v>5</v>
      </c>
      <c r="AJ1569" t="s">
        <v>201</v>
      </c>
      <c r="AT1569" t="s">
        <v>382</v>
      </c>
      <c r="AV1569" t="s">
        <v>88</v>
      </c>
      <c r="AZ1569">
        <v>0</v>
      </c>
      <c r="BA1569">
        <v>7.58</v>
      </c>
    </row>
    <row r="1570" spans="1:53" hidden="1" x14ac:dyDescent="0.3">
      <c r="A1570" t="s">
        <v>537</v>
      </c>
      <c r="C1570" t="s">
        <v>251</v>
      </c>
      <c r="D1570" t="s">
        <v>81</v>
      </c>
      <c r="E1570">
        <v>100000000</v>
      </c>
      <c r="H1570">
        <v>14.25</v>
      </c>
      <c r="I1570" t="s">
        <v>56</v>
      </c>
      <c r="J1570">
        <v>1.4250000000000001E-3</v>
      </c>
      <c r="K1570" t="s">
        <v>57</v>
      </c>
      <c r="L1570" t="s">
        <v>58</v>
      </c>
      <c r="N1570" t="s">
        <v>538</v>
      </c>
      <c r="O1570">
        <v>300</v>
      </c>
      <c r="P1570" t="s">
        <v>262</v>
      </c>
      <c r="S1570">
        <v>1.02</v>
      </c>
      <c r="T1570">
        <v>50</v>
      </c>
      <c r="U1570" t="s">
        <v>539</v>
      </c>
      <c r="V1570">
        <v>75</v>
      </c>
      <c r="W1570" t="s">
        <v>543</v>
      </c>
      <c r="X1570" t="s">
        <v>280</v>
      </c>
      <c r="Y1570">
        <v>180</v>
      </c>
      <c r="AA1570" t="s">
        <v>94</v>
      </c>
      <c r="AB1570">
        <v>7.26</v>
      </c>
      <c r="AC1570" t="s">
        <v>85</v>
      </c>
      <c r="AD1570">
        <v>0.12</v>
      </c>
      <c r="AE1570" t="s">
        <v>138</v>
      </c>
      <c r="AI1570">
        <v>5</v>
      </c>
      <c r="AJ1570" t="s">
        <v>201</v>
      </c>
      <c r="AT1570" t="s">
        <v>382</v>
      </c>
      <c r="AV1570" t="s">
        <v>88</v>
      </c>
      <c r="AZ1570">
        <v>0</v>
      </c>
      <c r="BA1570">
        <v>7.26</v>
      </c>
    </row>
    <row r="1571" spans="1:53" hidden="1" x14ac:dyDescent="0.3">
      <c r="A1571" t="s">
        <v>537</v>
      </c>
      <c r="C1571" t="s">
        <v>251</v>
      </c>
      <c r="D1571" t="s">
        <v>81</v>
      </c>
      <c r="E1571">
        <v>100000000</v>
      </c>
      <c r="H1571">
        <v>14.25</v>
      </c>
      <c r="I1571" t="s">
        <v>56</v>
      </c>
      <c r="J1571">
        <v>1.4250000000000001E-3</v>
      </c>
      <c r="K1571" t="s">
        <v>57</v>
      </c>
      <c r="L1571" t="s">
        <v>58</v>
      </c>
      <c r="N1571" t="s">
        <v>538</v>
      </c>
      <c r="O1571">
        <v>300</v>
      </c>
      <c r="P1571" t="s">
        <v>262</v>
      </c>
      <c r="S1571">
        <v>1.02</v>
      </c>
      <c r="T1571">
        <v>50</v>
      </c>
      <c r="U1571" t="s">
        <v>539</v>
      </c>
      <c r="V1571">
        <v>75</v>
      </c>
      <c r="W1571" t="s">
        <v>544</v>
      </c>
      <c r="X1571" t="s">
        <v>280</v>
      </c>
      <c r="Y1571">
        <v>180</v>
      </c>
      <c r="AA1571" t="s">
        <v>94</v>
      </c>
      <c r="AB1571">
        <v>7.47</v>
      </c>
      <c r="AC1571" t="s">
        <v>85</v>
      </c>
      <c r="AD1571">
        <v>0.04</v>
      </c>
      <c r="AE1571" t="s">
        <v>138</v>
      </c>
      <c r="AI1571">
        <v>5</v>
      </c>
      <c r="AJ1571" t="s">
        <v>201</v>
      </c>
      <c r="AT1571" t="s">
        <v>65</v>
      </c>
      <c r="AV1571" t="s">
        <v>88</v>
      </c>
      <c r="AZ1571">
        <v>0</v>
      </c>
      <c r="BA1571">
        <v>7.47</v>
      </c>
    </row>
    <row r="1572" spans="1:53" hidden="1" x14ac:dyDescent="0.3">
      <c r="A1572" t="s">
        <v>537</v>
      </c>
      <c r="C1572" t="s">
        <v>251</v>
      </c>
      <c r="D1572" t="s">
        <v>81</v>
      </c>
      <c r="E1572">
        <v>100000000</v>
      </c>
      <c r="H1572">
        <v>14.25</v>
      </c>
      <c r="I1572" t="s">
        <v>56</v>
      </c>
      <c r="J1572">
        <v>1.4250000000000001E-3</v>
      </c>
      <c r="K1572" t="s">
        <v>57</v>
      </c>
      <c r="L1572" t="s">
        <v>58</v>
      </c>
      <c r="N1572" t="s">
        <v>538</v>
      </c>
      <c r="O1572">
        <v>300</v>
      </c>
      <c r="P1572" t="s">
        <v>262</v>
      </c>
      <c r="S1572">
        <v>1.02</v>
      </c>
      <c r="T1572">
        <v>37</v>
      </c>
      <c r="U1572" t="s">
        <v>539</v>
      </c>
      <c r="V1572">
        <v>75</v>
      </c>
      <c r="W1572" t="s">
        <v>147</v>
      </c>
      <c r="X1572" t="s">
        <v>280</v>
      </c>
      <c r="Y1572">
        <v>45</v>
      </c>
      <c r="AA1572" t="s">
        <v>94</v>
      </c>
      <c r="AB1572">
        <v>7.78</v>
      </c>
      <c r="AC1572" t="s">
        <v>85</v>
      </c>
      <c r="AD1572">
        <v>0.05</v>
      </c>
      <c r="AE1572" t="s">
        <v>138</v>
      </c>
      <c r="AI1572">
        <v>5</v>
      </c>
      <c r="AJ1572" t="s">
        <v>201</v>
      </c>
      <c r="AT1572" t="s">
        <v>150</v>
      </c>
      <c r="AV1572" t="s">
        <v>88</v>
      </c>
      <c r="AZ1572">
        <v>0</v>
      </c>
      <c r="BA1572">
        <v>7.78</v>
      </c>
    </row>
    <row r="1573" spans="1:53" hidden="1" x14ac:dyDescent="0.3">
      <c r="A1573" t="s">
        <v>537</v>
      </c>
      <c r="C1573" t="s">
        <v>251</v>
      </c>
      <c r="D1573" t="s">
        <v>81</v>
      </c>
      <c r="E1573">
        <v>100000000</v>
      </c>
      <c r="H1573">
        <v>14.25</v>
      </c>
      <c r="I1573" t="s">
        <v>56</v>
      </c>
      <c r="J1573">
        <v>1.4250000000000001E-3</v>
      </c>
      <c r="K1573" t="s">
        <v>57</v>
      </c>
      <c r="L1573" t="s">
        <v>58</v>
      </c>
      <c r="N1573" t="s">
        <v>538</v>
      </c>
      <c r="O1573">
        <v>300</v>
      </c>
      <c r="P1573" t="s">
        <v>262</v>
      </c>
      <c r="S1573">
        <v>1.02</v>
      </c>
      <c r="T1573">
        <v>37</v>
      </c>
      <c r="U1573" t="s">
        <v>539</v>
      </c>
      <c r="V1573">
        <v>75</v>
      </c>
      <c r="W1573" t="s">
        <v>540</v>
      </c>
      <c r="X1573" t="s">
        <v>280</v>
      </c>
      <c r="Y1573">
        <v>45</v>
      </c>
      <c r="AB1573">
        <v>5.55</v>
      </c>
      <c r="AC1573" t="s">
        <v>85</v>
      </c>
      <c r="AD1573">
        <v>1.2</v>
      </c>
      <c r="AE1573" t="s">
        <v>138</v>
      </c>
      <c r="AI1573">
        <v>5</v>
      </c>
      <c r="AJ1573" t="s">
        <v>201</v>
      </c>
      <c r="AT1573" t="s">
        <v>212</v>
      </c>
      <c r="AV1573" t="s">
        <v>88</v>
      </c>
    </row>
    <row r="1574" spans="1:53" hidden="1" x14ac:dyDescent="0.3">
      <c r="A1574" t="s">
        <v>537</v>
      </c>
      <c r="C1574" t="s">
        <v>251</v>
      </c>
      <c r="D1574" t="s">
        <v>81</v>
      </c>
      <c r="E1574">
        <v>100000000</v>
      </c>
      <c r="H1574">
        <v>14.25</v>
      </c>
      <c r="I1574" t="s">
        <v>56</v>
      </c>
      <c r="J1574">
        <v>1.4250000000000001E-3</v>
      </c>
      <c r="K1574" t="s">
        <v>57</v>
      </c>
      <c r="L1574" t="s">
        <v>58</v>
      </c>
      <c r="N1574" t="s">
        <v>538</v>
      </c>
      <c r="O1574">
        <v>300</v>
      </c>
      <c r="P1574" t="s">
        <v>262</v>
      </c>
      <c r="S1574">
        <v>1.02</v>
      </c>
      <c r="T1574">
        <v>37</v>
      </c>
      <c r="U1574" t="s">
        <v>539</v>
      </c>
      <c r="V1574">
        <v>75</v>
      </c>
      <c r="W1574" t="s">
        <v>541</v>
      </c>
      <c r="X1574" t="s">
        <v>280</v>
      </c>
      <c r="Y1574">
        <v>45</v>
      </c>
      <c r="AA1574" t="s">
        <v>94</v>
      </c>
      <c r="AB1574">
        <v>7.78</v>
      </c>
      <c r="AC1574" t="s">
        <v>85</v>
      </c>
      <c r="AD1574">
        <v>0.05</v>
      </c>
      <c r="AE1574" t="s">
        <v>138</v>
      </c>
      <c r="AI1574">
        <v>5</v>
      </c>
      <c r="AJ1574" t="s">
        <v>201</v>
      </c>
      <c r="AT1574" t="s">
        <v>382</v>
      </c>
      <c r="AV1574" t="s">
        <v>88</v>
      </c>
      <c r="AZ1574">
        <v>0</v>
      </c>
      <c r="BA1574">
        <v>7.78</v>
      </c>
    </row>
    <row r="1575" spans="1:53" hidden="1" x14ac:dyDescent="0.3">
      <c r="A1575" t="s">
        <v>537</v>
      </c>
      <c r="C1575" t="s">
        <v>251</v>
      </c>
      <c r="D1575" t="s">
        <v>81</v>
      </c>
      <c r="E1575">
        <v>100000000</v>
      </c>
      <c r="H1575">
        <v>14.25</v>
      </c>
      <c r="I1575" t="s">
        <v>56</v>
      </c>
      <c r="J1575">
        <v>1.4250000000000001E-3</v>
      </c>
      <c r="K1575" t="s">
        <v>57</v>
      </c>
      <c r="L1575" t="s">
        <v>58</v>
      </c>
      <c r="N1575" t="s">
        <v>538</v>
      </c>
      <c r="O1575">
        <v>300</v>
      </c>
      <c r="P1575" t="s">
        <v>262</v>
      </c>
      <c r="S1575">
        <v>1.02</v>
      </c>
      <c r="T1575">
        <v>37</v>
      </c>
      <c r="U1575" t="s">
        <v>539</v>
      </c>
      <c r="V1575">
        <v>75</v>
      </c>
      <c r="W1575" t="s">
        <v>542</v>
      </c>
      <c r="X1575" t="s">
        <v>280</v>
      </c>
      <c r="Y1575">
        <v>45</v>
      </c>
      <c r="AA1575" t="s">
        <v>94</v>
      </c>
      <c r="AB1575">
        <v>7.68</v>
      </c>
      <c r="AC1575" t="s">
        <v>85</v>
      </c>
      <c r="AD1575">
        <v>0.1</v>
      </c>
      <c r="AE1575" t="s">
        <v>138</v>
      </c>
      <c r="AI1575">
        <v>5</v>
      </c>
      <c r="AJ1575" t="s">
        <v>201</v>
      </c>
      <c r="AT1575" t="s">
        <v>382</v>
      </c>
      <c r="AV1575" t="s">
        <v>88</v>
      </c>
      <c r="AZ1575">
        <v>0</v>
      </c>
      <c r="BA1575">
        <v>7.68</v>
      </c>
    </row>
    <row r="1576" spans="1:53" hidden="1" x14ac:dyDescent="0.3">
      <c r="A1576" t="s">
        <v>537</v>
      </c>
      <c r="C1576" t="s">
        <v>251</v>
      </c>
      <c r="D1576" t="s">
        <v>81</v>
      </c>
      <c r="E1576">
        <v>100000000</v>
      </c>
      <c r="H1576">
        <v>14.25</v>
      </c>
      <c r="I1576" t="s">
        <v>56</v>
      </c>
      <c r="J1576">
        <v>1.4250000000000001E-3</v>
      </c>
      <c r="K1576" t="s">
        <v>57</v>
      </c>
      <c r="L1576" t="s">
        <v>58</v>
      </c>
      <c r="N1576" t="s">
        <v>538</v>
      </c>
      <c r="O1576">
        <v>300</v>
      </c>
      <c r="P1576" t="s">
        <v>262</v>
      </c>
      <c r="S1576">
        <v>1.02</v>
      </c>
      <c r="T1576">
        <v>37</v>
      </c>
      <c r="U1576" t="s">
        <v>539</v>
      </c>
      <c r="V1576">
        <v>75</v>
      </c>
      <c r="W1576" t="s">
        <v>543</v>
      </c>
      <c r="X1576" t="s">
        <v>280</v>
      </c>
      <c r="Y1576">
        <v>45</v>
      </c>
      <c r="AA1576" t="s">
        <v>94</v>
      </c>
      <c r="AB1576">
        <v>7.49</v>
      </c>
      <c r="AC1576" t="s">
        <v>85</v>
      </c>
      <c r="AD1576">
        <v>0.06</v>
      </c>
      <c r="AE1576" t="s">
        <v>138</v>
      </c>
      <c r="AI1576">
        <v>5</v>
      </c>
      <c r="AJ1576" t="s">
        <v>201</v>
      </c>
      <c r="AT1576" t="s">
        <v>382</v>
      </c>
      <c r="AV1576" t="s">
        <v>88</v>
      </c>
      <c r="AZ1576">
        <v>0</v>
      </c>
      <c r="BA1576">
        <v>7.49</v>
      </c>
    </row>
    <row r="1577" spans="1:53" hidden="1" x14ac:dyDescent="0.3">
      <c r="A1577" t="s">
        <v>537</v>
      </c>
      <c r="C1577" t="s">
        <v>251</v>
      </c>
      <c r="D1577" t="s">
        <v>81</v>
      </c>
      <c r="E1577">
        <v>100000000</v>
      </c>
      <c r="H1577">
        <v>14.25</v>
      </c>
      <c r="I1577" t="s">
        <v>56</v>
      </c>
      <c r="J1577">
        <v>1.4250000000000001E-3</v>
      </c>
      <c r="K1577" t="s">
        <v>57</v>
      </c>
      <c r="L1577" t="s">
        <v>58</v>
      </c>
      <c r="N1577" t="s">
        <v>538</v>
      </c>
      <c r="O1577">
        <v>300</v>
      </c>
      <c r="P1577" t="s">
        <v>262</v>
      </c>
      <c r="S1577">
        <v>1.02</v>
      </c>
      <c r="T1577">
        <v>37</v>
      </c>
      <c r="U1577" t="s">
        <v>539</v>
      </c>
      <c r="V1577">
        <v>75</v>
      </c>
      <c r="W1577" t="s">
        <v>544</v>
      </c>
      <c r="X1577" t="s">
        <v>280</v>
      </c>
      <c r="Y1577">
        <v>45</v>
      </c>
      <c r="AB1577">
        <v>5.77</v>
      </c>
      <c r="AC1577" t="s">
        <v>85</v>
      </c>
      <c r="AD1577">
        <v>0.36</v>
      </c>
      <c r="AE1577" t="s">
        <v>138</v>
      </c>
      <c r="AI1577">
        <v>5</v>
      </c>
      <c r="AJ1577" t="s">
        <v>201</v>
      </c>
      <c r="AT1577" t="s">
        <v>65</v>
      </c>
      <c r="AV1577" t="s">
        <v>88</v>
      </c>
    </row>
    <row r="1578" spans="1:53" hidden="1" x14ac:dyDescent="0.3">
      <c r="A1578" t="s">
        <v>537</v>
      </c>
      <c r="C1578" t="s">
        <v>251</v>
      </c>
      <c r="D1578" t="s">
        <v>81</v>
      </c>
      <c r="E1578">
        <v>100000000</v>
      </c>
      <c r="H1578">
        <v>14.25</v>
      </c>
      <c r="I1578" t="s">
        <v>56</v>
      </c>
      <c r="J1578">
        <v>1.4250000000000001E-3</v>
      </c>
      <c r="K1578" t="s">
        <v>57</v>
      </c>
      <c r="L1578" t="s">
        <v>58</v>
      </c>
      <c r="N1578" t="s">
        <v>538</v>
      </c>
      <c r="O1578">
        <v>300</v>
      </c>
      <c r="P1578" t="s">
        <v>262</v>
      </c>
      <c r="S1578">
        <v>1.02</v>
      </c>
      <c r="T1578">
        <v>37</v>
      </c>
      <c r="U1578" t="s">
        <v>539</v>
      </c>
      <c r="V1578">
        <v>75</v>
      </c>
      <c r="W1578" t="s">
        <v>147</v>
      </c>
      <c r="X1578" t="s">
        <v>280</v>
      </c>
      <c r="Y1578">
        <v>90</v>
      </c>
      <c r="AA1578" t="s">
        <v>94</v>
      </c>
      <c r="AB1578">
        <v>7.72</v>
      </c>
      <c r="AC1578" t="s">
        <v>85</v>
      </c>
      <c r="AD1578">
        <v>0.09</v>
      </c>
      <c r="AE1578" t="s">
        <v>138</v>
      </c>
      <c r="AI1578">
        <v>5</v>
      </c>
      <c r="AJ1578" t="s">
        <v>201</v>
      </c>
      <c r="AT1578" t="s">
        <v>150</v>
      </c>
      <c r="AV1578" t="s">
        <v>88</v>
      </c>
      <c r="AZ1578">
        <v>0</v>
      </c>
      <c r="BA1578">
        <v>7.72</v>
      </c>
    </row>
    <row r="1579" spans="1:53" hidden="1" x14ac:dyDescent="0.3">
      <c r="A1579" t="s">
        <v>537</v>
      </c>
      <c r="C1579" t="s">
        <v>251</v>
      </c>
      <c r="D1579" t="s">
        <v>81</v>
      </c>
      <c r="E1579">
        <v>100000000</v>
      </c>
      <c r="H1579">
        <v>14.25</v>
      </c>
      <c r="I1579" t="s">
        <v>56</v>
      </c>
      <c r="J1579">
        <v>1.4250000000000001E-3</v>
      </c>
      <c r="K1579" t="s">
        <v>57</v>
      </c>
      <c r="L1579" t="s">
        <v>58</v>
      </c>
      <c r="N1579" t="s">
        <v>538</v>
      </c>
      <c r="O1579">
        <v>300</v>
      </c>
      <c r="P1579" t="s">
        <v>262</v>
      </c>
      <c r="S1579">
        <v>1.02</v>
      </c>
      <c r="T1579">
        <v>37</v>
      </c>
      <c r="U1579" t="s">
        <v>539</v>
      </c>
      <c r="V1579">
        <v>75</v>
      </c>
      <c r="W1579" t="s">
        <v>540</v>
      </c>
      <c r="X1579" t="s">
        <v>280</v>
      </c>
      <c r="Y1579">
        <v>90</v>
      </c>
      <c r="AA1579" t="s">
        <v>94</v>
      </c>
      <c r="AB1579">
        <v>6.76</v>
      </c>
      <c r="AC1579" t="s">
        <v>85</v>
      </c>
      <c r="AD1579">
        <v>7.0000000000000007E-2</v>
      </c>
      <c r="AE1579" t="s">
        <v>138</v>
      </c>
      <c r="AI1579">
        <v>5</v>
      </c>
      <c r="AJ1579" t="s">
        <v>201</v>
      </c>
      <c r="AT1579" t="s">
        <v>212</v>
      </c>
      <c r="AV1579" t="s">
        <v>88</v>
      </c>
      <c r="AZ1579">
        <v>0</v>
      </c>
      <c r="BA1579">
        <v>6.76</v>
      </c>
    </row>
    <row r="1580" spans="1:53" hidden="1" x14ac:dyDescent="0.3">
      <c r="A1580" t="s">
        <v>537</v>
      </c>
      <c r="C1580" t="s">
        <v>251</v>
      </c>
      <c r="D1580" t="s">
        <v>81</v>
      </c>
      <c r="E1580">
        <v>100000000</v>
      </c>
      <c r="H1580">
        <v>14.25</v>
      </c>
      <c r="I1580" t="s">
        <v>56</v>
      </c>
      <c r="J1580">
        <v>1.4250000000000001E-3</v>
      </c>
      <c r="K1580" t="s">
        <v>57</v>
      </c>
      <c r="L1580" t="s">
        <v>58</v>
      </c>
      <c r="N1580" t="s">
        <v>538</v>
      </c>
      <c r="O1580">
        <v>300</v>
      </c>
      <c r="P1580" t="s">
        <v>262</v>
      </c>
      <c r="S1580">
        <v>1.02</v>
      </c>
      <c r="T1580">
        <v>37</v>
      </c>
      <c r="U1580" t="s">
        <v>539</v>
      </c>
      <c r="V1580">
        <v>75</v>
      </c>
      <c r="W1580" t="s">
        <v>541</v>
      </c>
      <c r="X1580" t="s">
        <v>280</v>
      </c>
      <c r="Y1580">
        <v>90</v>
      </c>
      <c r="AA1580" t="s">
        <v>94</v>
      </c>
      <c r="AB1580">
        <v>7.78</v>
      </c>
      <c r="AC1580" t="s">
        <v>85</v>
      </c>
      <c r="AD1580">
        <v>0.05</v>
      </c>
      <c r="AE1580" t="s">
        <v>138</v>
      </c>
      <c r="AI1580">
        <v>5</v>
      </c>
      <c r="AJ1580" t="s">
        <v>201</v>
      </c>
      <c r="AT1580" t="s">
        <v>382</v>
      </c>
      <c r="AV1580" t="s">
        <v>88</v>
      </c>
      <c r="AZ1580">
        <v>0</v>
      </c>
      <c r="BA1580">
        <v>7.78</v>
      </c>
    </row>
    <row r="1581" spans="1:53" hidden="1" x14ac:dyDescent="0.3">
      <c r="A1581" t="s">
        <v>537</v>
      </c>
      <c r="C1581" t="s">
        <v>251</v>
      </c>
      <c r="D1581" t="s">
        <v>81</v>
      </c>
      <c r="E1581">
        <v>100000000</v>
      </c>
      <c r="H1581">
        <v>14.25</v>
      </c>
      <c r="I1581" t="s">
        <v>56</v>
      </c>
      <c r="J1581">
        <v>1.4250000000000001E-3</v>
      </c>
      <c r="K1581" t="s">
        <v>57</v>
      </c>
      <c r="L1581" t="s">
        <v>58</v>
      </c>
      <c r="N1581" t="s">
        <v>538</v>
      </c>
      <c r="O1581">
        <v>300</v>
      </c>
      <c r="P1581" t="s">
        <v>262</v>
      </c>
      <c r="S1581">
        <v>1.02</v>
      </c>
      <c r="T1581">
        <v>37</v>
      </c>
      <c r="U1581" t="s">
        <v>539</v>
      </c>
      <c r="V1581">
        <v>75</v>
      </c>
      <c r="W1581" t="s">
        <v>542</v>
      </c>
      <c r="X1581" t="s">
        <v>280</v>
      </c>
      <c r="Y1581">
        <v>90</v>
      </c>
      <c r="AA1581" t="s">
        <v>94</v>
      </c>
      <c r="AB1581">
        <v>7.52</v>
      </c>
      <c r="AC1581" t="s">
        <v>85</v>
      </c>
      <c r="AD1581">
        <v>0.06</v>
      </c>
      <c r="AE1581" t="s">
        <v>138</v>
      </c>
      <c r="AI1581">
        <v>5</v>
      </c>
      <c r="AJ1581" t="s">
        <v>201</v>
      </c>
      <c r="AT1581" t="s">
        <v>382</v>
      </c>
      <c r="AV1581" t="s">
        <v>88</v>
      </c>
      <c r="AZ1581">
        <v>0</v>
      </c>
      <c r="BA1581">
        <v>7.52</v>
      </c>
    </row>
    <row r="1582" spans="1:53" hidden="1" x14ac:dyDescent="0.3">
      <c r="A1582" t="s">
        <v>537</v>
      </c>
      <c r="C1582" t="s">
        <v>251</v>
      </c>
      <c r="D1582" t="s">
        <v>81</v>
      </c>
      <c r="E1582">
        <v>100000000</v>
      </c>
      <c r="H1582">
        <v>14.25</v>
      </c>
      <c r="I1582" t="s">
        <v>56</v>
      </c>
      <c r="J1582">
        <v>1.4250000000000001E-3</v>
      </c>
      <c r="K1582" t="s">
        <v>57</v>
      </c>
      <c r="L1582" t="s">
        <v>58</v>
      </c>
      <c r="N1582" t="s">
        <v>538</v>
      </c>
      <c r="O1582">
        <v>300</v>
      </c>
      <c r="P1582" t="s">
        <v>262</v>
      </c>
      <c r="S1582">
        <v>1.02</v>
      </c>
      <c r="T1582">
        <v>37</v>
      </c>
      <c r="U1582" t="s">
        <v>539</v>
      </c>
      <c r="V1582">
        <v>75</v>
      </c>
      <c r="W1582" t="s">
        <v>543</v>
      </c>
      <c r="X1582" t="s">
        <v>280</v>
      </c>
      <c r="Y1582">
        <v>90</v>
      </c>
      <c r="AA1582" t="s">
        <v>94</v>
      </c>
      <c r="AB1582">
        <v>7.37</v>
      </c>
      <c r="AC1582" t="s">
        <v>85</v>
      </c>
      <c r="AD1582">
        <v>0.14000000000000001</v>
      </c>
      <c r="AE1582" t="s">
        <v>138</v>
      </c>
      <c r="AI1582">
        <v>5</v>
      </c>
      <c r="AJ1582" t="s">
        <v>201</v>
      </c>
      <c r="AT1582" t="s">
        <v>382</v>
      </c>
      <c r="AV1582" t="s">
        <v>88</v>
      </c>
      <c r="AZ1582">
        <v>0</v>
      </c>
      <c r="BA1582">
        <v>7.37</v>
      </c>
    </row>
    <row r="1583" spans="1:53" hidden="1" x14ac:dyDescent="0.3">
      <c r="A1583" t="s">
        <v>537</v>
      </c>
      <c r="C1583" t="s">
        <v>251</v>
      </c>
      <c r="D1583" t="s">
        <v>81</v>
      </c>
      <c r="E1583">
        <v>100000000</v>
      </c>
      <c r="H1583">
        <v>14.25</v>
      </c>
      <c r="I1583" t="s">
        <v>56</v>
      </c>
      <c r="J1583">
        <v>1.4250000000000001E-3</v>
      </c>
      <c r="K1583" t="s">
        <v>57</v>
      </c>
      <c r="L1583" t="s">
        <v>58</v>
      </c>
      <c r="N1583" t="s">
        <v>538</v>
      </c>
      <c r="O1583">
        <v>300</v>
      </c>
      <c r="P1583" t="s">
        <v>262</v>
      </c>
      <c r="S1583">
        <v>1.02</v>
      </c>
      <c r="T1583">
        <v>37</v>
      </c>
      <c r="U1583" t="s">
        <v>539</v>
      </c>
      <c r="V1583">
        <v>75</v>
      </c>
      <c r="W1583" t="s">
        <v>544</v>
      </c>
      <c r="X1583" t="s">
        <v>280</v>
      </c>
      <c r="Y1583">
        <v>90</v>
      </c>
      <c r="AA1583" t="s">
        <v>94</v>
      </c>
      <c r="AB1583">
        <v>7.62</v>
      </c>
      <c r="AC1583" t="s">
        <v>85</v>
      </c>
      <c r="AD1583">
        <v>0.06</v>
      </c>
      <c r="AE1583" t="s">
        <v>138</v>
      </c>
      <c r="AI1583">
        <v>5</v>
      </c>
      <c r="AJ1583" t="s">
        <v>201</v>
      </c>
      <c r="AT1583" t="s">
        <v>65</v>
      </c>
      <c r="AV1583" t="s">
        <v>88</v>
      </c>
      <c r="AZ1583">
        <v>0</v>
      </c>
      <c r="BA1583">
        <v>7.62</v>
      </c>
    </row>
    <row r="1584" spans="1:53" hidden="1" x14ac:dyDescent="0.3">
      <c r="A1584" t="s">
        <v>537</v>
      </c>
      <c r="C1584" t="s">
        <v>251</v>
      </c>
      <c r="D1584" t="s">
        <v>81</v>
      </c>
      <c r="E1584">
        <v>100000000</v>
      </c>
      <c r="H1584">
        <v>14.25</v>
      </c>
      <c r="I1584" t="s">
        <v>56</v>
      </c>
      <c r="J1584">
        <v>1.4250000000000001E-3</v>
      </c>
      <c r="K1584" t="s">
        <v>57</v>
      </c>
      <c r="L1584" t="s">
        <v>58</v>
      </c>
      <c r="N1584" t="s">
        <v>538</v>
      </c>
      <c r="O1584">
        <v>300</v>
      </c>
      <c r="P1584" t="s">
        <v>262</v>
      </c>
      <c r="S1584">
        <v>1.02</v>
      </c>
      <c r="T1584">
        <v>37</v>
      </c>
      <c r="U1584" t="s">
        <v>539</v>
      </c>
      <c r="V1584">
        <v>75</v>
      </c>
      <c r="W1584" t="s">
        <v>147</v>
      </c>
      <c r="X1584" t="s">
        <v>280</v>
      </c>
      <c r="Y1584">
        <v>180</v>
      </c>
      <c r="AA1584" t="s">
        <v>94</v>
      </c>
      <c r="AB1584">
        <v>7.64</v>
      </c>
      <c r="AC1584" t="s">
        <v>85</v>
      </c>
      <c r="AD1584">
        <v>0.04</v>
      </c>
      <c r="AE1584" t="s">
        <v>138</v>
      </c>
      <c r="AI1584">
        <v>5</v>
      </c>
      <c r="AJ1584" t="s">
        <v>201</v>
      </c>
      <c r="AT1584" t="s">
        <v>150</v>
      </c>
      <c r="AV1584" t="s">
        <v>88</v>
      </c>
      <c r="AZ1584">
        <v>0</v>
      </c>
      <c r="BA1584">
        <v>7.64</v>
      </c>
    </row>
    <row r="1585" spans="1:53" hidden="1" x14ac:dyDescent="0.3">
      <c r="A1585" t="s">
        <v>537</v>
      </c>
      <c r="C1585" t="s">
        <v>251</v>
      </c>
      <c r="D1585" t="s">
        <v>81</v>
      </c>
      <c r="E1585">
        <v>100000000</v>
      </c>
      <c r="H1585">
        <v>14.25</v>
      </c>
      <c r="I1585" t="s">
        <v>56</v>
      </c>
      <c r="J1585">
        <v>1.4250000000000001E-3</v>
      </c>
      <c r="K1585" t="s">
        <v>57</v>
      </c>
      <c r="L1585" t="s">
        <v>58</v>
      </c>
      <c r="N1585" t="s">
        <v>538</v>
      </c>
      <c r="O1585">
        <v>300</v>
      </c>
      <c r="P1585" t="s">
        <v>262</v>
      </c>
      <c r="S1585">
        <v>1.02</v>
      </c>
      <c r="T1585">
        <v>37</v>
      </c>
      <c r="U1585" t="s">
        <v>539</v>
      </c>
      <c r="V1585">
        <v>75</v>
      </c>
      <c r="W1585" t="s">
        <v>540</v>
      </c>
      <c r="X1585" t="s">
        <v>280</v>
      </c>
      <c r="Y1585">
        <v>180</v>
      </c>
      <c r="AA1585" t="s">
        <v>94</v>
      </c>
      <c r="AB1585">
        <v>6.87</v>
      </c>
      <c r="AC1585" t="s">
        <v>85</v>
      </c>
      <c r="AD1585">
        <v>0.17</v>
      </c>
      <c r="AE1585" t="s">
        <v>138</v>
      </c>
      <c r="AI1585">
        <v>5</v>
      </c>
      <c r="AJ1585" t="s">
        <v>201</v>
      </c>
      <c r="AT1585" t="s">
        <v>212</v>
      </c>
      <c r="AV1585" t="s">
        <v>88</v>
      </c>
      <c r="AZ1585">
        <v>0</v>
      </c>
      <c r="BA1585">
        <v>6.87</v>
      </c>
    </row>
    <row r="1586" spans="1:53" hidden="1" x14ac:dyDescent="0.3">
      <c r="A1586" t="s">
        <v>537</v>
      </c>
      <c r="C1586" t="s">
        <v>251</v>
      </c>
      <c r="D1586" t="s">
        <v>81</v>
      </c>
      <c r="E1586">
        <v>100000000</v>
      </c>
      <c r="H1586">
        <v>14.25</v>
      </c>
      <c r="I1586" t="s">
        <v>56</v>
      </c>
      <c r="J1586">
        <v>1.4250000000000001E-3</v>
      </c>
      <c r="K1586" t="s">
        <v>57</v>
      </c>
      <c r="L1586" t="s">
        <v>58</v>
      </c>
      <c r="N1586" t="s">
        <v>538</v>
      </c>
      <c r="O1586">
        <v>300</v>
      </c>
      <c r="P1586" t="s">
        <v>262</v>
      </c>
      <c r="S1586">
        <v>1.02</v>
      </c>
      <c r="T1586">
        <v>37</v>
      </c>
      <c r="U1586" t="s">
        <v>539</v>
      </c>
      <c r="V1586">
        <v>75</v>
      </c>
      <c r="W1586" t="s">
        <v>541</v>
      </c>
      <c r="X1586" t="s">
        <v>280</v>
      </c>
      <c r="Y1586">
        <v>180</v>
      </c>
      <c r="AA1586" t="s">
        <v>94</v>
      </c>
      <c r="AB1586">
        <v>7.71</v>
      </c>
      <c r="AC1586" t="s">
        <v>85</v>
      </c>
      <c r="AD1586">
        <v>0.04</v>
      </c>
      <c r="AE1586" t="s">
        <v>138</v>
      </c>
      <c r="AI1586">
        <v>5</v>
      </c>
      <c r="AJ1586" t="s">
        <v>201</v>
      </c>
      <c r="AT1586" t="s">
        <v>382</v>
      </c>
      <c r="AV1586" t="s">
        <v>88</v>
      </c>
      <c r="AZ1586">
        <v>0</v>
      </c>
      <c r="BA1586">
        <v>7.71</v>
      </c>
    </row>
    <row r="1587" spans="1:53" hidden="1" x14ac:dyDescent="0.3">
      <c r="A1587" t="s">
        <v>537</v>
      </c>
      <c r="C1587" t="s">
        <v>251</v>
      </c>
      <c r="D1587" t="s">
        <v>81</v>
      </c>
      <c r="E1587">
        <v>100000000</v>
      </c>
      <c r="H1587">
        <v>14.25</v>
      </c>
      <c r="I1587" t="s">
        <v>56</v>
      </c>
      <c r="J1587">
        <v>1.4250000000000001E-3</v>
      </c>
      <c r="K1587" t="s">
        <v>57</v>
      </c>
      <c r="L1587" t="s">
        <v>58</v>
      </c>
      <c r="N1587" t="s">
        <v>538</v>
      </c>
      <c r="O1587">
        <v>300</v>
      </c>
      <c r="P1587" t="s">
        <v>262</v>
      </c>
      <c r="S1587">
        <v>1.02</v>
      </c>
      <c r="T1587">
        <v>37</v>
      </c>
      <c r="U1587" t="s">
        <v>539</v>
      </c>
      <c r="V1587">
        <v>75</v>
      </c>
      <c r="W1587" t="s">
        <v>542</v>
      </c>
      <c r="X1587" t="s">
        <v>280</v>
      </c>
      <c r="Y1587">
        <v>180</v>
      </c>
      <c r="AA1587" t="s">
        <v>94</v>
      </c>
      <c r="AB1587">
        <v>7.37</v>
      </c>
      <c r="AC1587" t="s">
        <v>85</v>
      </c>
      <c r="AD1587">
        <v>0.12</v>
      </c>
      <c r="AE1587" t="s">
        <v>138</v>
      </c>
      <c r="AI1587">
        <v>5</v>
      </c>
      <c r="AJ1587" t="s">
        <v>201</v>
      </c>
      <c r="AT1587" t="s">
        <v>382</v>
      </c>
      <c r="AV1587" t="s">
        <v>88</v>
      </c>
      <c r="AZ1587">
        <v>0</v>
      </c>
      <c r="BA1587">
        <v>7.37</v>
      </c>
    </row>
    <row r="1588" spans="1:53" hidden="1" x14ac:dyDescent="0.3">
      <c r="A1588" t="s">
        <v>537</v>
      </c>
      <c r="C1588" t="s">
        <v>251</v>
      </c>
      <c r="D1588" t="s">
        <v>81</v>
      </c>
      <c r="E1588">
        <v>100000000</v>
      </c>
      <c r="H1588">
        <v>14.25</v>
      </c>
      <c r="I1588" t="s">
        <v>56</v>
      </c>
      <c r="J1588">
        <v>1.4250000000000001E-3</v>
      </c>
      <c r="K1588" t="s">
        <v>57</v>
      </c>
      <c r="L1588" t="s">
        <v>58</v>
      </c>
      <c r="N1588" t="s">
        <v>538</v>
      </c>
      <c r="O1588">
        <v>300</v>
      </c>
      <c r="P1588" t="s">
        <v>262</v>
      </c>
      <c r="S1588">
        <v>1.02</v>
      </c>
      <c r="T1588">
        <v>37</v>
      </c>
      <c r="U1588" t="s">
        <v>539</v>
      </c>
      <c r="V1588">
        <v>75</v>
      </c>
      <c r="W1588" t="s">
        <v>543</v>
      </c>
      <c r="X1588" t="s">
        <v>280</v>
      </c>
      <c r="Y1588">
        <v>180</v>
      </c>
      <c r="AA1588" t="s">
        <v>94</v>
      </c>
      <c r="AB1588">
        <v>7.1</v>
      </c>
      <c r="AC1588" t="s">
        <v>85</v>
      </c>
      <c r="AD1588">
        <v>0.08</v>
      </c>
      <c r="AE1588" t="s">
        <v>138</v>
      </c>
      <c r="AI1588">
        <v>5</v>
      </c>
      <c r="AJ1588" t="s">
        <v>201</v>
      </c>
      <c r="AT1588" t="s">
        <v>382</v>
      </c>
      <c r="AV1588" t="s">
        <v>88</v>
      </c>
      <c r="AZ1588">
        <v>0</v>
      </c>
      <c r="BA1588">
        <v>7.1</v>
      </c>
    </row>
    <row r="1589" spans="1:53" hidden="1" x14ac:dyDescent="0.3">
      <c r="A1589" t="s">
        <v>537</v>
      </c>
      <c r="C1589" t="s">
        <v>251</v>
      </c>
      <c r="D1589" t="s">
        <v>81</v>
      </c>
      <c r="E1589">
        <v>100000000</v>
      </c>
      <c r="H1589">
        <v>14.25</v>
      </c>
      <c r="I1589" t="s">
        <v>56</v>
      </c>
      <c r="J1589">
        <v>1.4250000000000001E-3</v>
      </c>
      <c r="K1589" t="s">
        <v>57</v>
      </c>
      <c r="L1589" t="s">
        <v>58</v>
      </c>
      <c r="N1589" t="s">
        <v>538</v>
      </c>
      <c r="O1589">
        <v>300</v>
      </c>
      <c r="P1589" t="s">
        <v>262</v>
      </c>
      <c r="S1589">
        <v>1.02</v>
      </c>
      <c r="T1589">
        <v>37</v>
      </c>
      <c r="U1589" t="s">
        <v>539</v>
      </c>
      <c r="V1589">
        <v>75</v>
      </c>
      <c r="W1589" t="s">
        <v>544</v>
      </c>
      <c r="X1589" t="s">
        <v>280</v>
      </c>
      <c r="Y1589">
        <v>180</v>
      </c>
      <c r="AA1589" t="s">
        <v>94</v>
      </c>
      <c r="AB1589">
        <v>7.48</v>
      </c>
      <c r="AC1589" t="s">
        <v>85</v>
      </c>
      <c r="AD1589">
        <v>0.06</v>
      </c>
      <c r="AE1589" t="s">
        <v>138</v>
      </c>
      <c r="AI1589">
        <v>5</v>
      </c>
      <c r="AJ1589" t="s">
        <v>201</v>
      </c>
      <c r="AT1589" t="s">
        <v>65</v>
      </c>
      <c r="AV1589" t="s">
        <v>88</v>
      </c>
      <c r="AZ1589">
        <v>0</v>
      </c>
      <c r="BA1589">
        <v>7.48</v>
      </c>
    </row>
    <row r="1590" spans="1:53" hidden="1" x14ac:dyDescent="0.3">
      <c r="A1590" t="s">
        <v>537</v>
      </c>
      <c r="C1590" t="s">
        <v>251</v>
      </c>
      <c r="D1590" t="s">
        <v>81</v>
      </c>
      <c r="E1590">
        <v>100000000</v>
      </c>
      <c r="H1590">
        <v>14.25</v>
      </c>
      <c r="I1590" t="s">
        <v>56</v>
      </c>
      <c r="J1590">
        <v>1.4250000000000001E-3</v>
      </c>
      <c r="K1590" t="s">
        <v>57</v>
      </c>
      <c r="L1590" t="s">
        <v>58</v>
      </c>
      <c r="N1590" t="s">
        <v>538</v>
      </c>
      <c r="O1590">
        <v>300</v>
      </c>
      <c r="P1590" t="s">
        <v>262</v>
      </c>
      <c r="S1590">
        <v>1.02</v>
      </c>
      <c r="T1590">
        <v>50</v>
      </c>
      <c r="U1590" t="s">
        <v>539</v>
      </c>
      <c r="V1590">
        <v>30</v>
      </c>
      <c r="W1590" t="s">
        <v>147</v>
      </c>
      <c r="X1590" t="s">
        <v>280</v>
      </c>
      <c r="Y1590">
        <v>180</v>
      </c>
      <c r="AB1590">
        <v>2.65</v>
      </c>
      <c r="AC1590" t="s">
        <v>85</v>
      </c>
      <c r="AD1590">
        <v>0.39</v>
      </c>
      <c r="AE1590" t="s">
        <v>138</v>
      </c>
      <c r="AI1590">
        <v>5</v>
      </c>
      <c r="AJ1590" t="s">
        <v>201</v>
      </c>
      <c r="AT1590" t="s">
        <v>150</v>
      </c>
      <c r="AV1590" t="s">
        <v>88</v>
      </c>
    </row>
    <row r="1591" spans="1:53" hidden="1" x14ac:dyDescent="0.3">
      <c r="A1591" t="s">
        <v>537</v>
      </c>
      <c r="C1591" t="s">
        <v>251</v>
      </c>
      <c r="D1591" t="s">
        <v>81</v>
      </c>
      <c r="E1591">
        <v>100000000</v>
      </c>
      <c r="H1591">
        <v>14.25</v>
      </c>
      <c r="I1591" t="s">
        <v>56</v>
      </c>
      <c r="J1591">
        <v>1.4250000000000001E-3</v>
      </c>
      <c r="K1591" t="s">
        <v>57</v>
      </c>
      <c r="L1591" t="s">
        <v>58</v>
      </c>
      <c r="N1591" t="s">
        <v>538</v>
      </c>
      <c r="O1591">
        <v>300</v>
      </c>
      <c r="P1591" t="s">
        <v>262</v>
      </c>
      <c r="S1591">
        <v>1.02</v>
      </c>
      <c r="T1591">
        <v>50</v>
      </c>
      <c r="U1591" t="s">
        <v>539</v>
      </c>
      <c r="V1591">
        <v>30</v>
      </c>
      <c r="W1591" t="s">
        <v>540</v>
      </c>
      <c r="X1591" t="s">
        <v>280</v>
      </c>
      <c r="Y1591">
        <v>180</v>
      </c>
      <c r="AB1591">
        <v>3.28</v>
      </c>
      <c r="AC1591" t="s">
        <v>85</v>
      </c>
      <c r="AD1591">
        <v>0.36</v>
      </c>
      <c r="AE1591" t="s">
        <v>138</v>
      </c>
      <c r="AI1591">
        <v>5</v>
      </c>
      <c r="AJ1591" t="s">
        <v>201</v>
      </c>
      <c r="AT1591" t="s">
        <v>212</v>
      </c>
      <c r="AV1591" t="s">
        <v>88</v>
      </c>
    </row>
    <row r="1592" spans="1:53" hidden="1" x14ac:dyDescent="0.3">
      <c r="A1592" t="s">
        <v>537</v>
      </c>
      <c r="C1592" t="s">
        <v>251</v>
      </c>
      <c r="D1592" t="s">
        <v>81</v>
      </c>
      <c r="E1592">
        <v>100000000</v>
      </c>
      <c r="H1592">
        <v>14.25</v>
      </c>
      <c r="I1592" t="s">
        <v>56</v>
      </c>
      <c r="J1592">
        <v>1.4250000000000001E-3</v>
      </c>
      <c r="K1592" t="s">
        <v>57</v>
      </c>
      <c r="L1592" t="s">
        <v>58</v>
      </c>
      <c r="N1592" t="s">
        <v>538</v>
      </c>
      <c r="O1592">
        <v>300</v>
      </c>
      <c r="P1592" t="s">
        <v>262</v>
      </c>
      <c r="S1592">
        <v>1.02</v>
      </c>
      <c r="T1592">
        <v>50</v>
      </c>
      <c r="U1592" t="s">
        <v>539</v>
      </c>
      <c r="V1592">
        <v>30</v>
      </c>
      <c r="W1592" t="s">
        <v>541</v>
      </c>
      <c r="X1592" t="s">
        <v>280</v>
      </c>
      <c r="Y1592">
        <v>180</v>
      </c>
      <c r="AB1592">
        <v>2.13</v>
      </c>
      <c r="AC1592" t="s">
        <v>85</v>
      </c>
      <c r="AD1592">
        <v>0.05</v>
      </c>
      <c r="AE1592" t="s">
        <v>138</v>
      </c>
      <c r="AI1592">
        <v>5</v>
      </c>
      <c r="AJ1592" t="s">
        <v>201</v>
      </c>
      <c r="AT1592" t="s">
        <v>382</v>
      </c>
      <c r="AV1592" t="s">
        <v>88</v>
      </c>
    </row>
    <row r="1593" spans="1:53" hidden="1" x14ac:dyDescent="0.3">
      <c r="A1593" t="s">
        <v>537</v>
      </c>
      <c r="C1593" t="s">
        <v>251</v>
      </c>
      <c r="D1593" t="s">
        <v>81</v>
      </c>
      <c r="E1593">
        <v>100000000</v>
      </c>
      <c r="H1593">
        <v>14.25</v>
      </c>
      <c r="I1593" t="s">
        <v>56</v>
      </c>
      <c r="J1593">
        <v>1.4250000000000001E-3</v>
      </c>
      <c r="K1593" t="s">
        <v>57</v>
      </c>
      <c r="L1593" t="s">
        <v>58</v>
      </c>
      <c r="N1593" t="s">
        <v>538</v>
      </c>
      <c r="O1593">
        <v>300</v>
      </c>
      <c r="P1593" t="s">
        <v>262</v>
      </c>
      <c r="S1593">
        <v>1.02</v>
      </c>
      <c r="T1593">
        <v>50</v>
      </c>
      <c r="U1593" t="s">
        <v>539</v>
      </c>
      <c r="V1593">
        <v>30</v>
      </c>
      <c r="W1593" t="s">
        <v>542</v>
      </c>
      <c r="X1593" t="s">
        <v>280</v>
      </c>
      <c r="Y1593">
        <v>180</v>
      </c>
      <c r="AB1593">
        <v>5.4</v>
      </c>
      <c r="AC1593" t="s">
        <v>85</v>
      </c>
      <c r="AD1593">
        <v>0.4</v>
      </c>
      <c r="AE1593" t="s">
        <v>138</v>
      </c>
      <c r="AI1593">
        <v>5</v>
      </c>
      <c r="AJ1593" t="s">
        <v>201</v>
      </c>
      <c r="AT1593" t="s">
        <v>382</v>
      </c>
      <c r="AV1593" t="s">
        <v>88</v>
      </c>
    </row>
    <row r="1594" spans="1:53" hidden="1" x14ac:dyDescent="0.3">
      <c r="A1594" t="s">
        <v>537</v>
      </c>
      <c r="C1594" t="s">
        <v>251</v>
      </c>
      <c r="D1594" t="s">
        <v>81</v>
      </c>
      <c r="E1594">
        <v>100000000</v>
      </c>
      <c r="H1594">
        <v>14.25</v>
      </c>
      <c r="I1594" t="s">
        <v>56</v>
      </c>
      <c r="J1594">
        <v>1.4250000000000001E-3</v>
      </c>
      <c r="K1594" t="s">
        <v>57</v>
      </c>
      <c r="L1594" t="s">
        <v>58</v>
      </c>
      <c r="N1594" t="s">
        <v>538</v>
      </c>
      <c r="O1594">
        <v>300</v>
      </c>
      <c r="P1594" t="s">
        <v>262</v>
      </c>
      <c r="S1594">
        <v>1.02</v>
      </c>
      <c r="T1594">
        <v>50</v>
      </c>
      <c r="U1594" t="s">
        <v>539</v>
      </c>
      <c r="V1594">
        <v>30</v>
      </c>
      <c r="W1594" t="s">
        <v>543</v>
      </c>
      <c r="X1594" t="s">
        <v>280</v>
      </c>
      <c r="Y1594">
        <v>180</v>
      </c>
      <c r="AB1594">
        <v>4.12</v>
      </c>
      <c r="AC1594" t="s">
        <v>85</v>
      </c>
      <c r="AD1594">
        <v>0.4</v>
      </c>
      <c r="AE1594" t="s">
        <v>138</v>
      </c>
      <c r="AI1594">
        <v>5</v>
      </c>
      <c r="AJ1594" t="s">
        <v>201</v>
      </c>
      <c r="AT1594" t="s">
        <v>382</v>
      </c>
      <c r="AV1594" t="s">
        <v>88</v>
      </c>
    </row>
    <row r="1595" spans="1:53" hidden="1" x14ac:dyDescent="0.3">
      <c r="A1595" t="s">
        <v>537</v>
      </c>
      <c r="C1595" t="s">
        <v>251</v>
      </c>
      <c r="D1595" t="s">
        <v>81</v>
      </c>
      <c r="E1595">
        <v>100000000</v>
      </c>
      <c r="H1595">
        <v>14.25</v>
      </c>
      <c r="I1595" t="s">
        <v>56</v>
      </c>
      <c r="J1595">
        <v>1.4250000000000001E-3</v>
      </c>
      <c r="K1595" t="s">
        <v>57</v>
      </c>
      <c r="L1595" t="s">
        <v>58</v>
      </c>
      <c r="N1595" t="s">
        <v>538</v>
      </c>
      <c r="O1595">
        <v>300</v>
      </c>
      <c r="P1595" t="s">
        <v>262</v>
      </c>
      <c r="S1595">
        <v>1.02</v>
      </c>
      <c r="T1595">
        <v>50</v>
      </c>
      <c r="U1595" t="s">
        <v>539</v>
      </c>
      <c r="V1595">
        <v>30</v>
      </c>
      <c r="W1595" t="s">
        <v>544</v>
      </c>
      <c r="X1595" t="s">
        <v>280</v>
      </c>
      <c r="Y1595">
        <v>180</v>
      </c>
      <c r="AB1595">
        <v>2.44</v>
      </c>
      <c r="AC1595" t="s">
        <v>85</v>
      </c>
      <c r="AD1595">
        <v>0.63</v>
      </c>
      <c r="AE1595" t="s">
        <v>138</v>
      </c>
      <c r="AI1595">
        <v>5</v>
      </c>
      <c r="AJ1595" t="s">
        <v>201</v>
      </c>
      <c r="AT1595" t="s">
        <v>65</v>
      </c>
      <c r="AV1595" t="s">
        <v>88</v>
      </c>
    </row>
    <row r="1596" spans="1:53" hidden="1" x14ac:dyDescent="0.3">
      <c r="A1596" t="s">
        <v>537</v>
      </c>
      <c r="C1596" t="s">
        <v>251</v>
      </c>
      <c r="D1596" t="s">
        <v>81</v>
      </c>
      <c r="E1596">
        <v>100000000</v>
      </c>
      <c r="H1596">
        <v>14.25</v>
      </c>
      <c r="I1596" t="s">
        <v>56</v>
      </c>
      <c r="J1596">
        <v>1.4250000000000001E-3</v>
      </c>
      <c r="K1596" t="s">
        <v>57</v>
      </c>
      <c r="L1596" t="s">
        <v>58</v>
      </c>
      <c r="N1596" t="s">
        <v>538</v>
      </c>
      <c r="O1596">
        <v>150</v>
      </c>
      <c r="P1596" t="s">
        <v>262</v>
      </c>
      <c r="S1596">
        <v>1.02</v>
      </c>
      <c r="T1596">
        <v>50</v>
      </c>
      <c r="U1596" t="s">
        <v>539</v>
      </c>
      <c r="V1596">
        <v>50</v>
      </c>
      <c r="W1596" t="s">
        <v>147</v>
      </c>
      <c r="X1596" t="s">
        <v>280</v>
      </c>
      <c r="Y1596">
        <v>45</v>
      </c>
      <c r="AB1596">
        <v>3.34</v>
      </c>
      <c r="AC1596" t="s">
        <v>85</v>
      </c>
      <c r="AD1596">
        <v>7.9000000000000001E-2</v>
      </c>
      <c r="AE1596" t="s">
        <v>138</v>
      </c>
      <c r="AI1596">
        <v>5</v>
      </c>
      <c r="AJ1596" t="s">
        <v>201</v>
      </c>
      <c r="AT1596" t="s">
        <v>150</v>
      </c>
      <c r="AV1596" t="s">
        <v>88</v>
      </c>
    </row>
    <row r="1597" spans="1:53" hidden="1" x14ac:dyDescent="0.3">
      <c r="A1597" t="s">
        <v>537</v>
      </c>
      <c r="C1597" t="s">
        <v>251</v>
      </c>
      <c r="D1597" t="s">
        <v>81</v>
      </c>
      <c r="E1597">
        <v>100000000</v>
      </c>
      <c r="H1597">
        <v>14.25</v>
      </c>
      <c r="I1597" t="s">
        <v>56</v>
      </c>
      <c r="J1597">
        <v>1.4250000000000001E-3</v>
      </c>
      <c r="K1597" t="s">
        <v>57</v>
      </c>
      <c r="L1597" t="s">
        <v>58</v>
      </c>
      <c r="N1597" t="s">
        <v>538</v>
      </c>
      <c r="O1597">
        <v>150</v>
      </c>
      <c r="P1597" t="s">
        <v>262</v>
      </c>
      <c r="S1597">
        <v>1.02</v>
      </c>
      <c r="T1597">
        <v>50</v>
      </c>
      <c r="U1597" t="s">
        <v>539</v>
      </c>
      <c r="V1597">
        <v>50</v>
      </c>
      <c r="W1597" t="s">
        <v>540</v>
      </c>
      <c r="X1597" t="s">
        <v>280</v>
      </c>
      <c r="Y1597">
        <v>45</v>
      </c>
      <c r="AB1597">
        <v>4.67</v>
      </c>
      <c r="AC1597" t="s">
        <v>85</v>
      </c>
      <c r="AD1597">
        <v>0.42</v>
      </c>
      <c r="AE1597" t="s">
        <v>138</v>
      </c>
      <c r="AI1597">
        <v>5</v>
      </c>
      <c r="AJ1597" t="s">
        <v>201</v>
      </c>
      <c r="AT1597" t="s">
        <v>212</v>
      </c>
      <c r="AV1597" t="s">
        <v>88</v>
      </c>
    </row>
    <row r="1598" spans="1:53" hidden="1" x14ac:dyDescent="0.3">
      <c r="A1598" t="s">
        <v>537</v>
      </c>
      <c r="C1598" t="s">
        <v>251</v>
      </c>
      <c r="D1598" t="s">
        <v>81</v>
      </c>
      <c r="E1598">
        <v>100000000</v>
      </c>
      <c r="H1598">
        <v>14.25</v>
      </c>
      <c r="I1598" t="s">
        <v>56</v>
      </c>
      <c r="J1598">
        <v>1.4250000000000001E-3</v>
      </c>
      <c r="K1598" t="s">
        <v>57</v>
      </c>
      <c r="L1598" t="s">
        <v>58</v>
      </c>
      <c r="N1598" t="s">
        <v>538</v>
      </c>
      <c r="O1598">
        <v>150</v>
      </c>
      <c r="P1598" t="s">
        <v>262</v>
      </c>
      <c r="S1598">
        <v>1.02</v>
      </c>
      <c r="T1598">
        <v>50</v>
      </c>
      <c r="U1598" t="s">
        <v>539</v>
      </c>
      <c r="V1598">
        <v>50</v>
      </c>
      <c r="W1598" t="s">
        <v>541</v>
      </c>
      <c r="X1598" t="s">
        <v>280</v>
      </c>
      <c r="Y1598">
        <v>45</v>
      </c>
      <c r="AB1598">
        <v>2.81</v>
      </c>
      <c r="AC1598" t="s">
        <v>85</v>
      </c>
      <c r="AD1598">
        <v>0.11</v>
      </c>
      <c r="AE1598" t="s">
        <v>138</v>
      </c>
      <c r="AI1598">
        <v>5</v>
      </c>
      <c r="AJ1598" t="s">
        <v>201</v>
      </c>
      <c r="AT1598" t="s">
        <v>382</v>
      </c>
      <c r="AV1598" t="s">
        <v>88</v>
      </c>
    </row>
    <row r="1599" spans="1:53" hidden="1" x14ac:dyDescent="0.3">
      <c r="A1599" t="s">
        <v>537</v>
      </c>
      <c r="C1599" t="s">
        <v>251</v>
      </c>
      <c r="D1599" t="s">
        <v>81</v>
      </c>
      <c r="E1599">
        <v>100000000</v>
      </c>
      <c r="H1599">
        <v>14.25</v>
      </c>
      <c r="I1599" t="s">
        <v>56</v>
      </c>
      <c r="J1599">
        <v>1.4250000000000001E-3</v>
      </c>
      <c r="K1599" t="s">
        <v>57</v>
      </c>
      <c r="L1599" t="s">
        <v>58</v>
      </c>
      <c r="N1599" t="s">
        <v>538</v>
      </c>
      <c r="O1599">
        <v>150</v>
      </c>
      <c r="P1599" t="s">
        <v>262</v>
      </c>
      <c r="S1599">
        <v>1.02</v>
      </c>
      <c r="T1599">
        <v>50</v>
      </c>
      <c r="U1599" t="s">
        <v>539</v>
      </c>
      <c r="V1599">
        <v>50</v>
      </c>
      <c r="W1599" t="s">
        <v>542</v>
      </c>
      <c r="X1599" t="s">
        <v>280</v>
      </c>
      <c r="Y1599">
        <v>45</v>
      </c>
      <c r="AB1599">
        <v>4.3499999999999996</v>
      </c>
      <c r="AC1599" t="s">
        <v>85</v>
      </c>
      <c r="AD1599">
        <v>0.25</v>
      </c>
      <c r="AE1599" t="s">
        <v>138</v>
      </c>
      <c r="AI1599">
        <v>5</v>
      </c>
      <c r="AJ1599" t="s">
        <v>201</v>
      </c>
      <c r="AT1599" t="s">
        <v>382</v>
      </c>
      <c r="AV1599" t="s">
        <v>88</v>
      </c>
    </row>
    <row r="1600" spans="1:53" hidden="1" x14ac:dyDescent="0.3">
      <c r="A1600" t="s">
        <v>537</v>
      </c>
      <c r="C1600" t="s">
        <v>251</v>
      </c>
      <c r="D1600" t="s">
        <v>81</v>
      </c>
      <c r="E1600">
        <v>100000000</v>
      </c>
      <c r="H1600">
        <v>14.25</v>
      </c>
      <c r="I1600" t="s">
        <v>56</v>
      </c>
      <c r="J1600">
        <v>1.4250000000000001E-3</v>
      </c>
      <c r="K1600" t="s">
        <v>57</v>
      </c>
      <c r="L1600" t="s">
        <v>58</v>
      </c>
      <c r="N1600" t="s">
        <v>538</v>
      </c>
      <c r="O1600">
        <v>150</v>
      </c>
      <c r="P1600" t="s">
        <v>262</v>
      </c>
      <c r="S1600">
        <v>1.02</v>
      </c>
      <c r="T1600">
        <v>50</v>
      </c>
      <c r="U1600" t="s">
        <v>539</v>
      </c>
      <c r="V1600">
        <v>50</v>
      </c>
      <c r="W1600" t="s">
        <v>543</v>
      </c>
      <c r="X1600" t="s">
        <v>280</v>
      </c>
      <c r="Y1600">
        <v>45</v>
      </c>
      <c r="AB1600">
        <v>5.84</v>
      </c>
      <c r="AC1600" t="s">
        <v>85</v>
      </c>
      <c r="AD1600">
        <v>0.95</v>
      </c>
      <c r="AE1600" t="s">
        <v>138</v>
      </c>
      <c r="AI1600">
        <v>5</v>
      </c>
      <c r="AJ1600" t="s">
        <v>201</v>
      </c>
      <c r="AT1600" t="s">
        <v>382</v>
      </c>
      <c r="AV1600" t="s">
        <v>88</v>
      </c>
    </row>
    <row r="1601" spans="1:53" hidden="1" x14ac:dyDescent="0.3">
      <c r="A1601" t="s">
        <v>537</v>
      </c>
      <c r="C1601" t="s">
        <v>251</v>
      </c>
      <c r="D1601" t="s">
        <v>81</v>
      </c>
      <c r="E1601">
        <v>100000000</v>
      </c>
      <c r="H1601">
        <v>14.25</v>
      </c>
      <c r="I1601" t="s">
        <v>56</v>
      </c>
      <c r="J1601">
        <v>1.4250000000000001E-3</v>
      </c>
      <c r="K1601" t="s">
        <v>57</v>
      </c>
      <c r="L1601" t="s">
        <v>58</v>
      </c>
      <c r="N1601" t="s">
        <v>538</v>
      </c>
      <c r="O1601">
        <v>150</v>
      </c>
      <c r="P1601" t="s">
        <v>262</v>
      </c>
      <c r="S1601">
        <v>1.02</v>
      </c>
      <c r="T1601">
        <v>50</v>
      </c>
      <c r="U1601" t="s">
        <v>539</v>
      </c>
      <c r="V1601">
        <v>50</v>
      </c>
      <c r="W1601" t="s">
        <v>544</v>
      </c>
      <c r="X1601" t="s">
        <v>280</v>
      </c>
      <c r="Y1601">
        <v>45</v>
      </c>
      <c r="AB1601">
        <v>3.34</v>
      </c>
      <c r="AC1601" t="s">
        <v>85</v>
      </c>
      <c r="AD1601">
        <v>0.31</v>
      </c>
      <c r="AE1601" t="s">
        <v>138</v>
      </c>
      <c r="AI1601">
        <v>5</v>
      </c>
      <c r="AJ1601" t="s">
        <v>201</v>
      </c>
      <c r="AT1601" t="s">
        <v>65</v>
      </c>
      <c r="AV1601" t="s">
        <v>88</v>
      </c>
    </row>
    <row r="1602" spans="1:53" hidden="1" x14ac:dyDescent="0.3">
      <c r="A1602" t="s">
        <v>537</v>
      </c>
      <c r="C1602" t="s">
        <v>251</v>
      </c>
      <c r="D1602" t="s">
        <v>81</v>
      </c>
      <c r="E1602">
        <v>100000000</v>
      </c>
      <c r="H1602">
        <v>14.25</v>
      </c>
      <c r="I1602" t="s">
        <v>56</v>
      </c>
      <c r="J1602">
        <v>1.4250000000000001E-3</v>
      </c>
      <c r="K1602" t="s">
        <v>57</v>
      </c>
      <c r="L1602" t="s">
        <v>58</v>
      </c>
      <c r="N1602" t="s">
        <v>538</v>
      </c>
      <c r="O1602">
        <v>150</v>
      </c>
      <c r="P1602" t="s">
        <v>262</v>
      </c>
      <c r="S1602">
        <v>1.02</v>
      </c>
      <c r="T1602">
        <v>50</v>
      </c>
      <c r="U1602" t="s">
        <v>539</v>
      </c>
      <c r="V1602">
        <v>50</v>
      </c>
      <c r="W1602" t="s">
        <v>147</v>
      </c>
      <c r="X1602" t="s">
        <v>280</v>
      </c>
      <c r="Y1602">
        <v>90</v>
      </c>
      <c r="AB1602">
        <v>2.94</v>
      </c>
      <c r="AC1602" t="s">
        <v>85</v>
      </c>
      <c r="AD1602">
        <v>0.3</v>
      </c>
      <c r="AE1602" t="s">
        <v>138</v>
      </c>
      <c r="AI1602">
        <v>5</v>
      </c>
      <c r="AJ1602" t="s">
        <v>201</v>
      </c>
      <c r="AT1602" t="s">
        <v>150</v>
      </c>
      <c r="AV1602" t="s">
        <v>88</v>
      </c>
    </row>
    <row r="1603" spans="1:53" hidden="1" x14ac:dyDescent="0.3">
      <c r="A1603" t="s">
        <v>537</v>
      </c>
      <c r="C1603" t="s">
        <v>251</v>
      </c>
      <c r="D1603" t="s">
        <v>81</v>
      </c>
      <c r="E1603">
        <v>100000000</v>
      </c>
      <c r="H1603">
        <v>14.25</v>
      </c>
      <c r="I1603" t="s">
        <v>56</v>
      </c>
      <c r="J1603">
        <v>1.4250000000000001E-3</v>
      </c>
      <c r="K1603" t="s">
        <v>57</v>
      </c>
      <c r="L1603" t="s">
        <v>58</v>
      </c>
      <c r="N1603" t="s">
        <v>538</v>
      </c>
      <c r="O1603">
        <v>150</v>
      </c>
      <c r="P1603" t="s">
        <v>262</v>
      </c>
      <c r="S1603">
        <v>1.02</v>
      </c>
      <c r="T1603">
        <v>50</v>
      </c>
      <c r="U1603" t="s">
        <v>539</v>
      </c>
      <c r="V1603">
        <v>50</v>
      </c>
      <c r="W1603" t="s">
        <v>540</v>
      </c>
      <c r="X1603" t="s">
        <v>280</v>
      </c>
      <c r="Y1603">
        <v>90</v>
      </c>
      <c r="AA1603" t="s">
        <v>94</v>
      </c>
      <c r="AB1603">
        <v>6.82</v>
      </c>
      <c r="AC1603" t="s">
        <v>85</v>
      </c>
      <c r="AD1603">
        <v>0.23</v>
      </c>
      <c r="AE1603" t="s">
        <v>138</v>
      </c>
      <c r="AI1603">
        <v>5</v>
      </c>
      <c r="AJ1603" t="s">
        <v>201</v>
      </c>
      <c r="AT1603" t="s">
        <v>212</v>
      </c>
      <c r="AV1603" t="s">
        <v>88</v>
      </c>
      <c r="AZ1603">
        <v>0</v>
      </c>
      <c r="BA1603">
        <v>6.82</v>
      </c>
    </row>
    <row r="1604" spans="1:53" hidden="1" x14ac:dyDescent="0.3">
      <c r="A1604" t="s">
        <v>537</v>
      </c>
      <c r="C1604" t="s">
        <v>251</v>
      </c>
      <c r="D1604" t="s">
        <v>81</v>
      </c>
      <c r="E1604">
        <v>100000000</v>
      </c>
      <c r="H1604">
        <v>14.25</v>
      </c>
      <c r="I1604" t="s">
        <v>56</v>
      </c>
      <c r="J1604">
        <v>1.4250000000000001E-3</v>
      </c>
      <c r="K1604" t="s">
        <v>57</v>
      </c>
      <c r="L1604" t="s">
        <v>58</v>
      </c>
      <c r="N1604" t="s">
        <v>538</v>
      </c>
      <c r="O1604">
        <v>150</v>
      </c>
      <c r="P1604" t="s">
        <v>262</v>
      </c>
      <c r="S1604">
        <v>1.02</v>
      </c>
      <c r="T1604">
        <v>50</v>
      </c>
      <c r="U1604" t="s">
        <v>539</v>
      </c>
      <c r="V1604">
        <v>50</v>
      </c>
      <c r="W1604" t="s">
        <v>541</v>
      </c>
      <c r="X1604" t="s">
        <v>280</v>
      </c>
      <c r="Y1604">
        <v>90</v>
      </c>
      <c r="AB1604">
        <v>1.95</v>
      </c>
      <c r="AC1604" t="s">
        <v>85</v>
      </c>
      <c r="AD1604">
        <v>0.17</v>
      </c>
      <c r="AE1604" t="s">
        <v>138</v>
      </c>
      <c r="AI1604">
        <v>5</v>
      </c>
      <c r="AJ1604" t="s">
        <v>201</v>
      </c>
      <c r="AT1604" t="s">
        <v>382</v>
      </c>
      <c r="AV1604" t="s">
        <v>88</v>
      </c>
    </row>
    <row r="1605" spans="1:53" hidden="1" x14ac:dyDescent="0.3">
      <c r="A1605" t="s">
        <v>537</v>
      </c>
      <c r="C1605" t="s">
        <v>251</v>
      </c>
      <c r="D1605" t="s">
        <v>81</v>
      </c>
      <c r="E1605">
        <v>100000000</v>
      </c>
      <c r="H1605">
        <v>14.25</v>
      </c>
      <c r="I1605" t="s">
        <v>56</v>
      </c>
      <c r="J1605">
        <v>1.4250000000000001E-3</v>
      </c>
      <c r="K1605" t="s">
        <v>57</v>
      </c>
      <c r="L1605" t="s">
        <v>58</v>
      </c>
      <c r="N1605" t="s">
        <v>538</v>
      </c>
      <c r="O1605">
        <v>150</v>
      </c>
      <c r="P1605" t="s">
        <v>262</v>
      </c>
      <c r="S1605">
        <v>1.02</v>
      </c>
      <c r="T1605">
        <v>50</v>
      </c>
      <c r="U1605" t="s">
        <v>539</v>
      </c>
      <c r="V1605">
        <v>50</v>
      </c>
      <c r="W1605" t="s">
        <v>542</v>
      </c>
      <c r="X1605" t="s">
        <v>280</v>
      </c>
      <c r="Y1605">
        <v>90</v>
      </c>
      <c r="AB1605">
        <v>7.25</v>
      </c>
      <c r="AC1605" t="s">
        <v>85</v>
      </c>
      <c r="AD1605">
        <v>0.9</v>
      </c>
      <c r="AE1605" t="s">
        <v>138</v>
      </c>
      <c r="AI1605">
        <v>5</v>
      </c>
      <c r="AJ1605" t="s">
        <v>201</v>
      </c>
      <c r="AT1605" t="s">
        <v>382</v>
      </c>
      <c r="AV1605" t="s">
        <v>88</v>
      </c>
    </row>
    <row r="1606" spans="1:53" hidden="1" x14ac:dyDescent="0.3">
      <c r="A1606" t="s">
        <v>537</v>
      </c>
      <c r="C1606" t="s">
        <v>251</v>
      </c>
      <c r="D1606" t="s">
        <v>81</v>
      </c>
      <c r="E1606">
        <v>100000000</v>
      </c>
      <c r="H1606">
        <v>14.25</v>
      </c>
      <c r="I1606" t="s">
        <v>56</v>
      </c>
      <c r="J1606">
        <v>1.4250000000000001E-3</v>
      </c>
      <c r="K1606" t="s">
        <v>57</v>
      </c>
      <c r="L1606" t="s">
        <v>58</v>
      </c>
      <c r="N1606" t="s">
        <v>538</v>
      </c>
      <c r="O1606">
        <v>150</v>
      </c>
      <c r="P1606" t="s">
        <v>262</v>
      </c>
      <c r="S1606">
        <v>1.02</v>
      </c>
      <c r="T1606">
        <v>50</v>
      </c>
      <c r="U1606" t="s">
        <v>539</v>
      </c>
      <c r="V1606">
        <v>50</v>
      </c>
      <c r="W1606" t="s">
        <v>543</v>
      </c>
      <c r="X1606" t="s">
        <v>280</v>
      </c>
      <c r="Y1606">
        <v>90</v>
      </c>
      <c r="AB1606">
        <v>5.31</v>
      </c>
      <c r="AC1606" t="s">
        <v>85</v>
      </c>
      <c r="AD1606">
        <v>1.47</v>
      </c>
      <c r="AE1606" t="s">
        <v>138</v>
      </c>
      <c r="AI1606">
        <v>5</v>
      </c>
      <c r="AJ1606" t="s">
        <v>201</v>
      </c>
      <c r="AT1606" t="s">
        <v>382</v>
      </c>
      <c r="AV1606" t="s">
        <v>88</v>
      </c>
    </row>
    <row r="1607" spans="1:53" hidden="1" x14ac:dyDescent="0.3">
      <c r="A1607" t="s">
        <v>537</v>
      </c>
      <c r="C1607" t="s">
        <v>251</v>
      </c>
      <c r="D1607" t="s">
        <v>81</v>
      </c>
      <c r="E1607">
        <v>100000000</v>
      </c>
      <c r="H1607">
        <v>14.25</v>
      </c>
      <c r="I1607" t="s">
        <v>56</v>
      </c>
      <c r="J1607">
        <v>1.4250000000000001E-3</v>
      </c>
      <c r="K1607" t="s">
        <v>57</v>
      </c>
      <c r="L1607" t="s">
        <v>58</v>
      </c>
      <c r="N1607" t="s">
        <v>538</v>
      </c>
      <c r="O1607">
        <v>150</v>
      </c>
      <c r="P1607" t="s">
        <v>262</v>
      </c>
      <c r="S1607">
        <v>1.02</v>
      </c>
      <c r="T1607">
        <v>50</v>
      </c>
      <c r="U1607" t="s">
        <v>539</v>
      </c>
      <c r="V1607">
        <v>50</v>
      </c>
      <c r="W1607" t="s">
        <v>544</v>
      </c>
      <c r="X1607" t="s">
        <v>280</v>
      </c>
      <c r="Y1607">
        <v>90</v>
      </c>
      <c r="AB1607">
        <v>2.79</v>
      </c>
      <c r="AC1607" t="s">
        <v>85</v>
      </c>
      <c r="AD1607">
        <v>0.22</v>
      </c>
      <c r="AE1607" t="s">
        <v>138</v>
      </c>
      <c r="AI1607">
        <v>5</v>
      </c>
      <c r="AJ1607" t="s">
        <v>201</v>
      </c>
      <c r="AT1607" t="s">
        <v>65</v>
      </c>
      <c r="AV1607" t="s">
        <v>88</v>
      </c>
    </row>
    <row r="1608" spans="1:53" hidden="1" x14ac:dyDescent="0.3">
      <c r="A1608" t="s">
        <v>537</v>
      </c>
      <c r="C1608" t="s">
        <v>251</v>
      </c>
      <c r="D1608" t="s">
        <v>81</v>
      </c>
      <c r="E1608">
        <v>100000000</v>
      </c>
      <c r="H1608">
        <v>14.25</v>
      </c>
      <c r="I1608" t="s">
        <v>56</v>
      </c>
      <c r="J1608">
        <v>1.4250000000000001E-3</v>
      </c>
      <c r="K1608" t="s">
        <v>57</v>
      </c>
      <c r="L1608" t="s">
        <v>58</v>
      </c>
      <c r="N1608" t="s">
        <v>538</v>
      </c>
      <c r="O1608">
        <v>150</v>
      </c>
      <c r="P1608" t="s">
        <v>262</v>
      </c>
      <c r="S1608">
        <v>1.02</v>
      </c>
      <c r="T1608">
        <v>50</v>
      </c>
      <c r="U1608" t="s">
        <v>539</v>
      </c>
      <c r="V1608">
        <v>50</v>
      </c>
      <c r="W1608" t="s">
        <v>147</v>
      </c>
      <c r="X1608" t="s">
        <v>280</v>
      </c>
      <c r="Y1608">
        <v>180</v>
      </c>
      <c r="AB1608">
        <v>3.17</v>
      </c>
      <c r="AC1608" t="s">
        <v>85</v>
      </c>
      <c r="AD1608">
        <v>0.14000000000000001</v>
      </c>
      <c r="AE1608" t="s">
        <v>138</v>
      </c>
      <c r="AI1608">
        <v>5</v>
      </c>
      <c r="AJ1608" t="s">
        <v>201</v>
      </c>
      <c r="AT1608" t="s">
        <v>150</v>
      </c>
      <c r="AV1608" t="s">
        <v>88</v>
      </c>
    </row>
    <row r="1609" spans="1:53" hidden="1" x14ac:dyDescent="0.3">
      <c r="A1609" t="s">
        <v>537</v>
      </c>
      <c r="C1609" t="s">
        <v>251</v>
      </c>
      <c r="D1609" t="s">
        <v>81</v>
      </c>
      <c r="E1609">
        <v>100000000</v>
      </c>
      <c r="H1609">
        <v>14.25</v>
      </c>
      <c r="I1609" t="s">
        <v>56</v>
      </c>
      <c r="J1609">
        <v>1.4250000000000001E-3</v>
      </c>
      <c r="K1609" t="s">
        <v>57</v>
      </c>
      <c r="L1609" t="s">
        <v>58</v>
      </c>
      <c r="N1609" t="s">
        <v>538</v>
      </c>
      <c r="O1609">
        <v>150</v>
      </c>
      <c r="P1609" t="s">
        <v>262</v>
      </c>
      <c r="S1609">
        <v>1.02</v>
      </c>
      <c r="T1609">
        <v>50</v>
      </c>
      <c r="U1609" t="s">
        <v>539</v>
      </c>
      <c r="V1609">
        <v>50</v>
      </c>
      <c r="W1609" t="s">
        <v>540</v>
      </c>
      <c r="X1609" t="s">
        <v>280</v>
      </c>
      <c r="Y1609">
        <v>180</v>
      </c>
      <c r="AB1609">
        <v>5.25</v>
      </c>
      <c r="AC1609" t="s">
        <v>85</v>
      </c>
      <c r="AD1609">
        <v>0.87</v>
      </c>
      <c r="AE1609" t="s">
        <v>138</v>
      </c>
      <c r="AI1609">
        <v>5</v>
      </c>
      <c r="AJ1609" t="s">
        <v>201</v>
      </c>
      <c r="AT1609" t="s">
        <v>212</v>
      </c>
      <c r="AV1609" t="s">
        <v>88</v>
      </c>
    </row>
    <row r="1610" spans="1:53" hidden="1" x14ac:dyDescent="0.3">
      <c r="A1610" t="s">
        <v>537</v>
      </c>
      <c r="C1610" t="s">
        <v>251</v>
      </c>
      <c r="D1610" t="s">
        <v>81</v>
      </c>
      <c r="E1610">
        <v>100000000</v>
      </c>
      <c r="H1610">
        <v>14.25</v>
      </c>
      <c r="I1610" t="s">
        <v>56</v>
      </c>
      <c r="J1610">
        <v>1.4250000000000001E-3</v>
      </c>
      <c r="K1610" t="s">
        <v>57</v>
      </c>
      <c r="L1610" t="s">
        <v>58</v>
      </c>
      <c r="N1610" t="s">
        <v>538</v>
      </c>
      <c r="O1610">
        <v>150</v>
      </c>
      <c r="P1610" t="s">
        <v>262</v>
      </c>
      <c r="S1610">
        <v>1.02</v>
      </c>
      <c r="T1610">
        <v>50</v>
      </c>
      <c r="U1610" t="s">
        <v>539</v>
      </c>
      <c r="V1610">
        <v>50</v>
      </c>
      <c r="W1610" t="s">
        <v>541</v>
      </c>
      <c r="X1610" t="s">
        <v>280</v>
      </c>
      <c r="Y1610">
        <v>180</v>
      </c>
      <c r="AB1610">
        <v>3.04</v>
      </c>
      <c r="AC1610" t="s">
        <v>85</v>
      </c>
      <c r="AD1610">
        <v>0.12</v>
      </c>
      <c r="AE1610" t="s">
        <v>138</v>
      </c>
      <c r="AI1610">
        <v>5</v>
      </c>
      <c r="AJ1610" t="s">
        <v>201</v>
      </c>
      <c r="AT1610" t="s">
        <v>382</v>
      </c>
      <c r="AV1610" t="s">
        <v>88</v>
      </c>
    </row>
    <row r="1611" spans="1:53" hidden="1" x14ac:dyDescent="0.3">
      <c r="A1611" t="s">
        <v>537</v>
      </c>
      <c r="C1611" t="s">
        <v>251</v>
      </c>
      <c r="D1611" t="s">
        <v>81</v>
      </c>
      <c r="E1611">
        <v>100000000</v>
      </c>
      <c r="H1611">
        <v>14.25</v>
      </c>
      <c r="I1611" t="s">
        <v>56</v>
      </c>
      <c r="J1611">
        <v>1.4250000000000001E-3</v>
      </c>
      <c r="K1611" t="s">
        <v>57</v>
      </c>
      <c r="L1611" t="s">
        <v>58</v>
      </c>
      <c r="N1611" t="s">
        <v>538</v>
      </c>
      <c r="O1611">
        <v>150</v>
      </c>
      <c r="P1611" t="s">
        <v>262</v>
      </c>
      <c r="S1611">
        <v>1.02</v>
      </c>
      <c r="T1611">
        <v>50</v>
      </c>
      <c r="U1611" t="s">
        <v>539</v>
      </c>
      <c r="V1611">
        <v>50</v>
      </c>
      <c r="W1611" t="s">
        <v>542</v>
      </c>
      <c r="X1611" t="s">
        <v>280</v>
      </c>
      <c r="Y1611">
        <v>180</v>
      </c>
      <c r="AB1611">
        <v>4.8600000000000003</v>
      </c>
      <c r="AC1611" t="s">
        <v>85</v>
      </c>
      <c r="AD1611">
        <v>0.23</v>
      </c>
      <c r="AE1611" t="s">
        <v>138</v>
      </c>
      <c r="AI1611">
        <v>5</v>
      </c>
      <c r="AJ1611" t="s">
        <v>201</v>
      </c>
      <c r="AT1611" t="s">
        <v>382</v>
      </c>
      <c r="AV1611" t="s">
        <v>88</v>
      </c>
    </row>
    <row r="1612" spans="1:53" hidden="1" x14ac:dyDescent="0.3">
      <c r="A1612" t="s">
        <v>537</v>
      </c>
      <c r="C1612" t="s">
        <v>251</v>
      </c>
      <c r="D1612" t="s">
        <v>81</v>
      </c>
      <c r="E1612">
        <v>100000000</v>
      </c>
      <c r="H1612">
        <v>14.25</v>
      </c>
      <c r="I1612" t="s">
        <v>56</v>
      </c>
      <c r="J1612">
        <v>1.4250000000000001E-3</v>
      </c>
      <c r="K1612" t="s">
        <v>57</v>
      </c>
      <c r="L1612" t="s">
        <v>58</v>
      </c>
      <c r="N1612" t="s">
        <v>538</v>
      </c>
      <c r="O1612">
        <v>150</v>
      </c>
      <c r="P1612" t="s">
        <v>262</v>
      </c>
      <c r="S1612">
        <v>1.02</v>
      </c>
      <c r="T1612">
        <v>50</v>
      </c>
      <c r="U1612" t="s">
        <v>539</v>
      </c>
      <c r="V1612">
        <v>50</v>
      </c>
      <c r="W1612" t="s">
        <v>543</v>
      </c>
      <c r="X1612" t="s">
        <v>280</v>
      </c>
      <c r="Y1612">
        <v>180</v>
      </c>
      <c r="AB1612">
        <v>4.93</v>
      </c>
      <c r="AC1612" t="s">
        <v>85</v>
      </c>
      <c r="AD1612">
        <v>0.37</v>
      </c>
      <c r="AE1612" t="s">
        <v>138</v>
      </c>
      <c r="AI1612">
        <v>5</v>
      </c>
      <c r="AJ1612" t="s">
        <v>201</v>
      </c>
      <c r="AT1612" t="s">
        <v>382</v>
      </c>
      <c r="AV1612" t="s">
        <v>88</v>
      </c>
    </row>
    <row r="1613" spans="1:53" hidden="1" x14ac:dyDescent="0.3">
      <c r="A1613" t="s">
        <v>537</v>
      </c>
      <c r="C1613" t="s">
        <v>251</v>
      </c>
      <c r="D1613" t="s">
        <v>81</v>
      </c>
      <c r="E1613">
        <v>100000000</v>
      </c>
      <c r="H1613">
        <v>14.25</v>
      </c>
      <c r="I1613" t="s">
        <v>56</v>
      </c>
      <c r="J1613">
        <v>1.4250000000000001E-3</v>
      </c>
      <c r="K1613" t="s">
        <v>57</v>
      </c>
      <c r="L1613" t="s">
        <v>58</v>
      </c>
      <c r="N1613" t="s">
        <v>538</v>
      </c>
      <c r="O1613">
        <v>150</v>
      </c>
      <c r="P1613" t="s">
        <v>262</v>
      </c>
      <c r="S1613">
        <v>1.02</v>
      </c>
      <c r="T1613">
        <v>50</v>
      </c>
      <c r="U1613" t="s">
        <v>539</v>
      </c>
      <c r="V1613">
        <v>50</v>
      </c>
      <c r="W1613" t="s">
        <v>544</v>
      </c>
      <c r="X1613" t="s">
        <v>280</v>
      </c>
      <c r="Y1613">
        <v>180</v>
      </c>
      <c r="AB1613">
        <v>2.6</v>
      </c>
      <c r="AC1613" t="s">
        <v>85</v>
      </c>
      <c r="AD1613">
        <v>0.21</v>
      </c>
      <c r="AE1613" t="s">
        <v>138</v>
      </c>
      <c r="AI1613">
        <v>5</v>
      </c>
      <c r="AJ1613" t="s">
        <v>201</v>
      </c>
      <c r="AT1613" t="s">
        <v>65</v>
      </c>
      <c r="AV1613" t="s">
        <v>88</v>
      </c>
    </row>
    <row r="1614" spans="1:53" hidden="1" x14ac:dyDescent="0.3">
      <c r="A1614" t="s">
        <v>537</v>
      </c>
      <c r="C1614" t="s">
        <v>251</v>
      </c>
      <c r="D1614" t="s">
        <v>81</v>
      </c>
      <c r="E1614">
        <v>100000000</v>
      </c>
      <c r="H1614">
        <v>14.25</v>
      </c>
      <c r="I1614" t="s">
        <v>56</v>
      </c>
      <c r="J1614">
        <v>1.4250000000000001E-3</v>
      </c>
      <c r="K1614" t="s">
        <v>57</v>
      </c>
      <c r="L1614" t="s">
        <v>58</v>
      </c>
      <c r="N1614" t="s">
        <v>538</v>
      </c>
      <c r="O1614">
        <v>300</v>
      </c>
      <c r="P1614" t="s">
        <v>262</v>
      </c>
      <c r="S1614">
        <v>1.02</v>
      </c>
      <c r="T1614">
        <v>50</v>
      </c>
      <c r="U1614" t="s">
        <v>539</v>
      </c>
      <c r="V1614">
        <v>50</v>
      </c>
      <c r="W1614" t="s">
        <v>147</v>
      </c>
      <c r="X1614" t="s">
        <v>280</v>
      </c>
      <c r="Y1614">
        <v>45</v>
      </c>
      <c r="AB1614">
        <v>4.22</v>
      </c>
      <c r="AC1614" t="s">
        <v>85</v>
      </c>
      <c r="AD1614">
        <v>0.1</v>
      </c>
      <c r="AE1614" t="s">
        <v>138</v>
      </c>
      <c r="AI1614">
        <v>5</v>
      </c>
      <c r="AJ1614" t="s">
        <v>201</v>
      </c>
      <c r="AT1614" t="s">
        <v>150</v>
      </c>
      <c r="AV1614" t="s">
        <v>88</v>
      </c>
    </row>
    <row r="1615" spans="1:53" hidden="1" x14ac:dyDescent="0.3">
      <c r="A1615" t="s">
        <v>537</v>
      </c>
      <c r="C1615" t="s">
        <v>251</v>
      </c>
      <c r="D1615" t="s">
        <v>81</v>
      </c>
      <c r="E1615">
        <v>100000000</v>
      </c>
      <c r="H1615">
        <v>14.25</v>
      </c>
      <c r="I1615" t="s">
        <v>56</v>
      </c>
      <c r="J1615">
        <v>1.4250000000000001E-3</v>
      </c>
      <c r="K1615" t="s">
        <v>57</v>
      </c>
      <c r="L1615" t="s">
        <v>58</v>
      </c>
      <c r="N1615" t="s">
        <v>538</v>
      </c>
      <c r="O1615">
        <v>300</v>
      </c>
      <c r="P1615" t="s">
        <v>262</v>
      </c>
      <c r="S1615">
        <v>1.02</v>
      </c>
      <c r="T1615">
        <v>50</v>
      </c>
      <c r="U1615" t="s">
        <v>539</v>
      </c>
      <c r="V1615">
        <v>50</v>
      </c>
      <c r="W1615" t="s">
        <v>540</v>
      </c>
      <c r="X1615" t="s">
        <v>280</v>
      </c>
      <c r="Y1615">
        <v>45</v>
      </c>
      <c r="AB1615">
        <v>5.17</v>
      </c>
      <c r="AC1615" t="s">
        <v>85</v>
      </c>
      <c r="AD1615">
        <v>0.96</v>
      </c>
      <c r="AE1615" t="s">
        <v>138</v>
      </c>
      <c r="AI1615">
        <v>5</v>
      </c>
      <c r="AJ1615" t="s">
        <v>201</v>
      </c>
      <c r="AT1615" t="s">
        <v>212</v>
      </c>
      <c r="AV1615" t="s">
        <v>88</v>
      </c>
    </row>
    <row r="1616" spans="1:53" hidden="1" x14ac:dyDescent="0.3">
      <c r="A1616" t="s">
        <v>537</v>
      </c>
      <c r="C1616" t="s">
        <v>251</v>
      </c>
      <c r="D1616" t="s">
        <v>81</v>
      </c>
      <c r="E1616">
        <v>100000000</v>
      </c>
      <c r="H1616">
        <v>14.25</v>
      </c>
      <c r="I1616" t="s">
        <v>56</v>
      </c>
      <c r="J1616">
        <v>1.4250000000000001E-3</v>
      </c>
      <c r="K1616" t="s">
        <v>57</v>
      </c>
      <c r="L1616" t="s">
        <v>58</v>
      </c>
      <c r="N1616" t="s">
        <v>538</v>
      </c>
      <c r="O1616">
        <v>300</v>
      </c>
      <c r="P1616" t="s">
        <v>262</v>
      </c>
      <c r="S1616">
        <v>1.02</v>
      </c>
      <c r="T1616">
        <v>50</v>
      </c>
      <c r="U1616" t="s">
        <v>539</v>
      </c>
      <c r="V1616">
        <v>50</v>
      </c>
      <c r="W1616" t="s">
        <v>541</v>
      </c>
      <c r="X1616" t="s">
        <v>280</v>
      </c>
      <c r="Y1616">
        <v>45</v>
      </c>
      <c r="AB1616">
        <v>3.08</v>
      </c>
      <c r="AC1616" t="s">
        <v>85</v>
      </c>
      <c r="AD1616">
        <v>0.16</v>
      </c>
      <c r="AE1616" t="s">
        <v>138</v>
      </c>
      <c r="AI1616">
        <v>5</v>
      </c>
      <c r="AJ1616" t="s">
        <v>201</v>
      </c>
      <c r="AT1616" t="s">
        <v>382</v>
      </c>
      <c r="AV1616" t="s">
        <v>88</v>
      </c>
    </row>
    <row r="1617" spans="1:48" hidden="1" x14ac:dyDescent="0.3">
      <c r="A1617" t="s">
        <v>537</v>
      </c>
      <c r="C1617" t="s">
        <v>251</v>
      </c>
      <c r="D1617" t="s">
        <v>81</v>
      </c>
      <c r="E1617">
        <v>100000000</v>
      </c>
      <c r="H1617">
        <v>14.25</v>
      </c>
      <c r="I1617" t="s">
        <v>56</v>
      </c>
      <c r="J1617">
        <v>1.4250000000000001E-3</v>
      </c>
      <c r="K1617" t="s">
        <v>57</v>
      </c>
      <c r="L1617" t="s">
        <v>58</v>
      </c>
      <c r="N1617" t="s">
        <v>538</v>
      </c>
      <c r="O1617">
        <v>300</v>
      </c>
      <c r="P1617" t="s">
        <v>262</v>
      </c>
      <c r="S1617">
        <v>1.02</v>
      </c>
      <c r="T1617">
        <v>50</v>
      </c>
      <c r="U1617" t="s">
        <v>539</v>
      </c>
      <c r="V1617">
        <v>50</v>
      </c>
      <c r="W1617" t="s">
        <v>542</v>
      </c>
      <c r="X1617" t="s">
        <v>280</v>
      </c>
      <c r="Y1617">
        <v>45</v>
      </c>
      <c r="AB1617">
        <v>4.29</v>
      </c>
      <c r="AC1617" t="s">
        <v>85</v>
      </c>
      <c r="AD1617">
        <v>0.16</v>
      </c>
      <c r="AE1617" t="s">
        <v>138</v>
      </c>
      <c r="AI1617">
        <v>5</v>
      </c>
      <c r="AJ1617" t="s">
        <v>201</v>
      </c>
      <c r="AT1617" t="s">
        <v>382</v>
      </c>
      <c r="AV1617" t="s">
        <v>88</v>
      </c>
    </row>
    <row r="1618" spans="1:48" hidden="1" x14ac:dyDescent="0.3">
      <c r="A1618" t="s">
        <v>537</v>
      </c>
      <c r="C1618" t="s">
        <v>251</v>
      </c>
      <c r="D1618" t="s">
        <v>81</v>
      </c>
      <c r="E1618">
        <v>100000000</v>
      </c>
      <c r="H1618">
        <v>14.25</v>
      </c>
      <c r="I1618" t="s">
        <v>56</v>
      </c>
      <c r="J1618">
        <v>1.4250000000000001E-3</v>
      </c>
      <c r="K1618" t="s">
        <v>57</v>
      </c>
      <c r="L1618" t="s">
        <v>58</v>
      </c>
      <c r="N1618" t="s">
        <v>538</v>
      </c>
      <c r="O1618">
        <v>300</v>
      </c>
      <c r="P1618" t="s">
        <v>262</v>
      </c>
      <c r="S1618">
        <v>1.02</v>
      </c>
      <c r="T1618">
        <v>50</v>
      </c>
      <c r="U1618" t="s">
        <v>539</v>
      </c>
      <c r="V1618">
        <v>50</v>
      </c>
      <c r="W1618" t="s">
        <v>543</v>
      </c>
      <c r="X1618" t="s">
        <v>280</v>
      </c>
      <c r="Y1618">
        <v>45</v>
      </c>
      <c r="AB1618">
        <v>4.26</v>
      </c>
      <c r="AC1618" t="s">
        <v>85</v>
      </c>
      <c r="AD1618">
        <v>0.23</v>
      </c>
      <c r="AE1618" t="s">
        <v>138</v>
      </c>
      <c r="AI1618">
        <v>5</v>
      </c>
      <c r="AJ1618" t="s">
        <v>201</v>
      </c>
      <c r="AT1618" t="s">
        <v>382</v>
      </c>
      <c r="AV1618" t="s">
        <v>88</v>
      </c>
    </row>
    <row r="1619" spans="1:48" hidden="1" x14ac:dyDescent="0.3">
      <c r="A1619" t="s">
        <v>537</v>
      </c>
      <c r="C1619" t="s">
        <v>251</v>
      </c>
      <c r="D1619" t="s">
        <v>81</v>
      </c>
      <c r="E1619">
        <v>100000000</v>
      </c>
      <c r="H1619">
        <v>14.25</v>
      </c>
      <c r="I1619" t="s">
        <v>56</v>
      </c>
      <c r="J1619">
        <v>1.4250000000000001E-3</v>
      </c>
      <c r="K1619" t="s">
        <v>57</v>
      </c>
      <c r="L1619" t="s">
        <v>58</v>
      </c>
      <c r="N1619" t="s">
        <v>538</v>
      </c>
      <c r="O1619">
        <v>300</v>
      </c>
      <c r="P1619" t="s">
        <v>262</v>
      </c>
      <c r="S1619">
        <v>1.02</v>
      </c>
      <c r="T1619">
        <v>50</v>
      </c>
      <c r="U1619" t="s">
        <v>539</v>
      </c>
      <c r="V1619">
        <v>50</v>
      </c>
      <c r="W1619" t="s">
        <v>544</v>
      </c>
      <c r="X1619" t="s">
        <v>280</v>
      </c>
      <c r="Y1619">
        <v>45</v>
      </c>
      <c r="AB1619">
        <v>3.36</v>
      </c>
      <c r="AC1619" t="s">
        <v>85</v>
      </c>
      <c r="AD1619">
        <v>0.2</v>
      </c>
      <c r="AE1619" t="s">
        <v>138</v>
      </c>
      <c r="AI1619">
        <v>5</v>
      </c>
      <c r="AJ1619" t="s">
        <v>201</v>
      </c>
      <c r="AT1619" t="s">
        <v>65</v>
      </c>
      <c r="AV1619" t="s">
        <v>88</v>
      </c>
    </row>
    <row r="1620" spans="1:48" hidden="1" x14ac:dyDescent="0.3">
      <c r="A1620" t="s">
        <v>537</v>
      </c>
      <c r="C1620" t="s">
        <v>251</v>
      </c>
      <c r="D1620" t="s">
        <v>81</v>
      </c>
      <c r="E1620">
        <v>100000000</v>
      </c>
      <c r="H1620">
        <v>14.25</v>
      </c>
      <c r="I1620" t="s">
        <v>56</v>
      </c>
      <c r="J1620">
        <v>1.4250000000000001E-3</v>
      </c>
      <c r="K1620" t="s">
        <v>57</v>
      </c>
      <c r="L1620" t="s">
        <v>58</v>
      </c>
      <c r="N1620" t="s">
        <v>538</v>
      </c>
      <c r="O1620">
        <v>300</v>
      </c>
      <c r="P1620" t="s">
        <v>262</v>
      </c>
      <c r="S1620">
        <v>1.02</v>
      </c>
      <c r="T1620">
        <v>50</v>
      </c>
      <c r="U1620" t="s">
        <v>539</v>
      </c>
      <c r="V1620">
        <v>50</v>
      </c>
      <c r="W1620" t="s">
        <v>147</v>
      </c>
      <c r="X1620" t="s">
        <v>280</v>
      </c>
      <c r="Y1620">
        <v>90</v>
      </c>
      <c r="AB1620">
        <v>4.41</v>
      </c>
      <c r="AC1620" t="s">
        <v>85</v>
      </c>
      <c r="AD1620">
        <v>0.15</v>
      </c>
      <c r="AE1620" t="s">
        <v>138</v>
      </c>
      <c r="AI1620">
        <v>5</v>
      </c>
      <c r="AJ1620" t="s">
        <v>201</v>
      </c>
      <c r="AT1620" t="s">
        <v>150</v>
      </c>
      <c r="AV1620" t="s">
        <v>88</v>
      </c>
    </row>
    <row r="1621" spans="1:48" hidden="1" x14ac:dyDescent="0.3">
      <c r="A1621" t="s">
        <v>537</v>
      </c>
      <c r="C1621" t="s">
        <v>251</v>
      </c>
      <c r="D1621" t="s">
        <v>81</v>
      </c>
      <c r="E1621">
        <v>100000000</v>
      </c>
      <c r="H1621">
        <v>14.25</v>
      </c>
      <c r="I1621" t="s">
        <v>56</v>
      </c>
      <c r="J1621">
        <v>1.4250000000000001E-3</v>
      </c>
      <c r="K1621" t="s">
        <v>57</v>
      </c>
      <c r="L1621" t="s">
        <v>58</v>
      </c>
      <c r="N1621" t="s">
        <v>538</v>
      </c>
      <c r="O1621">
        <v>300</v>
      </c>
      <c r="P1621" t="s">
        <v>262</v>
      </c>
      <c r="S1621">
        <v>1.02</v>
      </c>
      <c r="T1621">
        <v>50</v>
      </c>
      <c r="U1621" t="s">
        <v>539</v>
      </c>
      <c r="V1621">
        <v>50</v>
      </c>
      <c r="W1621" t="s">
        <v>540</v>
      </c>
      <c r="X1621" t="s">
        <v>280</v>
      </c>
      <c r="Y1621">
        <v>90</v>
      </c>
      <c r="AB1621">
        <v>5.36</v>
      </c>
      <c r="AC1621" t="s">
        <v>85</v>
      </c>
      <c r="AD1621">
        <v>1.25</v>
      </c>
      <c r="AE1621" t="s">
        <v>138</v>
      </c>
      <c r="AI1621">
        <v>5</v>
      </c>
      <c r="AJ1621" t="s">
        <v>201</v>
      </c>
      <c r="AT1621" t="s">
        <v>212</v>
      </c>
      <c r="AV1621" t="s">
        <v>88</v>
      </c>
    </row>
    <row r="1622" spans="1:48" hidden="1" x14ac:dyDescent="0.3">
      <c r="A1622" t="s">
        <v>537</v>
      </c>
      <c r="C1622" t="s">
        <v>251</v>
      </c>
      <c r="D1622" t="s">
        <v>81</v>
      </c>
      <c r="E1622">
        <v>100000000</v>
      </c>
      <c r="H1622">
        <v>14.25</v>
      </c>
      <c r="I1622" t="s">
        <v>56</v>
      </c>
      <c r="J1622">
        <v>1.4250000000000001E-3</v>
      </c>
      <c r="K1622" t="s">
        <v>57</v>
      </c>
      <c r="L1622" t="s">
        <v>58</v>
      </c>
      <c r="N1622" t="s">
        <v>538</v>
      </c>
      <c r="O1622">
        <v>300</v>
      </c>
      <c r="P1622" t="s">
        <v>262</v>
      </c>
      <c r="S1622">
        <v>1.02</v>
      </c>
      <c r="T1622">
        <v>50</v>
      </c>
      <c r="U1622" t="s">
        <v>539</v>
      </c>
      <c r="V1622">
        <v>50</v>
      </c>
      <c r="W1622" t="s">
        <v>541</v>
      </c>
      <c r="X1622" t="s">
        <v>280</v>
      </c>
      <c r="Y1622">
        <v>90</v>
      </c>
      <c r="AB1622">
        <v>3.09</v>
      </c>
      <c r="AC1622" t="s">
        <v>85</v>
      </c>
      <c r="AD1622">
        <v>0.14000000000000001</v>
      </c>
      <c r="AE1622" t="s">
        <v>138</v>
      </c>
      <c r="AI1622">
        <v>5</v>
      </c>
      <c r="AJ1622" t="s">
        <v>201</v>
      </c>
      <c r="AT1622" t="s">
        <v>382</v>
      </c>
      <c r="AV1622" t="s">
        <v>88</v>
      </c>
    </row>
    <row r="1623" spans="1:48" hidden="1" x14ac:dyDescent="0.3">
      <c r="A1623" t="s">
        <v>537</v>
      </c>
      <c r="C1623" t="s">
        <v>251</v>
      </c>
      <c r="D1623" t="s">
        <v>81</v>
      </c>
      <c r="E1623">
        <v>100000000</v>
      </c>
      <c r="H1623">
        <v>14.25</v>
      </c>
      <c r="I1623" t="s">
        <v>56</v>
      </c>
      <c r="J1623">
        <v>1.4250000000000001E-3</v>
      </c>
      <c r="K1623" t="s">
        <v>57</v>
      </c>
      <c r="L1623" t="s">
        <v>58</v>
      </c>
      <c r="N1623" t="s">
        <v>538</v>
      </c>
      <c r="O1623">
        <v>300</v>
      </c>
      <c r="P1623" t="s">
        <v>262</v>
      </c>
      <c r="S1623">
        <v>1.02</v>
      </c>
      <c r="T1623">
        <v>50</v>
      </c>
      <c r="U1623" t="s">
        <v>539</v>
      </c>
      <c r="V1623">
        <v>50</v>
      </c>
      <c r="W1623" t="s">
        <v>542</v>
      </c>
      <c r="X1623" t="s">
        <v>280</v>
      </c>
      <c r="Y1623">
        <v>90</v>
      </c>
      <c r="AB1623">
        <v>7.39</v>
      </c>
      <c r="AC1623" t="s">
        <v>85</v>
      </c>
      <c r="AD1623">
        <v>0.6</v>
      </c>
      <c r="AE1623" t="s">
        <v>138</v>
      </c>
      <c r="AI1623">
        <v>5</v>
      </c>
      <c r="AJ1623" t="s">
        <v>201</v>
      </c>
      <c r="AT1623" t="s">
        <v>382</v>
      </c>
      <c r="AV1623" t="s">
        <v>88</v>
      </c>
    </row>
    <row r="1624" spans="1:48" hidden="1" x14ac:dyDescent="0.3">
      <c r="A1624" t="s">
        <v>537</v>
      </c>
      <c r="C1624" t="s">
        <v>251</v>
      </c>
      <c r="D1624" t="s">
        <v>81</v>
      </c>
      <c r="E1624">
        <v>100000000</v>
      </c>
      <c r="H1624">
        <v>14.25</v>
      </c>
      <c r="I1624" t="s">
        <v>56</v>
      </c>
      <c r="J1624">
        <v>1.4250000000000001E-3</v>
      </c>
      <c r="K1624" t="s">
        <v>57</v>
      </c>
      <c r="L1624" t="s">
        <v>58</v>
      </c>
      <c r="N1624" t="s">
        <v>538</v>
      </c>
      <c r="O1624">
        <v>300</v>
      </c>
      <c r="P1624" t="s">
        <v>262</v>
      </c>
      <c r="S1624">
        <v>1.02</v>
      </c>
      <c r="T1624">
        <v>50</v>
      </c>
      <c r="U1624" t="s">
        <v>539</v>
      </c>
      <c r="V1624">
        <v>50</v>
      </c>
      <c r="W1624" t="s">
        <v>543</v>
      </c>
      <c r="X1624" t="s">
        <v>280</v>
      </c>
      <c r="Y1624">
        <v>90</v>
      </c>
      <c r="AB1624">
        <v>4.38</v>
      </c>
      <c r="AC1624" t="s">
        <v>85</v>
      </c>
      <c r="AD1624">
        <v>0.64</v>
      </c>
      <c r="AE1624" t="s">
        <v>138</v>
      </c>
      <c r="AI1624">
        <v>5</v>
      </c>
      <c r="AJ1624" t="s">
        <v>201</v>
      </c>
      <c r="AT1624" t="s">
        <v>382</v>
      </c>
      <c r="AV1624" t="s">
        <v>88</v>
      </c>
    </row>
    <row r="1625" spans="1:48" hidden="1" x14ac:dyDescent="0.3">
      <c r="A1625" t="s">
        <v>537</v>
      </c>
      <c r="C1625" t="s">
        <v>251</v>
      </c>
      <c r="D1625" t="s">
        <v>81</v>
      </c>
      <c r="E1625">
        <v>100000000</v>
      </c>
      <c r="H1625">
        <v>14.25</v>
      </c>
      <c r="I1625" t="s">
        <v>56</v>
      </c>
      <c r="J1625">
        <v>1.4250000000000001E-3</v>
      </c>
      <c r="K1625" t="s">
        <v>57</v>
      </c>
      <c r="L1625" t="s">
        <v>58</v>
      </c>
      <c r="N1625" t="s">
        <v>538</v>
      </c>
      <c r="O1625">
        <v>300</v>
      </c>
      <c r="P1625" t="s">
        <v>262</v>
      </c>
      <c r="S1625">
        <v>1.02</v>
      </c>
      <c r="T1625">
        <v>50</v>
      </c>
      <c r="U1625" t="s">
        <v>539</v>
      </c>
      <c r="V1625">
        <v>50</v>
      </c>
      <c r="W1625" t="s">
        <v>544</v>
      </c>
      <c r="X1625" t="s">
        <v>280</v>
      </c>
      <c r="Y1625">
        <v>90</v>
      </c>
      <c r="AB1625">
        <v>3.98</v>
      </c>
      <c r="AC1625" t="s">
        <v>85</v>
      </c>
      <c r="AD1625">
        <v>0.3</v>
      </c>
      <c r="AE1625" t="s">
        <v>138</v>
      </c>
      <c r="AI1625">
        <v>5</v>
      </c>
      <c r="AJ1625" t="s">
        <v>201</v>
      </c>
      <c r="AT1625" t="s">
        <v>65</v>
      </c>
      <c r="AV1625" t="s">
        <v>88</v>
      </c>
    </row>
    <row r="1626" spans="1:48" hidden="1" x14ac:dyDescent="0.3">
      <c r="A1626" t="s">
        <v>537</v>
      </c>
      <c r="C1626" t="s">
        <v>251</v>
      </c>
      <c r="D1626" t="s">
        <v>81</v>
      </c>
      <c r="E1626">
        <v>100000000</v>
      </c>
      <c r="H1626">
        <v>14.25</v>
      </c>
      <c r="I1626" t="s">
        <v>56</v>
      </c>
      <c r="J1626">
        <v>1.4250000000000001E-3</v>
      </c>
      <c r="K1626" t="s">
        <v>57</v>
      </c>
      <c r="L1626" t="s">
        <v>58</v>
      </c>
      <c r="N1626" t="s">
        <v>538</v>
      </c>
      <c r="O1626">
        <v>300</v>
      </c>
      <c r="P1626" t="s">
        <v>262</v>
      </c>
      <c r="S1626">
        <v>1.02</v>
      </c>
      <c r="T1626">
        <v>50</v>
      </c>
      <c r="U1626" t="s">
        <v>539</v>
      </c>
      <c r="V1626">
        <v>50</v>
      </c>
      <c r="W1626" t="s">
        <v>147</v>
      </c>
      <c r="X1626" t="s">
        <v>280</v>
      </c>
      <c r="Y1626">
        <v>180</v>
      </c>
      <c r="AB1626">
        <v>3.36</v>
      </c>
      <c r="AC1626" t="s">
        <v>85</v>
      </c>
      <c r="AD1626">
        <v>0.45</v>
      </c>
      <c r="AE1626" t="s">
        <v>138</v>
      </c>
      <c r="AI1626">
        <v>5</v>
      </c>
      <c r="AJ1626" t="s">
        <v>201</v>
      </c>
      <c r="AT1626" t="s">
        <v>150</v>
      </c>
      <c r="AV1626" t="s">
        <v>88</v>
      </c>
    </row>
    <row r="1627" spans="1:48" hidden="1" x14ac:dyDescent="0.3">
      <c r="A1627" t="s">
        <v>537</v>
      </c>
      <c r="C1627" t="s">
        <v>251</v>
      </c>
      <c r="D1627" t="s">
        <v>81</v>
      </c>
      <c r="E1627">
        <v>100000000</v>
      </c>
      <c r="H1627">
        <v>14.25</v>
      </c>
      <c r="I1627" t="s">
        <v>56</v>
      </c>
      <c r="J1627">
        <v>1.4250000000000001E-3</v>
      </c>
      <c r="K1627" t="s">
        <v>57</v>
      </c>
      <c r="L1627" t="s">
        <v>58</v>
      </c>
      <c r="N1627" t="s">
        <v>538</v>
      </c>
      <c r="O1627">
        <v>300</v>
      </c>
      <c r="P1627" t="s">
        <v>262</v>
      </c>
      <c r="S1627">
        <v>1.02</v>
      </c>
      <c r="T1627">
        <v>50</v>
      </c>
      <c r="U1627" t="s">
        <v>539</v>
      </c>
      <c r="V1627">
        <v>50</v>
      </c>
      <c r="W1627" t="s">
        <v>540</v>
      </c>
      <c r="X1627" t="s">
        <v>280</v>
      </c>
      <c r="Y1627">
        <v>180</v>
      </c>
      <c r="AB1627">
        <v>4.53</v>
      </c>
      <c r="AC1627" t="s">
        <v>85</v>
      </c>
      <c r="AD1627">
        <v>0.59</v>
      </c>
      <c r="AE1627" t="s">
        <v>138</v>
      </c>
      <c r="AI1627">
        <v>5</v>
      </c>
      <c r="AJ1627" t="s">
        <v>201</v>
      </c>
      <c r="AT1627" t="s">
        <v>212</v>
      </c>
      <c r="AV1627" t="s">
        <v>88</v>
      </c>
    </row>
    <row r="1628" spans="1:48" hidden="1" x14ac:dyDescent="0.3">
      <c r="A1628" t="s">
        <v>537</v>
      </c>
      <c r="C1628" t="s">
        <v>251</v>
      </c>
      <c r="D1628" t="s">
        <v>81</v>
      </c>
      <c r="E1628">
        <v>100000000</v>
      </c>
      <c r="H1628">
        <v>14.25</v>
      </c>
      <c r="I1628" t="s">
        <v>56</v>
      </c>
      <c r="J1628">
        <v>1.4250000000000001E-3</v>
      </c>
      <c r="K1628" t="s">
        <v>57</v>
      </c>
      <c r="L1628" t="s">
        <v>58</v>
      </c>
      <c r="N1628" t="s">
        <v>538</v>
      </c>
      <c r="O1628">
        <v>300</v>
      </c>
      <c r="P1628" t="s">
        <v>262</v>
      </c>
      <c r="S1628">
        <v>1.02</v>
      </c>
      <c r="T1628">
        <v>50</v>
      </c>
      <c r="U1628" t="s">
        <v>539</v>
      </c>
      <c r="V1628">
        <v>50</v>
      </c>
      <c r="W1628" t="s">
        <v>541</v>
      </c>
      <c r="X1628" t="s">
        <v>280</v>
      </c>
      <c r="Y1628">
        <v>180</v>
      </c>
      <c r="AB1628">
        <v>3.11</v>
      </c>
      <c r="AC1628" t="s">
        <v>85</v>
      </c>
      <c r="AD1628">
        <v>0.1</v>
      </c>
      <c r="AE1628" t="s">
        <v>138</v>
      </c>
      <c r="AI1628">
        <v>5</v>
      </c>
      <c r="AJ1628" t="s">
        <v>201</v>
      </c>
      <c r="AT1628" t="s">
        <v>382</v>
      </c>
      <c r="AV1628" t="s">
        <v>88</v>
      </c>
    </row>
    <row r="1629" spans="1:48" hidden="1" x14ac:dyDescent="0.3">
      <c r="A1629" t="s">
        <v>537</v>
      </c>
      <c r="C1629" t="s">
        <v>251</v>
      </c>
      <c r="D1629" t="s">
        <v>81</v>
      </c>
      <c r="E1629">
        <v>100000000</v>
      </c>
      <c r="H1629">
        <v>14.25</v>
      </c>
      <c r="I1629" t="s">
        <v>56</v>
      </c>
      <c r="J1629">
        <v>1.4250000000000001E-3</v>
      </c>
      <c r="K1629" t="s">
        <v>57</v>
      </c>
      <c r="L1629" t="s">
        <v>58</v>
      </c>
      <c r="N1629" t="s">
        <v>538</v>
      </c>
      <c r="O1629">
        <v>300</v>
      </c>
      <c r="P1629" t="s">
        <v>262</v>
      </c>
      <c r="S1629">
        <v>1.02</v>
      </c>
      <c r="T1629">
        <v>50</v>
      </c>
      <c r="U1629" t="s">
        <v>539</v>
      </c>
      <c r="V1629">
        <v>50</v>
      </c>
      <c r="W1629" t="s">
        <v>542</v>
      </c>
      <c r="X1629" t="s">
        <v>280</v>
      </c>
      <c r="Y1629">
        <v>180</v>
      </c>
      <c r="AB1629">
        <v>5.14</v>
      </c>
      <c r="AC1629" t="s">
        <v>85</v>
      </c>
      <c r="AD1629">
        <v>0.24</v>
      </c>
      <c r="AE1629" t="s">
        <v>138</v>
      </c>
      <c r="AI1629">
        <v>5</v>
      </c>
      <c r="AJ1629" t="s">
        <v>201</v>
      </c>
      <c r="AT1629" t="s">
        <v>382</v>
      </c>
      <c r="AV1629" t="s">
        <v>88</v>
      </c>
    </row>
    <row r="1630" spans="1:48" hidden="1" x14ac:dyDescent="0.3">
      <c r="A1630" t="s">
        <v>537</v>
      </c>
      <c r="C1630" t="s">
        <v>251</v>
      </c>
      <c r="D1630" t="s">
        <v>81</v>
      </c>
      <c r="E1630">
        <v>100000000</v>
      </c>
      <c r="H1630">
        <v>14.25</v>
      </c>
      <c r="I1630" t="s">
        <v>56</v>
      </c>
      <c r="J1630">
        <v>1.4250000000000001E-3</v>
      </c>
      <c r="K1630" t="s">
        <v>57</v>
      </c>
      <c r="L1630" t="s">
        <v>58</v>
      </c>
      <c r="N1630" t="s">
        <v>538</v>
      </c>
      <c r="O1630">
        <v>300</v>
      </c>
      <c r="P1630" t="s">
        <v>262</v>
      </c>
      <c r="S1630">
        <v>1.02</v>
      </c>
      <c r="T1630">
        <v>50</v>
      </c>
      <c r="U1630" t="s">
        <v>539</v>
      </c>
      <c r="V1630">
        <v>50</v>
      </c>
      <c r="W1630" t="s">
        <v>543</v>
      </c>
      <c r="X1630" t="s">
        <v>280</v>
      </c>
      <c r="Y1630">
        <v>180</v>
      </c>
      <c r="AB1630">
        <v>5.65</v>
      </c>
      <c r="AC1630" t="s">
        <v>85</v>
      </c>
      <c r="AD1630">
        <v>0.81</v>
      </c>
      <c r="AE1630" t="s">
        <v>138</v>
      </c>
      <c r="AI1630">
        <v>5</v>
      </c>
      <c r="AJ1630" t="s">
        <v>201</v>
      </c>
      <c r="AT1630" t="s">
        <v>382</v>
      </c>
      <c r="AV1630" t="s">
        <v>88</v>
      </c>
    </row>
    <row r="1631" spans="1:48" hidden="1" x14ac:dyDescent="0.3">
      <c r="A1631" t="s">
        <v>537</v>
      </c>
      <c r="C1631" t="s">
        <v>251</v>
      </c>
      <c r="D1631" t="s">
        <v>81</v>
      </c>
      <c r="E1631">
        <v>100000000</v>
      </c>
      <c r="H1631">
        <v>14.25</v>
      </c>
      <c r="I1631" t="s">
        <v>56</v>
      </c>
      <c r="J1631">
        <v>1.4250000000000001E-3</v>
      </c>
      <c r="K1631" t="s">
        <v>57</v>
      </c>
      <c r="L1631" t="s">
        <v>58</v>
      </c>
      <c r="N1631" t="s">
        <v>538</v>
      </c>
      <c r="O1631">
        <v>300</v>
      </c>
      <c r="P1631" t="s">
        <v>262</v>
      </c>
      <c r="S1631">
        <v>1.02</v>
      </c>
      <c r="T1631">
        <v>50</v>
      </c>
      <c r="U1631" t="s">
        <v>539</v>
      </c>
      <c r="V1631">
        <v>50</v>
      </c>
      <c r="W1631" t="s">
        <v>544</v>
      </c>
      <c r="X1631" t="s">
        <v>280</v>
      </c>
      <c r="Y1631">
        <v>180</v>
      </c>
      <c r="AB1631">
        <v>3.49</v>
      </c>
      <c r="AC1631" t="s">
        <v>85</v>
      </c>
      <c r="AD1631">
        <v>0.23</v>
      </c>
      <c r="AE1631" t="s">
        <v>138</v>
      </c>
      <c r="AI1631">
        <v>5</v>
      </c>
      <c r="AJ1631" t="s">
        <v>201</v>
      </c>
      <c r="AT1631" t="s">
        <v>65</v>
      </c>
      <c r="AV1631" t="s">
        <v>88</v>
      </c>
    </row>
    <row r="1632" spans="1:48" hidden="1" x14ac:dyDescent="0.3">
      <c r="A1632" t="s">
        <v>537</v>
      </c>
      <c r="C1632" t="s">
        <v>251</v>
      </c>
      <c r="D1632" t="s">
        <v>81</v>
      </c>
      <c r="E1632">
        <v>100000000</v>
      </c>
      <c r="H1632">
        <v>14.25</v>
      </c>
      <c r="I1632" t="s">
        <v>56</v>
      </c>
      <c r="J1632">
        <v>1.4250000000000001E-3</v>
      </c>
      <c r="K1632" t="s">
        <v>57</v>
      </c>
      <c r="L1632" t="s">
        <v>58</v>
      </c>
      <c r="N1632" t="s">
        <v>538</v>
      </c>
      <c r="O1632">
        <v>300</v>
      </c>
      <c r="P1632" t="s">
        <v>262</v>
      </c>
      <c r="S1632">
        <v>1.02</v>
      </c>
      <c r="T1632">
        <v>50</v>
      </c>
      <c r="U1632" t="s">
        <v>539</v>
      </c>
      <c r="V1632">
        <v>50</v>
      </c>
      <c r="W1632" t="s">
        <v>147</v>
      </c>
      <c r="X1632" t="s">
        <v>280</v>
      </c>
      <c r="Y1632">
        <v>180</v>
      </c>
      <c r="AB1632">
        <v>3.78</v>
      </c>
      <c r="AC1632" t="s">
        <v>85</v>
      </c>
      <c r="AD1632">
        <v>0.37</v>
      </c>
      <c r="AE1632" t="s">
        <v>138</v>
      </c>
      <c r="AI1632">
        <v>5</v>
      </c>
      <c r="AJ1632" t="s">
        <v>201</v>
      </c>
      <c r="AT1632" t="s">
        <v>150</v>
      </c>
      <c r="AV1632" t="s">
        <v>88</v>
      </c>
    </row>
    <row r="1633" spans="1:53" hidden="1" x14ac:dyDescent="0.3">
      <c r="A1633" t="s">
        <v>537</v>
      </c>
      <c r="C1633" t="s">
        <v>251</v>
      </c>
      <c r="D1633" t="s">
        <v>81</v>
      </c>
      <c r="E1633">
        <v>100000000</v>
      </c>
      <c r="H1633">
        <v>14.25</v>
      </c>
      <c r="I1633" t="s">
        <v>56</v>
      </c>
      <c r="J1633">
        <v>1.4250000000000001E-3</v>
      </c>
      <c r="K1633" t="s">
        <v>57</v>
      </c>
      <c r="L1633" t="s">
        <v>58</v>
      </c>
      <c r="N1633" t="s">
        <v>538</v>
      </c>
      <c r="O1633">
        <v>300</v>
      </c>
      <c r="P1633" t="s">
        <v>262</v>
      </c>
      <c r="S1633">
        <v>1.02</v>
      </c>
      <c r="T1633">
        <v>50</v>
      </c>
      <c r="U1633" t="s">
        <v>539</v>
      </c>
      <c r="V1633">
        <v>50</v>
      </c>
      <c r="W1633" t="s">
        <v>540</v>
      </c>
      <c r="X1633" t="s">
        <v>280</v>
      </c>
      <c r="Y1633">
        <v>180</v>
      </c>
      <c r="AB1633">
        <v>5.96</v>
      </c>
      <c r="AC1633" t="s">
        <v>85</v>
      </c>
      <c r="AD1633">
        <v>0.63</v>
      </c>
      <c r="AE1633" t="s">
        <v>138</v>
      </c>
      <c r="AI1633">
        <v>5</v>
      </c>
      <c r="AJ1633" t="s">
        <v>201</v>
      </c>
      <c r="AT1633" t="s">
        <v>212</v>
      </c>
      <c r="AV1633" t="s">
        <v>88</v>
      </c>
    </row>
    <row r="1634" spans="1:53" hidden="1" x14ac:dyDescent="0.3">
      <c r="A1634" t="s">
        <v>537</v>
      </c>
      <c r="C1634" t="s">
        <v>251</v>
      </c>
      <c r="D1634" t="s">
        <v>81</v>
      </c>
      <c r="E1634">
        <v>100000000</v>
      </c>
      <c r="H1634">
        <v>14.25</v>
      </c>
      <c r="I1634" t="s">
        <v>56</v>
      </c>
      <c r="J1634">
        <v>1.4250000000000001E-3</v>
      </c>
      <c r="K1634" t="s">
        <v>57</v>
      </c>
      <c r="L1634" t="s">
        <v>58</v>
      </c>
      <c r="N1634" t="s">
        <v>538</v>
      </c>
      <c r="O1634">
        <v>300</v>
      </c>
      <c r="P1634" t="s">
        <v>262</v>
      </c>
      <c r="S1634">
        <v>1.02</v>
      </c>
      <c r="T1634">
        <v>50</v>
      </c>
      <c r="U1634" t="s">
        <v>539</v>
      </c>
      <c r="V1634">
        <v>50</v>
      </c>
      <c r="W1634" t="s">
        <v>541</v>
      </c>
      <c r="X1634" t="s">
        <v>280</v>
      </c>
      <c r="Y1634">
        <v>180</v>
      </c>
      <c r="AB1634">
        <v>1.74</v>
      </c>
      <c r="AC1634" t="s">
        <v>85</v>
      </c>
      <c r="AD1634">
        <v>0.11</v>
      </c>
      <c r="AE1634" t="s">
        <v>138</v>
      </c>
      <c r="AI1634">
        <v>5</v>
      </c>
      <c r="AJ1634" t="s">
        <v>201</v>
      </c>
      <c r="AT1634" t="s">
        <v>382</v>
      </c>
      <c r="AV1634" t="s">
        <v>88</v>
      </c>
    </row>
    <row r="1635" spans="1:53" hidden="1" x14ac:dyDescent="0.3">
      <c r="A1635" t="s">
        <v>537</v>
      </c>
      <c r="C1635" t="s">
        <v>251</v>
      </c>
      <c r="D1635" t="s">
        <v>81</v>
      </c>
      <c r="E1635">
        <v>100000000</v>
      </c>
      <c r="H1635">
        <v>14.25</v>
      </c>
      <c r="I1635" t="s">
        <v>56</v>
      </c>
      <c r="J1635">
        <v>1.4250000000000001E-3</v>
      </c>
      <c r="K1635" t="s">
        <v>57</v>
      </c>
      <c r="L1635" t="s">
        <v>58</v>
      </c>
      <c r="N1635" t="s">
        <v>538</v>
      </c>
      <c r="O1635">
        <v>300</v>
      </c>
      <c r="P1635" t="s">
        <v>262</v>
      </c>
      <c r="S1635">
        <v>1.02</v>
      </c>
      <c r="T1635">
        <v>50</v>
      </c>
      <c r="U1635" t="s">
        <v>539</v>
      </c>
      <c r="V1635">
        <v>50</v>
      </c>
      <c r="W1635" t="s">
        <v>542</v>
      </c>
      <c r="X1635" t="s">
        <v>280</v>
      </c>
      <c r="Y1635">
        <v>180</v>
      </c>
      <c r="AA1635" t="s">
        <v>94</v>
      </c>
      <c r="AB1635">
        <v>7.13</v>
      </c>
      <c r="AC1635" t="s">
        <v>85</v>
      </c>
      <c r="AD1635">
        <v>0.06</v>
      </c>
      <c r="AE1635" t="s">
        <v>138</v>
      </c>
      <c r="AI1635">
        <v>5</v>
      </c>
      <c r="AJ1635" t="s">
        <v>201</v>
      </c>
      <c r="AT1635" t="s">
        <v>382</v>
      </c>
      <c r="AV1635" t="s">
        <v>88</v>
      </c>
      <c r="AZ1635">
        <v>0</v>
      </c>
      <c r="BA1635">
        <v>7.13</v>
      </c>
    </row>
    <row r="1636" spans="1:53" hidden="1" x14ac:dyDescent="0.3">
      <c r="A1636" t="s">
        <v>537</v>
      </c>
      <c r="C1636" t="s">
        <v>251</v>
      </c>
      <c r="D1636" t="s">
        <v>81</v>
      </c>
      <c r="E1636">
        <v>100000000</v>
      </c>
      <c r="H1636">
        <v>14.25</v>
      </c>
      <c r="I1636" t="s">
        <v>56</v>
      </c>
      <c r="J1636">
        <v>1.4250000000000001E-3</v>
      </c>
      <c r="K1636" t="s">
        <v>57</v>
      </c>
      <c r="L1636" t="s">
        <v>58</v>
      </c>
      <c r="N1636" t="s">
        <v>538</v>
      </c>
      <c r="O1636">
        <v>300</v>
      </c>
      <c r="P1636" t="s">
        <v>262</v>
      </c>
      <c r="S1636">
        <v>1.02</v>
      </c>
      <c r="T1636">
        <v>50</v>
      </c>
      <c r="U1636" t="s">
        <v>539</v>
      </c>
      <c r="V1636">
        <v>50</v>
      </c>
      <c r="W1636" t="s">
        <v>543</v>
      </c>
      <c r="X1636" t="s">
        <v>280</v>
      </c>
      <c r="Y1636">
        <v>180</v>
      </c>
      <c r="AB1636">
        <v>6.2</v>
      </c>
      <c r="AC1636" t="s">
        <v>85</v>
      </c>
      <c r="AD1636">
        <v>0.9</v>
      </c>
      <c r="AE1636" t="s">
        <v>138</v>
      </c>
      <c r="AI1636">
        <v>5</v>
      </c>
      <c r="AJ1636" t="s">
        <v>201</v>
      </c>
      <c r="AT1636" t="s">
        <v>382</v>
      </c>
      <c r="AV1636" t="s">
        <v>88</v>
      </c>
    </row>
    <row r="1637" spans="1:53" hidden="1" x14ac:dyDescent="0.3">
      <c r="A1637" t="s">
        <v>537</v>
      </c>
      <c r="C1637" t="s">
        <v>251</v>
      </c>
      <c r="D1637" t="s">
        <v>81</v>
      </c>
      <c r="E1637">
        <v>100000000</v>
      </c>
      <c r="H1637">
        <v>14.25</v>
      </c>
      <c r="I1637" t="s">
        <v>56</v>
      </c>
      <c r="J1637">
        <v>1.4250000000000001E-3</v>
      </c>
      <c r="K1637" t="s">
        <v>57</v>
      </c>
      <c r="L1637" t="s">
        <v>58</v>
      </c>
      <c r="N1637" t="s">
        <v>538</v>
      </c>
      <c r="O1637">
        <v>300</v>
      </c>
      <c r="P1637" t="s">
        <v>262</v>
      </c>
      <c r="S1637">
        <v>1.02</v>
      </c>
      <c r="T1637">
        <v>50</v>
      </c>
      <c r="U1637" t="s">
        <v>539</v>
      </c>
      <c r="V1637">
        <v>50</v>
      </c>
      <c r="W1637" t="s">
        <v>544</v>
      </c>
      <c r="X1637" t="s">
        <v>280</v>
      </c>
      <c r="Y1637">
        <v>180</v>
      </c>
      <c r="AB1637">
        <v>0.64</v>
      </c>
      <c r="AC1637" t="s">
        <v>85</v>
      </c>
      <c r="AD1637">
        <v>0.61</v>
      </c>
      <c r="AE1637" t="s">
        <v>138</v>
      </c>
      <c r="AI1637">
        <v>5</v>
      </c>
      <c r="AJ1637" t="s">
        <v>201</v>
      </c>
      <c r="AT1637" t="s">
        <v>65</v>
      </c>
      <c r="AV1637" t="s">
        <v>88</v>
      </c>
    </row>
    <row r="1638" spans="1:53" hidden="1" x14ac:dyDescent="0.3">
      <c r="A1638" t="s">
        <v>537</v>
      </c>
      <c r="C1638" t="s">
        <v>251</v>
      </c>
      <c r="D1638" t="s">
        <v>81</v>
      </c>
      <c r="E1638">
        <v>100000000</v>
      </c>
      <c r="H1638">
        <v>14.25</v>
      </c>
      <c r="I1638" t="s">
        <v>56</v>
      </c>
      <c r="J1638">
        <v>1.4250000000000001E-3</v>
      </c>
      <c r="K1638" t="s">
        <v>57</v>
      </c>
      <c r="L1638" t="s">
        <v>58</v>
      </c>
      <c r="N1638" t="s">
        <v>538</v>
      </c>
      <c r="O1638">
        <v>300</v>
      </c>
      <c r="P1638" t="s">
        <v>262</v>
      </c>
      <c r="S1638">
        <v>1.02</v>
      </c>
      <c r="T1638">
        <v>50</v>
      </c>
      <c r="U1638" t="s">
        <v>539</v>
      </c>
      <c r="V1638">
        <v>50</v>
      </c>
      <c r="W1638" t="s">
        <v>147</v>
      </c>
      <c r="X1638" t="s">
        <v>280</v>
      </c>
      <c r="Y1638">
        <v>360</v>
      </c>
      <c r="AB1638">
        <v>4.37</v>
      </c>
      <c r="AC1638" t="s">
        <v>85</v>
      </c>
      <c r="AD1638">
        <v>0.13</v>
      </c>
      <c r="AE1638" t="s">
        <v>138</v>
      </c>
      <c r="AI1638">
        <v>5</v>
      </c>
      <c r="AJ1638" t="s">
        <v>201</v>
      </c>
      <c r="AT1638" t="s">
        <v>150</v>
      </c>
      <c r="AV1638" t="s">
        <v>88</v>
      </c>
    </row>
    <row r="1639" spans="1:53" hidden="1" x14ac:dyDescent="0.3">
      <c r="A1639" t="s">
        <v>537</v>
      </c>
      <c r="C1639" t="s">
        <v>251</v>
      </c>
      <c r="D1639" t="s">
        <v>81</v>
      </c>
      <c r="E1639">
        <v>100000000</v>
      </c>
      <c r="H1639">
        <v>14.25</v>
      </c>
      <c r="I1639" t="s">
        <v>56</v>
      </c>
      <c r="J1639">
        <v>1.4250000000000001E-3</v>
      </c>
      <c r="K1639" t="s">
        <v>57</v>
      </c>
      <c r="L1639" t="s">
        <v>58</v>
      </c>
      <c r="N1639" t="s">
        <v>538</v>
      </c>
      <c r="O1639">
        <v>300</v>
      </c>
      <c r="P1639" t="s">
        <v>262</v>
      </c>
      <c r="S1639">
        <v>1.02</v>
      </c>
      <c r="T1639">
        <v>50</v>
      </c>
      <c r="U1639" t="s">
        <v>539</v>
      </c>
      <c r="V1639">
        <v>50</v>
      </c>
      <c r="W1639" t="s">
        <v>540</v>
      </c>
      <c r="X1639" t="s">
        <v>280</v>
      </c>
      <c r="Y1639">
        <v>360</v>
      </c>
      <c r="AB1639">
        <v>5.82</v>
      </c>
      <c r="AC1639" t="s">
        <v>85</v>
      </c>
      <c r="AD1639">
        <v>1.06</v>
      </c>
      <c r="AE1639" t="s">
        <v>138</v>
      </c>
      <c r="AI1639">
        <v>5</v>
      </c>
      <c r="AJ1639" t="s">
        <v>201</v>
      </c>
      <c r="AT1639" t="s">
        <v>212</v>
      </c>
      <c r="AV1639" t="s">
        <v>88</v>
      </c>
    </row>
    <row r="1640" spans="1:53" hidden="1" x14ac:dyDescent="0.3">
      <c r="A1640" t="s">
        <v>537</v>
      </c>
      <c r="C1640" t="s">
        <v>251</v>
      </c>
      <c r="D1640" t="s">
        <v>81</v>
      </c>
      <c r="E1640">
        <v>100000000</v>
      </c>
      <c r="H1640">
        <v>14.25</v>
      </c>
      <c r="I1640" t="s">
        <v>56</v>
      </c>
      <c r="J1640">
        <v>1.4250000000000001E-3</v>
      </c>
      <c r="K1640" t="s">
        <v>57</v>
      </c>
      <c r="L1640" t="s">
        <v>58</v>
      </c>
      <c r="N1640" t="s">
        <v>538</v>
      </c>
      <c r="O1640">
        <v>300</v>
      </c>
      <c r="P1640" t="s">
        <v>262</v>
      </c>
      <c r="S1640">
        <v>1.02</v>
      </c>
      <c r="T1640">
        <v>50</v>
      </c>
      <c r="U1640" t="s">
        <v>539</v>
      </c>
      <c r="V1640">
        <v>50</v>
      </c>
      <c r="W1640" t="s">
        <v>541</v>
      </c>
      <c r="X1640" t="s">
        <v>280</v>
      </c>
      <c r="Y1640">
        <v>360</v>
      </c>
      <c r="AB1640">
        <v>3.53</v>
      </c>
      <c r="AC1640" t="s">
        <v>85</v>
      </c>
      <c r="AD1640">
        <v>0.13</v>
      </c>
      <c r="AE1640" t="s">
        <v>138</v>
      </c>
      <c r="AI1640">
        <v>5</v>
      </c>
      <c r="AJ1640" t="s">
        <v>201</v>
      </c>
      <c r="AT1640" t="s">
        <v>382</v>
      </c>
      <c r="AV1640" t="s">
        <v>88</v>
      </c>
    </row>
    <row r="1641" spans="1:53" hidden="1" x14ac:dyDescent="0.3">
      <c r="A1641" t="s">
        <v>537</v>
      </c>
      <c r="C1641" t="s">
        <v>251</v>
      </c>
      <c r="D1641" t="s">
        <v>81</v>
      </c>
      <c r="E1641">
        <v>100000000</v>
      </c>
      <c r="H1641">
        <v>14.25</v>
      </c>
      <c r="I1641" t="s">
        <v>56</v>
      </c>
      <c r="J1641">
        <v>1.4250000000000001E-3</v>
      </c>
      <c r="K1641" t="s">
        <v>57</v>
      </c>
      <c r="L1641" t="s">
        <v>58</v>
      </c>
      <c r="N1641" t="s">
        <v>538</v>
      </c>
      <c r="O1641">
        <v>300</v>
      </c>
      <c r="P1641" t="s">
        <v>262</v>
      </c>
      <c r="S1641">
        <v>1.02</v>
      </c>
      <c r="T1641">
        <v>50</v>
      </c>
      <c r="U1641" t="s">
        <v>539</v>
      </c>
      <c r="V1641">
        <v>50</v>
      </c>
      <c r="W1641" t="s">
        <v>542</v>
      </c>
      <c r="X1641" t="s">
        <v>280</v>
      </c>
      <c r="Y1641">
        <v>360</v>
      </c>
      <c r="AB1641">
        <v>5.08</v>
      </c>
      <c r="AC1641" t="s">
        <v>85</v>
      </c>
      <c r="AD1641">
        <v>0.31</v>
      </c>
      <c r="AE1641" t="s">
        <v>138</v>
      </c>
      <c r="AI1641">
        <v>5</v>
      </c>
      <c r="AJ1641" t="s">
        <v>201</v>
      </c>
      <c r="AT1641" t="s">
        <v>382</v>
      </c>
      <c r="AV1641" t="s">
        <v>88</v>
      </c>
    </row>
    <row r="1642" spans="1:53" hidden="1" x14ac:dyDescent="0.3">
      <c r="A1642" t="s">
        <v>537</v>
      </c>
      <c r="C1642" t="s">
        <v>251</v>
      </c>
      <c r="D1642" t="s">
        <v>81</v>
      </c>
      <c r="E1642">
        <v>100000000</v>
      </c>
      <c r="H1642">
        <v>14.25</v>
      </c>
      <c r="I1642" t="s">
        <v>56</v>
      </c>
      <c r="J1642">
        <v>1.4250000000000001E-3</v>
      </c>
      <c r="K1642" t="s">
        <v>57</v>
      </c>
      <c r="L1642" t="s">
        <v>58</v>
      </c>
      <c r="N1642" t="s">
        <v>538</v>
      </c>
      <c r="O1642">
        <v>300</v>
      </c>
      <c r="P1642" t="s">
        <v>262</v>
      </c>
      <c r="S1642">
        <v>1.02</v>
      </c>
      <c r="T1642">
        <v>50</v>
      </c>
      <c r="U1642" t="s">
        <v>539</v>
      </c>
      <c r="V1642">
        <v>50</v>
      </c>
      <c r="W1642" t="s">
        <v>543</v>
      </c>
      <c r="X1642" t="s">
        <v>280</v>
      </c>
      <c r="Y1642">
        <v>360</v>
      </c>
      <c r="AB1642">
        <v>5.07</v>
      </c>
      <c r="AC1642" t="s">
        <v>85</v>
      </c>
      <c r="AD1642">
        <v>0.39</v>
      </c>
      <c r="AE1642" t="s">
        <v>138</v>
      </c>
      <c r="AI1642">
        <v>5</v>
      </c>
      <c r="AJ1642" t="s">
        <v>201</v>
      </c>
      <c r="AT1642" t="s">
        <v>382</v>
      </c>
      <c r="AV1642" t="s">
        <v>88</v>
      </c>
    </row>
    <row r="1643" spans="1:53" hidden="1" x14ac:dyDescent="0.3">
      <c r="A1643" t="s">
        <v>537</v>
      </c>
      <c r="C1643" t="s">
        <v>251</v>
      </c>
      <c r="D1643" t="s">
        <v>81</v>
      </c>
      <c r="E1643">
        <v>100000000</v>
      </c>
      <c r="H1643">
        <v>14.25</v>
      </c>
      <c r="I1643" t="s">
        <v>56</v>
      </c>
      <c r="J1643">
        <v>1.4250000000000001E-3</v>
      </c>
      <c r="K1643" t="s">
        <v>57</v>
      </c>
      <c r="L1643" t="s">
        <v>58</v>
      </c>
      <c r="N1643" t="s">
        <v>538</v>
      </c>
      <c r="O1643">
        <v>300</v>
      </c>
      <c r="P1643" t="s">
        <v>262</v>
      </c>
      <c r="S1643">
        <v>1.02</v>
      </c>
      <c r="T1643">
        <v>50</v>
      </c>
      <c r="U1643" t="s">
        <v>539</v>
      </c>
      <c r="V1643">
        <v>50</v>
      </c>
      <c r="W1643" t="s">
        <v>544</v>
      </c>
      <c r="X1643" t="s">
        <v>280</v>
      </c>
      <c r="Y1643">
        <v>360</v>
      </c>
      <c r="AB1643">
        <v>3.33</v>
      </c>
      <c r="AC1643" t="s">
        <v>85</v>
      </c>
      <c r="AD1643">
        <v>0.21</v>
      </c>
      <c r="AE1643" t="s">
        <v>138</v>
      </c>
      <c r="AI1643">
        <v>5</v>
      </c>
      <c r="AJ1643" t="s">
        <v>201</v>
      </c>
      <c r="AT1643" t="s">
        <v>65</v>
      </c>
      <c r="AV1643" t="s">
        <v>88</v>
      </c>
    </row>
    <row r="1644" spans="1:53" hidden="1" x14ac:dyDescent="0.3">
      <c r="A1644" t="s">
        <v>537</v>
      </c>
      <c r="C1644" t="s">
        <v>251</v>
      </c>
      <c r="D1644" t="s">
        <v>81</v>
      </c>
      <c r="E1644">
        <v>100000000</v>
      </c>
      <c r="H1644">
        <v>14.25</v>
      </c>
      <c r="I1644" t="s">
        <v>56</v>
      </c>
      <c r="J1644">
        <v>1.4250000000000001E-3</v>
      </c>
      <c r="K1644" t="s">
        <v>57</v>
      </c>
      <c r="L1644" t="s">
        <v>58</v>
      </c>
      <c r="N1644" t="s">
        <v>538</v>
      </c>
      <c r="O1644">
        <v>600</v>
      </c>
      <c r="P1644" t="s">
        <v>262</v>
      </c>
      <c r="S1644">
        <v>1.02</v>
      </c>
      <c r="T1644">
        <v>50</v>
      </c>
      <c r="U1644" t="s">
        <v>539</v>
      </c>
      <c r="V1644">
        <v>50</v>
      </c>
      <c r="W1644" t="s">
        <v>147</v>
      </c>
      <c r="X1644" t="s">
        <v>280</v>
      </c>
      <c r="Y1644">
        <v>180</v>
      </c>
      <c r="AB1644">
        <v>4.84</v>
      </c>
      <c r="AC1644" t="s">
        <v>85</v>
      </c>
      <c r="AD1644">
        <v>0.2</v>
      </c>
      <c r="AE1644" t="s">
        <v>138</v>
      </c>
      <c r="AI1644">
        <v>5</v>
      </c>
      <c r="AJ1644" t="s">
        <v>201</v>
      </c>
      <c r="AT1644" t="s">
        <v>150</v>
      </c>
      <c r="AV1644" t="s">
        <v>88</v>
      </c>
    </row>
    <row r="1645" spans="1:53" hidden="1" x14ac:dyDescent="0.3">
      <c r="A1645" t="s">
        <v>537</v>
      </c>
      <c r="C1645" t="s">
        <v>251</v>
      </c>
      <c r="D1645" t="s">
        <v>81</v>
      </c>
      <c r="E1645">
        <v>100000000</v>
      </c>
      <c r="H1645">
        <v>14.25</v>
      </c>
      <c r="I1645" t="s">
        <v>56</v>
      </c>
      <c r="J1645">
        <v>1.4250000000000001E-3</v>
      </c>
      <c r="K1645" t="s">
        <v>57</v>
      </c>
      <c r="L1645" t="s">
        <v>58</v>
      </c>
      <c r="N1645" t="s">
        <v>538</v>
      </c>
      <c r="O1645">
        <v>600</v>
      </c>
      <c r="P1645" t="s">
        <v>262</v>
      </c>
      <c r="S1645">
        <v>1.02</v>
      </c>
      <c r="T1645">
        <v>50</v>
      </c>
      <c r="U1645" t="s">
        <v>539</v>
      </c>
      <c r="V1645">
        <v>50</v>
      </c>
      <c r="W1645" t="s">
        <v>540</v>
      </c>
      <c r="X1645" t="s">
        <v>280</v>
      </c>
      <c r="Y1645">
        <v>180</v>
      </c>
      <c r="AB1645">
        <v>5.78</v>
      </c>
      <c r="AC1645" t="s">
        <v>85</v>
      </c>
      <c r="AD1645">
        <v>0.83</v>
      </c>
      <c r="AE1645" t="s">
        <v>138</v>
      </c>
      <c r="AI1645">
        <v>5</v>
      </c>
      <c r="AJ1645" t="s">
        <v>201</v>
      </c>
      <c r="AT1645" t="s">
        <v>212</v>
      </c>
      <c r="AV1645" t="s">
        <v>88</v>
      </c>
    </row>
    <row r="1646" spans="1:53" hidden="1" x14ac:dyDescent="0.3">
      <c r="A1646" t="s">
        <v>537</v>
      </c>
      <c r="C1646" t="s">
        <v>251</v>
      </c>
      <c r="D1646" t="s">
        <v>81</v>
      </c>
      <c r="E1646">
        <v>100000000</v>
      </c>
      <c r="H1646">
        <v>14.25</v>
      </c>
      <c r="I1646" t="s">
        <v>56</v>
      </c>
      <c r="J1646">
        <v>1.4250000000000001E-3</v>
      </c>
      <c r="K1646" t="s">
        <v>57</v>
      </c>
      <c r="L1646" t="s">
        <v>58</v>
      </c>
      <c r="N1646" t="s">
        <v>538</v>
      </c>
      <c r="O1646">
        <v>600</v>
      </c>
      <c r="P1646" t="s">
        <v>262</v>
      </c>
      <c r="S1646">
        <v>1.02</v>
      </c>
      <c r="T1646">
        <v>50</v>
      </c>
      <c r="U1646" t="s">
        <v>539</v>
      </c>
      <c r="V1646">
        <v>50</v>
      </c>
      <c r="W1646" t="s">
        <v>541</v>
      </c>
      <c r="X1646" t="s">
        <v>280</v>
      </c>
      <c r="Y1646">
        <v>180</v>
      </c>
      <c r="AB1646">
        <v>3.23</v>
      </c>
      <c r="AC1646" t="s">
        <v>85</v>
      </c>
      <c r="AD1646">
        <v>0.06</v>
      </c>
      <c r="AE1646" t="s">
        <v>138</v>
      </c>
      <c r="AI1646">
        <v>5</v>
      </c>
      <c r="AJ1646" t="s">
        <v>201</v>
      </c>
      <c r="AT1646" t="s">
        <v>382</v>
      </c>
      <c r="AV1646" t="s">
        <v>88</v>
      </c>
    </row>
    <row r="1647" spans="1:53" hidden="1" x14ac:dyDescent="0.3">
      <c r="A1647" t="s">
        <v>537</v>
      </c>
      <c r="C1647" t="s">
        <v>251</v>
      </c>
      <c r="D1647" t="s">
        <v>81</v>
      </c>
      <c r="E1647">
        <v>100000000</v>
      </c>
      <c r="H1647">
        <v>14.25</v>
      </c>
      <c r="I1647" t="s">
        <v>56</v>
      </c>
      <c r="J1647">
        <v>1.4250000000000001E-3</v>
      </c>
      <c r="K1647" t="s">
        <v>57</v>
      </c>
      <c r="L1647" t="s">
        <v>58</v>
      </c>
      <c r="N1647" t="s">
        <v>538</v>
      </c>
      <c r="O1647">
        <v>600</v>
      </c>
      <c r="P1647" t="s">
        <v>262</v>
      </c>
      <c r="S1647">
        <v>1.02</v>
      </c>
      <c r="T1647">
        <v>50</v>
      </c>
      <c r="U1647" t="s">
        <v>539</v>
      </c>
      <c r="V1647">
        <v>50</v>
      </c>
      <c r="W1647" t="s">
        <v>542</v>
      </c>
      <c r="X1647" t="s">
        <v>280</v>
      </c>
      <c r="Y1647">
        <v>180</v>
      </c>
      <c r="AA1647" t="s">
        <v>94</v>
      </c>
      <c r="AB1647">
        <v>7.63</v>
      </c>
      <c r="AC1647" t="s">
        <v>85</v>
      </c>
      <c r="AD1647">
        <v>0.08</v>
      </c>
      <c r="AE1647" t="s">
        <v>138</v>
      </c>
      <c r="AI1647">
        <v>5</v>
      </c>
      <c r="AJ1647" t="s">
        <v>201</v>
      </c>
      <c r="AT1647" t="s">
        <v>382</v>
      </c>
      <c r="AV1647" t="s">
        <v>88</v>
      </c>
      <c r="AZ1647">
        <v>0</v>
      </c>
      <c r="BA1647">
        <v>7.63</v>
      </c>
    </row>
    <row r="1648" spans="1:53" hidden="1" x14ac:dyDescent="0.3">
      <c r="A1648" t="s">
        <v>537</v>
      </c>
      <c r="C1648" t="s">
        <v>251</v>
      </c>
      <c r="D1648" t="s">
        <v>81</v>
      </c>
      <c r="E1648">
        <v>100000000</v>
      </c>
      <c r="H1648">
        <v>14.25</v>
      </c>
      <c r="I1648" t="s">
        <v>56</v>
      </c>
      <c r="J1648">
        <v>1.4250000000000001E-3</v>
      </c>
      <c r="K1648" t="s">
        <v>57</v>
      </c>
      <c r="L1648" t="s">
        <v>58</v>
      </c>
      <c r="N1648" t="s">
        <v>538</v>
      </c>
      <c r="O1648">
        <v>600</v>
      </c>
      <c r="P1648" t="s">
        <v>262</v>
      </c>
      <c r="S1648">
        <v>1.02</v>
      </c>
      <c r="T1648">
        <v>50</v>
      </c>
      <c r="U1648" t="s">
        <v>539</v>
      </c>
      <c r="V1648">
        <v>50</v>
      </c>
      <c r="W1648" t="s">
        <v>543</v>
      </c>
      <c r="X1648" t="s">
        <v>280</v>
      </c>
      <c r="Y1648">
        <v>180</v>
      </c>
      <c r="AA1648" t="s">
        <v>94</v>
      </c>
      <c r="AB1648">
        <v>7.2</v>
      </c>
      <c r="AC1648" t="s">
        <v>85</v>
      </c>
      <c r="AD1648">
        <v>0.2</v>
      </c>
      <c r="AE1648" t="s">
        <v>138</v>
      </c>
      <c r="AI1648">
        <v>5</v>
      </c>
      <c r="AJ1648" t="s">
        <v>201</v>
      </c>
      <c r="AT1648" t="s">
        <v>382</v>
      </c>
      <c r="AV1648" t="s">
        <v>88</v>
      </c>
      <c r="AZ1648">
        <v>0</v>
      </c>
      <c r="BA1648">
        <v>7.2</v>
      </c>
    </row>
    <row r="1649" spans="1:53" hidden="1" x14ac:dyDescent="0.3">
      <c r="A1649" t="s">
        <v>537</v>
      </c>
      <c r="C1649" t="s">
        <v>251</v>
      </c>
      <c r="D1649" t="s">
        <v>81</v>
      </c>
      <c r="E1649">
        <v>100000000</v>
      </c>
      <c r="H1649">
        <v>14.25</v>
      </c>
      <c r="I1649" t="s">
        <v>56</v>
      </c>
      <c r="J1649">
        <v>1.4250000000000001E-3</v>
      </c>
      <c r="K1649" t="s">
        <v>57</v>
      </c>
      <c r="L1649" t="s">
        <v>58</v>
      </c>
      <c r="N1649" t="s">
        <v>538</v>
      </c>
      <c r="O1649">
        <v>600</v>
      </c>
      <c r="P1649" t="s">
        <v>262</v>
      </c>
      <c r="S1649">
        <v>1.02</v>
      </c>
      <c r="T1649">
        <v>50</v>
      </c>
      <c r="U1649" t="s">
        <v>539</v>
      </c>
      <c r="V1649">
        <v>50</v>
      </c>
      <c r="W1649" t="s">
        <v>544</v>
      </c>
      <c r="X1649" t="s">
        <v>280</v>
      </c>
      <c r="Y1649">
        <v>180</v>
      </c>
      <c r="AB1649">
        <v>3.38</v>
      </c>
      <c r="AC1649" t="s">
        <v>85</v>
      </c>
      <c r="AD1649">
        <v>0.23</v>
      </c>
      <c r="AE1649" t="s">
        <v>138</v>
      </c>
      <c r="AI1649">
        <v>5</v>
      </c>
      <c r="AJ1649" t="s">
        <v>201</v>
      </c>
      <c r="AT1649" t="s">
        <v>65</v>
      </c>
      <c r="AV1649" t="s">
        <v>88</v>
      </c>
    </row>
    <row r="1650" spans="1:53" hidden="1" x14ac:dyDescent="0.3">
      <c r="A1650" t="s">
        <v>537</v>
      </c>
      <c r="C1650" t="s">
        <v>251</v>
      </c>
      <c r="D1650" t="s">
        <v>81</v>
      </c>
      <c r="E1650">
        <v>100000000</v>
      </c>
      <c r="H1650">
        <v>14.25</v>
      </c>
      <c r="I1650" t="s">
        <v>56</v>
      </c>
      <c r="J1650">
        <v>1.4250000000000001E-3</v>
      </c>
      <c r="K1650" t="s">
        <v>57</v>
      </c>
      <c r="L1650" t="s">
        <v>58</v>
      </c>
      <c r="N1650" t="s">
        <v>538</v>
      </c>
      <c r="O1650">
        <v>300</v>
      </c>
      <c r="P1650" t="s">
        <v>262</v>
      </c>
      <c r="S1650">
        <v>1.02</v>
      </c>
      <c r="T1650">
        <v>50</v>
      </c>
      <c r="U1650" t="s">
        <v>539</v>
      </c>
      <c r="V1650">
        <v>60</v>
      </c>
      <c r="W1650" t="s">
        <v>147</v>
      </c>
      <c r="X1650" t="s">
        <v>280</v>
      </c>
      <c r="Y1650">
        <v>180</v>
      </c>
      <c r="AB1650">
        <v>4.47</v>
      </c>
      <c r="AC1650" t="s">
        <v>85</v>
      </c>
      <c r="AD1650">
        <v>0.22</v>
      </c>
      <c r="AE1650" t="s">
        <v>138</v>
      </c>
      <c r="AI1650">
        <v>5</v>
      </c>
      <c r="AJ1650" t="s">
        <v>201</v>
      </c>
      <c r="AT1650" t="s">
        <v>150</v>
      </c>
      <c r="AV1650" t="s">
        <v>88</v>
      </c>
    </row>
    <row r="1651" spans="1:53" hidden="1" x14ac:dyDescent="0.3">
      <c r="A1651" t="s">
        <v>537</v>
      </c>
      <c r="C1651" t="s">
        <v>251</v>
      </c>
      <c r="D1651" t="s">
        <v>81</v>
      </c>
      <c r="E1651">
        <v>100000000</v>
      </c>
      <c r="H1651">
        <v>14.25</v>
      </c>
      <c r="I1651" t="s">
        <v>56</v>
      </c>
      <c r="J1651">
        <v>1.4250000000000001E-3</v>
      </c>
      <c r="K1651" t="s">
        <v>57</v>
      </c>
      <c r="L1651" t="s">
        <v>58</v>
      </c>
      <c r="N1651" t="s">
        <v>538</v>
      </c>
      <c r="O1651">
        <v>300</v>
      </c>
      <c r="P1651" t="s">
        <v>262</v>
      </c>
      <c r="S1651">
        <v>1.02</v>
      </c>
      <c r="T1651">
        <v>50</v>
      </c>
      <c r="U1651" t="s">
        <v>539</v>
      </c>
      <c r="V1651">
        <v>60</v>
      </c>
      <c r="W1651" t="s">
        <v>540</v>
      </c>
      <c r="X1651" t="s">
        <v>280</v>
      </c>
      <c r="Y1651">
        <v>180</v>
      </c>
      <c r="AB1651">
        <v>5.64</v>
      </c>
      <c r="AC1651" t="s">
        <v>85</v>
      </c>
      <c r="AD1651">
        <v>1.06</v>
      </c>
      <c r="AE1651" t="s">
        <v>138</v>
      </c>
      <c r="AI1651">
        <v>5</v>
      </c>
      <c r="AJ1651" t="s">
        <v>201</v>
      </c>
      <c r="AT1651" t="s">
        <v>212</v>
      </c>
      <c r="AV1651" t="s">
        <v>88</v>
      </c>
    </row>
    <row r="1652" spans="1:53" hidden="1" x14ac:dyDescent="0.3">
      <c r="A1652" t="s">
        <v>537</v>
      </c>
      <c r="C1652" t="s">
        <v>251</v>
      </c>
      <c r="D1652" t="s">
        <v>81</v>
      </c>
      <c r="E1652">
        <v>100000000</v>
      </c>
      <c r="H1652">
        <v>14.25</v>
      </c>
      <c r="I1652" t="s">
        <v>56</v>
      </c>
      <c r="J1652">
        <v>1.4250000000000001E-3</v>
      </c>
      <c r="K1652" t="s">
        <v>57</v>
      </c>
      <c r="L1652" t="s">
        <v>58</v>
      </c>
      <c r="N1652" t="s">
        <v>538</v>
      </c>
      <c r="O1652">
        <v>300</v>
      </c>
      <c r="P1652" t="s">
        <v>262</v>
      </c>
      <c r="S1652">
        <v>1.02</v>
      </c>
      <c r="T1652">
        <v>50</v>
      </c>
      <c r="U1652" t="s">
        <v>539</v>
      </c>
      <c r="V1652">
        <v>60</v>
      </c>
      <c r="W1652" t="s">
        <v>541</v>
      </c>
      <c r="X1652" t="s">
        <v>280</v>
      </c>
      <c r="Y1652">
        <v>180</v>
      </c>
      <c r="AB1652">
        <v>2.72</v>
      </c>
      <c r="AC1652" t="s">
        <v>85</v>
      </c>
      <c r="AD1652">
        <v>7.0000000000000007E-2</v>
      </c>
      <c r="AE1652" t="s">
        <v>138</v>
      </c>
      <c r="AI1652">
        <v>5</v>
      </c>
      <c r="AJ1652" t="s">
        <v>201</v>
      </c>
      <c r="AT1652" t="s">
        <v>382</v>
      </c>
      <c r="AV1652" t="s">
        <v>88</v>
      </c>
    </row>
    <row r="1653" spans="1:53" hidden="1" x14ac:dyDescent="0.3">
      <c r="A1653" t="s">
        <v>537</v>
      </c>
      <c r="C1653" t="s">
        <v>251</v>
      </c>
      <c r="D1653" t="s">
        <v>81</v>
      </c>
      <c r="E1653">
        <v>100000000</v>
      </c>
      <c r="H1653">
        <v>14.25</v>
      </c>
      <c r="I1653" t="s">
        <v>56</v>
      </c>
      <c r="J1653">
        <v>1.4250000000000001E-3</v>
      </c>
      <c r="K1653" t="s">
        <v>57</v>
      </c>
      <c r="L1653" t="s">
        <v>58</v>
      </c>
      <c r="N1653" t="s">
        <v>538</v>
      </c>
      <c r="O1653">
        <v>300</v>
      </c>
      <c r="P1653" t="s">
        <v>262</v>
      </c>
      <c r="S1653">
        <v>1.02</v>
      </c>
      <c r="T1653">
        <v>50</v>
      </c>
      <c r="U1653" t="s">
        <v>539</v>
      </c>
      <c r="V1653">
        <v>60</v>
      </c>
      <c r="W1653" t="s">
        <v>542</v>
      </c>
      <c r="X1653" t="s">
        <v>280</v>
      </c>
      <c r="Y1653">
        <v>180</v>
      </c>
      <c r="AA1653" t="s">
        <v>94</v>
      </c>
      <c r="AB1653">
        <v>7.38</v>
      </c>
      <c r="AC1653" t="s">
        <v>85</v>
      </c>
      <c r="AD1653">
        <v>0.11</v>
      </c>
      <c r="AE1653" t="s">
        <v>138</v>
      </c>
      <c r="AI1653">
        <v>5</v>
      </c>
      <c r="AJ1653" t="s">
        <v>201</v>
      </c>
      <c r="AT1653" t="s">
        <v>382</v>
      </c>
      <c r="AV1653" t="s">
        <v>88</v>
      </c>
      <c r="AZ1653">
        <v>0</v>
      </c>
      <c r="BA1653">
        <v>7.38</v>
      </c>
    </row>
    <row r="1654" spans="1:53" hidden="1" x14ac:dyDescent="0.3">
      <c r="A1654" t="s">
        <v>537</v>
      </c>
      <c r="C1654" t="s">
        <v>251</v>
      </c>
      <c r="D1654" t="s">
        <v>81</v>
      </c>
      <c r="E1654">
        <v>100000000</v>
      </c>
      <c r="H1654">
        <v>14.25</v>
      </c>
      <c r="I1654" t="s">
        <v>56</v>
      </c>
      <c r="J1654">
        <v>1.4250000000000001E-3</v>
      </c>
      <c r="K1654" t="s">
        <v>57</v>
      </c>
      <c r="L1654" t="s">
        <v>58</v>
      </c>
      <c r="N1654" t="s">
        <v>538</v>
      </c>
      <c r="O1654">
        <v>300</v>
      </c>
      <c r="P1654" t="s">
        <v>262</v>
      </c>
      <c r="S1654">
        <v>1.02</v>
      </c>
      <c r="T1654">
        <v>50</v>
      </c>
      <c r="U1654" t="s">
        <v>539</v>
      </c>
      <c r="V1654">
        <v>60</v>
      </c>
      <c r="W1654" t="s">
        <v>543</v>
      </c>
      <c r="X1654" t="s">
        <v>280</v>
      </c>
      <c r="Y1654">
        <v>180</v>
      </c>
      <c r="AB1654">
        <v>5.71</v>
      </c>
      <c r="AC1654" t="s">
        <v>85</v>
      </c>
      <c r="AD1654">
        <v>0.8</v>
      </c>
      <c r="AE1654" t="s">
        <v>138</v>
      </c>
      <c r="AI1654">
        <v>5</v>
      </c>
      <c r="AJ1654" t="s">
        <v>201</v>
      </c>
      <c r="AT1654" t="s">
        <v>382</v>
      </c>
      <c r="AV1654" t="s">
        <v>88</v>
      </c>
    </row>
    <row r="1655" spans="1:53" hidden="1" x14ac:dyDescent="0.3">
      <c r="A1655" t="s">
        <v>537</v>
      </c>
      <c r="C1655" t="s">
        <v>251</v>
      </c>
      <c r="D1655" t="s">
        <v>81</v>
      </c>
      <c r="E1655">
        <v>100000000</v>
      </c>
      <c r="H1655">
        <v>14.25</v>
      </c>
      <c r="I1655" t="s">
        <v>56</v>
      </c>
      <c r="J1655">
        <v>1.4250000000000001E-3</v>
      </c>
      <c r="K1655" t="s">
        <v>57</v>
      </c>
      <c r="L1655" t="s">
        <v>58</v>
      </c>
      <c r="N1655" t="s">
        <v>538</v>
      </c>
      <c r="O1655">
        <v>300</v>
      </c>
      <c r="P1655" t="s">
        <v>262</v>
      </c>
      <c r="S1655">
        <v>1.02</v>
      </c>
      <c r="T1655">
        <v>50</v>
      </c>
      <c r="U1655" t="s">
        <v>539</v>
      </c>
      <c r="V1655">
        <v>60</v>
      </c>
      <c r="W1655" t="s">
        <v>544</v>
      </c>
      <c r="X1655" t="s">
        <v>280</v>
      </c>
      <c r="Y1655">
        <v>180</v>
      </c>
      <c r="AB1655">
        <v>3.49</v>
      </c>
      <c r="AC1655" t="s">
        <v>85</v>
      </c>
      <c r="AD1655">
        <v>0.4</v>
      </c>
      <c r="AE1655" t="s">
        <v>138</v>
      </c>
      <c r="AI1655">
        <v>5</v>
      </c>
      <c r="AJ1655" t="s">
        <v>201</v>
      </c>
      <c r="AT1655" t="s">
        <v>65</v>
      </c>
      <c r="AV1655" t="s">
        <v>88</v>
      </c>
    </row>
    <row r="1656" spans="1:53" hidden="1" x14ac:dyDescent="0.3">
      <c r="A1656" t="s">
        <v>537</v>
      </c>
      <c r="C1656" t="s">
        <v>251</v>
      </c>
      <c r="D1656" t="s">
        <v>81</v>
      </c>
      <c r="E1656">
        <v>100000000</v>
      </c>
      <c r="H1656">
        <v>14.25</v>
      </c>
      <c r="I1656" t="s">
        <v>56</v>
      </c>
      <c r="J1656">
        <v>1.4250000000000001E-3</v>
      </c>
      <c r="K1656" t="s">
        <v>57</v>
      </c>
      <c r="L1656" t="s">
        <v>58</v>
      </c>
      <c r="N1656" t="s">
        <v>538</v>
      </c>
      <c r="O1656">
        <v>600</v>
      </c>
      <c r="P1656" t="s">
        <v>262</v>
      </c>
      <c r="S1656">
        <v>1.02</v>
      </c>
      <c r="T1656">
        <v>50</v>
      </c>
      <c r="U1656" t="s">
        <v>539</v>
      </c>
      <c r="V1656">
        <v>60</v>
      </c>
      <c r="W1656" t="s">
        <v>147</v>
      </c>
      <c r="X1656" t="s">
        <v>280</v>
      </c>
      <c r="Y1656">
        <v>360</v>
      </c>
      <c r="AB1656">
        <v>4.91</v>
      </c>
      <c r="AC1656" t="s">
        <v>85</v>
      </c>
      <c r="AD1656">
        <v>0.18</v>
      </c>
      <c r="AE1656" t="s">
        <v>138</v>
      </c>
      <c r="AI1656">
        <v>5</v>
      </c>
      <c r="AJ1656" t="s">
        <v>201</v>
      </c>
      <c r="AT1656" t="s">
        <v>150</v>
      </c>
      <c r="AV1656" t="s">
        <v>88</v>
      </c>
    </row>
    <row r="1657" spans="1:53" hidden="1" x14ac:dyDescent="0.3">
      <c r="A1657" t="s">
        <v>537</v>
      </c>
      <c r="C1657" t="s">
        <v>251</v>
      </c>
      <c r="D1657" t="s">
        <v>81</v>
      </c>
      <c r="E1657">
        <v>100000000</v>
      </c>
      <c r="H1657">
        <v>14.25</v>
      </c>
      <c r="I1657" t="s">
        <v>56</v>
      </c>
      <c r="J1657">
        <v>1.4250000000000001E-3</v>
      </c>
      <c r="K1657" t="s">
        <v>57</v>
      </c>
      <c r="L1657" t="s">
        <v>58</v>
      </c>
      <c r="N1657" t="s">
        <v>538</v>
      </c>
      <c r="O1657">
        <v>600</v>
      </c>
      <c r="P1657" t="s">
        <v>262</v>
      </c>
      <c r="S1657">
        <v>1.02</v>
      </c>
      <c r="T1657">
        <v>50</v>
      </c>
      <c r="U1657" t="s">
        <v>539</v>
      </c>
      <c r="V1657">
        <v>60</v>
      </c>
      <c r="W1657" t="s">
        <v>540</v>
      </c>
      <c r="X1657" t="s">
        <v>280</v>
      </c>
      <c r="Y1657">
        <v>360</v>
      </c>
      <c r="AA1657" t="s">
        <v>94</v>
      </c>
      <c r="AB1657">
        <v>6.6</v>
      </c>
      <c r="AC1657" t="s">
        <v>85</v>
      </c>
      <c r="AD1657">
        <v>0.19</v>
      </c>
      <c r="AE1657" t="s">
        <v>138</v>
      </c>
      <c r="AI1657">
        <v>5</v>
      </c>
      <c r="AJ1657" t="s">
        <v>201</v>
      </c>
      <c r="AT1657" t="s">
        <v>212</v>
      </c>
      <c r="AV1657" t="s">
        <v>88</v>
      </c>
      <c r="AZ1657">
        <v>0</v>
      </c>
      <c r="BA1657">
        <v>6.6</v>
      </c>
    </row>
    <row r="1658" spans="1:53" hidden="1" x14ac:dyDescent="0.3">
      <c r="A1658" t="s">
        <v>537</v>
      </c>
      <c r="C1658" t="s">
        <v>251</v>
      </c>
      <c r="D1658" t="s">
        <v>81</v>
      </c>
      <c r="E1658">
        <v>100000000</v>
      </c>
      <c r="H1658">
        <v>14.25</v>
      </c>
      <c r="I1658" t="s">
        <v>56</v>
      </c>
      <c r="J1658">
        <v>1.4250000000000001E-3</v>
      </c>
      <c r="K1658" t="s">
        <v>57</v>
      </c>
      <c r="L1658" t="s">
        <v>58</v>
      </c>
      <c r="N1658" t="s">
        <v>538</v>
      </c>
      <c r="O1658">
        <v>600</v>
      </c>
      <c r="P1658" t="s">
        <v>262</v>
      </c>
      <c r="S1658">
        <v>1.02</v>
      </c>
      <c r="T1658">
        <v>50</v>
      </c>
      <c r="U1658" t="s">
        <v>539</v>
      </c>
      <c r="V1658">
        <v>60</v>
      </c>
      <c r="W1658" t="s">
        <v>541</v>
      </c>
      <c r="X1658" t="s">
        <v>280</v>
      </c>
      <c r="Y1658">
        <v>360</v>
      </c>
      <c r="AB1658">
        <v>3.6</v>
      </c>
      <c r="AC1658" t="s">
        <v>85</v>
      </c>
      <c r="AD1658">
        <v>0.16</v>
      </c>
      <c r="AE1658" t="s">
        <v>138</v>
      </c>
      <c r="AI1658">
        <v>5</v>
      </c>
      <c r="AJ1658" t="s">
        <v>201</v>
      </c>
      <c r="AT1658" t="s">
        <v>382</v>
      </c>
      <c r="AV1658" t="s">
        <v>88</v>
      </c>
    </row>
    <row r="1659" spans="1:53" hidden="1" x14ac:dyDescent="0.3">
      <c r="A1659" t="s">
        <v>537</v>
      </c>
      <c r="C1659" t="s">
        <v>251</v>
      </c>
      <c r="D1659" t="s">
        <v>81</v>
      </c>
      <c r="E1659">
        <v>100000000</v>
      </c>
      <c r="H1659">
        <v>14.25</v>
      </c>
      <c r="I1659" t="s">
        <v>56</v>
      </c>
      <c r="J1659">
        <v>1.4250000000000001E-3</v>
      </c>
      <c r="K1659" t="s">
        <v>57</v>
      </c>
      <c r="L1659" t="s">
        <v>58</v>
      </c>
      <c r="N1659" t="s">
        <v>538</v>
      </c>
      <c r="O1659">
        <v>600</v>
      </c>
      <c r="P1659" t="s">
        <v>262</v>
      </c>
      <c r="S1659">
        <v>1.02</v>
      </c>
      <c r="T1659">
        <v>50</v>
      </c>
      <c r="U1659" t="s">
        <v>539</v>
      </c>
      <c r="V1659">
        <v>60</v>
      </c>
      <c r="W1659" t="s">
        <v>542</v>
      </c>
      <c r="X1659" t="s">
        <v>280</v>
      </c>
      <c r="Y1659">
        <v>360</v>
      </c>
      <c r="AB1659">
        <v>5.47</v>
      </c>
      <c r="AC1659" t="s">
        <v>85</v>
      </c>
      <c r="AD1659">
        <v>0.89</v>
      </c>
      <c r="AE1659" t="s">
        <v>138</v>
      </c>
      <c r="AI1659">
        <v>5</v>
      </c>
      <c r="AJ1659" t="s">
        <v>201</v>
      </c>
      <c r="AT1659" t="s">
        <v>382</v>
      </c>
      <c r="AV1659" t="s">
        <v>88</v>
      </c>
    </row>
    <row r="1660" spans="1:53" hidden="1" x14ac:dyDescent="0.3">
      <c r="A1660" t="s">
        <v>537</v>
      </c>
      <c r="C1660" t="s">
        <v>251</v>
      </c>
      <c r="D1660" t="s">
        <v>81</v>
      </c>
      <c r="E1660">
        <v>100000000</v>
      </c>
      <c r="H1660">
        <v>14.25</v>
      </c>
      <c r="I1660" t="s">
        <v>56</v>
      </c>
      <c r="J1660">
        <v>1.4250000000000001E-3</v>
      </c>
      <c r="K1660" t="s">
        <v>57</v>
      </c>
      <c r="L1660" t="s">
        <v>58</v>
      </c>
      <c r="N1660" t="s">
        <v>538</v>
      </c>
      <c r="O1660">
        <v>600</v>
      </c>
      <c r="P1660" t="s">
        <v>262</v>
      </c>
      <c r="S1660">
        <v>1.02</v>
      </c>
      <c r="T1660">
        <v>50</v>
      </c>
      <c r="U1660" t="s">
        <v>539</v>
      </c>
      <c r="V1660">
        <v>60</v>
      </c>
      <c r="W1660" t="s">
        <v>543</v>
      </c>
      <c r="X1660" t="s">
        <v>280</v>
      </c>
      <c r="Y1660">
        <v>360</v>
      </c>
      <c r="AB1660">
        <v>5.65</v>
      </c>
      <c r="AC1660" t="s">
        <v>85</v>
      </c>
      <c r="AD1660">
        <v>0.88</v>
      </c>
      <c r="AE1660" t="s">
        <v>138</v>
      </c>
      <c r="AI1660">
        <v>5</v>
      </c>
      <c r="AJ1660" t="s">
        <v>201</v>
      </c>
      <c r="AT1660" t="s">
        <v>382</v>
      </c>
      <c r="AV1660" t="s">
        <v>88</v>
      </c>
    </row>
    <row r="1661" spans="1:53" hidden="1" x14ac:dyDescent="0.3">
      <c r="A1661" t="s">
        <v>537</v>
      </c>
      <c r="C1661" t="s">
        <v>251</v>
      </c>
      <c r="D1661" t="s">
        <v>81</v>
      </c>
      <c r="E1661">
        <v>100000000</v>
      </c>
      <c r="H1661">
        <v>14.25</v>
      </c>
      <c r="I1661" t="s">
        <v>56</v>
      </c>
      <c r="J1661">
        <v>1.4250000000000001E-3</v>
      </c>
      <c r="K1661" t="s">
        <v>57</v>
      </c>
      <c r="L1661" t="s">
        <v>58</v>
      </c>
      <c r="N1661" t="s">
        <v>538</v>
      </c>
      <c r="O1661">
        <v>600</v>
      </c>
      <c r="P1661" t="s">
        <v>262</v>
      </c>
      <c r="S1661">
        <v>1.02</v>
      </c>
      <c r="T1661">
        <v>50</v>
      </c>
      <c r="U1661" t="s">
        <v>539</v>
      </c>
      <c r="V1661">
        <v>60</v>
      </c>
      <c r="W1661" t="s">
        <v>544</v>
      </c>
      <c r="X1661" t="s">
        <v>280</v>
      </c>
      <c r="Y1661">
        <v>360</v>
      </c>
      <c r="AB1661">
        <v>3.16</v>
      </c>
      <c r="AC1661" t="s">
        <v>85</v>
      </c>
      <c r="AD1661">
        <v>0.39</v>
      </c>
      <c r="AE1661" t="s">
        <v>138</v>
      </c>
      <c r="AI1661">
        <v>5</v>
      </c>
      <c r="AJ1661" t="s">
        <v>201</v>
      </c>
      <c r="AT1661" t="s">
        <v>65</v>
      </c>
      <c r="AV1661" t="s">
        <v>88</v>
      </c>
    </row>
    <row r="1662" spans="1:53" hidden="1" x14ac:dyDescent="0.3">
      <c r="A1662" t="s">
        <v>537</v>
      </c>
      <c r="C1662" t="s">
        <v>251</v>
      </c>
      <c r="D1662" t="s">
        <v>81</v>
      </c>
      <c r="E1662">
        <v>100000000</v>
      </c>
      <c r="H1662">
        <v>14.25</v>
      </c>
      <c r="I1662" t="s">
        <v>56</v>
      </c>
      <c r="J1662">
        <v>1.4250000000000001E-3</v>
      </c>
      <c r="K1662" t="s">
        <v>57</v>
      </c>
      <c r="L1662" t="s">
        <v>58</v>
      </c>
      <c r="N1662" t="s">
        <v>538</v>
      </c>
      <c r="O1662">
        <v>150</v>
      </c>
      <c r="P1662" t="s">
        <v>262</v>
      </c>
      <c r="S1662">
        <v>1.02</v>
      </c>
      <c r="T1662">
        <v>50</v>
      </c>
      <c r="U1662" t="s">
        <v>539</v>
      </c>
      <c r="V1662">
        <v>75</v>
      </c>
      <c r="W1662" t="s">
        <v>147</v>
      </c>
      <c r="X1662" t="s">
        <v>280</v>
      </c>
      <c r="Y1662">
        <v>180</v>
      </c>
      <c r="AA1662" t="s">
        <v>94</v>
      </c>
      <c r="AB1662">
        <v>7.99</v>
      </c>
      <c r="AC1662" t="s">
        <v>85</v>
      </c>
      <c r="AD1662">
        <v>0.02</v>
      </c>
      <c r="AE1662" t="s">
        <v>138</v>
      </c>
      <c r="AI1662">
        <v>5</v>
      </c>
      <c r="AJ1662" t="s">
        <v>201</v>
      </c>
      <c r="AT1662" t="s">
        <v>150</v>
      </c>
      <c r="AV1662" t="s">
        <v>88</v>
      </c>
      <c r="AZ1662">
        <v>0</v>
      </c>
      <c r="BA1662">
        <v>7.99</v>
      </c>
    </row>
    <row r="1663" spans="1:53" hidden="1" x14ac:dyDescent="0.3">
      <c r="A1663" t="s">
        <v>537</v>
      </c>
      <c r="C1663" t="s">
        <v>251</v>
      </c>
      <c r="D1663" t="s">
        <v>81</v>
      </c>
      <c r="E1663">
        <v>100000000</v>
      </c>
      <c r="H1663">
        <v>14.25</v>
      </c>
      <c r="I1663" t="s">
        <v>56</v>
      </c>
      <c r="J1663">
        <v>1.4250000000000001E-3</v>
      </c>
      <c r="K1663" t="s">
        <v>57</v>
      </c>
      <c r="L1663" t="s">
        <v>58</v>
      </c>
      <c r="N1663" t="s">
        <v>538</v>
      </c>
      <c r="O1663">
        <v>150</v>
      </c>
      <c r="P1663" t="s">
        <v>262</v>
      </c>
      <c r="S1663">
        <v>1.02</v>
      </c>
      <c r="T1663">
        <v>50</v>
      </c>
      <c r="U1663" t="s">
        <v>539</v>
      </c>
      <c r="V1663">
        <v>75</v>
      </c>
      <c r="W1663" t="s">
        <v>540</v>
      </c>
      <c r="X1663" t="s">
        <v>280</v>
      </c>
      <c r="Y1663">
        <v>180</v>
      </c>
      <c r="AA1663" t="s">
        <v>94</v>
      </c>
      <c r="AB1663">
        <v>6.13</v>
      </c>
      <c r="AC1663" t="s">
        <v>85</v>
      </c>
      <c r="AD1663">
        <v>0.12</v>
      </c>
      <c r="AE1663" t="s">
        <v>138</v>
      </c>
      <c r="AI1663">
        <v>5</v>
      </c>
      <c r="AJ1663" t="s">
        <v>201</v>
      </c>
      <c r="AT1663" t="s">
        <v>212</v>
      </c>
      <c r="AV1663" t="s">
        <v>88</v>
      </c>
      <c r="AZ1663">
        <v>0</v>
      </c>
      <c r="BA1663">
        <v>6.13</v>
      </c>
    </row>
    <row r="1664" spans="1:53" hidden="1" x14ac:dyDescent="0.3">
      <c r="A1664" t="s">
        <v>537</v>
      </c>
      <c r="C1664" t="s">
        <v>251</v>
      </c>
      <c r="D1664" t="s">
        <v>81</v>
      </c>
      <c r="E1664">
        <v>100000000</v>
      </c>
      <c r="H1664">
        <v>14.25</v>
      </c>
      <c r="I1664" t="s">
        <v>56</v>
      </c>
      <c r="J1664">
        <v>1.4250000000000001E-3</v>
      </c>
      <c r="K1664" t="s">
        <v>57</v>
      </c>
      <c r="L1664" t="s">
        <v>58</v>
      </c>
      <c r="N1664" t="s">
        <v>538</v>
      </c>
      <c r="O1664">
        <v>150</v>
      </c>
      <c r="P1664" t="s">
        <v>262</v>
      </c>
      <c r="S1664">
        <v>1.02</v>
      </c>
      <c r="T1664">
        <v>50</v>
      </c>
      <c r="U1664" t="s">
        <v>539</v>
      </c>
      <c r="V1664">
        <v>75</v>
      </c>
      <c r="W1664" t="s">
        <v>541</v>
      </c>
      <c r="X1664" t="s">
        <v>280</v>
      </c>
      <c r="Y1664">
        <v>180</v>
      </c>
      <c r="AA1664" t="s">
        <v>94</v>
      </c>
      <c r="AB1664">
        <v>7.63</v>
      </c>
      <c r="AC1664" t="s">
        <v>85</v>
      </c>
      <c r="AD1664">
        <v>0.19</v>
      </c>
      <c r="AE1664" t="s">
        <v>138</v>
      </c>
      <c r="AI1664">
        <v>5</v>
      </c>
      <c r="AJ1664" t="s">
        <v>201</v>
      </c>
      <c r="AT1664" t="s">
        <v>382</v>
      </c>
      <c r="AV1664" t="s">
        <v>88</v>
      </c>
      <c r="AZ1664">
        <v>0</v>
      </c>
      <c r="BA1664">
        <v>7.63</v>
      </c>
    </row>
    <row r="1665" spans="1:53" hidden="1" x14ac:dyDescent="0.3">
      <c r="A1665" t="s">
        <v>537</v>
      </c>
      <c r="C1665" t="s">
        <v>251</v>
      </c>
      <c r="D1665" t="s">
        <v>81</v>
      </c>
      <c r="E1665">
        <v>100000000</v>
      </c>
      <c r="H1665">
        <v>14.25</v>
      </c>
      <c r="I1665" t="s">
        <v>56</v>
      </c>
      <c r="J1665">
        <v>1.4250000000000001E-3</v>
      </c>
      <c r="K1665" t="s">
        <v>57</v>
      </c>
      <c r="L1665" t="s">
        <v>58</v>
      </c>
      <c r="N1665" t="s">
        <v>538</v>
      </c>
      <c r="O1665">
        <v>150</v>
      </c>
      <c r="P1665" t="s">
        <v>262</v>
      </c>
      <c r="S1665">
        <v>1.02</v>
      </c>
      <c r="T1665">
        <v>50</v>
      </c>
      <c r="U1665" t="s">
        <v>539</v>
      </c>
      <c r="V1665">
        <v>75</v>
      </c>
      <c r="W1665" t="s">
        <v>542</v>
      </c>
      <c r="X1665" t="s">
        <v>280</v>
      </c>
      <c r="Y1665">
        <v>180</v>
      </c>
      <c r="AA1665" t="s">
        <v>94</v>
      </c>
      <c r="AB1665">
        <v>7.3</v>
      </c>
      <c r="AC1665" t="s">
        <v>85</v>
      </c>
      <c r="AD1665">
        <v>0.14000000000000001</v>
      </c>
      <c r="AE1665" t="s">
        <v>138</v>
      </c>
      <c r="AI1665">
        <v>5</v>
      </c>
      <c r="AJ1665" t="s">
        <v>201</v>
      </c>
      <c r="AT1665" t="s">
        <v>382</v>
      </c>
      <c r="AV1665" t="s">
        <v>88</v>
      </c>
      <c r="AZ1665">
        <v>0</v>
      </c>
      <c r="BA1665">
        <v>7.3</v>
      </c>
    </row>
    <row r="1666" spans="1:53" hidden="1" x14ac:dyDescent="0.3">
      <c r="A1666" t="s">
        <v>537</v>
      </c>
      <c r="C1666" t="s">
        <v>251</v>
      </c>
      <c r="D1666" t="s">
        <v>81</v>
      </c>
      <c r="E1666">
        <v>100000000</v>
      </c>
      <c r="H1666">
        <v>14.25</v>
      </c>
      <c r="I1666" t="s">
        <v>56</v>
      </c>
      <c r="J1666">
        <v>1.4250000000000001E-3</v>
      </c>
      <c r="K1666" t="s">
        <v>57</v>
      </c>
      <c r="L1666" t="s">
        <v>58</v>
      </c>
      <c r="N1666" t="s">
        <v>538</v>
      </c>
      <c r="O1666">
        <v>150</v>
      </c>
      <c r="P1666" t="s">
        <v>262</v>
      </c>
      <c r="S1666">
        <v>1.02</v>
      </c>
      <c r="T1666">
        <v>50</v>
      </c>
      <c r="U1666" t="s">
        <v>539</v>
      </c>
      <c r="V1666">
        <v>75</v>
      </c>
      <c r="W1666" t="s">
        <v>543</v>
      </c>
      <c r="X1666" t="s">
        <v>280</v>
      </c>
      <c r="Y1666">
        <v>180</v>
      </c>
      <c r="AA1666" t="s">
        <v>94</v>
      </c>
      <c r="AB1666">
        <v>7.01</v>
      </c>
      <c r="AC1666" t="s">
        <v>85</v>
      </c>
      <c r="AD1666">
        <v>0.14000000000000001</v>
      </c>
      <c r="AE1666" t="s">
        <v>138</v>
      </c>
      <c r="AI1666">
        <v>5</v>
      </c>
      <c r="AJ1666" t="s">
        <v>201</v>
      </c>
      <c r="AT1666" t="s">
        <v>382</v>
      </c>
      <c r="AV1666" t="s">
        <v>88</v>
      </c>
      <c r="AZ1666">
        <v>0</v>
      </c>
      <c r="BA1666">
        <v>7.01</v>
      </c>
    </row>
    <row r="1667" spans="1:53" hidden="1" x14ac:dyDescent="0.3">
      <c r="A1667" t="s">
        <v>537</v>
      </c>
      <c r="C1667" t="s">
        <v>251</v>
      </c>
      <c r="D1667" t="s">
        <v>81</v>
      </c>
      <c r="E1667">
        <v>100000000</v>
      </c>
      <c r="H1667">
        <v>14.25</v>
      </c>
      <c r="I1667" t="s">
        <v>56</v>
      </c>
      <c r="J1667">
        <v>1.4250000000000001E-3</v>
      </c>
      <c r="K1667" t="s">
        <v>57</v>
      </c>
      <c r="L1667" t="s">
        <v>58</v>
      </c>
      <c r="N1667" t="s">
        <v>538</v>
      </c>
      <c r="O1667">
        <v>150</v>
      </c>
      <c r="P1667" t="s">
        <v>262</v>
      </c>
      <c r="S1667">
        <v>1.02</v>
      </c>
      <c r="T1667">
        <v>50</v>
      </c>
      <c r="U1667" t="s">
        <v>539</v>
      </c>
      <c r="V1667">
        <v>75</v>
      </c>
      <c r="W1667" t="s">
        <v>544</v>
      </c>
      <c r="X1667" t="s">
        <v>280</v>
      </c>
      <c r="Y1667">
        <v>180</v>
      </c>
      <c r="AA1667" t="s">
        <v>94</v>
      </c>
      <c r="AB1667">
        <v>7.03</v>
      </c>
      <c r="AC1667" t="s">
        <v>85</v>
      </c>
      <c r="AD1667">
        <v>0.08</v>
      </c>
      <c r="AE1667" t="s">
        <v>138</v>
      </c>
      <c r="AI1667">
        <v>5</v>
      </c>
      <c r="AJ1667" t="s">
        <v>201</v>
      </c>
      <c r="AT1667" t="s">
        <v>65</v>
      </c>
      <c r="AV1667" t="s">
        <v>88</v>
      </c>
      <c r="AZ1667">
        <v>0</v>
      </c>
      <c r="BA1667">
        <v>7.03</v>
      </c>
    </row>
    <row r="1668" spans="1:53" hidden="1" x14ac:dyDescent="0.3">
      <c r="A1668" t="s">
        <v>537</v>
      </c>
      <c r="C1668" t="s">
        <v>251</v>
      </c>
      <c r="D1668" t="s">
        <v>81</v>
      </c>
      <c r="E1668">
        <v>100000000</v>
      </c>
      <c r="H1668">
        <v>14.25</v>
      </c>
      <c r="I1668" t="s">
        <v>56</v>
      </c>
      <c r="J1668">
        <v>1.4250000000000001E-3</v>
      </c>
      <c r="K1668" t="s">
        <v>57</v>
      </c>
      <c r="L1668" t="s">
        <v>58</v>
      </c>
      <c r="N1668" t="s">
        <v>538</v>
      </c>
      <c r="O1668">
        <v>300</v>
      </c>
      <c r="P1668" t="s">
        <v>262</v>
      </c>
      <c r="S1668">
        <v>1.02</v>
      </c>
      <c r="T1668">
        <v>50</v>
      </c>
      <c r="U1668" t="s">
        <v>539</v>
      </c>
      <c r="V1668">
        <v>75</v>
      </c>
      <c r="W1668" t="s">
        <v>147</v>
      </c>
      <c r="X1668" t="s">
        <v>280</v>
      </c>
      <c r="Y1668">
        <v>45</v>
      </c>
      <c r="AA1668" t="s">
        <v>94</v>
      </c>
      <c r="AB1668">
        <v>7.9</v>
      </c>
      <c r="AC1668" t="s">
        <v>85</v>
      </c>
      <c r="AD1668">
        <v>0.01</v>
      </c>
      <c r="AE1668" t="s">
        <v>138</v>
      </c>
      <c r="AI1668">
        <v>5</v>
      </c>
      <c r="AJ1668" t="s">
        <v>201</v>
      </c>
      <c r="AT1668" t="s">
        <v>150</v>
      </c>
      <c r="AV1668" t="s">
        <v>88</v>
      </c>
      <c r="AZ1668">
        <v>0</v>
      </c>
      <c r="BA1668">
        <v>7.9</v>
      </c>
    </row>
    <row r="1669" spans="1:53" hidden="1" x14ac:dyDescent="0.3">
      <c r="A1669" t="s">
        <v>537</v>
      </c>
      <c r="C1669" t="s">
        <v>251</v>
      </c>
      <c r="D1669" t="s">
        <v>81</v>
      </c>
      <c r="E1669">
        <v>100000000</v>
      </c>
      <c r="H1669">
        <v>14.25</v>
      </c>
      <c r="I1669" t="s">
        <v>56</v>
      </c>
      <c r="J1669">
        <v>1.4250000000000001E-3</v>
      </c>
      <c r="K1669" t="s">
        <v>57</v>
      </c>
      <c r="L1669" t="s">
        <v>58</v>
      </c>
      <c r="N1669" t="s">
        <v>538</v>
      </c>
      <c r="O1669">
        <v>300</v>
      </c>
      <c r="P1669" t="s">
        <v>262</v>
      </c>
      <c r="S1669">
        <v>1.02</v>
      </c>
      <c r="T1669">
        <v>50</v>
      </c>
      <c r="U1669" t="s">
        <v>539</v>
      </c>
      <c r="V1669">
        <v>75</v>
      </c>
      <c r="W1669" t="s">
        <v>540</v>
      </c>
      <c r="X1669" t="s">
        <v>280</v>
      </c>
      <c r="Y1669">
        <v>45</v>
      </c>
      <c r="AA1669" t="s">
        <v>94</v>
      </c>
      <c r="AB1669">
        <v>6.78</v>
      </c>
      <c r="AC1669" t="s">
        <v>85</v>
      </c>
      <c r="AD1669">
        <v>0.09</v>
      </c>
      <c r="AE1669" t="s">
        <v>138</v>
      </c>
      <c r="AI1669">
        <v>5</v>
      </c>
      <c r="AJ1669" t="s">
        <v>201</v>
      </c>
      <c r="AT1669" t="s">
        <v>212</v>
      </c>
      <c r="AV1669" t="s">
        <v>88</v>
      </c>
      <c r="AZ1669">
        <v>0</v>
      </c>
      <c r="BA1669">
        <v>6.78</v>
      </c>
    </row>
    <row r="1670" spans="1:53" hidden="1" x14ac:dyDescent="0.3">
      <c r="A1670" t="s">
        <v>537</v>
      </c>
      <c r="C1670" t="s">
        <v>251</v>
      </c>
      <c r="D1670" t="s">
        <v>81</v>
      </c>
      <c r="E1670">
        <v>100000000</v>
      </c>
      <c r="H1670">
        <v>14.25</v>
      </c>
      <c r="I1670" t="s">
        <v>56</v>
      </c>
      <c r="J1670">
        <v>1.4250000000000001E-3</v>
      </c>
      <c r="K1670" t="s">
        <v>57</v>
      </c>
      <c r="L1670" t="s">
        <v>58</v>
      </c>
      <c r="N1670" t="s">
        <v>538</v>
      </c>
      <c r="O1670">
        <v>300</v>
      </c>
      <c r="P1670" t="s">
        <v>262</v>
      </c>
      <c r="S1670">
        <v>1.02</v>
      </c>
      <c r="T1670">
        <v>50</v>
      </c>
      <c r="U1670" t="s">
        <v>539</v>
      </c>
      <c r="V1670">
        <v>75</v>
      </c>
      <c r="W1670" t="s">
        <v>541</v>
      </c>
      <c r="X1670" t="s">
        <v>280</v>
      </c>
      <c r="Y1670">
        <v>45</v>
      </c>
      <c r="AA1670" t="s">
        <v>94</v>
      </c>
      <c r="AB1670">
        <v>7.91</v>
      </c>
      <c r="AC1670" t="s">
        <v>85</v>
      </c>
      <c r="AD1670">
        <v>0.02</v>
      </c>
      <c r="AE1670" t="s">
        <v>138</v>
      </c>
      <c r="AI1670">
        <v>5</v>
      </c>
      <c r="AJ1670" t="s">
        <v>201</v>
      </c>
      <c r="AT1670" t="s">
        <v>382</v>
      </c>
      <c r="AV1670" t="s">
        <v>88</v>
      </c>
      <c r="AZ1670">
        <v>0</v>
      </c>
      <c r="BA1670">
        <v>7.91</v>
      </c>
    </row>
    <row r="1671" spans="1:53" hidden="1" x14ac:dyDescent="0.3">
      <c r="A1671" t="s">
        <v>537</v>
      </c>
      <c r="C1671" t="s">
        <v>251</v>
      </c>
      <c r="D1671" t="s">
        <v>81</v>
      </c>
      <c r="E1671">
        <v>100000000</v>
      </c>
      <c r="H1671">
        <v>14.25</v>
      </c>
      <c r="I1671" t="s">
        <v>56</v>
      </c>
      <c r="J1671">
        <v>1.4250000000000001E-3</v>
      </c>
      <c r="K1671" t="s">
        <v>57</v>
      </c>
      <c r="L1671" t="s">
        <v>58</v>
      </c>
      <c r="N1671" t="s">
        <v>538</v>
      </c>
      <c r="O1671">
        <v>300</v>
      </c>
      <c r="P1671" t="s">
        <v>262</v>
      </c>
      <c r="S1671">
        <v>1.02</v>
      </c>
      <c r="T1671">
        <v>50</v>
      </c>
      <c r="U1671" t="s">
        <v>539</v>
      </c>
      <c r="V1671">
        <v>75</v>
      </c>
      <c r="W1671" t="s">
        <v>542</v>
      </c>
      <c r="X1671" t="s">
        <v>280</v>
      </c>
      <c r="Y1671">
        <v>45</v>
      </c>
      <c r="AA1671" t="s">
        <v>94</v>
      </c>
      <c r="AB1671">
        <v>7.72</v>
      </c>
      <c r="AC1671" t="s">
        <v>85</v>
      </c>
      <c r="AD1671">
        <v>0.09</v>
      </c>
      <c r="AE1671" t="s">
        <v>138</v>
      </c>
      <c r="AI1671">
        <v>5</v>
      </c>
      <c r="AJ1671" t="s">
        <v>201</v>
      </c>
      <c r="AT1671" t="s">
        <v>382</v>
      </c>
      <c r="AV1671" t="s">
        <v>88</v>
      </c>
      <c r="AZ1671">
        <v>0</v>
      </c>
      <c r="BA1671">
        <v>7.72</v>
      </c>
    </row>
    <row r="1672" spans="1:53" hidden="1" x14ac:dyDescent="0.3">
      <c r="A1672" t="s">
        <v>537</v>
      </c>
      <c r="C1672" t="s">
        <v>251</v>
      </c>
      <c r="D1672" t="s">
        <v>81</v>
      </c>
      <c r="E1672">
        <v>100000000</v>
      </c>
      <c r="H1672">
        <v>14.25</v>
      </c>
      <c r="I1672" t="s">
        <v>56</v>
      </c>
      <c r="J1672">
        <v>1.4250000000000001E-3</v>
      </c>
      <c r="K1672" t="s">
        <v>57</v>
      </c>
      <c r="L1672" t="s">
        <v>58</v>
      </c>
      <c r="N1672" t="s">
        <v>538</v>
      </c>
      <c r="O1672">
        <v>300</v>
      </c>
      <c r="P1672" t="s">
        <v>262</v>
      </c>
      <c r="S1672">
        <v>1.02</v>
      </c>
      <c r="T1672">
        <v>50</v>
      </c>
      <c r="U1672" t="s">
        <v>539</v>
      </c>
      <c r="V1672">
        <v>75</v>
      </c>
      <c r="W1672" t="s">
        <v>543</v>
      </c>
      <c r="X1672" t="s">
        <v>280</v>
      </c>
      <c r="Y1672">
        <v>45</v>
      </c>
      <c r="AA1672" t="s">
        <v>94</v>
      </c>
      <c r="AB1672">
        <v>7.09</v>
      </c>
      <c r="AC1672" t="s">
        <v>85</v>
      </c>
      <c r="AD1672">
        <v>0.14000000000000001</v>
      </c>
      <c r="AE1672" t="s">
        <v>138</v>
      </c>
      <c r="AI1672">
        <v>5</v>
      </c>
      <c r="AJ1672" t="s">
        <v>201</v>
      </c>
      <c r="AT1672" t="s">
        <v>382</v>
      </c>
      <c r="AV1672" t="s">
        <v>88</v>
      </c>
      <c r="AZ1672">
        <v>0</v>
      </c>
      <c r="BA1672">
        <v>7.09</v>
      </c>
    </row>
    <row r="1673" spans="1:53" hidden="1" x14ac:dyDescent="0.3">
      <c r="A1673" t="s">
        <v>537</v>
      </c>
      <c r="C1673" t="s">
        <v>251</v>
      </c>
      <c r="D1673" t="s">
        <v>81</v>
      </c>
      <c r="E1673">
        <v>100000000</v>
      </c>
      <c r="H1673">
        <v>14.25</v>
      </c>
      <c r="I1673" t="s">
        <v>56</v>
      </c>
      <c r="J1673">
        <v>1.4250000000000001E-3</v>
      </c>
      <c r="K1673" t="s">
        <v>57</v>
      </c>
      <c r="L1673" t="s">
        <v>58</v>
      </c>
      <c r="N1673" t="s">
        <v>538</v>
      </c>
      <c r="O1673">
        <v>300</v>
      </c>
      <c r="P1673" t="s">
        <v>262</v>
      </c>
      <c r="S1673">
        <v>1.02</v>
      </c>
      <c r="T1673">
        <v>50</v>
      </c>
      <c r="U1673" t="s">
        <v>539</v>
      </c>
      <c r="V1673">
        <v>75</v>
      </c>
      <c r="W1673" t="s">
        <v>544</v>
      </c>
      <c r="X1673" t="s">
        <v>280</v>
      </c>
      <c r="Y1673">
        <v>45</v>
      </c>
      <c r="AA1673" t="s">
        <v>94</v>
      </c>
      <c r="AB1673">
        <v>7.18</v>
      </c>
      <c r="AC1673" t="s">
        <v>85</v>
      </c>
      <c r="AD1673">
        <v>0.16</v>
      </c>
      <c r="AE1673" t="s">
        <v>138</v>
      </c>
      <c r="AI1673">
        <v>5</v>
      </c>
      <c r="AJ1673" t="s">
        <v>201</v>
      </c>
      <c r="AT1673" t="s">
        <v>65</v>
      </c>
      <c r="AV1673" t="s">
        <v>88</v>
      </c>
      <c r="AZ1673">
        <v>0</v>
      </c>
      <c r="BA1673">
        <v>7.18</v>
      </c>
    </row>
    <row r="1674" spans="1:53" hidden="1" x14ac:dyDescent="0.3">
      <c r="A1674" t="s">
        <v>537</v>
      </c>
      <c r="C1674" t="s">
        <v>251</v>
      </c>
      <c r="D1674" t="s">
        <v>81</v>
      </c>
      <c r="E1674">
        <v>100000000</v>
      </c>
      <c r="H1674">
        <v>14.25</v>
      </c>
      <c r="I1674" t="s">
        <v>56</v>
      </c>
      <c r="J1674">
        <v>1.4250000000000001E-3</v>
      </c>
      <c r="K1674" t="s">
        <v>57</v>
      </c>
      <c r="L1674" t="s">
        <v>58</v>
      </c>
      <c r="N1674" t="s">
        <v>538</v>
      </c>
      <c r="O1674">
        <v>300</v>
      </c>
      <c r="P1674" t="s">
        <v>262</v>
      </c>
      <c r="S1674">
        <v>1.02</v>
      </c>
      <c r="T1674">
        <v>50</v>
      </c>
      <c r="U1674" t="s">
        <v>539</v>
      </c>
      <c r="V1674">
        <v>75</v>
      </c>
      <c r="W1674" t="s">
        <v>147</v>
      </c>
      <c r="X1674" t="s">
        <v>280</v>
      </c>
      <c r="Y1674">
        <v>90</v>
      </c>
      <c r="AA1674" t="s">
        <v>94</v>
      </c>
      <c r="AB1674">
        <v>7.96</v>
      </c>
      <c r="AC1674" t="s">
        <v>85</v>
      </c>
      <c r="AD1674">
        <v>0.06</v>
      </c>
      <c r="AE1674" t="s">
        <v>138</v>
      </c>
      <c r="AI1674">
        <v>5</v>
      </c>
      <c r="AJ1674" t="s">
        <v>201</v>
      </c>
      <c r="AT1674" t="s">
        <v>150</v>
      </c>
      <c r="AV1674" t="s">
        <v>88</v>
      </c>
      <c r="AZ1674">
        <v>0</v>
      </c>
      <c r="BA1674">
        <v>7.96</v>
      </c>
    </row>
    <row r="1675" spans="1:53" hidden="1" x14ac:dyDescent="0.3">
      <c r="A1675" t="s">
        <v>537</v>
      </c>
      <c r="C1675" t="s">
        <v>251</v>
      </c>
      <c r="D1675" t="s">
        <v>81</v>
      </c>
      <c r="E1675">
        <v>100000000</v>
      </c>
      <c r="H1675">
        <v>14.25</v>
      </c>
      <c r="I1675" t="s">
        <v>56</v>
      </c>
      <c r="J1675">
        <v>1.4250000000000001E-3</v>
      </c>
      <c r="K1675" t="s">
        <v>57</v>
      </c>
      <c r="L1675" t="s">
        <v>58</v>
      </c>
      <c r="N1675" t="s">
        <v>538</v>
      </c>
      <c r="O1675">
        <v>300</v>
      </c>
      <c r="P1675" t="s">
        <v>262</v>
      </c>
      <c r="S1675">
        <v>1.02</v>
      </c>
      <c r="T1675">
        <v>50</v>
      </c>
      <c r="U1675" t="s">
        <v>539</v>
      </c>
      <c r="V1675">
        <v>75</v>
      </c>
      <c r="W1675" t="s">
        <v>540</v>
      </c>
      <c r="X1675" t="s">
        <v>280</v>
      </c>
      <c r="Y1675">
        <v>90</v>
      </c>
      <c r="AA1675" t="s">
        <v>94</v>
      </c>
      <c r="AB1675">
        <v>6.75</v>
      </c>
      <c r="AC1675" t="s">
        <v>85</v>
      </c>
      <c r="AD1675">
        <v>0.24</v>
      </c>
      <c r="AE1675" t="s">
        <v>138</v>
      </c>
      <c r="AI1675">
        <v>5</v>
      </c>
      <c r="AJ1675" t="s">
        <v>201</v>
      </c>
      <c r="AT1675" t="s">
        <v>212</v>
      </c>
      <c r="AV1675" t="s">
        <v>88</v>
      </c>
      <c r="AZ1675">
        <v>0</v>
      </c>
      <c r="BA1675">
        <v>6.75</v>
      </c>
    </row>
    <row r="1676" spans="1:53" hidden="1" x14ac:dyDescent="0.3">
      <c r="A1676" t="s">
        <v>537</v>
      </c>
      <c r="C1676" t="s">
        <v>251</v>
      </c>
      <c r="D1676" t="s">
        <v>81</v>
      </c>
      <c r="E1676">
        <v>100000000</v>
      </c>
      <c r="H1676">
        <v>14.25</v>
      </c>
      <c r="I1676" t="s">
        <v>56</v>
      </c>
      <c r="J1676">
        <v>1.4250000000000001E-3</v>
      </c>
      <c r="K1676" t="s">
        <v>57</v>
      </c>
      <c r="L1676" t="s">
        <v>58</v>
      </c>
      <c r="N1676" t="s">
        <v>538</v>
      </c>
      <c r="O1676">
        <v>300</v>
      </c>
      <c r="P1676" t="s">
        <v>262</v>
      </c>
      <c r="S1676">
        <v>1.02</v>
      </c>
      <c r="T1676">
        <v>50</v>
      </c>
      <c r="U1676" t="s">
        <v>539</v>
      </c>
      <c r="V1676">
        <v>75</v>
      </c>
      <c r="W1676" t="s">
        <v>541</v>
      </c>
      <c r="X1676" t="s">
        <v>280</v>
      </c>
      <c r="Y1676">
        <v>90</v>
      </c>
      <c r="AA1676" t="s">
        <v>94</v>
      </c>
      <c r="AB1676">
        <v>7.62</v>
      </c>
      <c r="AC1676" t="s">
        <v>85</v>
      </c>
      <c r="AD1676">
        <v>7.0000000000000007E-2</v>
      </c>
      <c r="AE1676" t="s">
        <v>138</v>
      </c>
      <c r="AI1676">
        <v>5</v>
      </c>
      <c r="AJ1676" t="s">
        <v>201</v>
      </c>
      <c r="AT1676" t="s">
        <v>382</v>
      </c>
      <c r="AV1676" t="s">
        <v>88</v>
      </c>
      <c r="AZ1676">
        <v>0</v>
      </c>
      <c r="BA1676">
        <v>7.62</v>
      </c>
    </row>
    <row r="1677" spans="1:53" hidden="1" x14ac:dyDescent="0.3">
      <c r="A1677" t="s">
        <v>537</v>
      </c>
      <c r="C1677" t="s">
        <v>251</v>
      </c>
      <c r="D1677" t="s">
        <v>81</v>
      </c>
      <c r="E1677">
        <v>100000000</v>
      </c>
      <c r="H1677">
        <v>14.25</v>
      </c>
      <c r="I1677" t="s">
        <v>56</v>
      </c>
      <c r="J1677">
        <v>1.4250000000000001E-3</v>
      </c>
      <c r="K1677" t="s">
        <v>57</v>
      </c>
      <c r="L1677" t="s">
        <v>58</v>
      </c>
      <c r="N1677" t="s">
        <v>538</v>
      </c>
      <c r="O1677">
        <v>300</v>
      </c>
      <c r="P1677" t="s">
        <v>262</v>
      </c>
      <c r="S1677">
        <v>1.02</v>
      </c>
      <c r="T1677">
        <v>50</v>
      </c>
      <c r="U1677" t="s">
        <v>539</v>
      </c>
      <c r="V1677">
        <v>75</v>
      </c>
      <c r="W1677" t="s">
        <v>542</v>
      </c>
      <c r="X1677" t="s">
        <v>280</v>
      </c>
      <c r="Y1677">
        <v>90</v>
      </c>
      <c r="AA1677" t="s">
        <v>94</v>
      </c>
      <c r="AB1677">
        <v>6.96</v>
      </c>
      <c r="AC1677" t="s">
        <v>85</v>
      </c>
      <c r="AD1677">
        <v>0.19</v>
      </c>
      <c r="AE1677" t="s">
        <v>138</v>
      </c>
      <c r="AI1677">
        <v>5</v>
      </c>
      <c r="AJ1677" t="s">
        <v>201</v>
      </c>
      <c r="AT1677" t="s">
        <v>382</v>
      </c>
      <c r="AV1677" t="s">
        <v>88</v>
      </c>
      <c r="AZ1677">
        <v>0</v>
      </c>
      <c r="BA1677">
        <v>6.96</v>
      </c>
    </row>
    <row r="1678" spans="1:53" hidden="1" x14ac:dyDescent="0.3">
      <c r="A1678" t="s">
        <v>537</v>
      </c>
      <c r="C1678" t="s">
        <v>251</v>
      </c>
      <c r="D1678" t="s">
        <v>81</v>
      </c>
      <c r="E1678">
        <v>100000000</v>
      </c>
      <c r="H1678">
        <v>14.25</v>
      </c>
      <c r="I1678" t="s">
        <v>56</v>
      </c>
      <c r="J1678">
        <v>1.4250000000000001E-3</v>
      </c>
      <c r="K1678" t="s">
        <v>57</v>
      </c>
      <c r="L1678" t="s">
        <v>58</v>
      </c>
      <c r="N1678" t="s">
        <v>538</v>
      </c>
      <c r="O1678">
        <v>300</v>
      </c>
      <c r="P1678" t="s">
        <v>262</v>
      </c>
      <c r="S1678">
        <v>1.02</v>
      </c>
      <c r="T1678">
        <v>50</v>
      </c>
      <c r="U1678" t="s">
        <v>539</v>
      </c>
      <c r="V1678">
        <v>75</v>
      </c>
      <c r="W1678" t="s">
        <v>543</v>
      </c>
      <c r="X1678" t="s">
        <v>280</v>
      </c>
      <c r="Y1678">
        <v>90</v>
      </c>
      <c r="AA1678" t="s">
        <v>94</v>
      </c>
      <c r="AB1678">
        <v>7.05</v>
      </c>
      <c r="AC1678" t="s">
        <v>85</v>
      </c>
      <c r="AD1678">
        <v>7.0000000000000007E-2</v>
      </c>
      <c r="AE1678" t="s">
        <v>138</v>
      </c>
      <c r="AI1678">
        <v>5</v>
      </c>
      <c r="AJ1678" t="s">
        <v>201</v>
      </c>
      <c r="AT1678" t="s">
        <v>382</v>
      </c>
      <c r="AV1678" t="s">
        <v>88</v>
      </c>
      <c r="AZ1678">
        <v>0</v>
      </c>
      <c r="BA1678">
        <v>7.05</v>
      </c>
    </row>
    <row r="1679" spans="1:53" hidden="1" x14ac:dyDescent="0.3">
      <c r="A1679" t="s">
        <v>537</v>
      </c>
      <c r="C1679" t="s">
        <v>251</v>
      </c>
      <c r="D1679" t="s">
        <v>81</v>
      </c>
      <c r="E1679">
        <v>100000000</v>
      </c>
      <c r="H1679">
        <v>14.25</v>
      </c>
      <c r="I1679" t="s">
        <v>56</v>
      </c>
      <c r="J1679">
        <v>1.4250000000000001E-3</v>
      </c>
      <c r="K1679" t="s">
        <v>57</v>
      </c>
      <c r="L1679" t="s">
        <v>58</v>
      </c>
      <c r="N1679" t="s">
        <v>538</v>
      </c>
      <c r="O1679">
        <v>300</v>
      </c>
      <c r="P1679" t="s">
        <v>262</v>
      </c>
      <c r="S1679">
        <v>1.02</v>
      </c>
      <c r="T1679">
        <v>50</v>
      </c>
      <c r="U1679" t="s">
        <v>539</v>
      </c>
      <c r="V1679">
        <v>75</v>
      </c>
      <c r="W1679" t="s">
        <v>544</v>
      </c>
      <c r="X1679" t="s">
        <v>280</v>
      </c>
      <c r="Y1679">
        <v>90</v>
      </c>
      <c r="AA1679" t="s">
        <v>94</v>
      </c>
      <c r="AB1679">
        <v>7.02</v>
      </c>
      <c r="AC1679" t="s">
        <v>85</v>
      </c>
      <c r="AD1679">
        <v>0.28999999999999998</v>
      </c>
      <c r="AE1679" t="s">
        <v>138</v>
      </c>
      <c r="AI1679">
        <v>5</v>
      </c>
      <c r="AJ1679" t="s">
        <v>201</v>
      </c>
      <c r="AT1679" t="s">
        <v>65</v>
      </c>
      <c r="AV1679" t="s">
        <v>88</v>
      </c>
      <c r="AZ1679">
        <v>0</v>
      </c>
      <c r="BA1679">
        <v>7.02</v>
      </c>
    </row>
    <row r="1680" spans="1:53" hidden="1" x14ac:dyDescent="0.3">
      <c r="A1680" t="s">
        <v>537</v>
      </c>
      <c r="C1680" t="s">
        <v>251</v>
      </c>
      <c r="D1680" t="s">
        <v>81</v>
      </c>
      <c r="E1680">
        <v>100000000</v>
      </c>
      <c r="H1680">
        <v>14.25</v>
      </c>
      <c r="I1680" t="s">
        <v>56</v>
      </c>
      <c r="J1680">
        <v>1.4250000000000001E-3</v>
      </c>
      <c r="K1680" t="s">
        <v>57</v>
      </c>
      <c r="L1680" t="s">
        <v>58</v>
      </c>
      <c r="N1680" t="s">
        <v>538</v>
      </c>
      <c r="O1680">
        <v>300</v>
      </c>
      <c r="P1680" t="s">
        <v>262</v>
      </c>
      <c r="S1680">
        <v>1.02</v>
      </c>
      <c r="T1680">
        <v>50</v>
      </c>
      <c r="U1680" t="s">
        <v>539</v>
      </c>
      <c r="V1680">
        <v>75</v>
      </c>
      <c r="W1680" t="s">
        <v>147</v>
      </c>
      <c r="X1680" t="s">
        <v>280</v>
      </c>
      <c r="Y1680">
        <v>180</v>
      </c>
      <c r="AA1680" t="s">
        <v>94</v>
      </c>
      <c r="AB1680">
        <v>8.02</v>
      </c>
      <c r="AC1680" t="s">
        <v>85</v>
      </c>
      <c r="AD1680">
        <v>0.05</v>
      </c>
      <c r="AE1680" t="s">
        <v>138</v>
      </c>
      <c r="AI1680">
        <v>5</v>
      </c>
      <c r="AJ1680" t="s">
        <v>201</v>
      </c>
      <c r="AT1680" t="s">
        <v>150</v>
      </c>
      <c r="AV1680" t="s">
        <v>88</v>
      </c>
      <c r="AZ1680">
        <v>0</v>
      </c>
      <c r="BA1680">
        <v>8.02</v>
      </c>
    </row>
    <row r="1681" spans="1:53" hidden="1" x14ac:dyDescent="0.3">
      <c r="A1681" t="s">
        <v>537</v>
      </c>
      <c r="C1681" t="s">
        <v>251</v>
      </c>
      <c r="D1681" t="s">
        <v>81</v>
      </c>
      <c r="E1681">
        <v>100000000</v>
      </c>
      <c r="H1681">
        <v>14.25</v>
      </c>
      <c r="I1681" t="s">
        <v>56</v>
      </c>
      <c r="J1681">
        <v>1.4250000000000001E-3</v>
      </c>
      <c r="K1681" t="s">
        <v>57</v>
      </c>
      <c r="L1681" t="s">
        <v>58</v>
      </c>
      <c r="N1681" t="s">
        <v>538</v>
      </c>
      <c r="O1681">
        <v>300</v>
      </c>
      <c r="P1681" t="s">
        <v>262</v>
      </c>
      <c r="S1681">
        <v>1.02</v>
      </c>
      <c r="T1681">
        <v>50</v>
      </c>
      <c r="U1681" t="s">
        <v>539</v>
      </c>
      <c r="V1681">
        <v>75</v>
      </c>
      <c r="W1681" t="s">
        <v>540</v>
      </c>
      <c r="X1681" t="s">
        <v>280</v>
      </c>
      <c r="Y1681">
        <v>180</v>
      </c>
      <c r="AA1681" t="s">
        <v>94</v>
      </c>
      <c r="AB1681">
        <v>6.52</v>
      </c>
      <c r="AC1681" t="s">
        <v>85</v>
      </c>
      <c r="AD1681">
        <v>0.13</v>
      </c>
      <c r="AE1681" t="s">
        <v>138</v>
      </c>
      <c r="AI1681">
        <v>5</v>
      </c>
      <c r="AJ1681" t="s">
        <v>201</v>
      </c>
      <c r="AT1681" t="s">
        <v>212</v>
      </c>
      <c r="AV1681" t="s">
        <v>88</v>
      </c>
      <c r="AZ1681">
        <v>0</v>
      </c>
      <c r="BA1681">
        <v>6.52</v>
      </c>
    </row>
    <row r="1682" spans="1:53" hidden="1" x14ac:dyDescent="0.3">
      <c r="A1682" t="s">
        <v>537</v>
      </c>
      <c r="C1682" t="s">
        <v>251</v>
      </c>
      <c r="D1682" t="s">
        <v>81</v>
      </c>
      <c r="E1682">
        <v>100000000</v>
      </c>
      <c r="H1682">
        <v>14.25</v>
      </c>
      <c r="I1682" t="s">
        <v>56</v>
      </c>
      <c r="J1682">
        <v>1.4250000000000001E-3</v>
      </c>
      <c r="K1682" t="s">
        <v>57</v>
      </c>
      <c r="L1682" t="s">
        <v>58</v>
      </c>
      <c r="N1682" t="s">
        <v>538</v>
      </c>
      <c r="O1682">
        <v>300</v>
      </c>
      <c r="P1682" t="s">
        <v>262</v>
      </c>
      <c r="S1682">
        <v>1.02</v>
      </c>
      <c r="T1682">
        <v>50</v>
      </c>
      <c r="U1682" t="s">
        <v>539</v>
      </c>
      <c r="V1682">
        <v>75</v>
      </c>
      <c r="W1682" t="s">
        <v>541</v>
      </c>
      <c r="X1682" t="s">
        <v>280</v>
      </c>
      <c r="Y1682">
        <v>180</v>
      </c>
      <c r="AA1682" t="s">
        <v>94</v>
      </c>
      <c r="AB1682">
        <v>7.69</v>
      </c>
      <c r="AC1682" t="s">
        <v>85</v>
      </c>
      <c r="AD1682">
        <v>0.04</v>
      </c>
      <c r="AE1682" t="s">
        <v>138</v>
      </c>
      <c r="AI1682">
        <v>5</v>
      </c>
      <c r="AJ1682" t="s">
        <v>201</v>
      </c>
      <c r="AT1682" t="s">
        <v>382</v>
      </c>
      <c r="AV1682" t="s">
        <v>88</v>
      </c>
      <c r="AZ1682">
        <v>0</v>
      </c>
      <c r="BA1682">
        <v>7.69</v>
      </c>
    </row>
    <row r="1683" spans="1:53" hidden="1" x14ac:dyDescent="0.3">
      <c r="A1683" t="s">
        <v>537</v>
      </c>
      <c r="C1683" t="s">
        <v>251</v>
      </c>
      <c r="D1683" t="s">
        <v>81</v>
      </c>
      <c r="E1683">
        <v>100000000</v>
      </c>
      <c r="H1683">
        <v>14.25</v>
      </c>
      <c r="I1683" t="s">
        <v>56</v>
      </c>
      <c r="J1683">
        <v>1.4250000000000001E-3</v>
      </c>
      <c r="K1683" t="s">
        <v>57</v>
      </c>
      <c r="L1683" t="s">
        <v>58</v>
      </c>
      <c r="N1683" t="s">
        <v>538</v>
      </c>
      <c r="O1683">
        <v>300</v>
      </c>
      <c r="P1683" t="s">
        <v>262</v>
      </c>
      <c r="S1683">
        <v>1.02</v>
      </c>
      <c r="T1683">
        <v>50</v>
      </c>
      <c r="U1683" t="s">
        <v>539</v>
      </c>
      <c r="V1683">
        <v>75</v>
      </c>
      <c r="W1683" t="s">
        <v>542</v>
      </c>
      <c r="X1683" t="s">
        <v>280</v>
      </c>
      <c r="Y1683">
        <v>180</v>
      </c>
      <c r="AA1683" t="s">
        <v>94</v>
      </c>
      <c r="AB1683">
        <v>7.06</v>
      </c>
      <c r="AC1683" t="s">
        <v>85</v>
      </c>
      <c r="AD1683">
        <v>0.08</v>
      </c>
      <c r="AE1683" t="s">
        <v>138</v>
      </c>
      <c r="AI1683">
        <v>5</v>
      </c>
      <c r="AJ1683" t="s">
        <v>201</v>
      </c>
      <c r="AT1683" t="s">
        <v>382</v>
      </c>
      <c r="AV1683" t="s">
        <v>88</v>
      </c>
      <c r="AZ1683">
        <v>0</v>
      </c>
      <c r="BA1683">
        <v>7.06</v>
      </c>
    </row>
    <row r="1684" spans="1:53" hidden="1" x14ac:dyDescent="0.3">
      <c r="A1684" t="s">
        <v>537</v>
      </c>
      <c r="C1684" t="s">
        <v>251</v>
      </c>
      <c r="D1684" t="s">
        <v>81</v>
      </c>
      <c r="E1684">
        <v>100000000</v>
      </c>
      <c r="H1684">
        <v>14.25</v>
      </c>
      <c r="I1684" t="s">
        <v>56</v>
      </c>
      <c r="J1684">
        <v>1.4250000000000001E-3</v>
      </c>
      <c r="K1684" t="s">
        <v>57</v>
      </c>
      <c r="L1684" t="s">
        <v>58</v>
      </c>
      <c r="N1684" t="s">
        <v>538</v>
      </c>
      <c r="O1684">
        <v>300</v>
      </c>
      <c r="P1684" t="s">
        <v>262</v>
      </c>
      <c r="S1684">
        <v>1.02</v>
      </c>
      <c r="T1684">
        <v>50</v>
      </c>
      <c r="U1684" t="s">
        <v>539</v>
      </c>
      <c r="V1684">
        <v>75</v>
      </c>
      <c r="W1684" t="s">
        <v>543</v>
      </c>
      <c r="X1684" t="s">
        <v>280</v>
      </c>
      <c r="Y1684">
        <v>180</v>
      </c>
      <c r="AA1684" t="s">
        <v>94</v>
      </c>
      <c r="AB1684">
        <v>6.81</v>
      </c>
      <c r="AC1684" t="s">
        <v>85</v>
      </c>
      <c r="AD1684">
        <v>0.11</v>
      </c>
      <c r="AE1684" t="s">
        <v>138</v>
      </c>
      <c r="AI1684">
        <v>5</v>
      </c>
      <c r="AJ1684" t="s">
        <v>201</v>
      </c>
      <c r="AT1684" t="s">
        <v>382</v>
      </c>
      <c r="AV1684" t="s">
        <v>88</v>
      </c>
      <c r="AZ1684">
        <v>0</v>
      </c>
      <c r="BA1684">
        <v>6.81</v>
      </c>
    </row>
    <row r="1685" spans="1:53" hidden="1" x14ac:dyDescent="0.3">
      <c r="A1685" t="s">
        <v>537</v>
      </c>
      <c r="C1685" t="s">
        <v>251</v>
      </c>
      <c r="D1685" t="s">
        <v>81</v>
      </c>
      <c r="E1685">
        <v>100000000</v>
      </c>
      <c r="H1685">
        <v>14.25</v>
      </c>
      <c r="I1685" t="s">
        <v>56</v>
      </c>
      <c r="J1685">
        <v>1.4250000000000001E-3</v>
      </c>
      <c r="K1685" t="s">
        <v>57</v>
      </c>
      <c r="L1685" t="s">
        <v>58</v>
      </c>
      <c r="N1685" t="s">
        <v>538</v>
      </c>
      <c r="O1685">
        <v>300</v>
      </c>
      <c r="P1685" t="s">
        <v>262</v>
      </c>
      <c r="S1685">
        <v>1.02</v>
      </c>
      <c r="T1685">
        <v>50</v>
      </c>
      <c r="U1685" t="s">
        <v>539</v>
      </c>
      <c r="V1685">
        <v>75</v>
      </c>
      <c r="W1685" t="s">
        <v>544</v>
      </c>
      <c r="X1685" t="s">
        <v>280</v>
      </c>
      <c r="Y1685">
        <v>180</v>
      </c>
      <c r="AA1685" t="s">
        <v>94</v>
      </c>
      <c r="AB1685">
        <v>6.66</v>
      </c>
      <c r="AC1685" t="s">
        <v>85</v>
      </c>
      <c r="AD1685">
        <v>0.15</v>
      </c>
      <c r="AE1685" t="s">
        <v>138</v>
      </c>
      <c r="AI1685">
        <v>5</v>
      </c>
      <c r="AJ1685" t="s">
        <v>201</v>
      </c>
      <c r="AT1685" t="s">
        <v>65</v>
      </c>
      <c r="AV1685" t="s">
        <v>88</v>
      </c>
      <c r="AZ1685">
        <v>0</v>
      </c>
      <c r="BA1685">
        <v>6.66</v>
      </c>
    </row>
    <row r="1686" spans="1:53" hidden="1" x14ac:dyDescent="0.3">
      <c r="A1686" t="s">
        <v>537</v>
      </c>
      <c r="C1686" t="s">
        <v>251</v>
      </c>
      <c r="D1686" t="s">
        <v>81</v>
      </c>
      <c r="E1686">
        <v>100000000</v>
      </c>
      <c r="H1686">
        <v>14.25</v>
      </c>
      <c r="I1686" t="s">
        <v>56</v>
      </c>
      <c r="J1686">
        <v>1.4250000000000001E-3</v>
      </c>
      <c r="K1686" t="s">
        <v>57</v>
      </c>
      <c r="L1686" t="s">
        <v>58</v>
      </c>
      <c r="N1686" t="s">
        <v>538</v>
      </c>
      <c r="O1686">
        <v>300</v>
      </c>
      <c r="P1686" t="s">
        <v>262</v>
      </c>
      <c r="S1686">
        <v>1.02</v>
      </c>
      <c r="T1686">
        <v>37</v>
      </c>
      <c r="U1686" t="s">
        <v>539</v>
      </c>
      <c r="V1686">
        <v>75</v>
      </c>
      <c r="W1686" t="s">
        <v>147</v>
      </c>
      <c r="X1686" t="s">
        <v>280</v>
      </c>
      <c r="Y1686">
        <v>45</v>
      </c>
      <c r="AB1686">
        <v>3.02</v>
      </c>
      <c r="AC1686" t="s">
        <v>85</v>
      </c>
      <c r="AD1686">
        <v>0.12</v>
      </c>
      <c r="AE1686" t="s">
        <v>138</v>
      </c>
      <c r="AI1686">
        <v>5</v>
      </c>
      <c r="AJ1686" t="s">
        <v>201</v>
      </c>
      <c r="AT1686" t="s">
        <v>150</v>
      </c>
      <c r="AV1686" t="s">
        <v>88</v>
      </c>
    </row>
    <row r="1687" spans="1:53" hidden="1" x14ac:dyDescent="0.3">
      <c r="A1687" t="s">
        <v>537</v>
      </c>
      <c r="C1687" t="s">
        <v>251</v>
      </c>
      <c r="D1687" t="s">
        <v>81</v>
      </c>
      <c r="E1687">
        <v>100000000</v>
      </c>
      <c r="H1687">
        <v>14.25</v>
      </c>
      <c r="I1687" t="s">
        <v>56</v>
      </c>
      <c r="J1687">
        <v>1.4250000000000001E-3</v>
      </c>
      <c r="K1687" t="s">
        <v>57</v>
      </c>
      <c r="L1687" t="s">
        <v>58</v>
      </c>
      <c r="N1687" t="s">
        <v>538</v>
      </c>
      <c r="O1687">
        <v>300</v>
      </c>
      <c r="P1687" t="s">
        <v>262</v>
      </c>
      <c r="S1687">
        <v>1.02</v>
      </c>
      <c r="T1687">
        <v>37</v>
      </c>
      <c r="U1687" t="s">
        <v>539</v>
      </c>
      <c r="V1687">
        <v>75</v>
      </c>
      <c r="W1687" t="s">
        <v>540</v>
      </c>
      <c r="X1687" t="s">
        <v>280</v>
      </c>
      <c r="Y1687">
        <v>45</v>
      </c>
      <c r="AB1687">
        <v>4.54</v>
      </c>
      <c r="AC1687" t="s">
        <v>85</v>
      </c>
      <c r="AD1687">
        <v>0.43</v>
      </c>
      <c r="AE1687" t="s">
        <v>138</v>
      </c>
      <c r="AI1687">
        <v>5</v>
      </c>
      <c r="AJ1687" t="s">
        <v>201</v>
      </c>
      <c r="AT1687" t="s">
        <v>212</v>
      </c>
      <c r="AV1687" t="s">
        <v>88</v>
      </c>
    </row>
    <row r="1688" spans="1:53" hidden="1" x14ac:dyDescent="0.3">
      <c r="A1688" t="s">
        <v>537</v>
      </c>
      <c r="C1688" t="s">
        <v>251</v>
      </c>
      <c r="D1688" t="s">
        <v>81</v>
      </c>
      <c r="E1688">
        <v>100000000</v>
      </c>
      <c r="H1688">
        <v>14.25</v>
      </c>
      <c r="I1688" t="s">
        <v>56</v>
      </c>
      <c r="J1688">
        <v>1.4250000000000001E-3</v>
      </c>
      <c r="K1688" t="s">
        <v>57</v>
      </c>
      <c r="L1688" t="s">
        <v>58</v>
      </c>
      <c r="N1688" t="s">
        <v>538</v>
      </c>
      <c r="O1688">
        <v>300</v>
      </c>
      <c r="P1688" t="s">
        <v>262</v>
      </c>
      <c r="S1688">
        <v>1.02</v>
      </c>
      <c r="T1688">
        <v>37</v>
      </c>
      <c r="U1688" t="s">
        <v>539</v>
      </c>
      <c r="V1688">
        <v>75</v>
      </c>
      <c r="W1688" t="s">
        <v>541</v>
      </c>
      <c r="X1688" t="s">
        <v>280</v>
      </c>
      <c r="Y1688">
        <v>45</v>
      </c>
      <c r="AB1688">
        <v>3.64</v>
      </c>
      <c r="AC1688" t="s">
        <v>85</v>
      </c>
      <c r="AD1688">
        <v>0.34</v>
      </c>
      <c r="AE1688" t="s">
        <v>138</v>
      </c>
      <c r="AI1688">
        <v>5</v>
      </c>
      <c r="AJ1688" t="s">
        <v>201</v>
      </c>
      <c r="AT1688" t="s">
        <v>382</v>
      </c>
      <c r="AV1688" t="s">
        <v>88</v>
      </c>
    </row>
    <row r="1689" spans="1:53" hidden="1" x14ac:dyDescent="0.3">
      <c r="A1689" t="s">
        <v>537</v>
      </c>
      <c r="C1689" t="s">
        <v>251</v>
      </c>
      <c r="D1689" t="s">
        <v>81</v>
      </c>
      <c r="E1689">
        <v>100000000</v>
      </c>
      <c r="H1689">
        <v>14.25</v>
      </c>
      <c r="I1689" t="s">
        <v>56</v>
      </c>
      <c r="J1689">
        <v>1.4250000000000001E-3</v>
      </c>
      <c r="K1689" t="s">
        <v>57</v>
      </c>
      <c r="L1689" t="s">
        <v>58</v>
      </c>
      <c r="N1689" t="s">
        <v>538</v>
      </c>
      <c r="O1689">
        <v>300</v>
      </c>
      <c r="P1689" t="s">
        <v>262</v>
      </c>
      <c r="S1689">
        <v>1.02</v>
      </c>
      <c r="T1689">
        <v>37</v>
      </c>
      <c r="U1689" t="s">
        <v>539</v>
      </c>
      <c r="V1689">
        <v>75</v>
      </c>
      <c r="W1689" t="s">
        <v>542</v>
      </c>
      <c r="X1689" t="s">
        <v>280</v>
      </c>
      <c r="Y1689">
        <v>45</v>
      </c>
      <c r="AB1689">
        <v>3.73</v>
      </c>
      <c r="AC1689" t="s">
        <v>85</v>
      </c>
      <c r="AD1689">
        <v>0.13</v>
      </c>
      <c r="AE1689" t="s">
        <v>138</v>
      </c>
      <c r="AI1689">
        <v>5</v>
      </c>
      <c r="AJ1689" t="s">
        <v>201</v>
      </c>
      <c r="AT1689" t="s">
        <v>382</v>
      </c>
      <c r="AV1689" t="s">
        <v>88</v>
      </c>
    </row>
    <row r="1690" spans="1:53" hidden="1" x14ac:dyDescent="0.3">
      <c r="A1690" t="s">
        <v>537</v>
      </c>
      <c r="C1690" t="s">
        <v>251</v>
      </c>
      <c r="D1690" t="s">
        <v>81</v>
      </c>
      <c r="E1690">
        <v>100000000</v>
      </c>
      <c r="H1690">
        <v>14.25</v>
      </c>
      <c r="I1690" t="s">
        <v>56</v>
      </c>
      <c r="J1690">
        <v>1.4250000000000001E-3</v>
      </c>
      <c r="K1690" t="s">
        <v>57</v>
      </c>
      <c r="L1690" t="s">
        <v>58</v>
      </c>
      <c r="N1690" t="s">
        <v>538</v>
      </c>
      <c r="O1690">
        <v>300</v>
      </c>
      <c r="P1690" t="s">
        <v>262</v>
      </c>
      <c r="S1690">
        <v>1.02</v>
      </c>
      <c r="T1690">
        <v>37</v>
      </c>
      <c r="U1690" t="s">
        <v>539</v>
      </c>
      <c r="V1690">
        <v>75</v>
      </c>
      <c r="W1690" t="s">
        <v>543</v>
      </c>
      <c r="X1690" t="s">
        <v>280</v>
      </c>
      <c r="Y1690">
        <v>45</v>
      </c>
      <c r="AB1690">
        <v>4.0199999999999996</v>
      </c>
      <c r="AC1690" t="s">
        <v>85</v>
      </c>
      <c r="AD1690">
        <v>0.15</v>
      </c>
      <c r="AE1690" t="s">
        <v>138</v>
      </c>
      <c r="AI1690">
        <v>5</v>
      </c>
      <c r="AJ1690" t="s">
        <v>201</v>
      </c>
      <c r="AT1690" t="s">
        <v>382</v>
      </c>
      <c r="AV1690" t="s">
        <v>88</v>
      </c>
    </row>
    <row r="1691" spans="1:53" hidden="1" x14ac:dyDescent="0.3">
      <c r="A1691" t="s">
        <v>537</v>
      </c>
      <c r="C1691" t="s">
        <v>251</v>
      </c>
      <c r="D1691" t="s">
        <v>81</v>
      </c>
      <c r="E1691">
        <v>100000000</v>
      </c>
      <c r="H1691">
        <v>14.25</v>
      </c>
      <c r="I1691" t="s">
        <v>56</v>
      </c>
      <c r="J1691">
        <v>1.4250000000000001E-3</v>
      </c>
      <c r="K1691" t="s">
        <v>57</v>
      </c>
      <c r="L1691" t="s">
        <v>58</v>
      </c>
      <c r="N1691" t="s">
        <v>538</v>
      </c>
      <c r="O1691">
        <v>300</v>
      </c>
      <c r="P1691" t="s">
        <v>262</v>
      </c>
      <c r="S1691">
        <v>1.02</v>
      </c>
      <c r="T1691">
        <v>37</v>
      </c>
      <c r="U1691" t="s">
        <v>539</v>
      </c>
      <c r="V1691">
        <v>75</v>
      </c>
      <c r="W1691" t="s">
        <v>544</v>
      </c>
      <c r="X1691" t="s">
        <v>280</v>
      </c>
      <c r="Y1691">
        <v>45</v>
      </c>
      <c r="AB1691">
        <v>3.12</v>
      </c>
      <c r="AC1691" t="s">
        <v>85</v>
      </c>
      <c r="AD1691">
        <v>0.26</v>
      </c>
      <c r="AE1691" t="s">
        <v>138</v>
      </c>
      <c r="AI1691">
        <v>5</v>
      </c>
      <c r="AJ1691" t="s">
        <v>201</v>
      </c>
      <c r="AT1691" t="s">
        <v>65</v>
      </c>
      <c r="AV1691" t="s">
        <v>88</v>
      </c>
    </row>
    <row r="1692" spans="1:53" hidden="1" x14ac:dyDescent="0.3">
      <c r="A1692" t="s">
        <v>537</v>
      </c>
      <c r="C1692" t="s">
        <v>251</v>
      </c>
      <c r="D1692" t="s">
        <v>81</v>
      </c>
      <c r="E1692">
        <v>100000000</v>
      </c>
      <c r="H1692">
        <v>14.25</v>
      </c>
      <c r="I1692" t="s">
        <v>56</v>
      </c>
      <c r="J1692">
        <v>1.4250000000000001E-3</v>
      </c>
      <c r="K1692" t="s">
        <v>57</v>
      </c>
      <c r="L1692" t="s">
        <v>58</v>
      </c>
      <c r="N1692" t="s">
        <v>538</v>
      </c>
      <c r="O1692">
        <v>300</v>
      </c>
      <c r="P1692" t="s">
        <v>262</v>
      </c>
      <c r="S1692">
        <v>1.02</v>
      </c>
      <c r="T1692">
        <v>37</v>
      </c>
      <c r="U1692" t="s">
        <v>539</v>
      </c>
      <c r="V1692">
        <v>75</v>
      </c>
      <c r="W1692" t="s">
        <v>147</v>
      </c>
      <c r="X1692" t="s">
        <v>280</v>
      </c>
      <c r="Y1692">
        <v>90</v>
      </c>
      <c r="AA1692" t="s">
        <v>94</v>
      </c>
      <c r="AB1692">
        <v>8</v>
      </c>
      <c r="AC1692" t="s">
        <v>85</v>
      </c>
      <c r="AD1692">
        <v>0.03</v>
      </c>
      <c r="AE1692" t="s">
        <v>138</v>
      </c>
      <c r="AI1692">
        <v>5</v>
      </c>
      <c r="AJ1692" t="s">
        <v>201</v>
      </c>
      <c r="AT1692" t="s">
        <v>150</v>
      </c>
      <c r="AV1692" t="s">
        <v>88</v>
      </c>
      <c r="AZ1692">
        <v>0</v>
      </c>
      <c r="BA1692">
        <v>8</v>
      </c>
    </row>
    <row r="1693" spans="1:53" hidden="1" x14ac:dyDescent="0.3">
      <c r="A1693" t="s">
        <v>537</v>
      </c>
      <c r="C1693" t="s">
        <v>251</v>
      </c>
      <c r="D1693" t="s">
        <v>81</v>
      </c>
      <c r="E1693">
        <v>100000000</v>
      </c>
      <c r="H1693">
        <v>14.25</v>
      </c>
      <c r="I1693" t="s">
        <v>56</v>
      </c>
      <c r="J1693">
        <v>1.4250000000000001E-3</v>
      </c>
      <c r="K1693" t="s">
        <v>57</v>
      </c>
      <c r="L1693" t="s">
        <v>58</v>
      </c>
      <c r="N1693" t="s">
        <v>538</v>
      </c>
      <c r="O1693">
        <v>300</v>
      </c>
      <c r="P1693" t="s">
        <v>262</v>
      </c>
      <c r="S1693">
        <v>1.02</v>
      </c>
      <c r="T1693">
        <v>37</v>
      </c>
      <c r="U1693" t="s">
        <v>539</v>
      </c>
      <c r="V1693">
        <v>75</v>
      </c>
      <c r="W1693" t="s">
        <v>540</v>
      </c>
      <c r="X1693" t="s">
        <v>280</v>
      </c>
      <c r="Y1693">
        <v>90</v>
      </c>
      <c r="AA1693" t="s">
        <v>94</v>
      </c>
      <c r="AB1693">
        <v>6.66</v>
      </c>
      <c r="AC1693" t="s">
        <v>85</v>
      </c>
      <c r="AD1693">
        <v>0.27</v>
      </c>
      <c r="AE1693" t="s">
        <v>138</v>
      </c>
      <c r="AI1693">
        <v>5</v>
      </c>
      <c r="AJ1693" t="s">
        <v>201</v>
      </c>
      <c r="AT1693" t="s">
        <v>212</v>
      </c>
      <c r="AV1693" t="s">
        <v>88</v>
      </c>
      <c r="AZ1693">
        <v>0</v>
      </c>
      <c r="BA1693">
        <v>6.66</v>
      </c>
    </row>
    <row r="1694" spans="1:53" hidden="1" x14ac:dyDescent="0.3">
      <c r="A1694" t="s">
        <v>537</v>
      </c>
      <c r="C1694" t="s">
        <v>251</v>
      </c>
      <c r="D1694" t="s">
        <v>81</v>
      </c>
      <c r="E1694">
        <v>100000000</v>
      </c>
      <c r="H1694">
        <v>14.25</v>
      </c>
      <c r="I1694" t="s">
        <v>56</v>
      </c>
      <c r="J1694">
        <v>1.4250000000000001E-3</v>
      </c>
      <c r="K1694" t="s">
        <v>57</v>
      </c>
      <c r="L1694" t="s">
        <v>58</v>
      </c>
      <c r="N1694" t="s">
        <v>538</v>
      </c>
      <c r="O1694">
        <v>300</v>
      </c>
      <c r="P1694" t="s">
        <v>262</v>
      </c>
      <c r="S1694">
        <v>1.02</v>
      </c>
      <c r="T1694">
        <v>37</v>
      </c>
      <c r="U1694" t="s">
        <v>539</v>
      </c>
      <c r="V1694">
        <v>75</v>
      </c>
      <c r="W1694" t="s">
        <v>541</v>
      </c>
      <c r="X1694" t="s">
        <v>280</v>
      </c>
      <c r="Y1694">
        <v>90</v>
      </c>
      <c r="AA1694" t="s">
        <v>94</v>
      </c>
      <c r="AB1694">
        <v>7.74</v>
      </c>
      <c r="AC1694" t="s">
        <v>85</v>
      </c>
      <c r="AD1694">
        <v>0.06</v>
      </c>
      <c r="AE1694" t="s">
        <v>138</v>
      </c>
      <c r="AI1694">
        <v>5</v>
      </c>
      <c r="AJ1694" t="s">
        <v>201</v>
      </c>
      <c r="AT1694" t="s">
        <v>382</v>
      </c>
      <c r="AV1694" t="s">
        <v>88</v>
      </c>
      <c r="AZ1694">
        <v>0</v>
      </c>
      <c r="BA1694">
        <v>7.74</v>
      </c>
    </row>
    <row r="1695" spans="1:53" hidden="1" x14ac:dyDescent="0.3">
      <c r="A1695" t="s">
        <v>537</v>
      </c>
      <c r="C1695" t="s">
        <v>251</v>
      </c>
      <c r="D1695" t="s">
        <v>81</v>
      </c>
      <c r="E1695">
        <v>100000000</v>
      </c>
      <c r="H1695">
        <v>14.25</v>
      </c>
      <c r="I1695" t="s">
        <v>56</v>
      </c>
      <c r="J1695">
        <v>1.4250000000000001E-3</v>
      </c>
      <c r="K1695" t="s">
        <v>57</v>
      </c>
      <c r="L1695" t="s">
        <v>58</v>
      </c>
      <c r="N1695" t="s">
        <v>538</v>
      </c>
      <c r="O1695">
        <v>300</v>
      </c>
      <c r="P1695" t="s">
        <v>262</v>
      </c>
      <c r="S1695">
        <v>1.02</v>
      </c>
      <c r="T1695">
        <v>37</v>
      </c>
      <c r="U1695" t="s">
        <v>539</v>
      </c>
      <c r="V1695">
        <v>75</v>
      </c>
      <c r="W1695" t="s">
        <v>542</v>
      </c>
      <c r="X1695" t="s">
        <v>280</v>
      </c>
      <c r="Y1695">
        <v>90</v>
      </c>
      <c r="AB1695">
        <v>6.86</v>
      </c>
      <c r="AC1695" t="s">
        <v>85</v>
      </c>
      <c r="AD1695">
        <v>0.17</v>
      </c>
      <c r="AE1695" t="s">
        <v>138</v>
      </c>
      <c r="AI1695">
        <v>5</v>
      </c>
      <c r="AJ1695" t="s">
        <v>201</v>
      </c>
      <c r="AT1695" t="s">
        <v>382</v>
      </c>
      <c r="AV1695" t="s">
        <v>88</v>
      </c>
    </row>
    <row r="1696" spans="1:53" hidden="1" x14ac:dyDescent="0.3">
      <c r="A1696" t="s">
        <v>537</v>
      </c>
      <c r="C1696" t="s">
        <v>251</v>
      </c>
      <c r="D1696" t="s">
        <v>81</v>
      </c>
      <c r="E1696">
        <v>100000000</v>
      </c>
      <c r="H1696">
        <v>14.25</v>
      </c>
      <c r="I1696" t="s">
        <v>56</v>
      </c>
      <c r="J1696">
        <v>1.4250000000000001E-3</v>
      </c>
      <c r="K1696" t="s">
        <v>57</v>
      </c>
      <c r="L1696" t="s">
        <v>58</v>
      </c>
      <c r="N1696" t="s">
        <v>538</v>
      </c>
      <c r="O1696">
        <v>300</v>
      </c>
      <c r="P1696" t="s">
        <v>262</v>
      </c>
      <c r="S1696">
        <v>1.02</v>
      </c>
      <c r="T1696">
        <v>37</v>
      </c>
      <c r="U1696" t="s">
        <v>539</v>
      </c>
      <c r="V1696">
        <v>75</v>
      </c>
      <c r="W1696" t="s">
        <v>543</v>
      </c>
      <c r="X1696" t="s">
        <v>280</v>
      </c>
      <c r="Y1696">
        <v>90</v>
      </c>
      <c r="AA1696" t="s">
        <v>94</v>
      </c>
      <c r="AB1696">
        <v>6.98</v>
      </c>
      <c r="AC1696" t="s">
        <v>85</v>
      </c>
      <c r="AD1696">
        <v>0.17</v>
      </c>
      <c r="AE1696" t="s">
        <v>138</v>
      </c>
      <c r="AI1696">
        <v>5</v>
      </c>
      <c r="AJ1696" t="s">
        <v>201</v>
      </c>
      <c r="AT1696" t="s">
        <v>382</v>
      </c>
      <c r="AV1696" t="s">
        <v>88</v>
      </c>
      <c r="AZ1696">
        <v>0</v>
      </c>
      <c r="BA1696">
        <v>6.98</v>
      </c>
    </row>
    <row r="1697" spans="1:53" hidden="1" x14ac:dyDescent="0.3">
      <c r="A1697" t="s">
        <v>537</v>
      </c>
      <c r="C1697" t="s">
        <v>251</v>
      </c>
      <c r="D1697" t="s">
        <v>81</v>
      </c>
      <c r="E1697">
        <v>100000000</v>
      </c>
      <c r="H1697">
        <v>14.25</v>
      </c>
      <c r="I1697" t="s">
        <v>56</v>
      </c>
      <c r="J1697">
        <v>1.4250000000000001E-3</v>
      </c>
      <c r="K1697" t="s">
        <v>57</v>
      </c>
      <c r="L1697" t="s">
        <v>58</v>
      </c>
      <c r="N1697" t="s">
        <v>538</v>
      </c>
      <c r="O1697">
        <v>300</v>
      </c>
      <c r="P1697" t="s">
        <v>262</v>
      </c>
      <c r="S1697">
        <v>1.02</v>
      </c>
      <c r="T1697">
        <v>37</v>
      </c>
      <c r="U1697" t="s">
        <v>539</v>
      </c>
      <c r="V1697">
        <v>75</v>
      </c>
      <c r="W1697" t="s">
        <v>544</v>
      </c>
      <c r="X1697" t="s">
        <v>280</v>
      </c>
      <c r="Y1697">
        <v>90</v>
      </c>
      <c r="AA1697" t="s">
        <v>94</v>
      </c>
      <c r="AB1697">
        <v>6.94</v>
      </c>
      <c r="AC1697" t="s">
        <v>85</v>
      </c>
      <c r="AD1697">
        <v>0.13</v>
      </c>
      <c r="AE1697" t="s">
        <v>138</v>
      </c>
      <c r="AI1697">
        <v>5</v>
      </c>
      <c r="AJ1697" t="s">
        <v>201</v>
      </c>
      <c r="AT1697" t="s">
        <v>65</v>
      </c>
      <c r="AV1697" t="s">
        <v>88</v>
      </c>
      <c r="AZ1697">
        <v>0</v>
      </c>
      <c r="BA1697">
        <v>6.94</v>
      </c>
    </row>
    <row r="1698" spans="1:53" hidden="1" x14ac:dyDescent="0.3">
      <c r="A1698" t="s">
        <v>537</v>
      </c>
      <c r="C1698" t="s">
        <v>251</v>
      </c>
      <c r="D1698" t="s">
        <v>81</v>
      </c>
      <c r="E1698">
        <v>100000000</v>
      </c>
      <c r="H1698">
        <v>14.25</v>
      </c>
      <c r="I1698" t="s">
        <v>56</v>
      </c>
      <c r="J1698">
        <v>1.4250000000000001E-3</v>
      </c>
      <c r="K1698" t="s">
        <v>57</v>
      </c>
      <c r="L1698" t="s">
        <v>58</v>
      </c>
      <c r="N1698" t="s">
        <v>538</v>
      </c>
      <c r="O1698">
        <v>300</v>
      </c>
      <c r="P1698" t="s">
        <v>262</v>
      </c>
      <c r="S1698">
        <v>1.02</v>
      </c>
      <c r="T1698">
        <v>37</v>
      </c>
      <c r="U1698" t="s">
        <v>539</v>
      </c>
      <c r="V1698">
        <v>75</v>
      </c>
      <c r="W1698" t="s">
        <v>147</v>
      </c>
      <c r="X1698" t="s">
        <v>280</v>
      </c>
      <c r="Y1698">
        <v>180</v>
      </c>
      <c r="AA1698" t="s">
        <v>94</v>
      </c>
      <c r="AB1698">
        <v>8.0500000000000007</v>
      </c>
      <c r="AC1698" t="s">
        <v>85</v>
      </c>
      <c r="AD1698">
        <v>0.01</v>
      </c>
      <c r="AE1698" t="s">
        <v>138</v>
      </c>
      <c r="AI1698">
        <v>5</v>
      </c>
      <c r="AJ1698" t="s">
        <v>201</v>
      </c>
      <c r="AT1698" t="s">
        <v>150</v>
      </c>
      <c r="AV1698" t="s">
        <v>88</v>
      </c>
      <c r="AZ1698">
        <v>0</v>
      </c>
      <c r="BA1698">
        <v>8.0500000000000007</v>
      </c>
    </row>
    <row r="1699" spans="1:53" hidden="1" x14ac:dyDescent="0.3">
      <c r="A1699" t="s">
        <v>537</v>
      </c>
      <c r="C1699" t="s">
        <v>251</v>
      </c>
      <c r="D1699" t="s">
        <v>81</v>
      </c>
      <c r="E1699">
        <v>100000000</v>
      </c>
      <c r="H1699">
        <v>14.25</v>
      </c>
      <c r="I1699" t="s">
        <v>56</v>
      </c>
      <c r="J1699">
        <v>1.4250000000000001E-3</v>
      </c>
      <c r="K1699" t="s">
        <v>57</v>
      </c>
      <c r="L1699" t="s">
        <v>58</v>
      </c>
      <c r="N1699" t="s">
        <v>538</v>
      </c>
      <c r="O1699">
        <v>300</v>
      </c>
      <c r="P1699" t="s">
        <v>262</v>
      </c>
      <c r="S1699">
        <v>1.02</v>
      </c>
      <c r="T1699">
        <v>37</v>
      </c>
      <c r="U1699" t="s">
        <v>539</v>
      </c>
      <c r="V1699">
        <v>75</v>
      </c>
      <c r="W1699" t="s">
        <v>540</v>
      </c>
      <c r="X1699" t="s">
        <v>280</v>
      </c>
      <c r="Y1699">
        <v>180</v>
      </c>
      <c r="AA1699" t="s">
        <v>94</v>
      </c>
      <c r="AB1699">
        <v>6.55</v>
      </c>
      <c r="AC1699" t="s">
        <v>85</v>
      </c>
      <c r="AD1699">
        <v>0.06</v>
      </c>
      <c r="AE1699" t="s">
        <v>138</v>
      </c>
      <c r="AI1699">
        <v>5</v>
      </c>
      <c r="AJ1699" t="s">
        <v>201</v>
      </c>
      <c r="AT1699" t="s">
        <v>212</v>
      </c>
      <c r="AV1699" t="s">
        <v>88</v>
      </c>
      <c r="AZ1699">
        <v>0</v>
      </c>
      <c r="BA1699">
        <v>6.55</v>
      </c>
    </row>
    <row r="1700" spans="1:53" hidden="1" x14ac:dyDescent="0.3">
      <c r="A1700" t="s">
        <v>537</v>
      </c>
      <c r="C1700" t="s">
        <v>251</v>
      </c>
      <c r="D1700" t="s">
        <v>81</v>
      </c>
      <c r="E1700">
        <v>100000000</v>
      </c>
      <c r="H1700">
        <v>14.25</v>
      </c>
      <c r="I1700" t="s">
        <v>56</v>
      </c>
      <c r="J1700">
        <v>1.4250000000000001E-3</v>
      </c>
      <c r="K1700" t="s">
        <v>57</v>
      </c>
      <c r="L1700" t="s">
        <v>58</v>
      </c>
      <c r="N1700" t="s">
        <v>538</v>
      </c>
      <c r="O1700">
        <v>300</v>
      </c>
      <c r="P1700" t="s">
        <v>262</v>
      </c>
      <c r="S1700">
        <v>1.02</v>
      </c>
      <c r="T1700">
        <v>37</v>
      </c>
      <c r="U1700" t="s">
        <v>539</v>
      </c>
      <c r="V1700">
        <v>75</v>
      </c>
      <c r="W1700" t="s">
        <v>541</v>
      </c>
      <c r="X1700" t="s">
        <v>280</v>
      </c>
      <c r="Y1700">
        <v>180</v>
      </c>
      <c r="AA1700" t="s">
        <v>94</v>
      </c>
      <c r="AB1700">
        <v>7.86</v>
      </c>
      <c r="AC1700" t="s">
        <v>85</v>
      </c>
      <c r="AD1700">
        <v>0.08</v>
      </c>
      <c r="AE1700" t="s">
        <v>138</v>
      </c>
      <c r="AI1700">
        <v>5</v>
      </c>
      <c r="AJ1700" t="s">
        <v>201</v>
      </c>
      <c r="AT1700" t="s">
        <v>382</v>
      </c>
      <c r="AV1700" t="s">
        <v>88</v>
      </c>
      <c r="AZ1700">
        <v>0</v>
      </c>
      <c r="BA1700">
        <v>7.86</v>
      </c>
    </row>
    <row r="1701" spans="1:53" hidden="1" x14ac:dyDescent="0.3">
      <c r="A1701" t="s">
        <v>537</v>
      </c>
      <c r="C1701" t="s">
        <v>251</v>
      </c>
      <c r="D1701" t="s">
        <v>81</v>
      </c>
      <c r="E1701">
        <v>100000000</v>
      </c>
      <c r="H1701">
        <v>14.25</v>
      </c>
      <c r="I1701" t="s">
        <v>56</v>
      </c>
      <c r="J1701">
        <v>1.4250000000000001E-3</v>
      </c>
      <c r="K1701" t="s">
        <v>57</v>
      </c>
      <c r="L1701" t="s">
        <v>58</v>
      </c>
      <c r="N1701" t="s">
        <v>538</v>
      </c>
      <c r="O1701">
        <v>300</v>
      </c>
      <c r="P1701" t="s">
        <v>262</v>
      </c>
      <c r="S1701">
        <v>1.02</v>
      </c>
      <c r="T1701">
        <v>37</v>
      </c>
      <c r="U1701" t="s">
        <v>539</v>
      </c>
      <c r="V1701">
        <v>75</v>
      </c>
      <c r="W1701" t="s">
        <v>542</v>
      </c>
      <c r="X1701" t="s">
        <v>280</v>
      </c>
      <c r="Y1701">
        <v>180</v>
      </c>
      <c r="AA1701" t="s">
        <v>94</v>
      </c>
      <c r="AB1701">
        <v>7.22</v>
      </c>
      <c r="AC1701" t="s">
        <v>85</v>
      </c>
      <c r="AD1701">
        <v>0.17</v>
      </c>
      <c r="AE1701" t="s">
        <v>138</v>
      </c>
      <c r="AI1701">
        <v>5</v>
      </c>
      <c r="AJ1701" t="s">
        <v>201</v>
      </c>
      <c r="AT1701" t="s">
        <v>382</v>
      </c>
      <c r="AV1701" t="s">
        <v>88</v>
      </c>
      <c r="AZ1701">
        <v>0</v>
      </c>
      <c r="BA1701">
        <v>7.22</v>
      </c>
    </row>
    <row r="1702" spans="1:53" hidden="1" x14ac:dyDescent="0.3">
      <c r="A1702" t="s">
        <v>537</v>
      </c>
      <c r="C1702" t="s">
        <v>251</v>
      </c>
      <c r="D1702" t="s">
        <v>81</v>
      </c>
      <c r="E1702">
        <v>100000000</v>
      </c>
      <c r="H1702">
        <v>14.25</v>
      </c>
      <c r="I1702" t="s">
        <v>56</v>
      </c>
      <c r="J1702">
        <v>1.4250000000000001E-3</v>
      </c>
      <c r="K1702" t="s">
        <v>57</v>
      </c>
      <c r="L1702" t="s">
        <v>58</v>
      </c>
      <c r="N1702" t="s">
        <v>538</v>
      </c>
      <c r="O1702">
        <v>300</v>
      </c>
      <c r="P1702" t="s">
        <v>262</v>
      </c>
      <c r="S1702">
        <v>1.02</v>
      </c>
      <c r="T1702">
        <v>37</v>
      </c>
      <c r="U1702" t="s">
        <v>539</v>
      </c>
      <c r="V1702">
        <v>75</v>
      </c>
      <c r="W1702" t="s">
        <v>543</v>
      </c>
      <c r="X1702" t="s">
        <v>280</v>
      </c>
      <c r="Y1702">
        <v>180</v>
      </c>
      <c r="AA1702" t="s">
        <v>94</v>
      </c>
      <c r="AB1702">
        <v>7.67</v>
      </c>
      <c r="AC1702" t="s">
        <v>85</v>
      </c>
      <c r="AD1702">
        <v>0.24</v>
      </c>
      <c r="AE1702" t="s">
        <v>138</v>
      </c>
      <c r="AI1702">
        <v>5</v>
      </c>
      <c r="AJ1702" t="s">
        <v>201</v>
      </c>
      <c r="AT1702" t="s">
        <v>382</v>
      </c>
      <c r="AV1702" t="s">
        <v>88</v>
      </c>
      <c r="AZ1702">
        <v>0</v>
      </c>
      <c r="BA1702">
        <v>7.67</v>
      </c>
    </row>
    <row r="1703" spans="1:53" hidden="1" x14ac:dyDescent="0.3">
      <c r="A1703" t="s">
        <v>537</v>
      </c>
      <c r="C1703" t="s">
        <v>251</v>
      </c>
      <c r="D1703" t="s">
        <v>81</v>
      </c>
      <c r="E1703">
        <v>100000000</v>
      </c>
      <c r="H1703">
        <v>14.25</v>
      </c>
      <c r="I1703" t="s">
        <v>56</v>
      </c>
      <c r="J1703">
        <v>1.4250000000000001E-3</v>
      </c>
      <c r="K1703" t="s">
        <v>57</v>
      </c>
      <c r="L1703" t="s">
        <v>58</v>
      </c>
      <c r="N1703" t="s">
        <v>538</v>
      </c>
      <c r="O1703">
        <v>300</v>
      </c>
      <c r="P1703" t="s">
        <v>262</v>
      </c>
      <c r="S1703">
        <v>1.02</v>
      </c>
      <c r="T1703">
        <v>37</v>
      </c>
      <c r="U1703" t="s">
        <v>539</v>
      </c>
      <c r="V1703">
        <v>75</v>
      </c>
      <c r="W1703" t="s">
        <v>544</v>
      </c>
      <c r="X1703" t="s">
        <v>280</v>
      </c>
      <c r="Y1703">
        <v>180</v>
      </c>
      <c r="AA1703" t="s">
        <v>94</v>
      </c>
      <c r="AB1703">
        <v>7.15</v>
      </c>
      <c r="AC1703" t="s">
        <v>85</v>
      </c>
      <c r="AD1703">
        <v>0.1</v>
      </c>
      <c r="AE1703" t="s">
        <v>138</v>
      </c>
      <c r="AI1703">
        <v>5</v>
      </c>
      <c r="AJ1703" t="s">
        <v>201</v>
      </c>
      <c r="AT1703" t="s">
        <v>65</v>
      </c>
      <c r="AV1703" t="s">
        <v>88</v>
      </c>
      <c r="AZ1703">
        <v>0</v>
      </c>
      <c r="BA1703">
        <v>7.15</v>
      </c>
    </row>
    <row r="1704" spans="1:53" hidden="1" x14ac:dyDescent="0.3">
      <c r="A1704" t="s">
        <v>537</v>
      </c>
      <c r="C1704" t="s">
        <v>251</v>
      </c>
      <c r="D1704" t="s">
        <v>81</v>
      </c>
      <c r="E1704">
        <v>100000000</v>
      </c>
      <c r="H1704">
        <v>14.25</v>
      </c>
      <c r="I1704" t="s">
        <v>56</v>
      </c>
      <c r="J1704">
        <v>1.4250000000000001E-3</v>
      </c>
      <c r="K1704" t="s">
        <v>57</v>
      </c>
      <c r="L1704" t="s">
        <v>58</v>
      </c>
      <c r="N1704" t="s">
        <v>538</v>
      </c>
      <c r="O1704">
        <v>150</v>
      </c>
      <c r="P1704" t="s">
        <v>262</v>
      </c>
      <c r="S1704">
        <v>1.02</v>
      </c>
      <c r="T1704">
        <v>50</v>
      </c>
      <c r="U1704" t="s">
        <v>539</v>
      </c>
      <c r="V1704">
        <v>50</v>
      </c>
      <c r="W1704" t="s">
        <v>542</v>
      </c>
      <c r="X1704" t="s">
        <v>280</v>
      </c>
      <c r="Y1704">
        <v>45</v>
      </c>
      <c r="AB1704">
        <v>1.64</v>
      </c>
      <c r="AC1704" t="s">
        <v>85</v>
      </c>
      <c r="AD1704">
        <v>0.15</v>
      </c>
      <c r="AE1704" t="s">
        <v>138</v>
      </c>
      <c r="AI1704">
        <v>6</v>
      </c>
      <c r="AJ1704" t="s">
        <v>201</v>
      </c>
      <c r="AT1704" t="s">
        <v>382</v>
      </c>
      <c r="AV1704" t="s">
        <v>88</v>
      </c>
    </row>
    <row r="1705" spans="1:53" hidden="1" x14ac:dyDescent="0.3">
      <c r="A1705" t="s">
        <v>537</v>
      </c>
      <c r="C1705" t="s">
        <v>251</v>
      </c>
      <c r="D1705" t="s">
        <v>81</v>
      </c>
      <c r="E1705">
        <v>100000000</v>
      </c>
      <c r="H1705">
        <v>14.25</v>
      </c>
      <c r="I1705" t="s">
        <v>56</v>
      </c>
      <c r="J1705">
        <v>1.4250000000000001E-3</v>
      </c>
      <c r="K1705" t="s">
        <v>57</v>
      </c>
      <c r="L1705" t="s">
        <v>58</v>
      </c>
      <c r="N1705" t="s">
        <v>538</v>
      </c>
      <c r="O1705">
        <v>150</v>
      </c>
      <c r="P1705" t="s">
        <v>262</v>
      </c>
      <c r="S1705">
        <v>1.02</v>
      </c>
      <c r="T1705">
        <v>50</v>
      </c>
      <c r="U1705" t="s">
        <v>539</v>
      </c>
      <c r="V1705">
        <v>50</v>
      </c>
      <c r="W1705" t="s">
        <v>542</v>
      </c>
      <c r="X1705" t="s">
        <v>280</v>
      </c>
      <c r="Y1705">
        <v>45</v>
      </c>
      <c r="AB1705">
        <v>2.44</v>
      </c>
      <c r="AC1705" t="s">
        <v>85</v>
      </c>
      <c r="AD1705">
        <v>0.74</v>
      </c>
      <c r="AE1705" t="s">
        <v>138</v>
      </c>
      <c r="AI1705">
        <v>6</v>
      </c>
      <c r="AJ1705" t="s">
        <v>201</v>
      </c>
      <c r="AT1705" t="s">
        <v>382</v>
      </c>
      <c r="AV1705" t="s">
        <v>88</v>
      </c>
    </row>
    <row r="1706" spans="1:53" hidden="1" x14ac:dyDescent="0.3">
      <c r="A1706" t="s">
        <v>545</v>
      </c>
      <c r="C1706" t="s">
        <v>251</v>
      </c>
      <c r="D1706" t="s">
        <v>81</v>
      </c>
      <c r="E1706">
        <v>100000000</v>
      </c>
      <c r="H1706">
        <v>14.25</v>
      </c>
      <c r="I1706" t="s">
        <v>56</v>
      </c>
      <c r="J1706">
        <v>1.4250000000000001E-3</v>
      </c>
      <c r="K1706" t="s">
        <v>57</v>
      </c>
      <c r="L1706" t="s">
        <v>58</v>
      </c>
      <c r="N1706" t="s">
        <v>538</v>
      </c>
      <c r="O1706">
        <v>300</v>
      </c>
      <c r="P1706" t="s">
        <v>262</v>
      </c>
      <c r="S1706">
        <v>2</v>
      </c>
      <c r="T1706">
        <v>37</v>
      </c>
      <c r="U1706" t="s">
        <v>546</v>
      </c>
      <c r="V1706">
        <v>70</v>
      </c>
      <c r="W1706" t="s">
        <v>147</v>
      </c>
      <c r="X1706" t="s">
        <v>280</v>
      </c>
      <c r="Y1706">
        <v>1440</v>
      </c>
      <c r="AB1706">
        <v>4.5599999999999996</v>
      </c>
      <c r="AC1706" t="s">
        <v>85</v>
      </c>
      <c r="AD1706">
        <v>0.9</v>
      </c>
      <c r="AE1706" t="s">
        <v>63</v>
      </c>
      <c r="AI1706">
        <v>5</v>
      </c>
      <c r="AJ1706" t="s">
        <v>201</v>
      </c>
      <c r="AT1706" t="s">
        <v>150</v>
      </c>
      <c r="AV1706" t="s">
        <v>88</v>
      </c>
    </row>
    <row r="1707" spans="1:53" hidden="1" x14ac:dyDescent="0.3">
      <c r="A1707" t="s">
        <v>545</v>
      </c>
      <c r="C1707" t="s">
        <v>251</v>
      </c>
      <c r="D1707" t="s">
        <v>81</v>
      </c>
      <c r="E1707">
        <v>100000000</v>
      </c>
      <c r="H1707">
        <v>14.25</v>
      </c>
      <c r="I1707" t="s">
        <v>56</v>
      </c>
      <c r="J1707">
        <v>1.4250000000000001E-3</v>
      </c>
      <c r="K1707" t="s">
        <v>57</v>
      </c>
      <c r="L1707" t="s">
        <v>58</v>
      </c>
      <c r="N1707" t="s">
        <v>538</v>
      </c>
      <c r="O1707">
        <v>300</v>
      </c>
      <c r="P1707" t="s">
        <v>262</v>
      </c>
      <c r="S1707">
        <v>2</v>
      </c>
      <c r="T1707">
        <v>37</v>
      </c>
      <c r="U1707" t="s">
        <v>546</v>
      </c>
      <c r="V1707">
        <v>70</v>
      </c>
      <c r="W1707" t="s">
        <v>468</v>
      </c>
      <c r="X1707" t="s">
        <v>280</v>
      </c>
      <c r="Y1707">
        <v>1440</v>
      </c>
      <c r="AB1707">
        <v>5.45</v>
      </c>
      <c r="AC1707" t="s">
        <v>85</v>
      </c>
      <c r="AD1707">
        <v>1.32</v>
      </c>
      <c r="AE1707" t="s">
        <v>63</v>
      </c>
      <c r="AI1707">
        <v>5</v>
      </c>
      <c r="AJ1707" t="s">
        <v>201</v>
      </c>
      <c r="AT1707" t="s">
        <v>318</v>
      </c>
      <c r="AV1707" t="s">
        <v>88</v>
      </c>
    </row>
    <row r="1708" spans="1:53" hidden="1" x14ac:dyDescent="0.3">
      <c r="A1708" t="s">
        <v>545</v>
      </c>
      <c r="C1708" t="s">
        <v>251</v>
      </c>
      <c r="D1708" t="s">
        <v>81</v>
      </c>
      <c r="E1708">
        <v>100000000</v>
      </c>
      <c r="H1708">
        <v>14.25</v>
      </c>
      <c r="I1708" t="s">
        <v>56</v>
      </c>
      <c r="J1708">
        <v>1.4250000000000001E-3</v>
      </c>
      <c r="K1708" t="s">
        <v>57</v>
      </c>
      <c r="L1708" t="s">
        <v>58</v>
      </c>
      <c r="N1708" t="s">
        <v>538</v>
      </c>
      <c r="O1708">
        <v>300</v>
      </c>
      <c r="P1708" t="s">
        <v>262</v>
      </c>
      <c r="S1708">
        <v>2</v>
      </c>
      <c r="T1708">
        <v>37</v>
      </c>
      <c r="U1708" t="s">
        <v>546</v>
      </c>
      <c r="V1708">
        <v>70</v>
      </c>
      <c r="W1708" t="s">
        <v>547</v>
      </c>
      <c r="X1708" t="s">
        <v>280</v>
      </c>
      <c r="Y1708">
        <v>1440</v>
      </c>
      <c r="AA1708" t="s">
        <v>94</v>
      </c>
      <c r="AB1708">
        <v>7.96</v>
      </c>
      <c r="AC1708" t="s">
        <v>85</v>
      </c>
      <c r="AD1708">
        <v>0.05</v>
      </c>
      <c r="AE1708" t="s">
        <v>63</v>
      </c>
      <c r="AI1708">
        <v>5</v>
      </c>
      <c r="AJ1708" t="s">
        <v>201</v>
      </c>
      <c r="AT1708" t="s">
        <v>73</v>
      </c>
      <c r="AV1708" t="s">
        <v>88</v>
      </c>
      <c r="AZ1708">
        <v>0</v>
      </c>
      <c r="BA1708">
        <v>7.96</v>
      </c>
    </row>
    <row r="1709" spans="1:53" hidden="1" x14ac:dyDescent="0.3">
      <c r="A1709" t="s">
        <v>545</v>
      </c>
      <c r="C1709" t="s">
        <v>251</v>
      </c>
      <c r="D1709" t="s">
        <v>81</v>
      </c>
      <c r="E1709">
        <v>100000000</v>
      </c>
      <c r="H1709">
        <v>14.25</v>
      </c>
      <c r="I1709" t="s">
        <v>56</v>
      </c>
      <c r="J1709">
        <v>1.4250000000000001E-3</v>
      </c>
      <c r="K1709" t="s">
        <v>57</v>
      </c>
      <c r="L1709" t="s">
        <v>58</v>
      </c>
      <c r="N1709" t="s">
        <v>538</v>
      </c>
      <c r="O1709">
        <v>300</v>
      </c>
      <c r="P1709" t="s">
        <v>262</v>
      </c>
      <c r="S1709">
        <v>2</v>
      </c>
      <c r="T1709">
        <v>37</v>
      </c>
      <c r="U1709" t="s">
        <v>546</v>
      </c>
      <c r="V1709">
        <v>70</v>
      </c>
      <c r="W1709" t="s">
        <v>422</v>
      </c>
      <c r="X1709" t="s">
        <v>280</v>
      </c>
      <c r="Y1709">
        <v>1440</v>
      </c>
      <c r="AA1709" t="s">
        <v>94</v>
      </c>
      <c r="AB1709">
        <v>7.58</v>
      </c>
      <c r="AC1709" t="s">
        <v>85</v>
      </c>
      <c r="AD1709">
        <v>7.0000000000000007E-2</v>
      </c>
      <c r="AE1709" t="s">
        <v>63</v>
      </c>
      <c r="AI1709">
        <v>5</v>
      </c>
      <c r="AJ1709" t="s">
        <v>201</v>
      </c>
      <c r="AT1709" t="s">
        <v>79</v>
      </c>
      <c r="AV1709" t="s">
        <v>88</v>
      </c>
      <c r="AZ1709">
        <v>0</v>
      </c>
      <c r="BA1709">
        <v>7.58</v>
      </c>
    </row>
    <row r="1710" spans="1:53" hidden="1" x14ac:dyDescent="0.3">
      <c r="A1710" t="s">
        <v>545</v>
      </c>
      <c r="C1710" t="s">
        <v>251</v>
      </c>
      <c r="D1710" t="s">
        <v>81</v>
      </c>
      <c r="E1710">
        <v>100000000</v>
      </c>
      <c r="H1710">
        <v>14.25</v>
      </c>
      <c r="I1710" t="s">
        <v>56</v>
      </c>
      <c r="J1710">
        <v>1.4250000000000001E-3</v>
      </c>
      <c r="K1710" t="s">
        <v>57</v>
      </c>
      <c r="L1710" t="s">
        <v>58</v>
      </c>
      <c r="N1710" t="s">
        <v>538</v>
      </c>
      <c r="O1710">
        <v>300</v>
      </c>
      <c r="P1710" t="s">
        <v>262</v>
      </c>
      <c r="S1710">
        <v>2</v>
      </c>
      <c r="T1710">
        <v>37</v>
      </c>
      <c r="U1710" t="s">
        <v>546</v>
      </c>
      <c r="V1710">
        <v>70</v>
      </c>
      <c r="W1710" t="s">
        <v>548</v>
      </c>
      <c r="X1710" t="s">
        <v>280</v>
      </c>
      <c r="Y1710">
        <v>1440</v>
      </c>
      <c r="AA1710" t="s">
        <v>94</v>
      </c>
      <c r="AB1710">
        <v>6.6</v>
      </c>
      <c r="AC1710" t="s">
        <v>85</v>
      </c>
      <c r="AD1710">
        <v>0.03</v>
      </c>
      <c r="AE1710" t="s">
        <v>63</v>
      </c>
      <c r="AI1710">
        <v>5</v>
      </c>
      <c r="AJ1710" t="s">
        <v>201</v>
      </c>
      <c r="AT1710" t="s">
        <v>75</v>
      </c>
      <c r="AV1710" t="s">
        <v>88</v>
      </c>
      <c r="AZ1710">
        <v>0</v>
      </c>
      <c r="BA1710">
        <v>6.6</v>
      </c>
    </row>
    <row r="1711" spans="1:53" hidden="1" x14ac:dyDescent="0.3">
      <c r="A1711" t="s">
        <v>545</v>
      </c>
      <c r="C1711" t="s">
        <v>251</v>
      </c>
      <c r="D1711" t="s">
        <v>81</v>
      </c>
      <c r="E1711">
        <v>100000000</v>
      </c>
      <c r="H1711">
        <v>14.25</v>
      </c>
      <c r="I1711" t="s">
        <v>56</v>
      </c>
      <c r="J1711">
        <v>1.4250000000000001E-3</v>
      </c>
      <c r="K1711" t="s">
        <v>57</v>
      </c>
      <c r="L1711" t="s">
        <v>58</v>
      </c>
      <c r="N1711" t="s">
        <v>538</v>
      </c>
      <c r="O1711">
        <v>300</v>
      </c>
      <c r="P1711" t="s">
        <v>262</v>
      </c>
      <c r="S1711">
        <v>2</v>
      </c>
      <c r="T1711">
        <v>37</v>
      </c>
      <c r="U1711" t="s">
        <v>546</v>
      </c>
      <c r="V1711">
        <v>70</v>
      </c>
      <c r="W1711" t="s">
        <v>549</v>
      </c>
      <c r="X1711" t="s">
        <v>280</v>
      </c>
      <c r="Y1711">
        <v>1440</v>
      </c>
      <c r="AA1711" t="s">
        <v>94</v>
      </c>
      <c r="AB1711">
        <v>7.2</v>
      </c>
      <c r="AC1711" t="s">
        <v>85</v>
      </c>
      <c r="AD1711">
        <v>0.22</v>
      </c>
      <c r="AE1711" t="s">
        <v>63</v>
      </c>
      <c r="AI1711">
        <v>5</v>
      </c>
      <c r="AJ1711" t="s">
        <v>201</v>
      </c>
      <c r="AT1711" t="s">
        <v>77</v>
      </c>
      <c r="AV1711" t="s">
        <v>88</v>
      </c>
      <c r="AZ1711">
        <v>0</v>
      </c>
      <c r="BA1711">
        <v>7.2</v>
      </c>
    </row>
    <row r="1712" spans="1:53" hidden="1" x14ac:dyDescent="0.3">
      <c r="A1712" t="s">
        <v>545</v>
      </c>
      <c r="C1712" t="s">
        <v>251</v>
      </c>
      <c r="D1712" t="s">
        <v>81</v>
      </c>
      <c r="E1712">
        <v>100000000</v>
      </c>
      <c r="H1712">
        <v>14.25</v>
      </c>
      <c r="I1712" t="s">
        <v>56</v>
      </c>
      <c r="J1712">
        <v>1.4250000000000001E-3</v>
      </c>
      <c r="K1712" t="s">
        <v>57</v>
      </c>
      <c r="L1712" t="s">
        <v>58</v>
      </c>
      <c r="N1712" t="s">
        <v>538</v>
      </c>
      <c r="O1712">
        <v>300</v>
      </c>
      <c r="P1712" t="s">
        <v>262</v>
      </c>
      <c r="S1712">
        <v>2</v>
      </c>
      <c r="T1712">
        <v>37</v>
      </c>
      <c r="U1712" t="s">
        <v>546</v>
      </c>
      <c r="V1712">
        <v>70</v>
      </c>
      <c r="W1712" t="s">
        <v>147</v>
      </c>
      <c r="X1712" t="s">
        <v>280</v>
      </c>
      <c r="Y1712">
        <v>720</v>
      </c>
      <c r="AB1712">
        <v>3.51</v>
      </c>
      <c r="AC1712" t="s">
        <v>85</v>
      </c>
      <c r="AD1712">
        <v>1.04</v>
      </c>
      <c r="AE1712" t="s">
        <v>63</v>
      </c>
      <c r="AI1712">
        <v>5</v>
      </c>
      <c r="AJ1712" t="s">
        <v>201</v>
      </c>
      <c r="AT1712" t="s">
        <v>150</v>
      </c>
      <c r="AV1712" t="s">
        <v>88</v>
      </c>
    </row>
    <row r="1713" spans="1:53" hidden="1" x14ac:dyDescent="0.3">
      <c r="A1713" t="s">
        <v>545</v>
      </c>
      <c r="C1713" t="s">
        <v>251</v>
      </c>
      <c r="D1713" t="s">
        <v>81</v>
      </c>
      <c r="E1713">
        <v>100000000</v>
      </c>
      <c r="H1713">
        <v>14.25</v>
      </c>
      <c r="I1713" t="s">
        <v>56</v>
      </c>
      <c r="J1713">
        <v>1.4250000000000001E-3</v>
      </c>
      <c r="K1713" t="s">
        <v>57</v>
      </c>
      <c r="L1713" t="s">
        <v>58</v>
      </c>
      <c r="N1713" t="s">
        <v>538</v>
      </c>
      <c r="O1713">
        <v>300</v>
      </c>
      <c r="P1713" t="s">
        <v>262</v>
      </c>
      <c r="S1713">
        <v>2</v>
      </c>
      <c r="T1713">
        <v>37</v>
      </c>
      <c r="U1713" t="s">
        <v>546</v>
      </c>
      <c r="V1713">
        <v>70</v>
      </c>
      <c r="W1713" t="s">
        <v>468</v>
      </c>
      <c r="X1713" t="s">
        <v>280</v>
      </c>
      <c r="Y1713">
        <v>720</v>
      </c>
      <c r="AB1713">
        <v>5.45</v>
      </c>
      <c r="AC1713" t="s">
        <v>85</v>
      </c>
      <c r="AD1713">
        <v>1.41</v>
      </c>
      <c r="AE1713" t="s">
        <v>63</v>
      </c>
      <c r="AI1713">
        <v>5</v>
      </c>
      <c r="AJ1713" t="s">
        <v>201</v>
      </c>
      <c r="AT1713" t="s">
        <v>318</v>
      </c>
      <c r="AV1713" t="s">
        <v>88</v>
      </c>
    </row>
    <row r="1714" spans="1:53" hidden="1" x14ac:dyDescent="0.3">
      <c r="A1714" t="s">
        <v>545</v>
      </c>
      <c r="C1714" t="s">
        <v>251</v>
      </c>
      <c r="D1714" t="s">
        <v>81</v>
      </c>
      <c r="E1714">
        <v>100000000</v>
      </c>
      <c r="H1714">
        <v>14.25</v>
      </c>
      <c r="I1714" t="s">
        <v>56</v>
      </c>
      <c r="J1714">
        <v>1.4250000000000001E-3</v>
      </c>
      <c r="K1714" t="s">
        <v>57</v>
      </c>
      <c r="L1714" t="s">
        <v>58</v>
      </c>
      <c r="N1714" t="s">
        <v>538</v>
      </c>
      <c r="O1714">
        <v>300</v>
      </c>
      <c r="P1714" t="s">
        <v>262</v>
      </c>
      <c r="S1714">
        <v>2</v>
      </c>
      <c r="T1714">
        <v>37</v>
      </c>
      <c r="U1714" t="s">
        <v>546</v>
      </c>
      <c r="V1714">
        <v>70</v>
      </c>
      <c r="W1714" t="s">
        <v>547</v>
      </c>
      <c r="X1714" t="s">
        <v>280</v>
      </c>
      <c r="Y1714">
        <v>720</v>
      </c>
      <c r="AA1714" t="s">
        <v>94</v>
      </c>
      <c r="AB1714">
        <v>7.92</v>
      </c>
      <c r="AC1714" t="s">
        <v>85</v>
      </c>
      <c r="AD1714">
        <v>0.04</v>
      </c>
      <c r="AE1714" t="s">
        <v>63</v>
      </c>
      <c r="AI1714">
        <v>5</v>
      </c>
      <c r="AJ1714" t="s">
        <v>201</v>
      </c>
      <c r="AT1714" t="s">
        <v>73</v>
      </c>
      <c r="AV1714" t="s">
        <v>88</v>
      </c>
      <c r="AZ1714">
        <v>0</v>
      </c>
      <c r="BA1714">
        <v>7.92</v>
      </c>
    </row>
    <row r="1715" spans="1:53" hidden="1" x14ac:dyDescent="0.3">
      <c r="A1715" t="s">
        <v>545</v>
      </c>
      <c r="C1715" t="s">
        <v>251</v>
      </c>
      <c r="D1715" t="s">
        <v>81</v>
      </c>
      <c r="E1715">
        <v>100000000</v>
      </c>
      <c r="H1715">
        <v>14.25</v>
      </c>
      <c r="I1715" t="s">
        <v>56</v>
      </c>
      <c r="J1715">
        <v>1.4250000000000001E-3</v>
      </c>
      <c r="K1715" t="s">
        <v>57</v>
      </c>
      <c r="L1715" t="s">
        <v>58</v>
      </c>
      <c r="N1715" t="s">
        <v>538</v>
      </c>
      <c r="O1715">
        <v>300</v>
      </c>
      <c r="P1715" t="s">
        <v>262</v>
      </c>
      <c r="S1715">
        <v>2</v>
      </c>
      <c r="T1715">
        <v>37</v>
      </c>
      <c r="U1715" t="s">
        <v>546</v>
      </c>
      <c r="V1715">
        <v>70</v>
      </c>
      <c r="W1715" t="s">
        <v>422</v>
      </c>
      <c r="X1715" t="s">
        <v>280</v>
      </c>
      <c r="Y1715">
        <v>720</v>
      </c>
      <c r="AA1715" t="s">
        <v>94</v>
      </c>
      <c r="AB1715">
        <v>7.96</v>
      </c>
      <c r="AC1715" t="s">
        <v>85</v>
      </c>
      <c r="AD1715">
        <v>0.01</v>
      </c>
      <c r="AE1715" t="s">
        <v>63</v>
      </c>
      <c r="AI1715">
        <v>5</v>
      </c>
      <c r="AJ1715" t="s">
        <v>201</v>
      </c>
      <c r="AT1715" t="s">
        <v>79</v>
      </c>
      <c r="AV1715" t="s">
        <v>88</v>
      </c>
      <c r="AZ1715">
        <v>0</v>
      </c>
      <c r="BA1715">
        <v>7.96</v>
      </c>
    </row>
    <row r="1716" spans="1:53" hidden="1" x14ac:dyDescent="0.3">
      <c r="A1716" t="s">
        <v>545</v>
      </c>
      <c r="C1716" t="s">
        <v>251</v>
      </c>
      <c r="D1716" t="s">
        <v>81</v>
      </c>
      <c r="E1716">
        <v>100000000</v>
      </c>
      <c r="H1716">
        <v>14.25</v>
      </c>
      <c r="I1716" t="s">
        <v>56</v>
      </c>
      <c r="J1716">
        <v>1.4250000000000001E-3</v>
      </c>
      <c r="K1716" t="s">
        <v>57</v>
      </c>
      <c r="L1716" t="s">
        <v>58</v>
      </c>
      <c r="N1716" t="s">
        <v>538</v>
      </c>
      <c r="O1716">
        <v>300</v>
      </c>
      <c r="P1716" t="s">
        <v>262</v>
      </c>
      <c r="S1716">
        <v>2</v>
      </c>
      <c r="T1716">
        <v>37</v>
      </c>
      <c r="U1716" t="s">
        <v>546</v>
      </c>
      <c r="V1716">
        <v>70</v>
      </c>
      <c r="W1716" t="s">
        <v>548</v>
      </c>
      <c r="X1716" t="s">
        <v>280</v>
      </c>
      <c r="Y1716">
        <v>720</v>
      </c>
      <c r="AA1716" t="s">
        <v>94</v>
      </c>
      <c r="AB1716">
        <v>6.76</v>
      </c>
      <c r="AC1716" t="s">
        <v>85</v>
      </c>
      <c r="AD1716">
        <v>0.1</v>
      </c>
      <c r="AE1716" t="s">
        <v>63</v>
      </c>
      <c r="AI1716">
        <v>5</v>
      </c>
      <c r="AJ1716" t="s">
        <v>201</v>
      </c>
      <c r="AT1716" t="s">
        <v>75</v>
      </c>
      <c r="AV1716" t="s">
        <v>88</v>
      </c>
      <c r="AZ1716">
        <v>0</v>
      </c>
      <c r="BA1716">
        <v>6.76</v>
      </c>
    </row>
    <row r="1717" spans="1:53" hidden="1" x14ac:dyDescent="0.3">
      <c r="A1717" t="s">
        <v>545</v>
      </c>
      <c r="C1717" t="s">
        <v>251</v>
      </c>
      <c r="D1717" t="s">
        <v>81</v>
      </c>
      <c r="E1717">
        <v>100000000</v>
      </c>
      <c r="H1717">
        <v>14.25</v>
      </c>
      <c r="I1717" t="s">
        <v>56</v>
      </c>
      <c r="J1717">
        <v>1.4250000000000001E-3</v>
      </c>
      <c r="K1717" t="s">
        <v>57</v>
      </c>
      <c r="L1717" t="s">
        <v>58</v>
      </c>
      <c r="N1717" t="s">
        <v>538</v>
      </c>
      <c r="O1717">
        <v>300</v>
      </c>
      <c r="P1717" t="s">
        <v>262</v>
      </c>
      <c r="S1717">
        <v>2</v>
      </c>
      <c r="T1717">
        <v>37</v>
      </c>
      <c r="U1717" t="s">
        <v>546</v>
      </c>
      <c r="V1717">
        <v>70</v>
      </c>
      <c r="W1717" t="s">
        <v>549</v>
      </c>
      <c r="X1717" t="s">
        <v>280</v>
      </c>
      <c r="Y1717">
        <v>720</v>
      </c>
      <c r="AA1717" t="s">
        <v>94</v>
      </c>
      <c r="AB1717">
        <v>7.26</v>
      </c>
      <c r="AC1717" t="s">
        <v>85</v>
      </c>
      <c r="AD1717">
        <v>0.28999999999999998</v>
      </c>
      <c r="AE1717" t="s">
        <v>63</v>
      </c>
      <c r="AI1717">
        <v>5</v>
      </c>
      <c r="AJ1717" t="s">
        <v>201</v>
      </c>
      <c r="AT1717" t="s">
        <v>77</v>
      </c>
      <c r="AV1717" t="s">
        <v>88</v>
      </c>
      <c r="AZ1717">
        <v>0</v>
      </c>
      <c r="BA1717">
        <v>7.26</v>
      </c>
    </row>
    <row r="1718" spans="1:53" hidden="1" x14ac:dyDescent="0.3">
      <c r="A1718" t="s">
        <v>545</v>
      </c>
      <c r="C1718" t="s">
        <v>251</v>
      </c>
      <c r="D1718" t="s">
        <v>81</v>
      </c>
      <c r="E1718">
        <v>100000000</v>
      </c>
      <c r="H1718">
        <v>14.25</v>
      </c>
      <c r="I1718" t="s">
        <v>56</v>
      </c>
      <c r="J1718">
        <v>1.4250000000000001E-3</v>
      </c>
      <c r="K1718" t="s">
        <v>57</v>
      </c>
      <c r="L1718" t="s">
        <v>58</v>
      </c>
      <c r="N1718" t="s">
        <v>538</v>
      </c>
      <c r="O1718">
        <v>400</v>
      </c>
      <c r="P1718" t="s">
        <v>262</v>
      </c>
      <c r="S1718">
        <v>2</v>
      </c>
      <c r="T1718">
        <v>37</v>
      </c>
      <c r="U1718" t="s">
        <v>546</v>
      </c>
      <c r="V1718">
        <v>70</v>
      </c>
      <c r="W1718" t="s">
        <v>147</v>
      </c>
      <c r="X1718" t="s">
        <v>280</v>
      </c>
      <c r="Y1718">
        <v>1440</v>
      </c>
      <c r="AA1718" t="s">
        <v>94</v>
      </c>
      <c r="AB1718">
        <v>7.53</v>
      </c>
      <c r="AC1718" t="s">
        <v>85</v>
      </c>
      <c r="AD1718">
        <v>0.09</v>
      </c>
      <c r="AE1718" t="s">
        <v>63</v>
      </c>
      <c r="AI1718">
        <v>5</v>
      </c>
      <c r="AJ1718" t="s">
        <v>201</v>
      </c>
      <c r="AT1718" t="s">
        <v>150</v>
      </c>
      <c r="AV1718" t="s">
        <v>88</v>
      </c>
      <c r="AZ1718">
        <v>0</v>
      </c>
      <c r="BA1718">
        <v>7.53</v>
      </c>
    </row>
    <row r="1719" spans="1:53" hidden="1" x14ac:dyDescent="0.3">
      <c r="A1719" t="s">
        <v>545</v>
      </c>
      <c r="C1719" t="s">
        <v>251</v>
      </c>
      <c r="D1719" t="s">
        <v>81</v>
      </c>
      <c r="E1719">
        <v>100000000</v>
      </c>
      <c r="H1719">
        <v>14.25</v>
      </c>
      <c r="I1719" t="s">
        <v>56</v>
      </c>
      <c r="J1719">
        <v>1.4250000000000001E-3</v>
      </c>
      <c r="K1719" t="s">
        <v>57</v>
      </c>
      <c r="L1719" t="s">
        <v>58</v>
      </c>
      <c r="N1719" t="s">
        <v>538</v>
      </c>
      <c r="O1719">
        <v>400</v>
      </c>
      <c r="P1719" t="s">
        <v>262</v>
      </c>
      <c r="S1719">
        <v>2</v>
      </c>
      <c r="T1719">
        <v>37</v>
      </c>
      <c r="U1719" t="s">
        <v>546</v>
      </c>
      <c r="V1719">
        <v>70</v>
      </c>
      <c r="W1719" t="s">
        <v>468</v>
      </c>
      <c r="X1719" t="s">
        <v>280</v>
      </c>
      <c r="Y1719">
        <v>1440</v>
      </c>
      <c r="AA1719" t="s">
        <v>94</v>
      </c>
      <c r="AB1719">
        <v>7.08</v>
      </c>
      <c r="AC1719" t="s">
        <v>85</v>
      </c>
      <c r="AD1719">
        <v>0.05</v>
      </c>
      <c r="AE1719" t="s">
        <v>63</v>
      </c>
      <c r="AI1719">
        <v>5</v>
      </c>
      <c r="AJ1719" t="s">
        <v>201</v>
      </c>
      <c r="AT1719" t="s">
        <v>318</v>
      </c>
      <c r="AV1719" t="s">
        <v>88</v>
      </c>
      <c r="AZ1719">
        <v>0</v>
      </c>
      <c r="BA1719">
        <v>7.08</v>
      </c>
    </row>
    <row r="1720" spans="1:53" hidden="1" x14ac:dyDescent="0.3">
      <c r="A1720" t="s">
        <v>545</v>
      </c>
      <c r="C1720" t="s">
        <v>251</v>
      </c>
      <c r="D1720" t="s">
        <v>81</v>
      </c>
      <c r="E1720">
        <v>100000000</v>
      </c>
      <c r="H1720">
        <v>14.25</v>
      </c>
      <c r="I1720" t="s">
        <v>56</v>
      </c>
      <c r="J1720">
        <v>1.4250000000000001E-3</v>
      </c>
      <c r="K1720" t="s">
        <v>57</v>
      </c>
      <c r="L1720" t="s">
        <v>58</v>
      </c>
      <c r="N1720" t="s">
        <v>538</v>
      </c>
      <c r="O1720">
        <v>400</v>
      </c>
      <c r="P1720" t="s">
        <v>262</v>
      </c>
      <c r="S1720">
        <v>2</v>
      </c>
      <c r="T1720">
        <v>37</v>
      </c>
      <c r="U1720" t="s">
        <v>546</v>
      </c>
      <c r="V1720">
        <v>70</v>
      </c>
      <c r="W1720" t="s">
        <v>547</v>
      </c>
      <c r="X1720" t="s">
        <v>280</v>
      </c>
      <c r="Y1720">
        <v>1440</v>
      </c>
      <c r="AA1720" t="s">
        <v>94</v>
      </c>
      <c r="AB1720">
        <v>7.93</v>
      </c>
      <c r="AC1720" t="s">
        <v>85</v>
      </c>
      <c r="AD1720">
        <v>0.03</v>
      </c>
      <c r="AE1720" t="s">
        <v>63</v>
      </c>
      <c r="AI1720">
        <v>5</v>
      </c>
      <c r="AJ1720" t="s">
        <v>201</v>
      </c>
      <c r="AT1720" t="s">
        <v>73</v>
      </c>
      <c r="AV1720" t="s">
        <v>88</v>
      </c>
      <c r="AZ1720">
        <v>0</v>
      </c>
      <c r="BA1720">
        <v>7.93</v>
      </c>
    </row>
    <row r="1721" spans="1:53" hidden="1" x14ac:dyDescent="0.3">
      <c r="A1721" t="s">
        <v>545</v>
      </c>
      <c r="C1721" t="s">
        <v>251</v>
      </c>
      <c r="D1721" t="s">
        <v>81</v>
      </c>
      <c r="E1721">
        <v>100000000</v>
      </c>
      <c r="H1721">
        <v>14.25</v>
      </c>
      <c r="I1721" t="s">
        <v>56</v>
      </c>
      <c r="J1721">
        <v>1.4250000000000001E-3</v>
      </c>
      <c r="K1721" t="s">
        <v>57</v>
      </c>
      <c r="L1721" t="s">
        <v>58</v>
      </c>
      <c r="N1721" t="s">
        <v>538</v>
      </c>
      <c r="O1721">
        <v>400</v>
      </c>
      <c r="P1721" t="s">
        <v>262</v>
      </c>
      <c r="S1721">
        <v>2</v>
      </c>
      <c r="T1721">
        <v>37</v>
      </c>
      <c r="U1721" t="s">
        <v>546</v>
      </c>
      <c r="V1721">
        <v>70</v>
      </c>
      <c r="W1721" t="s">
        <v>422</v>
      </c>
      <c r="X1721" t="s">
        <v>280</v>
      </c>
      <c r="Y1721">
        <v>1440</v>
      </c>
      <c r="AA1721" t="s">
        <v>94</v>
      </c>
      <c r="AB1721">
        <v>7.75</v>
      </c>
      <c r="AC1721" t="s">
        <v>85</v>
      </c>
      <c r="AD1721">
        <v>0.06</v>
      </c>
      <c r="AE1721" t="s">
        <v>63</v>
      </c>
      <c r="AI1721">
        <v>5</v>
      </c>
      <c r="AJ1721" t="s">
        <v>201</v>
      </c>
      <c r="AT1721" t="s">
        <v>79</v>
      </c>
      <c r="AV1721" t="s">
        <v>88</v>
      </c>
      <c r="AZ1721">
        <v>0</v>
      </c>
      <c r="BA1721">
        <v>7.75</v>
      </c>
    </row>
    <row r="1722" spans="1:53" hidden="1" x14ac:dyDescent="0.3">
      <c r="A1722" t="s">
        <v>545</v>
      </c>
      <c r="C1722" t="s">
        <v>251</v>
      </c>
      <c r="D1722" t="s">
        <v>81</v>
      </c>
      <c r="E1722">
        <v>100000000</v>
      </c>
      <c r="H1722">
        <v>14.25</v>
      </c>
      <c r="I1722" t="s">
        <v>56</v>
      </c>
      <c r="J1722">
        <v>1.4250000000000001E-3</v>
      </c>
      <c r="K1722" t="s">
        <v>57</v>
      </c>
      <c r="L1722" t="s">
        <v>58</v>
      </c>
      <c r="N1722" t="s">
        <v>538</v>
      </c>
      <c r="O1722">
        <v>400</v>
      </c>
      <c r="P1722" t="s">
        <v>262</v>
      </c>
      <c r="S1722">
        <v>2</v>
      </c>
      <c r="T1722">
        <v>37</v>
      </c>
      <c r="U1722" t="s">
        <v>546</v>
      </c>
      <c r="V1722">
        <v>70</v>
      </c>
      <c r="W1722" t="s">
        <v>548</v>
      </c>
      <c r="X1722" t="s">
        <v>280</v>
      </c>
      <c r="Y1722">
        <v>1440</v>
      </c>
      <c r="AA1722" t="s">
        <v>94</v>
      </c>
      <c r="AB1722">
        <v>6.91</v>
      </c>
      <c r="AC1722" t="s">
        <v>85</v>
      </c>
      <c r="AD1722">
        <v>0.18</v>
      </c>
      <c r="AE1722" t="s">
        <v>63</v>
      </c>
      <c r="AI1722">
        <v>5</v>
      </c>
      <c r="AJ1722" t="s">
        <v>201</v>
      </c>
      <c r="AT1722" t="s">
        <v>75</v>
      </c>
      <c r="AV1722" t="s">
        <v>88</v>
      </c>
      <c r="AZ1722">
        <v>0</v>
      </c>
      <c r="BA1722">
        <v>6.91</v>
      </c>
    </row>
    <row r="1723" spans="1:53" hidden="1" x14ac:dyDescent="0.3">
      <c r="A1723" t="s">
        <v>545</v>
      </c>
      <c r="C1723" t="s">
        <v>251</v>
      </c>
      <c r="D1723" t="s">
        <v>81</v>
      </c>
      <c r="E1723">
        <v>100000000</v>
      </c>
      <c r="H1723">
        <v>14.25</v>
      </c>
      <c r="I1723" t="s">
        <v>56</v>
      </c>
      <c r="J1723">
        <v>1.4250000000000001E-3</v>
      </c>
      <c r="K1723" t="s">
        <v>57</v>
      </c>
      <c r="L1723" t="s">
        <v>58</v>
      </c>
      <c r="N1723" t="s">
        <v>538</v>
      </c>
      <c r="O1723">
        <v>400</v>
      </c>
      <c r="P1723" t="s">
        <v>262</v>
      </c>
      <c r="S1723">
        <v>2</v>
      </c>
      <c r="T1723">
        <v>37</v>
      </c>
      <c r="U1723" t="s">
        <v>546</v>
      </c>
      <c r="V1723">
        <v>70</v>
      </c>
      <c r="W1723" t="s">
        <v>549</v>
      </c>
      <c r="X1723" t="s">
        <v>280</v>
      </c>
      <c r="Y1723">
        <v>1440</v>
      </c>
      <c r="AA1723" t="s">
        <v>94</v>
      </c>
      <c r="AB1723">
        <v>6.96</v>
      </c>
      <c r="AC1723" t="s">
        <v>85</v>
      </c>
      <c r="AD1723">
        <v>0.18</v>
      </c>
      <c r="AE1723" t="s">
        <v>63</v>
      </c>
      <c r="AI1723">
        <v>5</v>
      </c>
      <c r="AJ1723" t="s">
        <v>201</v>
      </c>
      <c r="AT1723" t="s">
        <v>77</v>
      </c>
      <c r="AV1723" t="s">
        <v>88</v>
      </c>
      <c r="AZ1723">
        <v>0</v>
      </c>
      <c r="BA1723">
        <v>6.96</v>
      </c>
    </row>
    <row r="1724" spans="1:53" hidden="1" x14ac:dyDescent="0.3">
      <c r="A1724" t="s">
        <v>545</v>
      </c>
      <c r="C1724" t="s">
        <v>251</v>
      </c>
      <c r="D1724" t="s">
        <v>81</v>
      </c>
      <c r="E1724">
        <v>100000000</v>
      </c>
      <c r="H1724">
        <v>14.25</v>
      </c>
      <c r="I1724" t="s">
        <v>56</v>
      </c>
      <c r="J1724">
        <v>1.4250000000000001E-3</v>
      </c>
      <c r="K1724" t="s">
        <v>57</v>
      </c>
      <c r="L1724" t="s">
        <v>58</v>
      </c>
      <c r="N1724" t="s">
        <v>538</v>
      </c>
      <c r="O1724">
        <v>400</v>
      </c>
      <c r="P1724" t="s">
        <v>262</v>
      </c>
      <c r="S1724">
        <v>2</v>
      </c>
      <c r="T1724">
        <v>37</v>
      </c>
      <c r="U1724" t="s">
        <v>546</v>
      </c>
      <c r="V1724">
        <v>70</v>
      </c>
      <c r="W1724" t="s">
        <v>147</v>
      </c>
      <c r="X1724" t="s">
        <v>280</v>
      </c>
      <c r="Y1724">
        <v>720</v>
      </c>
      <c r="AA1724" t="s">
        <v>94</v>
      </c>
      <c r="AB1724">
        <v>7.61</v>
      </c>
      <c r="AC1724" t="s">
        <v>85</v>
      </c>
      <c r="AD1724">
        <v>0.03</v>
      </c>
      <c r="AE1724" t="s">
        <v>63</v>
      </c>
      <c r="AI1724">
        <v>5</v>
      </c>
      <c r="AJ1724" t="s">
        <v>201</v>
      </c>
      <c r="AT1724" t="s">
        <v>150</v>
      </c>
      <c r="AV1724" t="s">
        <v>88</v>
      </c>
      <c r="AZ1724">
        <v>0</v>
      </c>
      <c r="BA1724">
        <v>7.61</v>
      </c>
    </row>
    <row r="1725" spans="1:53" hidden="1" x14ac:dyDescent="0.3">
      <c r="A1725" t="s">
        <v>545</v>
      </c>
      <c r="C1725" t="s">
        <v>251</v>
      </c>
      <c r="D1725" t="s">
        <v>81</v>
      </c>
      <c r="E1725">
        <v>100000000</v>
      </c>
      <c r="H1725">
        <v>14.25</v>
      </c>
      <c r="I1725" t="s">
        <v>56</v>
      </c>
      <c r="J1725">
        <v>1.4250000000000001E-3</v>
      </c>
      <c r="K1725" t="s">
        <v>57</v>
      </c>
      <c r="L1725" t="s">
        <v>58</v>
      </c>
      <c r="N1725" t="s">
        <v>538</v>
      </c>
      <c r="O1725">
        <v>400</v>
      </c>
      <c r="P1725" t="s">
        <v>262</v>
      </c>
      <c r="S1725">
        <v>2</v>
      </c>
      <c r="T1725">
        <v>37</v>
      </c>
      <c r="U1725" t="s">
        <v>546</v>
      </c>
      <c r="V1725">
        <v>70</v>
      </c>
      <c r="W1725" t="s">
        <v>468</v>
      </c>
      <c r="X1725" t="s">
        <v>280</v>
      </c>
      <c r="Y1725">
        <v>720</v>
      </c>
      <c r="AA1725" t="s">
        <v>94</v>
      </c>
      <c r="AB1725">
        <v>7.01</v>
      </c>
      <c r="AC1725" t="s">
        <v>85</v>
      </c>
      <c r="AD1725">
        <v>0.08</v>
      </c>
      <c r="AE1725" t="s">
        <v>63</v>
      </c>
      <c r="AI1725">
        <v>5</v>
      </c>
      <c r="AJ1725" t="s">
        <v>201</v>
      </c>
      <c r="AT1725" t="s">
        <v>318</v>
      </c>
      <c r="AV1725" t="s">
        <v>88</v>
      </c>
      <c r="AZ1725">
        <v>0</v>
      </c>
      <c r="BA1725">
        <v>7.01</v>
      </c>
    </row>
    <row r="1726" spans="1:53" hidden="1" x14ac:dyDescent="0.3">
      <c r="A1726" t="s">
        <v>545</v>
      </c>
      <c r="C1726" t="s">
        <v>251</v>
      </c>
      <c r="D1726" t="s">
        <v>81</v>
      </c>
      <c r="E1726">
        <v>100000000</v>
      </c>
      <c r="H1726">
        <v>14.25</v>
      </c>
      <c r="I1726" t="s">
        <v>56</v>
      </c>
      <c r="J1726">
        <v>1.4250000000000001E-3</v>
      </c>
      <c r="K1726" t="s">
        <v>57</v>
      </c>
      <c r="L1726" t="s">
        <v>58</v>
      </c>
      <c r="N1726" t="s">
        <v>538</v>
      </c>
      <c r="O1726">
        <v>400</v>
      </c>
      <c r="P1726" t="s">
        <v>262</v>
      </c>
      <c r="S1726">
        <v>2</v>
      </c>
      <c r="T1726">
        <v>37</v>
      </c>
      <c r="U1726" t="s">
        <v>546</v>
      </c>
      <c r="V1726">
        <v>70</v>
      </c>
      <c r="W1726" t="s">
        <v>547</v>
      </c>
      <c r="X1726" t="s">
        <v>280</v>
      </c>
      <c r="Y1726">
        <v>720</v>
      </c>
      <c r="AA1726" t="s">
        <v>94</v>
      </c>
      <c r="AB1726">
        <v>7.97</v>
      </c>
      <c r="AC1726" t="s">
        <v>85</v>
      </c>
      <c r="AD1726">
        <v>0.03</v>
      </c>
      <c r="AE1726" t="s">
        <v>63</v>
      </c>
      <c r="AI1726">
        <v>5</v>
      </c>
      <c r="AJ1726" t="s">
        <v>201</v>
      </c>
      <c r="AT1726" t="s">
        <v>73</v>
      </c>
      <c r="AV1726" t="s">
        <v>88</v>
      </c>
      <c r="AZ1726">
        <v>0</v>
      </c>
      <c r="BA1726">
        <v>7.97</v>
      </c>
    </row>
    <row r="1727" spans="1:53" hidden="1" x14ac:dyDescent="0.3">
      <c r="A1727" t="s">
        <v>545</v>
      </c>
      <c r="C1727" t="s">
        <v>251</v>
      </c>
      <c r="D1727" t="s">
        <v>81</v>
      </c>
      <c r="E1727">
        <v>100000000</v>
      </c>
      <c r="H1727">
        <v>14.25</v>
      </c>
      <c r="I1727" t="s">
        <v>56</v>
      </c>
      <c r="J1727">
        <v>1.4250000000000001E-3</v>
      </c>
      <c r="K1727" t="s">
        <v>57</v>
      </c>
      <c r="L1727" t="s">
        <v>58</v>
      </c>
      <c r="N1727" t="s">
        <v>538</v>
      </c>
      <c r="O1727">
        <v>400</v>
      </c>
      <c r="P1727" t="s">
        <v>262</v>
      </c>
      <c r="S1727">
        <v>2</v>
      </c>
      <c r="T1727">
        <v>37</v>
      </c>
      <c r="U1727" t="s">
        <v>546</v>
      </c>
      <c r="V1727">
        <v>70</v>
      </c>
      <c r="W1727" t="s">
        <v>422</v>
      </c>
      <c r="X1727" t="s">
        <v>280</v>
      </c>
      <c r="Y1727">
        <v>720</v>
      </c>
      <c r="AA1727" t="s">
        <v>94</v>
      </c>
      <c r="AB1727">
        <v>7.82</v>
      </c>
      <c r="AC1727" t="s">
        <v>85</v>
      </c>
      <c r="AD1727">
        <v>0.12</v>
      </c>
      <c r="AE1727" t="s">
        <v>63</v>
      </c>
      <c r="AI1727">
        <v>5</v>
      </c>
      <c r="AJ1727" t="s">
        <v>201</v>
      </c>
      <c r="AT1727" t="s">
        <v>79</v>
      </c>
      <c r="AV1727" t="s">
        <v>88</v>
      </c>
      <c r="AZ1727">
        <v>0</v>
      </c>
      <c r="BA1727">
        <v>7.82</v>
      </c>
    </row>
    <row r="1728" spans="1:53" hidden="1" x14ac:dyDescent="0.3">
      <c r="A1728" t="s">
        <v>545</v>
      </c>
      <c r="C1728" t="s">
        <v>251</v>
      </c>
      <c r="D1728" t="s">
        <v>81</v>
      </c>
      <c r="E1728">
        <v>100000000</v>
      </c>
      <c r="H1728">
        <v>14.25</v>
      </c>
      <c r="I1728" t="s">
        <v>56</v>
      </c>
      <c r="J1728">
        <v>1.4250000000000001E-3</v>
      </c>
      <c r="K1728" t="s">
        <v>57</v>
      </c>
      <c r="L1728" t="s">
        <v>58</v>
      </c>
      <c r="N1728" t="s">
        <v>538</v>
      </c>
      <c r="O1728">
        <v>400</v>
      </c>
      <c r="P1728" t="s">
        <v>262</v>
      </c>
      <c r="S1728">
        <v>2</v>
      </c>
      <c r="T1728">
        <v>37</v>
      </c>
      <c r="U1728" t="s">
        <v>546</v>
      </c>
      <c r="V1728">
        <v>70</v>
      </c>
      <c r="W1728" t="s">
        <v>548</v>
      </c>
      <c r="X1728" t="s">
        <v>280</v>
      </c>
      <c r="Y1728">
        <v>720</v>
      </c>
      <c r="AA1728" t="s">
        <v>94</v>
      </c>
      <c r="AB1728">
        <v>6.79</v>
      </c>
      <c r="AC1728" t="s">
        <v>85</v>
      </c>
      <c r="AD1728">
        <v>0.15</v>
      </c>
      <c r="AE1728" t="s">
        <v>63</v>
      </c>
      <c r="AI1728">
        <v>5</v>
      </c>
      <c r="AJ1728" t="s">
        <v>201</v>
      </c>
      <c r="AT1728" t="s">
        <v>75</v>
      </c>
      <c r="AV1728" t="s">
        <v>88</v>
      </c>
      <c r="AZ1728">
        <v>0</v>
      </c>
      <c r="BA1728">
        <v>6.79</v>
      </c>
    </row>
    <row r="1729" spans="1:53" hidden="1" x14ac:dyDescent="0.3">
      <c r="A1729" t="s">
        <v>545</v>
      </c>
      <c r="C1729" t="s">
        <v>251</v>
      </c>
      <c r="D1729" t="s">
        <v>81</v>
      </c>
      <c r="E1729">
        <v>100000000</v>
      </c>
      <c r="H1729">
        <v>14.25</v>
      </c>
      <c r="I1729" t="s">
        <v>56</v>
      </c>
      <c r="J1729">
        <v>1.4250000000000001E-3</v>
      </c>
      <c r="K1729" t="s">
        <v>57</v>
      </c>
      <c r="L1729" t="s">
        <v>58</v>
      </c>
      <c r="N1729" t="s">
        <v>538</v>
      </c>
      <c r="O1729">
        <v>400</v>
      </c>
      <c r="P1729" t="s">
        <v>262</v>
      </c>
      <c r="S1729">
        <v>2</v>
      </c>
      <c r="T1729">
        <v>37</v>
      </c>
      <c r="U1729" t="s">
        <v>546</v>
      </c>
      <c r="V1729">
        <v>70</v>
      </c>
      <c r="W1729" t="s">
        <v>549</v>
      </c>
      <c r="X1729" t="s">
        <v>280</v>
      </c>
      <c r="Y1729">
        <v>720</v>
      </c>
      <c r="AA1729" t="s">
        <v>94</v>
      </c>
      <c r="AB1729">
        <v>7.11</v>
      </c>
      <c r="AC1729" t="s">
        <v>85</v>
      </c>
      <c r="AD1729">
        <v>0.33</v>
      </c>
      <c r="AE1729" t="s">
        <v>63</v>
      </c>
      <c r="AI1729">
        <v>5</v>
      </c>
      <c r="AJ1729" t="s">
        <v>201</v>
      </c>
      <c r="AT1729" t="s">
        <v>77</v>
      </c>
      <c r="AV1729" t="s">
        <v>88</v>
      </c>
      <c r="AZ1729">
        <v>0</v>
      </c>
      <c r="BA1729">
        <v>7.11</v>
      </c>
    </row>
    <row r="1730" spans="1:53" hidden="1" x14ac:dyDescent="0.3">
      <c r="A1730" t="s">
        <v>545</v>
      </c>
      <c r="C1730" t="s">
        <v>251</v>
      </c>
      <c r="D1730" t="s">
        <v>81</v>
      </c>
      <c r="E1730">
        <v>100000000</v>
      </c>
      <c r="H1730">
        <v>14.25</v>
      </c>
      <c r="I1730" t="s">
        <v>56</v>
      </c>
      <c r="J1730">
        <v>1.4250000000000001E-3</v>
      </c>
      <c r="K1730" t="s">
        <v>57</v>
      </c>
      <c r="L1730" t="s">
        <v>58</v>
      </c>
      <c r="N1730" t="s">
        <v>538</v>
      </c>
      <c r="O1730">
        <v>300</v>
      </c>
      <c r="P1730" t="s">
        <v>262</v>
      </c>
      <c r="S1730">
        <v>2</v>
      </c>
      <c r="T1730">
        <v>37</v>
      </c>
      <c r="U1730" t="s">
        <v>546</v>
      </c>
      <c r="V1730">
        <v>70</v>
      </c>
      <c r="W1730" t="s">
        <v>147</v>
      </c>
      <c r="X1730" t="s">
        <v>280</v>
      </c>
      <c r="Y1730">
        <v>2160</v>
      </c>
      <c r="AA1730" t="s">
        <v>94</v>
      </c>
      <c r="AB1730">
        <v>7.5</v>
      </c>
      <c r="AC1730" t="s">
        <v>85</v>
      </c>
      <c r="AD1730">
        <v>0.09</v>
      </c>
      <c r="AE1730" t="s">
        <v>63</v>
      </c>
      <c r="AI1730">
        <v>5</v>
      </c>
      <c r="AJ1730" t="s">
        <v>201</v>
      </c>
      <c r="AT1730" t="s">
        <v>150</v>
      </c>
      <c r="AV1730" t="s">
        <v>88</v>
      </c>
      <c r="AZ1730">
        <v>0</v>
      </c>
      <c r="BA1730">
        <v>7.5</v>
      </c>
    </row>
    <row r="1731" spans="1:53" hidden="1" x14ac:dyDescent="0.3">
      <c r="A1731" t="s">
        <v>545</v>
      </c>
      <c r="C1731" t="s">
        <v>251</v>
      </c>
      <c r="D1731" t="s">
        <v>81</v>
      </c>
      <c r="E1731">
        <v>100000000</v>
      </c>
      <c r="H1731">
        <v>14.25</v>
      </c>
      <c r="I1731" t="s">
        <v>56</v>
      </c>
      <c r="J1731">
        <v>1.4250000000000001E-3</v>
      </c>
      <c r="K1731" t="s">
        <v>57</v>
      </c>
      <c r="L1731" t="s">
        <v>58</v>
      </c>
      <c r="N1731" t="s">
        <v>538</v>
      </c>
      <c r="O1731">
        <v>300</v>
      </c>
      <c r="P1731" t="s">
        <v>262</v>
      </c>
      <c r="S1731">
        <v>2</v>
      </c>
      <c r="T1731">
        <v>37</v>
      </c>
      <c r="U1731" t="s">
        <v>546</v>
      </c>
      <c r="V1731">
        <v>70</v>
      </c>
      <c r="W1731" t="s">
        <v>468</v>
      </c>
      <c r="X1731" t="s">
        <v>280</v>
      </c>
      <c r="Y1731">
        <v>2160</v>
      </c>
      <c r="AA1731" t="s">
        <v>94</v>
      </c>
      <c r="AB1731">
        <v>6.98</v>
      </c>
      <c r="AC1731" t="s">
        <v>85</v>
      </c>
      <c r="AD1731">
        <v>0.05</v>
      </c>
      <c r="AE1731" t="s">
        <v>63</v>
      </c>
      <c r="AI1731">
        <v>5</v>
      </c>
      <c r="AJ1731" t="s">
        <v>201</v>
      </c>
      <c r="AT1731" t="s">
        <v>318</v>
      </c>
      <c r="AV1731" t="s">
        <v>88</v>
      </c>
      <c r="AZ1731">
        <v>0</v>
      </c>
      <c r="BA1731">
        <v>6.98</v>
      </c>
    </row>
    <row r="1732" spans="1:53" hidden="1" x14ac:dyDescent="0.3">
      <c r="A1732" t="s">
        <v>545</v>
      </c>
      <c r="C1732" t="s">
        <v>251</v>
      </c>
      <c r="D1732" t="s">
        <v>81</v>
      </c>
      <c r="E1732">
        <v>100000000</v>
      </c>
      <c r="H1732">
        <v>14.25</v>
      </c>
      <c r="I1732" t="s">
        <v>56</v>
      </c>
      <c r="J1732">
        <v>1.4250000000000001E-3</v>
      </c>
      <c r="K1732" t="s">
        <v>57</v>
      </c>
      <c r="L1732" t="s">
        <v>58</v>
      </c>
      <c r="N1732" t="s">
        <v>538</v>
      </c>
      <c r="O1732">
        <v>300</v>
      </c>
      <c r="P1732" t="s">
        <v>262</v>
      </c>
      <c r="S1732">
        <v>2</v>
      </c>
      <c r="T1732">
        <v>37</v>
      </c>
      <c r="U1732" t="s">
        <v>546</v>
      </c>
      <c r="V1732">
        <v>70</v>
      </c>
      <c r="W1732" t="s">
        <v>547</v>
      </c>
      <c r="X1732" t="s">
        <v>280</v>
      </c>
      <c r="Y1732">
        <v>2160</v>
      </c>
      <c r="AA1732" t="s">
        <v>94</v>
      </c>
      <c r="AB1732">
        <v>7.95</v>
      </c>
      <c r="AC1732" t="s">
        <v>85</v>
      </c>
      <c r="AD1732">
        <v>0.04</v>
      </c>
      <c r="AE1732" t="s">
        <v>63</v>
      </c>
      <c r="AI1732">
        <v>5</v>
      </c>
      <c r="AJ1732" t="s">
        <v>201</v>
      </c>
      <c r="AT1732" t="s">
        <v>73</v>
      </c>
      <c r="AV1732" t="s">
        <v>88</v>
      </c>
      <c r="AZ1732">
        <v>0</v>
      </c>
      <c r="BA1732">
        <v>7.95</v>
      </c>
    </row>
    <row r="1733" spans="1:53" hidden="1" x14ac:dyDescent="0.3">
      <c r="A1733" t="s">
        <v>545</v>
      </c>
      <c r="C1733" t="s">
        <v>251</v>
      </c>
      <c r="D1733" t="s">
        <v>81</v>
      </c>
      <c r="E1733">
        <v>100000000</v>
      </c>
      <c r="H1733">
        <v>14.25</v>
      </c>
      <c r="I1733" t="s">
        <v>56</v>
      </c>
      <c r="J1733">
        <v>1.4250000000000001E-3</v>
      </c>
      <c r="K1733" t="s">
        <v>57</v>
      </c>
      <c r="L1733" t="s">
        <v>58</v>
      </c>
      <c r="N1733" t="s">
        <v>538</v>
      </c>
      <c r="O1733">
        <v>300</v>
      </c>
      <c r="P1733" t="s">
        <v>262</v>
      </c>
      <c r="S1733">
        <v>2</v>
      </c>
      <c r="T1733">
        <v>37</v>
      </c>
      <c r="U1733" t="s">
        <v>546</v>
      </c>
      <c r="V1733">
        <v>70</v>
      </c>
      <c r="W1733" t="s">
        <v>422</v>
      </c>
      <c r="X1733" t="s">
        <v>280</v>
      </c>
      <c r="Y1733">
        <v>2160</v>
      </c>
      <c r="AA1733" t="s">
        <v>94</v>
      </c>
      <c r="AB1733">
        <v>7.78</v>
      </c>
      <c r="AC1733" t="s">
        <v>85</v>
      </c>
      <c r="AD1733">
        <v>0.06</v>
      </c>
      <c r="AE1733" t="s">
        <v>63</v>
      </c>
      <c r="AI1733">
        <v>5</v>
      </c>
      <c r="AJ1733" t="s">
        <v>201</v>
      </c>
      <c r="AT1733" t="s">
        <v>79</v>
      </c>
      <c r="AV1733" t="s">
        <v>88</v>
      </c>
      <c r="AZ1733">
        <v>0</v>
      </c>
      <c r="BA1733">
        <v>7.78</v>
      </c>
    </row>
    <row r="1734" spans="1:53" hidden="1" x14ac:dyDescent="0.3">
      <c r="A1734" t="s">
        <v>545</v>
      </c>
      <c r="C1734" t="s">
        <v>251</v>
      </c>
      <c r="D1734" t="s">
        <v>81</v>
      </c>
      <c r="E1734">
        <v>100000000</v>
      </c>
      <c r="H1734">
        <v>14.25</v>
      </c>
      <c r="I1734" t="s">
        <v>56</v>
      </c>
      <c r="J1734">
        <v>1.4250000000000001E-3</v>
      </c>
      <c r="K1734" t="s">
        <v>57</v>
      </c>
      <c r="L1734" t="s">
        <v>58</v>
      </c>
      <c r="N1734" t="s">
        <v>538</v>
      </c>
      <c r="O1734">
        <v>300</v>
      </c>
      <c r="P1734" t="s">
        <v>262</v>
      </c>
      <c r="S1734">
        <v>2</v>
      </c>
      <c r="T1734">
        <v>37</v>
      </c>
      <c r="U1734" t="s">
        <v>546</v>
      </c>
      <c r="V1734">
        <v>70</v>
      </c>
      <c r="W1734" t="s">
        <v>548</v>
      </c>
      <c r="X1734" t="s">
        <v>280</v>
      </c>
      <c r="Y1734">
        <v>2160</v>
      </c>
      <c r="AA1734" t="s">
        <v>94</v>
      </c>
      <c r="AB1734">
        <v>6.8</v>
      </c>
      <c r="AC1734" t="s">
        <v>85</v>
      </c>
      <c r="AD1734">
        <v>0.24</v>
      </c>
      <c r="AE1734" t="s">
        <v>63</v>
      </c>
      <c r="AI1734">
        <v>5</v>
      </c>
      <c r="AJ1734" t="s">
        <v>201</v>
      </c>
      <c r="AT1734" t="s">
        <v>75</v>
      </c>
      <c r="AV1734" t="s">
        <v>88</v>
      </c>
      <c r="AZ1734">
        <v>0</v>
      </c>
      <c r="BA1734">
        <v>6.8</v>
      </c>
    </row>
    <row r="1735" spans="1:53" hidden="1" x14ac:dyDescent="0.3">
      <c r="A1735" t="s">
        <v>545</v>
      </c>
      <c r="C1735" t="s">
        <v>251</v>
      </c>
      <c r="D1735" t="s">
        <v>81</v>
      </c>
      <c r="E1735">
        <v>100000000</v>
      </c>
      <c r="H1735">
        <v>14.25</v>
      </c>
      <c r="I1735" t="s">
        <v>56</v>
      </c>
      <c r="J1735">
        <v>1.4250000000000001E-3</v>
      </c>
      <c r="K1735" t="s">
        <v>57</v>
      </c>
      <c r="L1735" t="s">
        <v>58</v>
      </c>
      <c r="N1735" t="s">
        <v>538</v>
      </c>
      <c r="O1735">
        <v>300</v>
      </c>
      <c r="P1735" t="s">
        <v>262</v>
      </c>
      <c r="S1735">
        <v>2</v>
      </c>
      <c r="T1735">
        <v>37</v>
      </c>
      <c r="U1735" t="s">
        <v>546</v>
      </c>
      <c r="V1735">
        <v>70</v>
      </c>
      <c r="W1735" t="s">
        <v>549</v>
      </c>
      <c r="X1735" t="s">
        <v>280</v>
      </c>
      <c r="Y1735">
        <v>2160</v>
      </c>
      <c r="AA1735" t="s">
        <v>94</v>
      </c>
      <c r="AB1735">
        <v>7.11</v>
      </c>
      <c r="AC1735" t="s">
        <v>85</v>
      </c>
      <c r="AD1735">
        <v>0.31</v>
      </c>
      <c r="AE1735" t="s">
        <v>63</v>
      </c>
      <c r="AI1735">
        <v>5</v>
      </c>
      <c r="AJ1735" t="s">
        <v>201</v>
      </c>
      <c r="AT1735" t="s">
        <v>77</v>
      </c>
      <c r="AV1735" t="s">
        <v>88</v>
      </c>
      <c r="AZ1735">
        <v>0</v>
      </c>
      <c r="BA1735">
        <v>7.11</v>
      </c>
    </row>
    <row r="1736" spans="1:53" hidden="1" x14ac:dyDescent="0.3">
      <c r="A1736" t="s">
        <v>545</v>
      </c>
      <c r="C1736" t="s">
        <v>251</v>
      </c>
      <c r="D1736" t="s">
        <v>81</v>
      </c>
      <c r="E1736">
        <v>100000000</v>
      </c>
      <c r="H1736">
        <v>14.25</v>
      </c>
      <c r="I1736" t="s">
        <v>56</v>
      </c>
      <c r="J1736">
        <v>1.4250000000000001E-3</v>
      </c>
      <c r="K1736" t="s">
        <v>57</v>
      </c>
      <c r="L1736" t="s">
        <v>58</v>
      </c>
      <c r="N1736" t="s">
        <v>538</v>
      </c>
      <c r="O1736">
        <v>300</v>
      </c>
      <c r="P1736" t="s">
        <v>262</v>
      </c>
      <c r="S1736">
        <v>2</v>
      </c>
      <c r="T1736">
        <v>25</v>
      </c>
      <c r="U1736" t="s">
        <v>546</v>
      </c>
      <c r="V1736">
        <v>70</v>
      </c>
      <c r="W1736" t="s">
        <v>147</v>
      </c>
      <c r="X1736" t="s">
        <v>280</v>
      </c>
      <c r="Y1736">
        <v>2160</v>
      </c>
      <c r="AA1736" t="s">
        <v>94</v>
      </c>
      <c r="AB1736">
        <v>7.62</v>
      </c>
      <c r="AC1736" t="s">
        <v>85</v>
      </c>
      <c r="AD1736">
        <v>0.04</v>
      </c>
      <c r="AE1736" t="s">
        <v>63</v>
      </c>
      <c r="AI1736">
        <v>5</v>
      </c>
      <c r="AJ1736" t="s">
        <v>201</v>
      </c>
      <c r="AT1736" t="s">
        <v>150</v>
      </c>
      <c r="AV1736" t="s">
        <v>88</v>
      </c>
      <c r="AZ1736">
        <v>0</v>
      </c>
      <c r="BA1736">
        <v>7.62</v>
      </c>
    </row>
    <row r="1737" spans="1:53" hidden="1" x14ac:dyDescent="0.3">
      <c r="A1737" t="s">
        <v>545</v>
      </c>
      <c r="C1737" t="s">
        <v>251</v>
      </c>
      <c r="D1737" t="s">
        <v>81</v>
      </c>
      <c r="E1737">
        <v>100000000</v>
      </c>
      <c r="H1737">
        <v>14.25</v>
      </c>
      <c r="I1737" t="s">
        <v>56</v>
      </c>
      <c r="J1737">
        <v>1.4250000000000001E-3</v>
      </c>
      <c r="K1737" t="s">
        <v>57</v>
      </c>
      <c r="L1737" t="s">
        <v>58</v>
      </c>
      <c r="N1737" t="s">
        <v>538</v>
      </c>
      <c r="O1737">
        <v>300</v>
      </c>
      <c r="P1737" t="s">
        <v>262</v>
      </c>
      <c r="S1737">
        <v>2</v>
      </c>
      <c r="T1737">
        <v>25</v>
      </c>
      <c r="U1737" t="s">
        <v>546</v>
      </c>
      <c r="V1737">
        <v>70</v>
      </c>
      <c r="W1737" t="s">
        <v>468</v>
      </c>
      <c r="X1737" t="s">
        <v>280</v>
      </c>
      <c r="Y1737">
        <v>2160</v>
      </c>
      <c r="AA1737" t="s">
        <v>94</v>
      </c>
      <c r="AB1737">
        <v>7.18</v>
      </c>
      <c r="AC1737" t="s">
        <v>85</v>
      </c>
      <c r="AD1737">
        <v>7.0000000000000007E-2</v>
      </c>
      <c r="AE1737" t="s">
        <v>63</v>
      </c>
      <c r="AI1737">
        <v>5</v>
      </c>
      <c r="AJ1737" t="s">
        <v>201</v>
      </c>
      <c r="AT1737" t="s">
        <v>318</v>
      </c>
      <c r="AV1737" t="s">
        <v>88</v>
      </c>
      <c r="AZ1737">
        <v>0</v>
      </c>
      <c r="BA1737">
        <v>7.18</v>
      </c>
    </row>
    <row r="1738" spans="1:53" hidden="1" x14ac:dyDescent="0.3">
      <c r="A1738" t="s">
        <v>545</v>
      </c>
      <c r="C1738" t="s">
        <v>251</v>
      </c>
      <c r="D1738" t="s">
        <v>81</v>
      </c>
      <c r="E1738">
        <v>100000000</v>
      </c>
      <c r="H1738">
        <v>14.25</v>
      </c>
      <c r="I1738" t="s">
        <v>56</v>
      </c>
      <c r="J1738">
        <v>1.4250000000000001E-3</v>
      </c>
      <c r="K1738" t="s">
        <v>57</v>
      </c>
      <c r="L1738" t="s">
        <v>58</v>
      </c>
      <c r="N1738" t="s">
        <v>538</v>
      </c>
      <c r="O1738">
        <v>300</v>
      </c>
      <c r="P1738" t="s">
        <v>262</v>
      </c>
      <c r="S1738">
        <v>2</v>
      </c>
      <c r="T1738">
        <v>25</v>
      </c>
      <c r="U1738" t="s">
        <v>546</v>
      </c>
      <c r="V1738">
        <v>70</v>
      </c>
      <c r="W1738" t="s">
        <v>547</v>
      </c>
      <c r="X1738" t="s">
        <v>280</v>
      </c>
      <c r="Y1738">
        <v>2160</v>
      </c>
      <c r="AA1738" t="s">
        <v>94</v>
      </c>
      <c r="AB1738">
        <v>8.02</v>
      </c>
      <c r="AC1738" t="s">
        <v>85</v>
      </c>
      <c r="AD1738">
        <v>0.03</v>
      </c>
      <c r="AE1738" t="s">
        <v>63</v>
      </c>
      <c r="AI1738">
        <v>5</v>
      </c>
      <c r="AJ1738" t="s">
        <v>201</v>
      </c>
      <c r="AT1738" t="s">
        <v>73</v>
      </c>
      <c r="AV1738" t="s">
        <v>88</v>
      </c>
      <c r="AZ1738">
        <v>0</v>
      </c>
      <c r="BA1738">
        <v>8.02</v>
      </c>
    </row>
    <row r="1739" spans="1:53" hidden="1" x14ac:dyDescent="0.3">
      <c r="A1739" t="s">
        <v>545</v>
      </c>
      <c r="C1739" t="s">
        <v>251</v>
      </c>
      <c r="D1739" t="s">
        <v>81</v>
      </c>
      <c r="E1739">
        <v>100000000</v>
      </c>
      <c r="H1739">
        <v>14.25</v>
      </c>
      <c r="I1739" t="s">
        <v>56</v>
      </c>
      <c r="J1739">
        <v>1.4250000000000001E-3</v>
      </c>
      <c r="K1739" t="s">
        <v>57</v>
      </c>
      <c r="L1739" t="s">
        <v>58</v>
      </c>
      <c r="N1739" t="s">
        <v>538</v>
      </c>
      <c r="O1739">
        <v>300</v>
      </c>
      <c r="P1739" t="s">
        <v>262</v>
      </c>
      <c r="S1739">
        <v>2</v>
      </c>
      <c r="T1739">
        <v>25</v>
      </c>
      <c r="U1739" t="s">
        <v>546</v>
      </c>
      <c r="V1739">
        <v>70</v>
      </c>
      <c r="W1739" t="s">
        <v>422</v>
      </c>
      <c r="X1739" t="s">
        <v>280</v>
      </c>
      <c r="Y1739">
        <v>2160</v>
      </c>
      <c r="AA1739" t="s">
        <v>94</v>
      </c>
      <c r="AB1739">
        <v>7.83</v>
      </c>
      <c r="AC1739" t="s">
        <v>85</v>
      </c>
      <c r="AD1739">
        <v>0.04</v>
      </c>
      <c r="AE1739" t="s">
        <v>63</v>
      </c>
      <c r="AI1739">
        <v>5</v>
      </c>
      <c r="AJ1739" t="s">
        <v>201</v>
      </c>
      <c r="AT1739" t="s">
        <v>79</v>
      </c>
      <c r="AV1739" t="s">
        <v>88</v>
      </c>
      <c r="AZ1739">
        <v>0</v>
      </c>
      <c r="BA1739">
        <v>7.83</v>
      </c>
    </row>
    <row r="1740" spans="1:53" hidden="1" x14ac:dyDescent="0.3">
      <c r="A1740" t="s">
        <v>545</v>
      </c>
      <c r="C1740" t="s">
        <v>251</v>
      </c>
      <c r="D1740" t="s">
        <v>81</v>
      </c>
      <c r="E1740">
        <v>100000000</v>
      </c>
      <c r="H1740">
        <v>14.25</v>
      </c>
      <c r="I1740" t="s">
        <v>56</v>
      </c>
      <c r="J1740">
        <v>1.4250000000000001E-3</v>
      </c>
      <c r="K1740" t="s">
        <v>57</v>
      </c>
      <c r="L1740" t="s">
        <v>58</v>
      </c>
      <c r="N1740" t="s">
        <v>538</v>
      </c>
      <c r="O1740">
        <v>300</v>
      </c>
      <c r="P1740" t="s">
        <v>262</v>
      </c>
      <c r="S1740">
        <v>2</v>
      </c>
      <c r="T1740">
        <v>25</v>
      </c>
      <c r="U1740" t="s">
        <v>546</v>
      </c>
      <c r="V1740">
        <v>70</v>
      </c>
      <c r="W1740" t="s">
        <v>548</v>
      </c>
      <c r="X1740" t="s">
        <v>280</v>
      </c>
      <c r="Y1740">
        <v>2160</v>
      </c>
      <c r="AA1740" t="s">
        <v>94</v>
      </c>
      <c r="AB1740">
        <v>6.87</v>
      </c>
      <c r="AC1740" t="s">
        <v>85</v>
      </c>
      <c r="AD1740">
        <v>0.15</v>
      </c>
      <c r="AE1740" t="s">
        <v>63</v>
      </c>
      <c r="AI1740">
        <v>5</v>
      </c>
      <c r="AJ1740" t="s">
        <v>201</v>
      </c>
      <c r="AT1740" t="s">
        <v>75</v>
      </c>
      <c r="AV1740" t="s">
        <v>88</v>
      </c>
      <c r="AZ1740">
        <v>0</v>
      </c>
      <c r="BA1740">
        <v>6.87</v>
      </c>
    </row>
    <row r="1741" spans="1:53" hidden="1" x14ac:dyDescent="0.3">
      <c r="A1741" t="s">
        <v>545</v>
      </c>
      <c r="C1741" t="s">
        <v>251</v>
      </c>
      <c r="D1741" t="s">
        <v>81</v>
      </c>
      <c r="E1741">
        <v>100000000</v>
      </c>
      <c r="H1741">
        <v>14.25</v>
      </c>
      <c r="I1741" t="s">
        <v>56</v>
      </c>
      <c r="J1741">
        <v>1.4250000000000001E-3</v>
      </c>
      <c r="K1741" t="s">
        <v>57</v>
      </c>
      <c r="L1741" t="s">
        <v>58</v>
      </c>
      <c r="N1741" t="s">
        <v>538</v>
      </c>
      <c r="O1741">
        <v>300</v>
      </c>
      <c r="P1741" t="s">
        <v>262</v>
      </c>
      <c r="S1741">
        <v>2</v>
      </c>
      <c r="T1741">
        <v>25</v>
      </c>
      <c r="U1741" t="s">
        <v>546</v>
      </c>
      <c r="V1741">
        <v>70</v>
      </c>
      <c r="W1741" t="s">
        <v>549</v>
      </c>
      <c r="X1741" t="s">
        <v>280</v>
      </c>
      <c r="Y1741">
        <v>2160</v>
      </c>
      <c r="AA1741" t="s">
        <v>94</v>
      </c>
      <c r="AB1741">
        <v>7.22</v>
      </c>
      <c r="AC1741" t="s">
        <v>85</v>
      </c>
      <c r="AD1741">
        <v>0.19</v>
      </c>
      <c r="AE1741" t="s">
        <v>63</v>
      </c>
      <c r="AI1741">
        <v>5</v>
      </c>
      <c r="AJ1741" t="s">
        <v>201</v>
      </c>
      <c r="AT1741" t="s">
        <v>77</v>
      </c>
      <c r="AV1741" t="s">
        <v>88</v>
      </c>
      <c r="AZ1741">
        <v>0</v>
      </c>
      <c r="BA1741">
        <v>7.22</v>
      </c>
    </row>
    <row r="1742" spans="1:53" hidden="1" x14ac:dyDescent="0.3">
      <c r="A1742" t="s">
        <v>545</v>
      </c>
      <c r="C1742" t="s">
        <v>251</v>
      </c>
      <c r="D1742" t="s">
        <v>81</v>
      </c>
      <c r="E1742">
        <v>100000000</v>
      </c>
      <c r="H1742">
        <v>14.25</v>
      </c>
      <c r="I1742" t="s">
        <v>56</v>
      </c>
      <c r="J1742">
        <v>1.4250000000000001E-3</v>
      </c>
      <c r="K1742" t="s">
        <v>57</v>
      </c>
      <c r="L1742" t="s">
        <v>58</v>
      </c>
      <c r="N1742" t="s">
        <v>538</v>
      </c>
      <c r="O1742">
        <v>300</v>
      </c>
      <c r="P1742" t="s">
        <v>262</v>
      </c>
      <c r="S1742">
        <v>2</v>
      </c>
      <c r="T1742">
        <v>37</v>
      </c>
      <c r="U1742" t="s">
        <v>546</v>
      </c>
      <c r="V1742">
        <v>70</v>
      </c>
      <c r="W1742" t="s">
        <v>147</v>
      </c>
      <c r="X1742" t="s">
        <v>280</v>
      </c>
      <c r="Y1742">
        <v>2160</v>
      </c>
      <c r="AA1742" t="s">
        <v>94</v>
      </c>
      <c r="AB1742">
        <v>7.42</v>
      </c>
      <c r="AC1742" t="s">
        <v>85</v>
      </c>
      <c r="AD1742">
        <v>0.09</v>
      </c>
      <c r="AE1742" t="s">
        <v>63</v>
      </c>
      <c r="AI1742">
        <v>5</v>
      </c>
      <c r="AJ1742" t="s">
        <v>201</v>
      </c>
      <c r="AT1742" t="s">
        <v>150</v>
      </c>
      <c r="AV1742" t="s">
        <v>88</v>
      </c>
      <c r="AZ1742">
        <v>0</v>
      </c>
      <c r="BA1742">
        <v>7.42</v>
      </c>
    </row>
    <row r="1743" spans="1:53" hidden="1" x14ac:dyDescent="0.3">
      <c r="A1743" t="s">
        <v>545</v>
      </c>
      <c r="C1743" t="s">
        <v>251</v>
      </c>
      <c r="D1743" t="s">
        <v>81</v>
      </c>
      <c r="E1743">
        <v>100000000</v>
      </c>
      <c r="H1743">
        <v>14.25</v>
      </c>
      <c r="I1743" t="s">
        <v>56</v>
      </c>
      <c r="J1743">
        <v>1.4250000000000001E-3</v>
      </c>
      <c r="K1743" t="s">
        <v>57</v>
      </c>
      <c r="L1743" t="s">
        <v>58</v>
      </c>
      <c r="N1743" t="s">
        <v>538</v>
      </c>
      <c r="O1743">
        <v>300</v>
      </c>
      <c r="P1743" t="s">
        <v>262</v>
      </c>
      <c r="S1743">
        <v>2</v>
      </c>
      <c r="T1743">
        <v>37</v>
      </c>
      <c r="U1743" t="s">
        <v>546</v>
      </c>
      <c r="V1743">
        <v>70</v>
      </c>
      <c r="W1743" t="s">
        <v>468</v>
      </c>
      <c r="X1743" t="s">
        <v>280</v>
      </c>
      <c r="Y1743">
        <v>2160</v>
      </c>
      <c r="AA1743" t="s">
        <v>94</v>
      </c>
      <c r="AB1743">
        <v>6.88</v>
      </c>
      <c r="AC1743" t="s">
        <v>85</v>
      </c>
      <c r="AD1743">
        <v>7.0000000000000007E-2</v>
      </c>
      <c r="AE1743" t="s">
        <v>63</v>
      </c>
      <c r="AI1743">
        <v>5</v>
      </c>
      <c r="AJ1743" t="s">
        <v>201</v>
      </c>
      <c r="AT1743" t="s">
        <v>318</v>
      </c>
      <c r="AV1743" t="s">
        <v>88</v>
      </c>
      <c r="AZ1743">
        <v>0</v>
      </c>
      <c r="BA1743">
        <v>6.88</v>
      </c>
    </row>
    <row r="1744" spans="1:53" hidden="1" x14ac:dyDescent="0.3">
      <c r="A1744" t="s">
        <v>545</v>
      </c>
      <c r="C1744" t="s">
        <v>251</v>
      </c>
      <c r="D1744" t="s">
        <v>81</v>
      </c>
      <c r="E1744">
        <v>100000000</v>
      </c>
      <c r="H1744">
        <v>14.25</v>
      </c>
      <c r="I1744" t="s">
        <v>56</v>
      </c>
      <c r="J1744">
        <v>1.4250000000000001E-3</v>
      </c>
      <c r="K1744" t="s">
        <v>57</v>
      </c>
      <c r="L1744" t="s">
        <v>58</v>
      </c>
      <c r="N1744" t="s">
        <v>538</v>
      </c>
      <c r="O1744">
        <v>300</v>
      </c>
      <c r="P1744" t="s">
        <v>262</v>
      </c>
      <c r="S1744">
        <v>2</v>
      </c>
      <c r="T1744">
        <v>37</v>
      </c>
      <c r="U1744" t="s">
        <v>546</v>
      </c>
      <c r="V1744">
        <v>70</v>
      </c>
      <c r="W1744" t="s">
        <v>547</v>
      </c>
      <c r="X1744" t="s">
        <v>280</v>
      </c>
      <c r="Y1744">
        <v>2160</v>
      </c>
      <c r="AA1744" t="s">
        <v>94</v>
      </c>
      <c r="AB1744">
        <v>7.85</v>
      </c>
      <c r="AC1744" t="s">
        <v>85</v>
      </c>
      <c r="AD1744">
        <v>0.06</v>
      </c>
      <c r="AE1744" t="s">
        <v>63</v>
      </c>
      <c r="AI1744">
        <v>5</v>
      </c>
      <c r="AJ1744" t="s">
        <v>201</v>
      </c>
      <c r="AT1744" t="s">
        <v>73</v>
      </c>
      <c r="AV1744" t="s">
        <v>88</v>
      </c>
      <c r="AZ1744">
        <v>0</v>
      </c>
      <c r="BA1744">
        <v>7.85</v>
      </c>
    </row>
    <row r="1745" spans="1:53" hidden="1" x14ac:dyDescent="0.3">
      <c r="A1745" t="s">
        <v>545</v>
      </c>
      <c r="C1745" t="s">
        <v>251</v>
      </c>
      <c r="D1745" t="s">
        <v>81</v>
      </c>
      <c r="E1745">
        <v>100000000</v>
      </c>
      <c r="H1745">
        <v>14.25</v>
      </c>
      <c r="I1745" t="s">
        <v>56</v>
      </c>
      <c r="J1745">
        <v>1.4250000000000001E-3</v>
      </c>
      <c r="K1745" t="s">
        <v>57</v>
      </c>
      <c r="L1745" t="s">
        <v>58</v>
      </c>
      <c r="N1745" t="s">
        <v>538</v>
      </c>
      <c r="O1745">
        <v>300</v>
      </c>
      <c r="P1745" t="s">
        <v>262</v>
      </c>
      <c r="S1745">
        <v>2</v>
      </c>
      <c r="T1745">
        <v>37</v>
      </c>
      <c r="U1745" t="s">
        <v>546</v>
      </c>
      <c r="V1745">
        <v>70</v>
      </c>
      <c r="W1745" t="s">
        <v>422</v>
      </c>
      <c r="X1745" t="s">
        <v>280</v>
      </c>
      <c r="Y1745">
        <v>2160</v>
      </c>
      <c r="AA1745" t="s">
        <v>94</v>
      </c>
      <c r="AB1745">
        <v>7.66</v>
      </c>
      <c r="AC1745" t="s">
        <v>85</v>
      </c>
      <c r="AD1745">
        <v>0.02</v>
      </c>
      <c r="AE1745" t="s">
        <v>63</v>
      </c>
      <c r="AI1745">
        <v>5</v>
      </c>
      <c r="AJ1745" t="s">
        <v>201</v>
      </c>
      <c r="AT1745" t="s">
        <v>79</v>
      </c>
      <c r="AV1745" t="s">
        <v>88</v>
      </c>
      <c r="AZ1745">
        <v>0</v>
      </c>
      <c r="BA1745">
        <v>7.66</v>
      </c>
    </row>
    <row r="1746" spans="1:53" hidden="1" x14ac:dyDescent="0.3">
      <c r="A1746" t="s">
        <v>545</v>
      </c>
      <c r="C1746" t="s">
        <v>251</v>
      </c>
      <c r="D1746" t="s">
        <v>81</v>
      </c>
      <c r="E1746">
        <v>100000000</v>
      </c>
      <c r="H1746">
        <v>14.25</v>
      </c>
      <c r="I1746" t="s">
        <v>56</v>
      </c>
      <c r="J1746">
        <v>1.4250000000000001E-3</v>
      </c>
      <c r="K1746" t="s">
        <v>57</v>
      </c>
      <c r="L1746" t="s">
        <v>58</v>
      </c>
      <c r="N1746" t="s">
        <v>538</v>
      </c>
      <c r="O1746">
        <v>300</v>
      </c>
      <c r="P1746" t="s">
        <v>262</v>
      </c>
      <c r="S1746">
        <v>2</v>
      </c>
      <c r="T1746">
        <v>37</v>
      </c>
      <c r="U1746" t="s">
        <v>546</v>
      </c>
      <c r="V1746">
        <v>70</v>
      </c>
      <c r="W1746" t="s">
        <v>548</v>
      </c>
      <c r="X1746" t="s">
        <v>280</v>
      </c>
      <c r="Y1746">
        <v>2160</v>
      </c>
      <c r="AA1746" t="s">
        <v>94</v>
      </c>
      <c r="AB1746">
        <v>6.72</v>
      </c>
      <c r="AC1746" t="s">
        <v>85</v>
      </c>
      <c r="AD1746">
        <v>0.16</v>
      </c>
      <c r="AE1746" t="s">
        <v>63</v>
      </c>
      <c r="AI1746">
        <v>5</v>
      </c>
      <c r="AJ1746" t="s">
        <v>201</v>
      </c>
      <c r="AT1746" t="s">
        <v>75</v>
      </c>
      <c r="AV1746" t="s">
        <v>88</v>
      </c>
      <c r="AZ1746">
        <v>0</v>
      </c>
      <c r="BA1746">
        <v>6.72</v>
      </c>
    </row>
    <row r="1747" spans="1:53" hidden="1" x14ac:dyDescent="0.3">
      <c r="A1747" t="s">
        <v>545</v>
      </c>
      <c r="C1747" t="s">
        <v>251</v>
      </c>
      <c r="D1747" t="s">
        <v>81</v>
      </c>
      <c r="E1747">
        <v>100000000</v>
      </c>
      <c r="H1747">
        <v>14.25</v>
      </c>
      <c r="I1747" t="s">
        <v>56</v>
      </c>
      <c r="J1747">
        <v>1.4250000000000001E-3</v>
      </c>
      <c r="K1747" t="s">
        <v>57</v>
      </c>
      <c r="L1747" t="s">
        <v>58</v>
      </c>
      <c r="N1747" t="s">
        <v>538</v>
      </c>
      <c r="O1747">
        <v>300</v>
      </c>
      <c r="P1747" t="s">
        <v>262</v>
      </c>
      <c r="S1747">
        <v>2</v>
      </c>
      <c r="T1747">
        <v>37</v>
      </c>
      <c r="U1747" t="s">
        <v>546</v>
      </c>
      <c r="V1747">
        <v>70</v>
      </c>
      <c r="W1747" t="s">
        <v>549</v>
      </c>
      <c r="X1747" t="s">
        <v>280</v>
      </c>
      <c r="Y1747">
        <v>2160</v>
      </c>
      <c r="AA1747" t="s">
        <v>94</v>
      </c>
      <c r="AB1747">
        <v>7.15</v>
      </c>
      <c r="AC1747" t="s">
        <v>85</v>
      </c>
      <c r="AD1747">
        <v>0.12</v>
      </c>
      <c r="AE1747" t="s">
        <v>63</v>
      </c>
      <c r="AI1747">
        <v>5</v>
      </c>
      <c r="AJ1747" t="s">
        <v>201</v>
      </c>
      <c r="AT1747" t="s">
        <v>77</v>
      </c>
      <c r="AV1747" t="s">
        <v>88</v>
      </c>
      <c r="AZ1747">
        <v>0</v>
      </c>
      <c r="BA1747">
        <v>7.15</v>
      </c>
    </row>
    <row r="1748" spans="1:53" hidden="1" x14ac:dyDescent="0.3">
      <c r="A1748" t="s">
        <v>545</v>
      </c>
      <c r="C1748" t="s">
        <v>251</v>
      </c>
      <c r="D1748" t="s">
        <v>81</v>
      </c>
      <c r="E1748">
        <v>100000000</v>
      </c>
      <c r="H1748">
        <v>14.25</v>
      </c>
      <c r="I1748" t="s">
        <v>56</v>
      </c>
      <c r="J1748">
        <v>1.4250000000000001E-3</v>
      </c>
      <c r="K1748" t="s">
        <v>57</v>
      </c>
      <c r="L1748" t="s">
        <v>58</v>
      </c>
      <c r="N1748" t="s">
        <v>538</v>
      </c>
      <c r="O1748">
        <v>300</v>
      </c>
      <c r="P1748" t="s">
        <v>262</v>
      </c>
      <c r="S1748">
        <v>2</v>
      </c>
      <c r="T1748">
        <v>25</v>
      </c>
      <c r="U1748" t="s">
        <v>546</v>
      </c>
      <c r="V1748">
        <v>70</v>
      </c>
      <c r="W1748" t="s">
        <v>147</v>
      </c>
      <c r="X1748" t="s">
        <v>280</v>
      </c>
      <c r="Y1748">
        <v>1440</v>
      </c>
      <c r="AA1748" t="s">
        <v>94</v>
      </c>
      <c r="AB1748">
        <v>7.7</v>
      </c>
      <c r="AC1748" t="s">
        <v>85</v>
      </c>
      <c r="AD1748">
        <v>0.11</v>
      </c>
      <c r="AE1748" t="s">
        <v>63</v>
      </c>
      <c r="AI1748">
        <v>5</v>
      </c>
      <c r="AJ1748" t="s">
        <v>201</v>
      </c>
      <c r="AT1748" t="s">
        <v>150</v>
      </c>
      <c r="AV1748" t="s">
        <v>88</v>
      </c>
      <c r="AZ1748">
        <v>0</v>
      </c>
      <c r="BA1748">
        <v>7.7</v>
      </c>
    </row>
    <row r="1749" spans="1:53" hidden="1" x14ac:dyDescent="0.3">
      <c r="A1749" t="s">
        <v>545</v>
      </c>
      <c r="C1749" t="s">
        <v>251</v>
      </c>
      <c r="D1749" t="s">
        <v>81</v>
      </c>
      <c r="E1749">
        <v>100000000</v>
      </c>
      <c r="H1749">
        <v>14.25</v>
      </c>
      <c r="I1749" t="s">
        <v>56</v>
      </c>
      <c r="J1749">
        <v>1.4250000000000001E-3</v>
      </c>
      <c r="K1749" t="s">
        <v>57</v>
      </c>
      <c r="L1749" t="s">
        <v>58</v>
      </c>
      <c r="N1749" t="s">
        <v>538</v>
      </c>
      <c r="O1749">
        <v>300</v>
      </c>
      <c r="P1749" t="s">
        <v>262</v>
      </c>
      <c r="S1749">
        <v>2</v>
      </c>
      <c r="T1749">
        <v>25</v>
      </c>
      <c r="U1749" t="s">
        <v>546</v>
      </c>
      <c r="V1749">
        <v>70</v>
      </c>
      <c r="W1749" t="s">
        <v>468</v>
      </c>
      <c r="X1749" t="s">
        <v>280</v>
      </c>
      <c r="Y1749">
        <v>1440</v>
      </c>
      <c r="AA1749" t="s">
        <v>94</v>
      </c>
      <c r="AB1749">
        <v>7.21</v>
      </c>
      <c r="AC1749" t="s">
        <v>85</v>
      </c>
      <c r="AD1749">
        <v>0.09</v>
      </c>
      <c r="AE1749" t="s">
        <v>63</v>
      </c>
      <c r="AI1749">
        <v>5</v>
      </c>
      <c r="AJ1749" t="s">
        <v>201</v>
      </c>
      <c r="AT1749" t="s">
        <v>318</v>
      </c>
      <c r="AV1749" t="s">
        <v>88</v>
      </c>
      <c r="AZ1749">
        <v>0</v>
      </c>
      <c r="BA1749">
        <v>7.21</v>
      </c>
    </row>
    <row r="1750" spans="1:53" hidden="1" x14ac:dyDescent="0.3">
      <c r="A1750" t="s">
        <v>545</v>
      </c>
      <c r="C1750" t="s">
        <v>251</v>
      </c>
      <c r="D1750" t="s">
        <v>81</v>
      </c>
      <c r="E1750">
        <v>100000000</v>
      </c>
      <c r="H1750">
        <v>14.25</v>
      </c>
      <c r="I1750" t="s">
        <v>56</v>
      </c>
      <c r="J1750">
        <v>1.4250000000000001E-3</v>
      </c>
      <c r="K1750" t="s">
        <v>57</v>
      </c>
      <c r="L1750" t="s">
        <v>58</v>
      </c>
      <c r="N1750" t="s">
        <v>538</v>
      </c>
      <c r="O1750">
        <v>300</v>
      </c>
      <c r="P1750" t="s">
        <v>262</v>
      </c>
      <c r="S1750">
        <v>2</v>
      </c>
      <c r="T1750">
        <v>25</v>
      </c>
      <c r="U1750" t="s">
        <v>546</v>
      </c>
      <c r="V1750">
        <v>70</v>
      </c>
      <c r="W1750" t="s">
        <v>547</v>
      </c>
      <c r="X1750" t="s">
        <v>280</v>
      </c>
      <c r="Y1750">
        <v>1440</v>
      </c>
      <c r="AA1750" t="s">
        <v>94</v>
      </c>
      <c r="AB1750">
        <v>8.0299999999999994</v>
      </c>
      <c r="AC1750" t="s">
        <v>85</v>
      </c>
      <c r="AD1750">
        <v>0.02</v>
      </c>
      <c r="AE1750" t="s">
        <v>63</v>
      </c>
      <c r="AI1750">
        <v>5</v>
      </c>
      <c r="AJ1750" t="s">
        <v>201</v>
      </c>
      <c r="AT1750" t="s">
        <v>73</v>
      </c>
      <c r="AV1750" t="s">
        <v>88</v>
      </c>
      <c r="AZ1750">
        <v>0</v>
      </c>
      <c r="BA1750">
        <v>8.0299999999999994</v>
      </c>
    </row>
    <row r="1751" spans="1:53" hidden="1" x14ac:dyDescent="0.3">
      <c r="A1751" t="s">
        <v>545</v>
      </c>
      <c r="C1751" t="s">
        <v>251</v>
      </c>
      <c r="D1751" t="s">
        <v>81</v>
      </c>
      <c r="E1751">
        <v>100000000</v>
      </c>
      <c r="H1751">
        <v>14.25</v>
      </c>
      <c r="I1751" t="s">
        <v>56</v>
      </c>
      <c r="J1751">
        <v>1.4250000000000001E-3</v>
      </c>
      <c r="K1751" t="s">
        <v>57</v>
      </c>
      <c r="L1751" t="s">
        <v>58</v>
      </c>
      <c r="N1751" t="s">
        <v>538</v>
      </c>
      <c r="O1751">
        <v>300</v>
      </c>
      <c r="P1751" t="s">
        <v>262</v>
      </c>
      <c r="S1751">
        <v>2</v>
      </c>
      <c r="T1751">
        <v>25</v>
      </c>
      <c r="U1751" t="s">
        <v>546</v>
      </c>
      <c r="V1751">
        <v>70</v>
      </c>
      <c r="W1751" t="s">
        <v>422</v>
      </c>
      <c r="X1751" t="s">
        <v>280</v>
      </c>
      <c r="Y1751">
        <v>1440</v>
      </c>
      <c r="AA1751" t="s">
        <v>94</v>
      </c>
      <c r="AB1751">
        <v>7.82</v>
      </c>
      <c r="AC1751" t="s">
        <v>85</v>
      </c>
      <c r="AD1751">
        <v>0.05</v>
      </c>
      <c r="AE1751" t="s">
        <v>63</v>
      </c>
      <c r="AI1751">
        <v>5</v>
      </c>
      <c r="AJ1751" t="s">
        <v>201</v>
      </c>
      <c r="AT1751" t="s">
        <v>79</v>
      </c>
      <c r="AV1751" t="s">
        <v>88</v>
      </c>
      <c r="AZ1751">
        <v>0</v>
      </c>
      <c r="BA1751">
        <v>7.82</v>
      </c>
    </row>
    <row r="1752" spans="1:53" hidden="1" x14ac:dyDescent="0.3">
      <c r="A1752" t="s">
        <v>545</v>
      </c>
      <c r="C1752" t="s">
        <v>251</v>
      </c>
      <c r="D1752" t="s">
        <v>81</v>
      </c>
      <c r="E1752">
        <v>100000000</v>
      </c>
      <c r="H1752">
        <v>14.25</v>
      </c>
      <c r="I1752" t="s">
        <v>56</v>
      </c>
      <c r="J1752">
        <v>1.4250000000000001E-3</v>
      </c>
      <c r="K1752" t="s">
        <v>57</v>
      </c>
      <c r="L1752" t="s">
        <v>58</v>
      </c>
      <c r="N1752" t="s">
        <v>538</v>
      </c>
      <c r="O1752">
        <v>300</v>
      </c>
      <c r="P1752" t="s">
        <v>262</v>
      </c>
      <c r="S1752">
        <v>2</v>
      </c>
      <c r="T1752">
        <v>25</v>
      </c>
      <c r="U1752" t="s">
        <v>546</v>
      </c>
      <c r="V1752">
        <v>70</v>
      </c>
      <c r="W1752" t="s">
        <v>548</v>
      </c>
      <c r="X1752" t="s">
        <v>280</v>
      </c>
      <c r="Y1752">
        <v>1440</v>
      </c>
      <c r="AB1752">
        <v>6.77</v>
      </c>
      <c r="AC1752" t="s">
        <v>85</v>
      </c>
      <c r="AD1752">
        <v>0.64</v>
      </c>
      <c r="AE1752" t="s">
        <v>63</v>
      </c>
      <c r="AI1752">
        <v>5</v>
      </c>
      <c r="AJ1752" t="s">
        <v>201</v>
      </c>
      <c r="AT1752" t="s">
        <v>75</v>
      </c>
      <c r="AV1752" t="s">
        <v>88</v>
      </c>
    </row>
    <row r="1753" spans="1:53" hidden="1" x14ac:dyDescent="0.3">
      <c r="A1753" t="s">
        <v>545</v>
      </c>
      <c r="C1753" t="s">
        <v>251</v>
      </c>
      <c r="D1753" t="s">
        <v>81</v>
      </c>
      <c r="E1753">
        <v>100000000</v>
      </c>
      <c r="H1753">
        <v>14.25</v>
      </c>
      <c r="I1753" t="s">
        <v>56</v>
      </c>
      <c r="J1753">
        <v>1.4250000000000001E-3</v>
      </c>
      <c r="K1753" t="s">
        <v>57</v>
      </c>
      <c r="L1753" t="s">
        <v>58</v>
      </c>
      <c r="N1753" t="s">
        <v>538</v>
      </c>
      <c r="O1753">
        <v>300</v>
      </c>
      <c r="P1753" t="s">
        <v>262</v>
      </c>
      <c r="S1753">
        <v>2</v>
      </c>
      <c r="T1753">
        <v>25</v>
      </c>
      <c r="U1753" t="s">
        <v>546</v>
      </c>
      <c r="V1753">
        <v>70</v>
      </c>
      <c r="W1753" t="s">
        <v>549</v>
      </c>
      <c r="X1753" t="s">
        <v>280</v>
      </c>
      <c r="Y1753">
        <v>1440</v>
      </c>
      <c r="AA1753" t="s">
        <v>94</v>
      </c>
      <c r="AB1753">
        <v>7.23</v>
      </c>
      <c r="AC1753" t="s">
        <v>85</v>
      </c>
      <c r="AD1753">
        <v>0.12</v>
      </c>
      <c r="AE1753" t="s">
        <v>63</v>
      </c>
      <c r="AI1753">
        <v>5</v>
      </c>
      <c r="AJ1753" t="s">
        <v>201</v>
      </c>
      <c r="AT1753" t="s">
        <v>77</v>
      </c>
      <c r="AV1753" t="s">
        <v>88</v>
      </c>
      <c r="AZ1753">
        <v>0</v>
      </c>
      <c r="BA1753">
        <v>7.23</v>
      </c>
    </row>
    <row r="1754" spans="1:53" hidden="1" x14ac:dyDescent="0.3">
      <c r="A1754" t="s">
        <v>545</v>
      </c>
      <c r="C1754" t="s">
        <v>251</v>
      </c>
      <c r="D1754" t="s">
        <v>81</v>
      </c>
      <c r="E1754">
        <v>100000000</v>
      </c>
      <c r="H1754">
        <v>14.25</v>
      </c>
      <c r="I1754" t="s">
        <v>56</v>
      </c>
      <c r="J1754">
        <v>1.4250000000000001E-3</v>
      </c>
      <c r="K1754" t="s">
        <v>57</v>
      </c>
      <c r="L1754" t="s">
        <v>58</v>
      </c>
      <c r="N1754" t="s">
        <v>538</v>
      </c>
      <c r="O1754">
        <v>300</v>
      </c>
      <c r="P1754" t="s">
        <v>262</v>
      </c>
      <c r="S1754">
        <v>2</v>
      </c>
      <c r="T1754">
        <v>25</v>
      </c>
      <c r="U1754" t="s">
        <v>546</v>
      </c>
      <c r="V1754">
        <v>70</v>
      </c>
      <c r="W1754" t="s">
        <v>147</v>
      </c>
      <c r="X1754" t="s">
        <v>280</v>
      </c>
      <c r="Y1754">
        <v>720</v>
      </c>
      <c r="AB1754">
        <v>5.77</v>
      </c>
      <c r="AC1754" t="s">
        <v>85</v>
      </c>
      <c r="AD1754">
        <v>1.61</v>
      </c>
      <c r="AE1754" t="s">
        <v>63</v>
      </c>
      <c r="AI1754">
        <v>5</v>
      </c>
      <c r="AJ1754" t="s">
        <v>201</v>
      </c>
      <c r="AT1754" t="s">
        <v>150</v>
      </c>
      <c r="AV1754" t="s">
        <v>88</v>
      </c>
    </row>
    <row r="1755" spans="1:53" hidden="1" x14ac:dyDescent="0.3">
      <c r="A1755" t="s">
        <v>545</v>
      </c>
      <c r="C1755" t="s">
        <v>251</v>
      </c>
      <c r="D1755" t="s">
        <v>81</v>
      </c>
      <c r="E1755">
        <v>100000000</v>
      </c>
      <c r="H1755">
        <v>14.25</v>
      </c>
      <c r="I1755" t="s">
        <v>56</v>
      </c>
      <c r="J1755">
        <v>1.4250000000000001E-3</v>
      </c>
      <c r="K1755" t="s">
        <v>57</v>
      </c>
      <c r="L1755" t="s">
        <v>58</v>
      </c>
      <c r="N1755" t="s">
        <v>538</v>
      </c>
      <c r="O1755">
        <v>300</v>
      </c>
      <c r="P1755" t="s">
        <v>262</v>
      </c>
      <c r="S1755">
        <v>2</v>
      </c>
      <c r="T1755">
        <v>25</v>
      </c>
      <c r="U1755" t="s">
        <v>546</v>
      </c>
      <c r="V1755">
        <v>70</v>
      </c>
      <c r="W1755" t="s">
        <v>468</v>
      </c>
      <c r="X1755" t="s">
        <v>280</v>
      </c>
      <c r="Y1755">
        <v>720</v>
      </c>
      <c r="AB1755">
        <v>4.9800000000000004</v>
      </c>
      <c r="AC1755" t="s">
        <v>85</v>
      </c>
      <c r="AD1755">
        <v>0.41</v>
      </c>
      <c r="AE1755" t="s">
        <v>63</v>
      </c>
      <c r="AI1755">
        <v>5</v>
      </c>
      <c r="AJ1755" t="s">
        <v>201</v>
      </c>
      <c r="AT1755" t="s">
        <v>318</v>
      </c>
      <c r="AV1755" t="s">
        <v>88</v>
      </c>
    </row>
    <row r="1756" spans="1:53" hidden="1" x14ac:dyDescent="0.3">
      <c r="A1756" t="s">
        <v>545</v>
      </c>
      <c r="C1756" t="s">
        <v>251</v>
      </c>
      <c r="D1756" t="s">
        <v>81</v>
      </c>
      <c r="E1756">
        <v>100000000</v>
      </c>
      <c r="H1756">
        <v>14.25</v>
      </c>
      <c r="I1756" t="s">
        <v>56</v>
      </c>
      <c r="J1756">
        <v>1.4250000000000001E-3</v>
      </c>
      <c r="K1756" t="s">
        <v>57</v>
      </c>
      <c r="L1756" t="s">
        <v>58</v>
      </c>
      <c r="N1756" t="s">
        <v>538</v>
      </c>
      <c r="O1756">
        <v>300</v>
      </c>
      <c r="P1756" t="s">
        <v>262</v>
      </c>
      <c r="S1756">
        <v>2</v>
      </c>
      <c r="T1756">
        <v>25</v>
      </c>
      <c r="U1756" t="s">
        <v>546</v>
      </c>
      <c r="V1756">
        <v>70</v>
      </c>
      <c r="W1756" t="s">
        <v>547</v>
      </c>
      <c r="X1756" t="s">
        <v>280</v>
      </c>
      <c r="Y1756">
        <v>720</v>
      </c>
      <c r="AB1756">
        <v>5.96</v>
      </c>
      <c r="AC1756" t="s">
        <v>85</v>
      </c>
      <c r="AD1756">
        <v>0.45</v>
      </c>
      <c r="AE1756" t="s">
        <v>63</v>
      </c>
      <c r="AI1756">
        <v>5</v>
      </c>
      <c r="AJ1756" t="s">
        <v>201</v>
      </c>
      <c r="AT1756" t="s">
        <v>73</v>
      </c>
      <c r="AV1756" t="s">
        <v>88</v>
      </c>
    </row>
    <row r="1757" spans="1:53" hidden="1" x14ac:dyDescent="0.3">
      <c r="A1757" t="s">
        <v>545</v>
      </c>
      <c r="C1757" t="s">
        <v>251</v>
      </c>
      <c r="D1757" t="s">
        <v>81</v>
      </c>
      <c r="E1757">
        <v>100000000</v>
      </c>
      <c r="H1757">
        <v>14.25</v>
      </c>
      <c r="I1757" t="s">
        <v>56</v>
      </c>
      <c r="J1757">
        <v>1.4250000000000001E-3</v>
      </c>
      <c r="K1757" t="s">
        <v>57</v>
      </c>
      <c r="L1757" t="s">
        <v>58</v>
      </c>
      <c r="N1757" t="s">
        <v>538</v>
      </c>
      <c r="O1757">
        <v>300</v>
      </c>
      <c r="P1757" t="s">
        <v>262</v>
      </c>
      <c r="S1757">
        <v>2</v>
      </c>
      <c r="T1757">
        <v>25</v>
      </c>
      <c r="U1757" t="s">
        <v>546</v>
      </c>
      <c r="V1757">
        <v>70</v>
      </c>
      <c r="W1757" t="s">
        <v>422</v>
      </c>
      <c r="X1757" t="s">
        <v>280</v>
      </c>
      <c r="Y1757">
        <v>720</v>
      </c>
      <c r="AA1757" t="s">
        <v>94</v>
      </c>
      <c r="AB1757">
        <v>7.82</v>
      </c>
      <c r="AC1757" t="s">
        <v>85</v>
      </c>
      <c r="AD1757">
        <v>0.06</v>
      </c>
      <c r="AE1757" t="s">
        <v>63</v>
      </c>
      <c r="AI1757">
        <v>5</v>
      </c>
      <c r="AJ1757" t="s">
        <v>201</v>
      </c>
      <c r="AT1757" t="s">
        <v>79</v>
      </c>
      <c r="AV1757" t="s">
        <v>88</v>
      </c>
      <c r="AZ1757">
        <v>0</v>
      </c>
      <c r="BA1757">
        <v>7.82</v>
      </c>
    </row>
    <row r="1758" spans="1:53" hidden="1" x14ac:dyDescent="0.3">
      <c r="A1758" t="s">
        <v>545</v>
      </c>
      <c r="C1758" t="s">
        <v>251</v>
      </c>
      <c r="D1758" t="s">
        <v>81</v>
      </c>
      <c r="E1758">
        <v>100000000</v>
      </c>
      <c r="H1758">
        <v>14.25</v>
      </c>
      <c r="I1758" t="s">
        <v>56</v>
      </c>
      <c r="J1758">
        <v>1.4250000000000001E-3</v>
      </c>
      <c r="K1758" t="s">
        <v>57</v>
      </c>
      <c r="L1758" t="s">
        <v>58</v>
      </c>
      <c r="N1758" t="s">
        <v>538</v>
      </c>
      <c r="O1758">
        <v>300</v>
      </c>
      <c r="P1758" t="s">
        <v>262</v>
      </c>
      <c r="S1758">
        <v>2</v>
      </c>
      <c r="T1758">
        <v>25</v>
      </c>
      <c r="U1758" t="s">
        <v>546</v>
      </c>
      <c r="V1758">
        <v>70</v>
      </c>
      <c r="W1758" t="s">
        <v>548</v>
      </c>
      <c r="X1758" t="s">
        <v>280</v>
      </c>
      <c r="Y1758">
        <v>720</v>
      </c>
      <c r="AB1758">
        <v>5.63</v>
      </c>
      <c r="AC1758" t="s">
        <v>85</v>
      </c>
      <c r="AD1758">
        <v>1.04</v>
      </c>
      <c r="AE1758" t="s">
        <v>63</v>
      </c>
      <c r="AI1758">
        <v>5</v>
      </c>
      <c r="AJ1758" t="s">
        <v>201</v>
      </c>
      <c r="AT1758" t="s">
        <v>75</v>
      </c>
      <c r="AV1758" t="s">
        <v>88</v>
      </c>
    </row>
    <row r="1759" spans="1:53" hidden="1" x14ac:dyDescent="0.3">
      <c r="A1759" t="s">
        <v>545</v>
      </c>
      <c r="C1759" t="s">
        <v>251</v>
      </c>
      <c r="D1759" t="s">
        <v>81</v>
      </c>
      <c r="E1759">
        <v>100000000</v>
      </c>
      <c r="H1759">
        <v>14.25</v>
      </c>
      <c r="I1759" t="s">
        <v>56</v>
      </c>
      <c r="J1759">
        <v>1.4250000000000001E-3</v>
      </c>
      <c r="K1759" t="s">
        <v>57</v>
      </c>
      <c r="L1759" t="s">
        <v>58</v>
      </c>
      <c r="N1759" t="s">
        <v>538</v>
      </c>
      <c r="O1759">
        <v>300</v>
      </c>
      <c r="P1759" t="s">
        <v>262</v>
      </c>
      <c r="S1759">
        <v>2</v>
      </c>
      <c r="T1759">
        <v>25</v>
      </c>
      <c r="U1759" t="s">
        <v>546</v>
      </c>
      <c r="V1759">
        <v>70</v>
      </c>
      <c r="W1759" t="s">
        <v>549</v>
      </c>
      <c r="X1759" t="s">
        <v>280</v>
      </c>
      <c r="Y1759">
        <v>720</v>
      </c>
      <c r="AA1759" t="s">
        <v>94</v>
      </c>
      <c r="AB1759">
        <v>7.3</v>
      </c>
      <c r="AC1759" t="s">
        <v>85</v>
      </c>
      <c r="AD1759">
        <v>0.18</v>
      </c>
      <c r="AE1759" t="s">
        <v>63</v>
      </c>
      <c r="AI1759">
        <v>5</v>
      </c>
      <c r="AJ1759" t="s">
        <v>201</v>
      </c>
      <c r="AT1759" t="s">
        <v>77</v>
      </c>
      <c r="AV1759" t="s">
        <v>88</v>
      </c>
      <c r="AZ1759">
        <v>0</v>
      </c>
      <c r="BA1759">
        <v>7.3</v>
      </c>
    </row>
    <row r="1760" spans="1:53" hidden="1" x14ac:dyDescent="0.3">
      <c r="A1760" t="s">
        <v>545</v>
      </c>
      <c r="C1760" t="s">
        <v>251</v>
      </c>
      <c r="D1760" t="s">
        <v>81</v>
      </c>
      <c r="E1760">
        <v>100000000</v>
      </c>
      <c r="H1760">
        <v>14.25</v>
      </c>
      <c r="I1760" t="s">
        <v>56</v>
      </c>
      <c r="J1760">
        <v>1.4250000000000001E-3</v>
      </c>
      <c r="K1760" t="s">
        <v>57</v>
      </c>
      <c r="L1760" t="s">
        <v>58</v>
      </c>
      <c r="N1760" t="s">
        <v>538</v>
      </c>
      <c r="O1760">
        <v>300</v>
      </c>
      <c r="P1760" t="s">
        <v>262</v>
      </c>
      <c r="S1760">
        <v>2</v>
      </c>
      <c r="T1760">
        <v>25</v>
      </c>
      <c r="U1760" t="s">
        <v>546</v>
      </c>
      <c r="V1760">
        <v>45</v>
      </c>
      <c r="W1760" t="s">
        <v>147</v>
      </c>
      <c r="X1760" t="s">
        <v>280</v>
      </c>
      <c r="Y1760">
        <v>1440</v>
      </c>
      <c r="AB1760">
        <v>1.07</v>
      </c>
      <c r="AC1760" t="s">
        <v>85</v>
      </c>
      <c r="AD1760">
        <v>0.31</v>
      </c>
      <c r="AE1760" t="s">
        <v>63</v>
      </c>
      <c r="AI1760">
        <v>5</v>
      </c>
      <c r="AJ1760" t="s">
        <v>201</v>
      </c>
      <c r="AT1760" t="s">
        <v>150</v>
      </c>
      <c r="AV1760" t="s">
        <v>88</v>
      </c>
    </row>
    <row r="1761" spans="1:53" hidden="1" x14ac:dyDescent="0.3">
      <c r="A1761" t="s">
        <v>545</v>
      </c>
      <c r="C1761" t="s">
        <v>251</v>
      </c>
      <c r="D1761" t="s">
        <v>81</v>
      </c>
      <c r="E1761">
        <v>100000000</v>
      </c>
      <c r="H1761">
        <v>14.25</v>
      </c>
      <c r="I1761" t="s">
        <v>56</v>
      </c>
      <c r="J1761">
        <v>1.4250000000000001E-3</v>
      </c>
      <c r="K1761" t="s">
        <v>57</v>
      </c>
      <c r="L1761" t="s">
        <v>58</v>
      </c>
      <c r="N1761" t="s">
        <v>538</v>
      </c>
      <c r="O1761">
        <v>300</v>
      </c>
      <c r="P1761" t="s">
        <v>262</v>
      </c>
      <c r="S1761">
        <v>2</v>
      </c>
      <c r="T1761">
        <v>25</v>
      </c>
      <c r="U1761" t="s">
        <v>546</v>
      </c>
      <c r="V1761">
        <v>45</v>
      </c>
      <c r="W1761" t="s">
        <v>468</v>
      </c>
      <c r="X1761" t="s">
        <v>280</v>
      </c>
      <c r="Y1761">
        <v>1440</v>
      </c>
      <c r="AB1761">
        <v>2.75</v>
      </c>
      <c r="AC1761" t="s">
        <v>85</v>
      </c>
      <c r="AD1761">
        <v>0.13</v>
      </c>
      <c r="AE1761" t="s">
        <v>63</v>
      </c>
      <c r="AI1761">
        <v>5</v>
      </c>
      <c r="AJ1761" t="s">
        <v>201</v>
      </c>
      <c r="AT1761" t="s">
        <v>318</v>
      </c>
      <c r="AV1761" t="s">
        <v>88</v>
      </c>
    </row>
    <row r="1762" spans="1:53" hidden="1" x14ac:dyDescent="0.3">
      <c r="A1762" t="s">
        <v>545</v>
      </c>
      <c r="C1762" t="s">
        <v>251</v>
      </c>
      <c r="D1762" t="s">
        <v>81</v>
      </c>
      <c r="E1762">
        <v>100000000</v>
      </c>
      <c r="H1762">
        <v>14.25</v>
      </c>
      <c r="I1762" t="s">
        <v>56</v>
      </c>
      <c r="J1762">
        <v>1.4250000000000001E-3</v>
      </c>
      <c r="K1762" t="s">
        <v>57</v>
      </c>
      <c r="L1762" t="s">
        <v>58</v>
      </c>
      <c r="N1762" t="s">
        <v>538</v>
      </c>
      <c r="O1762">
        <v>300</v>
      </c>
      <c r="P1762" t="s">
        <v>262</v>
      </c>
      <c r="S1762">
        <v>2</v>
      </c>
      <c r="T1762">
        <v>25</v>
      </c>
      <c r="U1762" t="s">
        <v>546</v>
      </c>
      <c r="V1762">
        <v>45</v>
      </c>
      <c r="W1762" t="s">
        <v>547</v>
      </c>
      <c r="X1762" t="s">
        <v>280</v>
      </c>
      <c r="Y1762">
        <v>1440</v>
      </c>
      <c r="AB1762">
        <v>2.94</v>
      </c>
      <c r="AC1762" t="s">
        <v>85</v>
      </c>
      <c r="AD1762">
        <v>0.25</v>
      </c>
      <c r="AE1762" t="s">
        <v>63</v>
      </c>
      <c r="AI1762">
        <v>5</v>
      </c>
      <c r="AJ1762" t="s">
        <v>201</v>
      </c>
      <c r="AT1762" t="s">
        <v>73</v>
      </c>
      <c r="AV1762" t="s">
        <v>88</v>
      </c>
    </row>
    <row r="1763" spans="1:53" hidden="1" x14ac:dyDescent="0.3">
      <c r="A1763" t="s">
        <v>545</v>
      </c>
      <c r="C1763" t="s">
        <v>251</v>
      </c>
      <c r="D1763" t="s">
        <v>81</v>
      </c>
      <c r="E1763">
        <v>100000000</v>
      </c>
      <c r="H1763">
        <v>14.25</v>
      </c>
      <c r="I1763" t="s">
        <v>56</v>
      </c>
      <c r="J1763">
        <v>1.4250000000000001E-3</v>
      </c>
      <c r="K1763" t="s">
        <v>57</v>
      </c>
      <c r="L1763" t="s">
        <v>58</v>
      </c>
      <c r="N1763" t="s">
        <v>538</v>
      </c>
      <c r="O1763">
        <v>300</v>
      </c>
      <c r="P1763" t="s">
        <v>262</v>
      </c>
      <c r="S1763">
        <v>2</v>
      </c>
      <c r="T1763">
        <v>25</v>
      </c>
      <c r="U1763" t="s">
        <v>546</v>
      </c>
      <c r="V1763">
        <v>45</v>
      </c>
      <c r="W1763" t="s">
        <v>422</v>
      </c>
      <c r="X1763" t="s">
        <v>280</v>
      </c>
      <c r="Y1763">
        <v>1440</v>
      </c>
      <c r="AA1763" t="s">
        <v>94</v>
      </c>
      <c r="AB1763">
        <v>7.55</v>
      </c>
      <c r="AC1763" t="s">
        <v>85</v>
      </c>
      <c r="AD1763">
        <v>0.05</v>
      </c>
      <c r="AE1763" t="s">
        <v>63</v>
      </c>
      <c r="AI1763">
        <v>5</v>
      </c>
      <c r="AJ1763" t="s">
        <v>201</v>
      </c>
      <c r="AT1763" t="s">
        <v>79</v>
      </c>
      <c r="AV1763" t="s">
        <v>88</v>
      </c>
      <c r="AZ1763">
        <v>0</v>
      </c>
      <c r="BA1763">
        <v>7.55</v>
      </c>
    </row>
    <row r="1764" spans="1:53" hidden="1" x14ac:dyDescent="0.3">
      <c r="A1764" t="s">
        <v>545</v>
      </c>
      <c r="C1764" t="s">
        <v>251</v>
      </c>
      <c r="D1764" t="s">
        <v>81</v>
      </c>
      <c r="E1764">
        <v>100000000</v>
      </c>
      <c r="H1764">
        <v>14.25</v>
      </c>
      <c r="I1764" t="s">
        <v>56</v>
      </c>
      <c r="J1764">
        <v>1.4250000000000001E-3</v>
      </c>
      <c r="K1764" t="s">
        <v>57</v>
      </c>
      <c r="L1764" t="s">
        <v>58</v>
      </c>
      <c r="N1764" t="s">
        <v>538</v>
      </c>
      <c r="O1764">
        <v>300</v>
      </c>
      <c r="P1764" t="s">
        <v>262</v>
      </c>
      <c r="S1764">
        <v>2</v>
      </c>
      <c r="T1764">
        <v>25</v>
      </c>
      <c r="U1764" t="s">
        <v>546</v>
      </c>
      <c r="V1764">
        <v>45</v>
      </c>
      <c r="W1764" t="s">
        <v>548</v>
      </c>
      <c r="X1764" t="s">
        <v>280</v>
      </c>
      <c r="Y1764">
        <v>1440</v>
      </c>
      <c r="AB1764">
        <v>1.17</v>
      </c>
      <c r="AC1764" t="s">
        <v>85</v>
      </c>
      <c r="AD1764">
        <v>0.32</v>
      </c>
      <c r="AE1764" t="s">
        <v>63</v>
      </c>
      <c r="AI1764">
        <v>5</v>
      </c>
      <c r="AJ1764" t="s">
        <v>201</v>
      </c>
      <c r="AT1764" t="s">
        <v>75</v>
      </c>
      <c r="AV1764" t="s">
        <v>88</v>
      </c>
    </row>
    <row r="1765" spans="1:53" hidden="1" x14ac:dyDescent="0.3">
      <c r="A1765" t="s">
        <v>545</v>
      </c>
      <c r="C1765" t="s">
        <v>251</v>
      </c>
      <c r="D1765" t="s">
        <v>81</v>
      </c>
      <c r="E1765">
        <v>100000000</v>
      </c>
      <c r="H1765">
        <v>14.25</v>
      </c>
      <c r="I1765" t="s">
        <v>56</v>
      </c>
      <c r="J1765">
        <v>1.4250000000000001E-3</v>
      </c>
      <c r="K1765" t="s">
        <v>57</v>
      </c>
      <c r="L1765" t="s">
        <v>58</v>
      </c>
      <c r="N1765" t="s">
        <v>538</v>
      </c>
      <c r="O1765">
        <v>300</v>
      </c>
      <c r="P1765" t="s">
        <v>262</v>
      </c>
      <c r="S1765">
        <v>2</v>
      </c>
      <c r="T1765">
        <v>25</v>
      </c>
      <c r="U1765" t="s">
        <v>546</v>
      </c>
      <c r="V1765">
        <v>45</v>
      </c>
      <c r="W1765" t="s">
        <v>549</v>
      </c>
      <c r="X1765" t="s">
        <v>280</v>
      </c>
      <c r="Y1765">
        <v>1440</v>
      </c>
      <c r="AA1765" t="s">
        <v>94</v>
      </c>
      <c r="AB1765">
        <v>7.28</v>
      </c>
      <c r="AC1765" t="s">
        <v>85</v>
      </c>
      <c r="AD1765">
        <v>0.14000000000000001</v>
      </c>
      <c r="AE1765" t="s">
        <v>63</v>
      </c>
      <c r="AI1765">
        <v>5</v>
      </c>
      <c r="AJ1765" t="s">
        <v>201</v>
      </c>
      <c r="AT1765" t="s">
        <v>77</v>
      </c>
      <c r="AV1765" t="s">
        <v>88</v>
      </c>
      <c r="AZ1765">
        <v>0</v>
      </c>
      <c r="BA1765">
        <v>7.28</v>
      </c>
    </row>
    <row r="1766" spans="1:53" hidden="1" x14ac:dyDescent="0.3">
      <c r="A1766" t="s">
        <v>545</v>
      </c>
      <c r="C1766" t="s">
        <v>251</v>
      </c>
      <c r="D1766" t="s">
        <v>81</v>
      </c>
      <c r="E1766">
        <v>100000000</v>
      </c>
      <c r="H1766">
        <v>14.25</v>
      </c>
      <c r="I1766" t="s">
        <v>56</v>
      </c>
      <c r="J1766">
        <v>1.4250000000000001E-3</v>
      </c>
      <c r="K1766" t="s">
        <v>57</v>
      </c>
      <c r="L1766" t="s">
        <v>58</v>
      </c>
      <c r="N1766" t="s">
        <v>538</v>
      </c>
      <c r="O1766">
        <v>200</v>
      </c>
      <c r="P1766" t="s">
        <v>262</v>
      </c>
      <c r="S1766">
        <v>2</v>
      </c>
      <c r="T1766">
        <v>25</v>
      </c>
      <c r="U1766" t="s">
        <v>546</v>
      </c>
      <c r="V1766">
        <v>70</v>
      </c>
      <c r="W1766" t="s">
        <v>147</v>
      </c>
      <c r="X1766" t="s">
        <v>280</v>
      </c>
      <c r="Y1766">
        <v>1440</v>
      </c>
      <c r="AB1766">
        <v>7.25</v>
      </c>
      <c r="AC1766" t="s">
        <v>85</v>
      </c>
      <c r="AD1766">
        <v>0.79</v>
      </c>
      <c r="AE1766" t="s">
        <v>63</v>
      </c>
      <c r="AI1766">
        <v>5</v>
      </c>
      <c r="AJ1766" t="s">
        <v>201</v>
      </c>
      <c r="AT1766" t="s">
        <v>150</v>
      </c>
      <c r="AV1766" t="s">
        <v>88</v>
      </c>
    </row>
    <row r="1767" spans="1:53" hidden="1" x14ac:dyDescent="0.3">
      <c r="A1767" t="s">
        <v>545</v>
      </c>
      <c r="C1767" t="s">
        <v>251</v>
      </c>
      <c r="D1767" t="s">
        <v>81</v>
      </c>
      <c r="E1767">
        <v>100000000</v>
      </c>
      <c r="H1767">
        <v>14.25</v>
      </c>
      <c r="I1767" t="s">
        <v>56</v>
      </c>
      <c r="J1767">
        <v>1.4250000000000001E-3</v>
      </c>
      <c r="K1767" t="s">
        <v>57</v>
      </c>
      <c r="L1767" t="s">
        <v>58</v>
      </c>
      <c r="N1767" t="s">
        <v>538</v>
      </c>
      <c r="O1767">
        <v>200</v>
      </c>
      <c r="P1767" t="s">
        <v>262</v>
      </c>
      <c r="S1767">
        <v>2</v>
      </c>
      <c r="T1767">
        <v>25</v>
      </c>
      <c r="U1767" t="s">
        <v>546</v>
      </c>
      <c r="V1767">
        <v>70</v>
      </c>
      <c r="W1767" t="s">
        <v>468</v>
      </c>
      <c r="X1767" t="s">
        <v>280</v>
      </c>
      <c r="Y1767">
        <v>1440</v>
      </c>
      <c r="AA1767" t="s">
        <v>94</v>
      </c>
      <c r="AB1767">
        <v>7.02</v>
      </c>
      <c r="AC1767" t="s">
        <v>85</v>
      </c>
      <c r="AD1767">
        <v>0.19</v>
      </c>
      <c r="AE1767" t="s">
        <v>63</v>
      </c>
      <c r="AI1767">
        <v>5</v>
      </c>
      <c r="AJ1767" t="s">
        <v>201</v>
      </c>
      <c r="AT1767" t="s">
        <v>318</v>
      </c>
      <c r="AV1767" t="s">
        <v>88</v>
      </c>
      <c r="AZ1767">
        <v>0</v>
      </c>
      <c r="BA1767">
        <v>7.02</v>
      </c>
    </row>
    <row r="1768" spans="1:53" hidden="1" x14ac:dyDescent="0.3">
      <c r="A1768" t="s">
        <v>545</v>
      </c>
      <c r="C1768" t="s">
        <v>251</v>
      </c>
      <c r="D1768" t="s">
        <v>81</v>
      </c>
      <c r="E1768">
        <v>10000000</v>
      </c>
      <c r="H1768">
        <v>14.25</v>
      </c>
      <c r="I1768" t="s">
        <v>56</v>
      </c>
      <c r="J1768">
        <v>1.4250000000000001E-3</v>
      </c>
      <c r="K1768" t="s">
        <v>57</v>
      </c>
      <c r="L1768" t="s">
        <v>58</v>
      </c>
      <c r="N1768" t="s">
        <v>538</v>
      </c>
      <c r="O1768">
        <v>200</v>
      </c>
      <c r="P1768" t="s">
        <v>262</v>
      </c>
      <c r="S1768">
        <v>2</v>
      </c>
      <c r="T1768">
        <v>25</v>
      </c>
      <c r="U1768" t="s">
        <v>546</v>
      </c>
      <c r="V1768">
        <v>70</v>
      </c>
      <c r="W1768" t="s">
        <v>547</v>
      </c>
      <c r="X1768" t="s">
        <v>280</v>
      </c>
      <c r="Y1768">
        <v>1440</v>
      </c>
      <c r="AA1768" t="s">
        <v>94</v>
      </c>
      <c r="AB1768">
        <v>7.91</v>
      </c>
      <c r="AC1768" t="s">
        <v>85</v>
      </c>
      <c r="AD1768">
        <v>0.04</v>
      </c>
      <c r="AE1768" t="s">
        <v>63</v>
      </c>
      <c r="AI1768">
        <v>5</v>
      </c>
      <c r="AJ1768" t="s">
        <v>201</v>
      </c>
      <c r="AT1768" t="s">
        <v>73</v>
      </c>
      <c r="AV1768" t="s">
        <v>88</v>
      </c>
      <c r="AZ1768">
        <v>0</v>
      </c>
      <c r="BA1768">
        <v>7.91</v>
      </c>
    </row>
    <row r="1769" spans="1:53" hidden="1" x14ac:dyDescent="0.3">
      <c r="A1769" t="s">
        <v>545</v>
      </c>
      <c r="C1769" t="s">
        <v>251</v>
      </c>
      <c r="D1769" t="s">
        <v>81</v>
      </c>
      <c r="E1769">
        <v>10000000</v>
      </c>
      <c r="H1769">
        <v>14.25</v>
      </c>
      <c r="I1769" t="s">
        <v>56</v>
      </c>
      <c r="J1769">
        <v>1.4250000000000001E-3</v>
      </c>
      <c r="K1769" t="s">
        <v>57</v>
      </c>
      <c r="L1769" t="s">
        <v>58</v>
      </c>
      <c r="N1769" t="s">
        <v>538</v>
      </c>
      <c r="O1769">
        <v>200</v>
      </c>
      <c r="P1769" t="s">
        <v>262</v>
      </c>
      <c r="S1769">
        <v>2</v>
      </c>
      <c r="T1769">
        <v>25</v>
      </c>
      <c r="U1769" t="s">
        <v>546</v>
      </c>
      <c r="V1769">
        <v>70</v>
      </c>
      <c r="W1769" t="s">
        <v>422</v>
      </c>
      <c r="X1769" t="s">
        <v>280</v>
      </c>
      <c r="Y1769">
        <v>1440</v>
      </c>
      <c r="AA1769" t="s">
        <v>94</v>
      </c>
      <c r="AB1769">
        <v>7.74</v>
      </c>
      <c r="AC1769" t="s">
        <v>85</v>
      </c>
      <c r="AD1769">
        <v>0.02</v>
      </c>
      <c r="AE1769" t="s">
        <v>63</v>
      </c>
      <c r="AI1769">
        <v>5</v>
      </c>
      <c r="AJ1769" t="s">
        <v>201</v>
      </c>
      <c r="AT1769" t="s">
        <v>79</v>
      </c>
      <c r="AV1769" t="s">
        <v>88</v>
      </c>
      <c r="AZ1769">
        <v>0</v>
      </c>
      <c r="BA1769">
        <v>7.74</v>
      </c>
    </row>
    <row r="1770" spans="1:53" hidden="1" x14ac:dyDescent="0.3">
      <c r="A1770" t="s">
        <v>545</v>
      </c>
      <c r="C1770" t="s">
        <v>251</v>
      </c>
      <c r="D1770" t="s">
        <v>81</v>
      </c>
      <c r="E1770">
        <v>10000000</v>
      </c>
      <c r="H1770">
        <v>14.25</v>
      </c>
      <c r="I1770" t="s">
        <v>56</v>
      </c>
      <c r="J1770">
        <v>1.4250000000000001E-3</v>
      </c>
      <c r="K1770" t="s">
        <v>57</v>
      </c>
      <c r="L1770" t="s">
        <v>58</v>
      </c>
      <c r="N1770" t="s">
        <v>538</v>
      </c>
      <c r="O1770">
        <v>200</v>
      </c>
      <c r="P1770" t="s">
        <v>262</v>
      </c>
      <c r="S1770">
        <v>2</v>
      </c>
      <c r="T1770">
        <v>25</v>
      </c>
      <c r="U1770" t="s">
        <v>546</v>
      </c>
      <c r="V1770">
        <v>70</v>
      </c>
      <c r="W1770" t="s">
        <v>548</v>
      </c>
      <c r="X1770" t="s">
        <v>280</v>
      </c>
      <c r="Y1770">
        <v>1440</v>
      </c>
      <c r="AA1770" t="s">
        <v>94</v>
      </c>
      <c r="AB1770">
        <v>6.91</v>
      </c>
      <c r="AC1770" t="s">
        <v>85</v>
      </c>
      <c r="AD1770">
        <v>0.13</v>
      </c>
      <c r="AE1770" t="s">
        <v>63</v>
      </c>
      <c r="AI1770">
        <v>5</v>
      </c>
      <c r="AJ1770" t="s">
        <v>201</v>
      </c>
      <c r="AT1770" t="s">
        <v>75</v>
      </c>
      <c r="AV1770" t="s">
        <v>88</v>
      </c>
      <c r="AZ1770">
        <v>0</v>
      </c>
      <c r="BA1770">
        <v>6.91</v>
      </c>
    </row>
    <row r="1771" spans="1:53" hidden="1" x14ac:dyDescent="0.3">
      <c r="A1771" t="s">
        <v>545</v>
      </c>
      <c r="C1771" t="s">
        <v>251</v>
      </c>
      <c r="D1771" t="s">
        <v>81</v>
      </c>
      <c r="E1771">
        <v>10000000</v>
      </c>
      <c r="H1771">
        <v>14.25</v>
      </c>
      <c r="I1771" t="s">
        <v>56</v>
      </c>
      <c r="J1771">
        <v>1.4250000000000001E-3</v>
      </c>
      <c r="K1771" t="s">
        <v>57</v>
      </c>
      <c r="L1771" t="s">
        <v>58</v>
      </c>
      <c r="N1771" t="s">
        <v>538</v>
      </c>
      <c r="O1771">
        <v>200</v>
      </c>
      <c r="P1771" t="s">
        <v>262</v>
      </c>
      <c r="S1771">
        <v>2</v>
      </c>
      <c r="T1771">
        <v>25</v>
      </c>
      <c r="U1771" t="s">
        <v>546</v>
      </c>
      <c r="V1771">
        <v>70</v>
      </c>
      <c r="W1771" t="s">
        <v>549</v>
      </c>
      <c r="X1771" t="s">
        <v>280</v>
      </c>
      <c r="Y1771">
        <v>1440</v>
      </c>
      <c r="AA1771" t="s">
        <v>94</v>
      </c>
      <c r="AB1771">
        <v>7.26</v>
      </c>
      <c r="AC1771" t="s">
        <v>85</v>
      </c>
      <c r="AD1771">
        <v>0.25</v>
      </c>
      <c r="AE1771" t="s">
        <v>63</v>
      </c>
      <c r="AI1771">
        <v>5</v>
      </c>
      <c r="AJ1771" t="s">
        <v>201</v>
      </c>
      <c r="AT1771" t="s">
        <v>77</v>
      </c>
      <c r="AV1771" t="s">
        <v>88</v>
      </c>
      <c r="AZ1771">
        <v>0</v>
      </c>
      <c r="BA1771">
        <v>7.26</v>
      </c>
    </row>
    <row r="1772" spans="1:53" hidden="1" x14ac:dyDescent="0.3">
      <c r="A1772" t="s">
        <v>545</v>
      </c>
      <c r="C1772" t="s">
        <v>251</v>
      </c>
      <c r="D1772" t="s">
        <v>81</v>
      </c>
      <c r="E1772">
        <v>10000000</v>
      </c>
      <c r="H1772">
        <v>14.25</v>
      </c>
      <c r="I1772" t="s">
        <v>56</v>
      </c>
      <c r="J1772">
        <v>1.4250000000000001E-3</v>
      </c>
      <c r="K1772" t="s">
        <v>57</v>
      </c>
      <c r="L1772" t="s">
        <v>58</v>
      </c>
      <c r="N1772" t="s">
        <v>538</v>
      </c>
      <c r="O1772">
        <v>300</v>
      </c>
      <c r="P1772" t="s">
        <v>262</v>
      </c>
      <c r="S1772">
        <v>2</v>
      </c>
      <c r="T1772">
        <v>25</v>
      </c>
      <c r="U1772" t="s">
        <v>546</v>
      </c>
      <c r="V1772">
        <v>45</v>
      </c>
      <c r="W1772" t="s">
        <v>147</v>
      </c>
      <c r="X1772" t="s">
        <v>280</v>
      </c>
      <c r="Y1772">
        <v>2160</v>
      </c>
      <c r="AB1772">
        <v>1.57</v>
      </c>
      <c r="AC1772" t="s">
        <v>85</v>
      </c>
      <c r="AD1772">
        <v>0.15</v>
      </c>
      <c r="AE1772" t="s">
        <v>63</v>
      </c>
      <c r="AI1772">
        <v>5</v>
      </c>
      <c r="AJ1772" t="s">
        <v>201</v>
      </c>
      <c r="AT1772" t="s">
        <v>150</v>
      </c>
      <c r="AV1772" t="s">
        <v>88</v>
      </c>
    </row>
    <row r="1773" spans="1:53" hidden="1" x14ac:dyDescent="0.3">
      <c r="A1773" t="s">
        <v>545</v>
      </c>
      <c r="C1773" t="s">
        <v>251</v>
      </c>
      <c r="D1773" t="s">
        <v>81</v>
      </c>
      <c r="E1773">
        <v>10000000</v>
      </c>
      <c r="H1773">
        <v>14.25</v>
      </c>
      <c r="I1773" t="s">
        <v>56</v>
      </c>
      <c r="J1773">
        <v>1.4250000000000001E-3</v>
      </c>
      <c r="K1773" t="s">
        <v>57</v>
      </c>
      <c r="L1773" t="s">
        <v>58</v>
      </c>
      <c r="N1773" t="s">
        <v>538</v>
      </c>
      <c r="O1773">
        <v>300</v>
      </c>
      <c r="P1773" t="s">
        <v>262</v>
      </c>
      <c r="S1773">
        <v>2</v>
      </c>
      <c r="T1773">
        <v>25</v>
      </c>
      <c r="U1773" t="s">
        <v>546</v>
      </c>
      <c r="V1773">
        <v>45</v>
      </c>
      <c r="W1773" t="s">
        <v>468</v>
      </c>
      <c r="X1773" t="s">
        <v>280</v>
      </c>
      <c r="Y1773">
        <v>2160</v>
      </c>
      <c r="AB1773">
        <v>3.25</v>
      </c>
      <c r="AC1773" t="s">
        <v>85</v>
      </c>
      <c r="AD1773">
        <v>0.16</v>
      </c>
      <c r="AE1773" t="s">
        <v>63</v>
      </c>
      <c r="AI1773">
        <v>5</v>
      </c>
      <c r="AJ1773" t="s">
        <v>201</v>
      </c>
      <c r="AT1773" t="s">
        <v>318</v>
      </c>
      <c r="AV1773" t="s">
        <v>88</v>
      </c>
    </row>
    <row r="1774" spans="1:53" hidden="1" x14ac:dyDescent="0.3">
      <c r="A1774" t="s">
        <v>545</v>
      </c>
      <c r="C1774" t="s">
        <v>251</v>
      </c>
      <c r="D1774" t="s">
        <v>81</v>
      </c>
      <c r="E1774">
        <v>10000000</v>
      </c>
      <c r="H1774">
        <v>14.25</v>
      </c>
      <c r="I1774" t="s">
        <v>56</v>
      </c>
      <c r="J1774">
        <v>1.4250000000000001E-3</v>
      </c>
      <c r="K1774" t="s">
        <v>57</v>
      </c>
      <c r="L1774" t="s">
        <v>58</v>
      </c>
      <c r="N1774" t="s">
        <v>538</v>
      </c>
      <c r="O1774">
        <v>300</v>
      </c>
      <c r="P1774" t="s">
        <v>262</v>
      </c>
      <c r="S1774">
        <v>2</v>
      </c>
      <c r="T1774">
        <v>25</v>
      </c>
      <c r="U1774" t="s">
        <v>546</v>
      </c>
      <c r="V1774">
        <v>45</v>
      </c>
      <c r="W1774" t="s">
        <v>547</v>
      </c>
      <c r="X1774" t="s">
        <v>280</v>
      </c>
      <c r="Y1774">
        <v>2160</v>
      </c>
      <c r="AB1774">
        <v>4.47</v>
      </c>
      <c r="AC1774" t="s">
        <v>85</v>
      </c>
      <c r="AD1774">
        <v>0.45</v>
      </c>
      <c r="AE1774" t="s">
        <v>63</v>
      </c>
      <c r="AI1774">
        <v>5</v>
      </c>
      <c r="AJ1774" t="s">
        <v>201</v>
      </c>
      <c r="AT1774" t="s">
        <v>73</v>
      </c>
      <c r="AV1774" t="s">
        <v>88</v>
      </c>
    </row>
    <row r="1775" spans="1:53" hidden="1" x14ac:dyDescent="0.3">
      <c r="A1775" t="s">
        <v>545</v>
      </c>
      <c r="C1775" t="s">
        <v>251</v>
      </c>
      <c r="D1775" t="s">
        <v>81</v>
      </c>
      <c r="E1775">
        <v>10000000</v>
      </c>
      <c r="H1775">
        <v>14.25</v>
      </c>
      <c r="I1775" t="s">
        <v>56</v>
      </c>
      <c r="J1775">
        <v>1.4250000000000001E-3</v>
      </c>
      <c r="K1775" t="s">
        <v>57</v>
      </c>
      <c r="L1775" t="s">
        <v>58</v>
      </c>
      <c r="N1775" t="s">
        <v>538</v>
      </c>
      <c r="O1775">
        <v>300</v>
      </c>
      <c r="P1775" t="s">
        <v>262</v>
      </c>
      <c r="S1775">
        <v>2</v>
      </c>
      <c r="T1775">
        <v>25</v>
      </c>
      <c r="U1775" t="s">
        <v>546</v>
      </c>
      <c r="V1775">
        <v>45</v>
      </c>
      <c r="W1775" t="s">
        <v>422</v>
      </c>
      <c r="X1775" t="s">
        <v>280</v>
      </c>
      <c r="Y1775">
        <v>2160</v>
      </c>
      <c r="AA1775" t="s">
        <v>94</v>
      </c>
      <c r="AB1775">
        <v>7.59</v>
      </c>
      <c r="AC1775" t="s">
        <v>85</v>
      </c>
      <c r="AD1775">
        <v>0.06</v>
      </c>
      <c r="AE1775" t="s">
        <v>63</v>
      </c>
      <c r="AI1775">
        <v>5</v>
      </c>
      <c r="AJ1775" t="s">
        <v>201</v>
      </c>
      <c r="AT1775" t="s">
        <v>79</v>
      </c>
      <c r="AV1775" t="s">
        <v>88</v>
      </c>
      <c r="AZ1775">
        <v>0</v>
      </c>
      <c r="BA1775">
        <v>7.59</v>
      </c>
    </row>
    <row r="1776" spans="1:53" hidden="1" x14ac:dyDescent="0.3">
      <c r="A1776" t="s">
        <v>545</v>
      </c>
      <c r="C1776" t="s">
        <v>251</v>
      </c>
      <c r="D1776" t="s">
        <v>81</v>
      </c>
      <c r="E1776">
        <v>10000000</v>
      </c>
      <c r="H1776">
        <v>14.25</v>
      </c>
      <c r="I1776" t="s">
        <v>56</v>
      </c>
      <c r="J1776">
        <v>1.4250000000000001E-3</v>
      </c>
      <c r="K1776" t="s">
        <v>57</v>
      </c>
      <c r="L1776" t="s">
        <v>58</v>
      </c>
      <c r="N1776" t="s">
        <v>538</v>
      </c>
      <c r="O1776">
        <v>300</v>
      </c>
      <c r="P1776" t="s">
        <v>262</v>
      </c>
      <c r="S1776">
        <v>2</v>
      </c>
      <c r="T1776">
        <v>25</v>
      </c>
      <c r="U1776" t="s">
        <v>546</v>
      </c>
      <c r="V1776">
        <v>45</v>
      </c>
      <c r="W1776" t="s">
        <v>548</v>
      </c>
      <c r="X1776" t="s">
        <v>280</v>
      </c>
      <c r="Y1776">
        <v>2160</v>
      </c>
      <c r="AB1776">
        <v>1.58</v>
      </c>
      <c r="AC1776" t="s">
        <v>85</v>
      </c>
      <c r="AD1776">
        <v>0.13</v>
      </c>
      <c r="AE1776" t="s">
        <v>63</v>
      </c>
      <c r="AI1776">
        <v>5</v>
      </c>
      <c r="AJ1776" t="s">
        <v>201</v>
      </c>
      <c r="AT1776" t="s">
        <v>75</v>
      </c>
      <c r="AV1776" t="s">
        <v>88</v>
      </c>
    </row>
    <row r="1777" spans="1:53" hidden="1" x14ac:dyDescent="0.3">
      <c r="A1777" t="s">
        <v>545</v>
      </c>
      <c r="C1777" t="s">
        <v>251</v>
      </c>
      <c r="D1777" t="s">
        <v>81</v>
      </c>
      <c r="E1777">
        <v>10000000</v>
      </c>
      <c r="H1777">
        <v>14.25</v>
      </c>
      <c r="I1777" t="s">
        <v>56</v>
      </c>
      <c r="J1777">
        <v>1.4250000000000001E-3</v>
      </c>
      <c r="K1777" t="s">
        <v>57</v>
      </c>
      <c r="L1777" t="s">
        <v>58</v>
      </c>
      <c r="N1777" t="s">
        <v>538</v>
      </c>
      <c r="O1777">
        <v>300</v>
      </c>
      <c r="P1777" t="s">
        <v>262</v>
      </c>
      <c r="S1777">
        <v>2</v>
      </c>
      <c r="T1777">
        <v>25</v>
      </c>
      <c r="U1777" t="s">
        <v>546</v>
      </c>
      <c r="V1777">
        <v>45</v>
      </c>
      <c r="W1777" t="s">
        <v>549</v>
      </c>
      <c r="X1777" t="s">
        <v>280</v>
      </c>
      <c r="Y1777">
        <v>2160</v>
      </c>
      <c r="AA1777" t="s">
        <v>94</v>
      </c>
      <c r="AB1777">
        <v>6.96</v>
      </c>
      <c r="AC1777" t="s">
        <v>85</v>
      </c>
      <c r="AD1777">
        <v>0.28999999999999998</v>
      </c>
      <c r="AE1777" t="s">
        <v>63</v>
      </c>
      <c r="AI1777">
        <v>5</v>
      </c>
      <c r="AJ1777" t="s">
        <v>201</v>
      </c>
      <c r="AT1777" t="s">
        <v>77</v>
      </c>
      <c r="AV1777" t="s">
        <v>88</v>
      </c>
      <c r="AZ1777">
        <v>0</v>
      </c>
      <c r="BA1777">
        <v>6.96</v>
      </c>
    </row>
    <row r="1778" spans="1:53" hidden="1" x14ac:dyDescent="0.3">
      <c r="A1778" t="s">
        <v>545</v>
      </c>
      <c r="C1778" t="s">
        <v>251</v>
      </c>
      <c r="D1778" t="s">
        <v>81</v>
      </c>
      <c r="E1778">
        <v>10000000</v>
      </c>
      <c r="H1778">
        <v>14.25</v>
      </c>
      <c r="I1778" t="s">
        <v>56</v>
      </c>
      <c r="J1778">
        <v>1.4250000000000001E-3</v>
      </c>
      <c r="K1778" t="s">
        <v>57</v>
      </c>
      <c r="L1778" t="s">
        <v>58</v>
      </c>
      <c r="N1778" t="s">
        <v>538</v>
      </c>
      <c r="O1778">
        <v>200</v>
      </c>
      <c r="P1778" t="s">
        <v>262</v>
      </c>
      <c r="S1778">
        <v>2</v>
      </c>
      <c r="T1778">
        <v>25</v>
      </c>
      <c r="U1778" t="s">
        <v>546</v>
      </c>
      <c r="V1778">
        <v>70</v>
      </c>
      <c r="W1778" t="s">
        <v>147</v>
      </c>
      <c r="X1778" t="s">
        <v>280</v>
      </c>
      <c r="Y1778">
        <v>720</v>
      </c>
      <c r="AB1778">
        <v>2.58</v>
      </c>
      <c r="AC1778" t="s">
        <v>85</v>
      </c>
      <c r="AD1778">
        <v>0.73</v>
      </c>
      <c r="AE1778" t="s">
        <v>63</v>
      </c>
      <c r="AI1778">
        <v>5</v>
      </c>
      <c r="AJ1778" t="s">
        <v>201</v>
      </c>
      <c r="AT1778" t="s">
        <v>150</v>
      </c>
      <c r="AV1778" t="s">
        <v>88</v>
      </c>
    </row>
    <row r="1779" spans="1:53" hidden="1" x14ac:dyDescent="0.3">
      <c r="A1779" t="s">
        <v>545</v>
      </c>
      <c r="C1779" t="s">
        <v>251</v>
      </c>
      <c r="D1779" t="s">
        <v>81</v>
      </c>
      <c r="E1779">
        <v>10000000</v>
      </c>
      <c r="H1779">
        <v>14.25</v>
      </c>
      <c r="I1779" t="s">
        <v>56</v>
      </c>
      <c r="J1779">
        <v>1.4250000000000001E-3</v>
      </c>
      <c r="K1779" t="s">
        <v>57</v>
      </c>
      <c r="L1779" t="s">
        <v>58</v>
      </c>
      <c r="N1779" t="s">
        <v>538</v>
      </c>
      <c r="O1779">
        <v>200</v>
      </c>
      <c r="P1779" t="s">
        <v>262</v>
      </c>
      <c r="S1779">
        <v>2</v>
      </c>
      <c r="T1779">
        <v>25</v>
      </c>
      <c r="U1779" t="s">
        <v>546</v>
      </c>
      <c r="V1779">
        <v>70</v>
      </c>
      <c r="W1779" t="s">
        <v>468</v>
      </c>
      <c r="X1779" t="s">
        <v>280</v>
      </c>
      <c r="Y1779">
        <v>720</v>
      </c>
      <c r="AB1779">
        <v>1.86</v>
      </c>
      <c r="AC1779" t="s">
        <v>85</v>
      </c>
      <c r="AD1779">
        <v>0.45</v>
      </c>
      <c r="AE1779" t="s">
        <v>63</v>
      </c>
      <c r="AI1779">
        <v>5</v>
      </c>
      <c r="AJ1779" t="s">
        <v>201</v>
      </c>
      <c r="AT1779" t="s">
        <v>318</v>
      </c>
      <c r="AV1779" t="s">
        <v>88</v>
      </c>
    </row>
    <row r="1780" spans="1:53" hidden="1" x14ac:dyDescent="0.3">
      <c r="A1780" t="s">
        <v>545</v>
      </c>
      <c r="C1780" t="s">
        <v>251</v>
      </c>
      <c r="D1780" t="s">
        <v>81</v>
      </c>
      <c r="E1780">
        <v>10000000</v>
      </c>
      <c r="H1780">
        <v>14.25</v>
      </c>
      <c r="I1780" t="s">
        <v>56</v>
      </c>
      <c r="J1780">
        <v>1.4250000000000001E-3</v>
      </c>
      <c r="K1780" t="s">
        <v>57</v>
      </c>
      <c r="L1780" t="s">
        <v>58</v>
      </c>
      <c r="N1780" t="s">
        <v>538</v>
      </c>
      <c r="O1780">
        <v>200</v>
      </c>
      <c r="P1780" t="s">
        <v>262</v>
      </c>
      <c r="S1780">
        <v>2</v>
      </c>
      <c r="T1780">
        <v>25</v>
      </c>
      <c r="U1780" t="s">
        <v>546</v>
      </c>
      <c r="V1780">
        <v>70</v>
      </c>
      <c r="W1780" t="s">
        <v>547</v>
      </c>
      <c r="X1780" t="s">
        <v>280</v>
      </c>
      <c r="Y1780">
        <v>720</v>
      </c>
      <c r="AB1780">
        <v>2.27</v>
      </c>
      <c r="AC1780" t="s">
        <v>85</v>
      </c>
      <c r="AD1780">
        <v>0.39</v>
      </c>
      <c r="AE1780" t="s">
        <v>63</v>
      </c>
      <c r="AI1780">
        <v>5</v>
      </c>
      <c r="AJ1780" t="s">
        <v>201</v>
      </c>
      <c r="AT1780" t="s">
        <v>73</v>
      </c>
      <c r="AV1780" t="s">
        <v>88</v>
      </c>
    </row>
    <row r="1781" spans="1:53" hidden="1" x14ac:dyDescent="0.3">
      <c r="A1781" t="s">
        <v>545</v>
      </c>
      <c r="C1781" t="s">
        <v>251</v>
      </c>
      <c r="D1781" t="s">
        <v>81</v>
      </c>
      <c r="E1781">
        <v>10000000</v>
      </c>
      <c r="H1781">
        <v>14.25</v>
      </c>
      <c r="I1781" t="s">
        <v>56</v>
      </c>
      <c r="J1781">
        <v>1.4250000000000001E-3</v>
      </c>
      <c r="K1781" t="s">
        <v>57</v>
      </c>
      <c r="L1781" t="s">
        <v>58</v>
      </c>
      <c r="N1781" t="s">
        <v>538</v>
      </c>
      <c r="O1781">
        <v>200</v>
      </c>
      <c r="P1781" t="s">
        <v>262</v>
      </c>
      <c r="S1781">
        <v>2</v>
      </c>
      <c r="T1781">
        <v>25</v>
      </c>
      <c r="U1781" t="s">
        <v>546</v>
      </c>
      <c r="V1781">
        <v>70</v>
      </c>
      <c r="W1781" t="s">
        <v>422</v>
      </c>
      <c r="X1781" t="s">
        <v>280</v>
      </c>
      <c r="Y1781">
        <v>720</v>
      </c>
      <c r="AB1781">
        <v>2.2000000000000002</v>
      </c>
      <c r="AC1781" t="s">
        <v>85</v>
      </c>
      <c r="AD1781">
        <v>0.83</v>
      </c>
      <c r="AE1781" t="s">
        <v>63</v>
      </c>
      <c r="AI1781">
        <v>5</v>
      </c>
      <c r="AJ1781" t="s">
        <v>201</v>
      </c>
      <c r="AT1781" t="s">
        <v>79</v>
      </c>
      <c r="AV1781" t="s">
        <v>88</v>
      </c>
    </row>
    <row r="1782" spans="1:53" hidden="1" x14ac:dyDescent="0.3">
      <c r="A1782" t="s">
        <v>545</v>
      </c>
      <c r="C1782" t="s">
        <v>251</v>
      </c>
      <c r="D1782" t="s">
        <v>81</v>
      </c>
      <c r="E1782">
        <v>10000000</v>
      </c>
      <c r="H1782">
        <v>14.25</v>
      </c>
      <c r="I1782" t="s">
        <v>56</v>
      </c>
      <c r="J1782">
        <v>1.4250000000000001E-3</v>
      </c>
      <c r="K1782" t="s">
        <v>57</v>
      </c>
      <c r="L1782" t="s">
        <v>58</v>
      </c>
      <c r="N1782" t="s">
        <v>538</v>
      </c>
      <c r="O1782">
        <v>200</v>
      </c>
      <c r="P1782" t="s">
        <v>262</v>
      </c>
      <c r="S1782">
        <v>2</v>
      </c>
      <c r="T1782">
        <v>25</v>
      </c>
      <c r="U1782" t="s">
        <v>546</v>
      </c>
      <c r="V1782">
        <v>70</v>
      </c>
      <c r="W1782" t="s">
        <v>548</v>
      </c>
      <c r="X1782" t="s">
        <v>280</v>
      </c>
      <c r="Y1782">
        <v>720</v>
      </c>
      <c r="AB1782">
        <v>3.43</v>
      </c>
      <c r="AC1782" t="s">
        <v>85</v>
      </c>
      <c r="AD1782">
        <v>0.61</v>
      </c>
      <c r="AE1782" t="s">
        <v>63</v>
      </c>
      <c r="AI1782">
        <v>5</v>
      </c>
      <c r="AJ1782" t="s">
        <v>201</v>
      </c>
      <c r="AT1782" t="s">
        <v>75</v>
      </c>
      <c r="AV1782" t="s">
        <v>88</v>
      </c>
    </row>
    <row r="1783" spans="1:53" hidden="1" x14ac:dyDescent="0.3">
      <c r="A1783" t="s">
        <v>545</v>
      </c>
      <c r="C1783" t="s">
        <v>251</v>
      </c>
      <c r="D1783" t="s">
        <v>81</v>
      </c>
      <c r="E1783">
        <v>10000000</v>
      </c>
      <c r="H1783">
        <v>14.25</v>
      </c>
      <c r="I1783" t="s">
        <v>56</v>
      </c>
      <c r="J1783">
        <v>1.4250000000000001E-3</v>
      </c>
      <c r="K1783" t="s">
        <v>57</v>
      </c>
      <c r="L1783" t="s">
        <v>58</v>
      </c>
      <c r="N1783" t="s">
        <v>538</v>
      </c>
      <c r="O1783">
        <v>200</v>
      </c>
      <c r="P1783" t="s">
        <v>262</v>
      </c>
      <c r="S1783">
        <v>2</v>
      </c>
      <c r="T1783">
        <v>25</v>
      </c>
      <c r="U1783" t="s">
        <v>546</v>
      </c>
      <c r="V1783">
        <v>70</v>
      </c>
      <c r="W1783" t="s">
        <v>549</v>
      </c>
      <c r="X1783" t="s">
        <v>280</v>
      </c>
      <c r="Y1783">
        <v>720</v>
      </c>
      <c r="AB1783">
        <v>2.11</v>
      </c>
      <c r="AC1783" t="s">
        <v>85</v>
      </c>
      <c r="AD1783">
        <v>1.19</v>
      </c>
      <c r="AE1783" t="s">
        <v>63</v>
      </c>
      <c r="AI1783">
        <v>5</v>
      </c>
      <c r="AJ1783" t="s">
        <v>201</v>
      </c>
      <c r="AT1783" t="s">
        <v>77</v>
      </c>
      <c r="AV1783" t="s">
        <v>88</v>
      </c>
    </row>
    <row r="1784" spans="1:53" hidden="1" x14ac:dyDescent="0.3">
      <c r="A1784" t="s">
        <v>545</v>
      </c>
      <c r="C1784" t="s">
        <v>251</v>
      </c>
      <c r="D1784" t="s">
        <v>81</v>
      </c>
      <c r="E1784">
        <v>10000000</v>
      </c>
      <c r="H1784">
        <v>14.25</v>
      </c>
      <c r="I1784" t="s">
        <v>56</v>
      </c>
      <c r="J1784">
        <v>1.4250000000000001E-3</v>
      </c>
      <c r="K1784" t="s">
        <v>57</v>
      </c>
      <c r="L1784" t="s">
        <v>58</v>
      </c>
      <c r="N1784" t="s">
        <v>538</v>
      </c>
      <c r="O1784">
        <v>100</v>
      </c>
      <c r="P1784" t="s">
        <v>262</v>
      </c>
      <c r="S1784">
        <v>2</v>
      </c>
      <c r="T1784">
        <v>25</v>
      </c>
      <c r="U1784" t="s">
        <v>546</v>
      </c>
      <c r="V1784">
        <v>70</v>
      </c>
      <c r="W1784" t="s">
        <v>147</v>
      </c>
      <c r="X1784" t="s">
        <v>280</v>
      </c>
      <c r="Y1784">
        <v>2880</v>
      </c>
      <c r="AB1784">
        <v>7.27</v>
      </c>
      <c r="AC1784" t="s">
        <v>85</v>
      </c>
      <c r="AD1784">
        <v>0.79</v>
      </c>
      <c r="AE1784" t="s">
        <v>63</v>
      </c>
      <c r="AI1784">
        <v>5</v>
      </c>
      <c r="AJ1784" t="s">
        <v>201</v>
      </c>
      <c r="AT1784" t="s">
        <v>150</v>
      </c>
      <c r="AV1784" t="s">
        <v>88</v>
      </c>
    </row>
    <row r="1785" spans="1:53" hidden="1" x14ac:dyDescent="0.3">
      <c r="A1785" t="s">
        <v>545</v>
      </c>
      <c r="C1785" t="s">
        <v>251</v>
      </c>
      <c r="D1785" t="s">
        <v>81</v>
      </c>
      <c r="E1785">
        <v>10000000</v>
      </c>
      <c r="H1785">
        <v>14.25</v>
      </c>
      <c r="I1785" t="s">
        <v>56</v>
      </c>
      <c r="J1785">
        <v>1.4250000000000001E-3</v>
      </c>
      <c r="K1785" t="s">
        <v>57</v>
      </c>
      <c r="L1785" t="s">
        <v>58</v>
      </c>
      <c r="N1785" t="s">
        <v>538</v>
      </c>
      <c r="O1785">
        <v>100</v>
      </c>
      <c r="P1785" t="s">
        <v>262</v>
      </c>
      <c r="S1785">
        <v>2</v>
      </c>
      <c r="T1785">
        <v>25</v>
      </c>
      <c r="U1785" t="s">
        <v>546</v>
      </c>
      <c r="V1785">
        <v>70</v>
      </c>
      <c r="W1785" t="s">
        <v>468</v>
      </c>
      <c r="X1785" t="s">
        <v>280</v>
      </c>
      <c r="Y1785">
        <v>2880</v>
      </c>
      <c r="AA1785" t="s">
        <v>94</v>
      </c>
      <c r="AB1785">
        <v>6.92</v>
      </c>
      <c r="AC1785" t="s">
        <v>85</v>
      </c>
      <c r="AD1785">
        <v>0.11</v>
      </c>
      <c r="AE1785" t="s">
        <v>63</v>
      </c>
      <c r="AI1785">
        <v>5</v>
      </c>
      <c r="AJ1785" t="s">
        <v>201</v>
      </c>
      <c r="AT1785" t="s">
        <v>318</v>
      </c>
      <c r="AV1785" t="s">
        <v>88</v>
      </c>
      <c r="AZ1785">
        <v>0</v>
      </c>
      <c r="BA1785">
        <v>6.92</v>
      </c>
    </row>
    <row r="1786" spans="1:53" hidden="1" x14ac:dyDescent="0.3">
      <c r="A1786" t="s">
        <v>545</v>
      </c>
      <c r="C1786" t="s">
        <v>251</v>
      </c>
      <c r="D1786" t="s">
        <v>81</v>
      </c>
      <c r="E1786">
        <v>10000000</v>
      </c>
      <c r="H1786">
        <v>14.25</v>
      </c>
      <c r="I1786" t="s">
        <v>56</v>
      </c>
      <c r="J1786">
        <v>1.4250000000000001E-3</v>
      </c>
      <c r="K1786" t="s">
        <v>57</v>
      </c>
      <c r="L1786" t="s">
        <v>58</v>
      </c>
      <c r="N1786" t="s">
        <v>538</v>
      </c>
      <c r="O1786">
        <v>100</v>
      </c>
      <c r="P1786" t="s">
        <v>262</v>
      </c>
      <c r="S1786">
        <v>2</v>
      </c>
      <c r="T1786">
        <v>25</v>
      </c>
      <c r="U1786" t="s">
        <v>546</v>
      </c>
      <c r="V1786">
        <v>70</v>
      </c>
      <c r="W1786" t="s">
        <v>547</v>
      </c>
      <c r="X1786" t="s">
        <v>280</v>
      </c>
      <c r="Y1786">
        <v>2880</v>
      </c>
      <c r="AA1786" t="s">
        <v>94</v>
      </c>
      <c r="AB1786">
        <v>8</v>
      </c>
      <c r="AC1786" t="s">
        <v>85</v>
      </c>
      <c r="AD1786">
        <v>0.05</v>
      </c>
      <c r="AE1786" t="s">
        <v>63</v>
      </c>
      <c r="AI1786">
        <v>5</v>
      </c>
      <c r="AJ1786" t="s">
        <v>201</v>
      </c>
      <c r="AT1786" t="s">
        <v>73</v>
      </c>
      <c r="AV1786" t="s">
        <v>88</v>
      </c>
      <c r="AZ1786">
        <v>0</v>
      </c>
      <c r="BA1786">
        <v>8</v>
      </c>
    </row>
    <row r="1787" spans="1:53" hidden="1" x14ac:dyDescent="0.3">
      <c r="A1787" t="s">
        <v>545</v>
      </c>
      <c r="C1787" t="s">
        <v>251</v>
      </c>
      <c r="D1787" t="s">
        <v>81</v>
      </c>
      <c r="E1787">
        <v>10000000</v>
      </c>
      <c r="H1787">
        <v>14.25</v>
      </c>
      <c r="I1787" t="s">
        <v>56</v>
      </c>
      <c r="J1787">
        <v>1.4250000000000001E-3</v>
      </c>
      <c r="K1787" t="s">
        <v>57</v>
      </c>
      <c r="L1787" t="s">
        <v>58</v>
      </c>
      <c r="N1787" t="s">
        <v>538</v>
      </c>
      <c r="O1787">
        <v>100</v>
      </c>
      <c r="P1787" t="s">
        <v>262</v>
      </c>
      <c r="S1787">
        <v>2</v>
      </c>
      <c r="T1787">
        <v>25</v>
      </c>
      <c r="U1787" t="s">
        <v>546</v>
      </c>
      <c r="V1787">
        <v>70</v>
      </c>
      <c r="W1787" t="s">
        <v>422</v>
      </c>
      <c r="X1787" t="s">
        <v>280</v>
      </c>
      <c r="Y1787">
        <v>2880</v>
      </c>
      <c r="AA1787" t="s">
        <v>94</v>
      </c>
      <c r="AB1787">
        <v>7.73</v>
      </c>
      <c r="AC1787" t="s">
        <v>85</v>
      </c>
      <c r="AD1787">
        <v>0.08</v>
      </c>
      <c r="AE1787" t="s">
        <v>63</v>
      </c>
      <c r="AI1787">
        <v>5</v>
      </c>
      <c r="AJ1787" t="s">
        <v>201</v>
      </c>
      <c r="AT1787" t="s">
        <v>79</v>
      </c>
      <c r="AV1787" t="s">
        <v>88</v>
      </c>
      <c r="AZ1787">
        <v>0</v>
      </c>
      <c r="BA1787">
        <v>7.73</v>
      </c>
    </row>
    <row r="1788" spans="1:53" hidden="1" x14ac:dyDescent="0.3">
      <c r="A1788" t="s">
        <v>545</v>
      </c>
      <c r="C1788" t="s">
        <v>251</v>
      </c>
      <c r="D1788" t="s">
        <v>81</v>
      </c>
      <c r="E1788">
        <v>10000000</v>
      </c>
      <c r="H1788">
        <v>14.25</v>
      </c>
      <c r="I1788" t="s">
        <v>56</v>
      </c>
      <c r="J1788">
        <v>1.4250000000000001E-3</v>
      </c>
      <c r="K1788" t="s">
        <v>57</v>
      </c>
      <c r="L1788" t="s">
        <v>58</v>
      </c>
      <c r="N1788" t="s">
        <v>538</v>
      </c>
      <c r="O1788">
        <v>100</v>
      </c>
      <c r="P1788" t="s">
        <v>262</v>
      </c>
      <c r="S1788">
        <v>2</v>
      </c>
      <c r="T1788">
        <v>25</v>
      </c>
      <c r="U1788" t="s">
        <v>546</v>
      </c>
      <c r="V1788">
        <v>70</v>
      </c>
      <c r="W1788" t="s">
        <v>548</v>
      </c>
      <c r="X1788" t="s">
        <v>280</v>
      </c>
      <c r="Y1788">
        <v>2880</v>
      </c>
      <c r="AA1788" t="s">
        <v>94</v>
      </c>
      <c r="AB1788">
        <v>6.73</v>
      </c>
      <c r="AC1788" t="s">
        <v>85</v>
      </c>
      <c r="AD1788">
        <v>0.1</v>
      </c>
      <c r="AE1788" t="s">
        <v>63</v>
      </c>
      <c r="AI1788">
        <v>5</v>
      </c>
      <c r="AJ1788" t="s">
        <v>201</v>
      </c>
      <c r="AT1788" t="s">
        <v>75</v>
      </c>
      <c r="AV1788" t="s">
        <v>88</v>
      </c>
      <c r="AZ1788">
        <v>0</v>
      </c>
      <c r="BA1788">
        <v>6.73</v>
      </c>
    </row>
    <row r="1789" spans="1:53" hidden="1" x14ac:dyDescent="0.3">
      <c r="A1789" t="s">
        <v>545</v>
      </c>
      <c r="C1789" t="s">
        <v>251</v>
      </c>
      <c r="D1789" t="s">
        <v>81</v>
      </c>
      <c r="E1789">
        <v>10000000</v>
      </c>
      <c r="H1789">
        <v>14.25</v>
      </c>
      <c r="I1789" t="s">
        <v>56</v>
      </c>
      <c r="J1789">
        <v>1.4250000000000001E-3</v>
      </c>
      <c r="K1789" t="s">
        <v>57</v>
      </c>
      <c r="L1789" t="s">
        <v>58</v>
      </c>
      <c r="N1789" t="s">
        <v>538</v>
      </c>
      <c r="O1789">
        <v>100</v>
      </c>
      <c r="P1789" t="s">
        <v>262</v>
      </c>
      <c r="S1789">
        <v>2</v>
      </c>
      <c r="T1789">
        <v>25</v>
      </c>
      <c r="U1789" t="s">
        <v>546</v>
      </c>
      <c r="V1789">
        <v>70</v>
      </c>
      <c r="W1789" t="s">
        <v>549</v>
      </c>
      <c r="X1789" t="s">
        <v>280</v>
      </c>
      <c r="Y1789">
        <v>2880</v>
      </c>
      <c r="AA1789" t="s">
        <v>94</v>
      </c>
      <c r="AB1789">
        <v>7.37</v>
      </c>
      <c r="AC1789" t="s">
        <v>85</v>
      </c>
      <c r="AD1789">
        <v>0.26</v>
      </c>
      <c r="AE1789" t="s">
        <v>63</v>
      </c>
      <c r="AI1789">
        <v>5</v>
      </c>
      <c r="AJ1789" t="s">
        <v>201</v>
      </c>
      <c r="AT1789" t="s">
        <v>77</v>
      </c>
      <c r="AV1789" t="s">
        <v>88</v>
      </c>
      <c r="AZ1789">
        <v>0</v>
      </c>
      <c r="BA1789">
        <v>7.37</v>
      </c>
    </row>
    <row r="1790" spans="1:53" hidden="1" x14ac:dyDescent="0.3">
      <c r="A1790" t="s">
        <v>545</v>
      </c>
      <c r="C1790" t="s">
        <v>251</v>
      </c>
      <c r="D1790" t="s">
        <v>81</v>
      </c>
      <c r="E1790">
        <v>10000000</v>
      </c>
      <c r="H1790">
        <v>14.25</v>
      </c>
      <c r="I1790" t="s">
        <v>56</v>
      </c>
      <c r="J1790">
        <v>1.4250000000000001E-3</v>
      </c>
      <c r="K1790" t="s">
        <v>57</v>
      </c>
      <c r="L1790" t="s">
        <v>58</v>
      </c>
      <c r="N1790" t="s">
        <v>538</v>
      </c>
      <c r="O1790">
        <v>300</v>
      </c>
      <c r="P1790" t="s">
        <v>262</v>
      </c>
      <c r="S1790">
        <v>2</v>
      </c>
      <c r="T1790">
        <v>37</v>
      </c>
      <c r="U1790" t="s">
        <v>546</v>
      </c>
      <c r="V1790">
        <v>70</v>
      </c>
      <c r="W1790" t="s">
        <v>147</v>
      </c>
      <c r="X1790" t="s">
        <v>280</v>
      </c>
      <c r="Y1790">
        <v>1440</v>
      </c>
      <c r="AB1790">
        <v>2.64</v>
      </c>
      <c r="AC1790" t="s">
        <v>85</v>
      </c>
      <c r="AD1790">
        <v>0.22</v>
      </c>
      <c r="AE1790" t="s">
        <v>63</v>
      </c>
      <c r="AI1790">
        <v>5</v>
      </c>
      <c r="AJ1790" t="s">
        <v>201</v>
      </c>
      <c r="AT1790" t="s">
        <v>150</v>
      </c>
      <c r="AV1790" t="s">
        <v>88</v>
      </c>
    </row>
    <row r="1791" spans="1:53" hidden="1" x14ac:dyDescent="0.3">
      <c r="A1791" t="s">
        <v>545</v>
      </c>
      <c r="C1791" t="s">
        <v>251</v>
      </c>
      <c r="D1791" t="s">
        <v>81</v>
      </c>
      <c r="E1791">
        <v>10000000</v>
      </c>
      <c r="H1791">
        <v>14.25</v>
      </c>
      <c r="I1791" t="s">
        <v>56</v>
      </c>
      <c r="J1791">
        <v>1.4250000000000001E-3</v>
      </c>
      <c r="K1791" t="s">
        <v>57</v>
      </c>
      <c r="L1791" t="s">
        <v>58</v>
      </c>
      <c r="N1791" t="s">
        <v>538</v>
      </c>
      <c r="O1791">
        <v>300</v>
      </c>
      <c r="P1791" t="s">
        <v>262</v>
      </c>
      <c r="S1791">
        <v>2</v>
      </c>
      <c r="T1791">
        <v>37</v>
      </c>
      <c r="U1791" t="s">
        <v>546</v>
      </c>
      <c r="V1791">
        <v>70</v>
      </c>
      <c r="W1791" t="s">
        <v>468</v>
      </c>
      <c r="X1791" t="s">
        <v>280</v>
      </c>
      <c r="Y1791">
        <v>1440</v>
      </c>
      <c r="AB1791">
        <v>5.73</v>
      </c>
      <c r="AC1791" t="s">
        <v>85</v>
      </c>
      <c r="AD1791">
        <v>1.1000000000000001</v>
      </c>
      <c r="AE1791" t="s">
        <v>63</v>
      </c>
      <c r="AI1791">
        <v>5</v>
      </c>
      <c r="AJ1791" t="s">
        <v>201</v>
      </c>
      <c r="AT1791" t="s">
        <v>318</v>
      </c>
      <c r="AV1791" t="s">
        <v>88</v>
      </c>
    </row>
    <row r="1792" spans="1:53" hidden="1" x14ac:dyDescent="0.3">
      <c r="A1792" t="s">
        <v>545</v>
      </c>
      <c r="C1792" t="s">
        <v>251</v>
      </c>
      <c r="D1792" t="s">
        <v>81</v>
      </c>
      <c r="E1792">
        <v>10000000</v>
      </c>
      <c r="H1792">
        <v>14.25</v>
      </c>
      <c r="I1792" t="s">
        <v>56</v>
      </c>
      <c r="J1792">
        <v>1.4250000000000001E-3</v>
      </c>
      <c r="K1792" t="s">
        <v>57</v>
      </c>
      <c r="L1792" t="s">
        <v>58</v>
      </c>
      <c r="N1792" t="s">
        <v>538</v>
      </c>
      <c r="O1792">
        <v>300</v>
      </c>
      <c r="P1792" t="s">
        <v>262</v>
      </c>
      <c r="S1792">
        <v>2</v>
      </c>
      <c r="T1792">
        <v>37</v>
      </c>
      <c r="U1792" t="s">
        <v>546</v>
      </c>
      <c r="V1792">
        <v>70</v>
      </c>
      <c r="W1792" t="s">
        <v>547</v>
      </c>
      <c r="X1792" t="s">
        <v>280</v>
      </c>
      <c r="Y1792">
        <v>1440</v>
      </c>
      <c r="AB1792">
        <v>3.07</v>
      </c>
      <c r="AC1792" t="s">
        <v>85</v>
      </c>
      <c r="AD1792">
        <v>0.11</v>
      </c>
      <c r="AE1792" t="s">
        <v>63</v>
      </c>
      <c r="AI1792">
        <v>5</v>
      </c>
      <c r="AJ1792" t="s">
        <v>201</v>
      </c>
      <c r="AT1792" t="s">
        <v>73</v>
      </c>
      <c r="AV1792" t="s">
        <v>88</v>
      </c>
    </row>
    <row r="1793" spans="1:53" hidden="1" x14ac:dyDescent="0.3">
      <c r="A1793" t="s">
        <v>545</v>
      </c>
      <c r="C1793" t="s">
        <v>251</v>
      </c>
      <c r="D1793" t="s">
        <v>81</v>
      </c>
      <c r="E1793">
        <v>10000000</v>
      </c>
      <c r="H1793">
        <v>14.25</v>
      </c>
      <c r="I1793" t="s">
        <v>56</v>
      </c>
      <c r="J1793">
        <v>1.4250000000000001E-3</v>
      </c>
      <c r="K1793" t="s">
        <v>57</v>
      </c>
      <c r="L1793" t="s">
        <v>58</v>
      </c>
      <c r="N1793" t="s">
        <v>538</v>
      </c>
      <c r="O1793">
        <v>300</v>
      </c>
      <c r="P1793" t="s">
        <v>262</v>
      </c>
      <c r="S1793">
        <v>2</v>
      </c>
      <c r="T1793">
        <v>37</v>
      </c>
      <c r="U1793" t="s">
        <v>546</v>
      </c>
      <c r="V1793">
        <v>70</v>
      </c>
      <c r="W1793" t="s">
        <v>422</v>
      </c>
      <c r="X1793" t="s">
        <v>280</v>
      </c>
      <c r="Y1793">
        <v>1440</v>
      </c>
      <c r="AB1793">
        <v>4.16</v>
      </c>
      <c r="AC1793" t="s">
        <v>85</v>
      </c>
      <c r="AD1793">
        <v>0.44</v>
      </c>
      <c r="AE1793" t="s">
        <v>63</v>
      </c>
      <c r="AI1793">
        <v>5</v>
      </c>
      <c r="AJ1793" t="s">
        <v>201</v>
      </c>
      <c r="AT1793" t="s">
        <v>79</v>
      </c>
      <c r="AV1793" t="s">
        <v>88</v>
      </c>
    </row>
    <row r="1794" spans="1:53" hidden="1" x14ac:dyDescent="0.3">
      <c r="A1794" t="s">
        <v>545</v>
      </c>
      <c r="C1794" t="s">
        <v>251</v>
      </c>
      <c r="D1794" t="s">
        <v>81</v>
      </c>
      <c r="E1794">
        <v>10000000</v>
      </c>
      <c r="H1794">
        <v>14.25</v>
      </c>
      <c r="I1794" t="s">
        <v>56</v>
      </c>
      <c r="J1794">
        <v>1.4250000000000001E-3</v>
      </c>
      <c r="K1794" t="s">
        <v>57</v>
      </c>
      <c r="L1794" t="s">
        <v>58</v>
      </c>
      <c r="N1794" t="s">
        <v>538</v>
      </c>
      <c r="O1794">
        <v>300</v>
      </c>
      <c r="P1794" t="s">
        <v>262</v>
      </c>
      <c r="S1794">
        <v>2</v>
      </c>
      <c r="T1794">
        <v>37</v>
      </c>
      <c r="U1794" t="s">
        <v>546</v>
      </c>
      <c r="V1794">
        <v>70</v>
      </c>
      <c r="W1794" t="s">
        <v>548</v>
      </c>
      <c r="X1794" t="s">
        <v>280</v>
      </c>
      <c r="Y1794">
        <v>1440</v>
      </c>
      <c r="AB1794">
        <v>5.44</v>
      </c>
      <c r="AC1794" t="s">
        <v>85</v>
      </c>
      <c r="AD1794">
        <v>0.91</v>
      </c>
      <c r="AE1794" t="s">
        <v>63</v>
      </c>
      <c r="AI1794">
        <v>5</v>
      </c>
      <c r="AJ1794" t="s">
        <v>201</v>
      </c>
      <c r="AT1794" t="s">
        <v>75</v>
      </c>
      <c r="AV1794" t="s">
        <v>88</v>
      </c>
    </row>
    <row r="1795" spans="1:53" hidden="1" x14ac:dyDescent="0.3">
      <c r="A1795" t="s">
        <v>545</v>
      </c>
      <c r="C1795" t="s">
        <v>251</v>
      </c>
      <c r="D1795" t="s">
        <v>81</v>
      </c>
      <c r="E1795">
        <v>10000000</v>
      </c>
      <c r="H1795">
        <v>14.25</v>
      </c>
      <c r="I1795" t="s">
        <v>56</v>
      </c>
      <c r="J1795">
        <v>1.4250000000000001E-3</v>
      </c>
      <c r="K1795" t="s">
        <v>57</v>
      </c>
      <c r="L1795" t="s">
        <v>58</v>
      </c>
      <c r="N1795" t="s">
        <v>538</v>
      </c>
      <c r="O1795">
        <v>300</v>
      </c>
      <c r="P1795" t="s">
        <v>262</v>
      </c>
      <c r="S1795">
        <v>2</v>
      </c>
      <c r="T1795">
        <v>37</v>
      </c>
      <c r="U1795" t="s">
        <v>546</v>
      </c>
      <c r="V1795">
        <v>70</v>
      </c>
      <c r="W1795" t="s">
        <v>549</v>
      </c>
      <c r="X1795" t="s">
        <v>280</v>
      </c>
      <c r="Y1795">
        <v>1440</v>
      </c>
      <c r="AA1795" t="s">
        <v>94</v>
      </c>
      <c r="AB1795">
        <v>6.1</v>
      </c>
      <c r="AC1795" t="s">
        <v>85</v>
      </c>
      <c r="AD1795">
        <v>0.06</v>
      </c>
      <c r="AE1795" t="s">
        <v>63</v>
      </c>
      <c r="AI1795">
        <v>5</v>
      </c>
      <c r="AJ1795" t="s">
        <v>201</v>
      </c>
      <c r="AT1795" t="s">
        <v>77</v>
      </c>
      <c r="AV1795" t="s">
        <v>88</v>
      </c>
      <c r="AZ1795">
        <v>0</v>
      </c>
      <c r="BA1795">
        <v>6.1</v>
      </c>
    </row>
    <row r="1796" spans="1:53" hidden="1" x14ac:dyDescent="0.3">
      <c r="A1796" t="s">
        <v>545</v>
      </c>
      <c r="C1796" t="s">
        <v>251</v>
      </c>
      <c r="D1796" t="s">
        <v>81</v>
      </c>
      <c r="E1796">
        <v>10000000</v>
      </c>
      <c r="H1796">
        <v>14.25</v>
      </c>
      <c r="I1796" t="s">
        <v>56</v>
      </c>
      <c r="J1796">
        <v>1.4250000000000001E-3</v>
      </c>
      <c r="K1796" t="s">
        <v>57</v>
      </c>
      <c r="L1796" t="s">
        <v>58</v>
      </c>
      <c r="N1796" t="s">
        <v>538</v>
      </c>
      <c r="O1796">
        <v>300</v>
      </c>
      <c r="P1796" t="s">
        <v>262</v>
      </c>
      <c r="S1796">
        <v>2</v>
      </c>
      <c r="T1796">
        <v>37</v>
      </c>
      <c r="U1796" t="s">
        <v>546</v>
      </c>
      <c r="V1796">
        <v>70</v>
      </c>
      <c r="W1796" t="s">
        <v>147</v>
      </c>
      <c r="X1796" t="s">
        <v>280</v>
      </c>
      <c r="Y1796">
        <v>720</v>
      </c>
      <c r="AB1796">
        <v>0.84</v>
      </c>
      <c r="AC1796" t="s">
        <v>85</v>
      </c>
      <c r="AD1796">
        <v>0.13</v>
      </c>
      <c r="AE1796" t="s">
        <v>63</v>
      </c>
      <c r="AI1796">
        <v>5</v>
      </c>
      <c r="AJ1796" t="s">
        <v>201</v>
      </c>
      <c r="AT1796" t="s">
        <v>150</v>
      </c>
      <c r="AV1796" t="s">
        <v>88</v>
      </c>
    </row>
    <row r="1797" spans="1:53" hidden="1" x14ac:dyDescent="0.3">
      <c r="A1797" t="s">
        <v>545</v>
      </c>
      <c r="C1797" t="s">
        <v>251</v>
      </c>
      <c r="D1797" t="s">
        <v>81</v>
      </c>
      <c r="E1797">
        <v>10000000</v>
      </c>
      <c r="H1797">
        <v>14.25</v>
      </c>
      <c r="I1797" t="s">
        <v>56</v>
      </c>
      <c r="J1797">
        <v>1.4250000000000001E-3</v>
      </c>
      <c r="K1797" t="s">
        <v>57</v>
      </c>
      <c r="L1797" t="s">
        <v>58</v>
      </c>
      <c r="N1797" t="s">
        <v>538</v>
      </c>
      <c r="O1797">
        <v>300</v>
      </c>
      <c r="P1797" t="s">
        <v>262</v>
      </c>
      <c r="S1797">
        <v>2</v>
      </c>
      <c r="T1797">
        <v>37</v>
      </c>
      <c r="U1797" t="s">
        <v>546</v>
      </c>
      <c r="V1797">
        <v>70</v>
      </c>
      <c r="W1797" t="s">
        <v>468</v>
      </c>
      <c r="X1797" t="s">
        <v>280</v>
      </c>
      <c r="Y1797">
        <v>720</v>
      </c>
      <c r="AB1797">
        <v>0.22</v>
      </c>
      <c r="AC1797" t="s">
        <v>85</v>
      </c>
      <c r="AD1797">
        <v>0.38</v>
      </c>
      <c r="AE1797" t="s">
        <v>63</v>
      </c>
      <c r="AI1797">
        <v>5</v>
      </c>
      <c r="AJ1797" t="s">
        <v>201</v>
      </c>
      <c r="AT1797" t="s">
        <v>318</v>
      </c>
      <c r="AV1797" t="s">
        <v>88</v>
      </c>
    </row>
    <row r="1798" spans="1:53" hidden="1" x14ac:dyDescent="0.3">
      <c r="A1798" t="s">
        <v>545</v>
      </c>
      <c r="C1798" t="s">
        <v>251</v>
      </c>
      <c r="D1798" t="s">
        <v>81</v>
      </c>
      <c r="E1798">
        <v>10000000</v>
      </c>
      <c r="H1798">
        <v>14.25</v>
      </c>
      <c r="I1798" t="s">
        <v>56</v>
      </c>
      <c r="J1798">
        <v>1.4250000000000001E-3</v>
      </c>
      <c r="K1798" t="s">
        <v>57</v>
      </c>
      <c r="L1798" t="s">
        <v>58</v>
      </c>
      <c r="N1798" t="s">
        <v>538</v>
      </c>
      <c r="O1798">
        <v>300</v>
      </c>
      <c r="P1798" t="s">
        <v>262</v>
      </c>
      <c r="S1798">
        <v>2</v>
      </c>
      <c r="T1798">
        <v>37</v>
      </c>
      <c r="U1798" t="s">
        <v>546</v>
      </c>
      <c r="V1798">
        <v>70</v>
      </c>
      <c r="W1798" t="s">
        <v>547</v>
      </c>
      <c r="X1798" t="s">
        <v>280</v>
      </c>
      <c r="Y1798">
        <v>720</v>
      </c>
      <c r="AB1798">
        <v>1</v>
      </c>
      <c r="AC1798" t="s">
        <v>85</v>
      </c>
      <c r="AD1798">
        <v>0.4</v>
      </c>
      <c r="AE1798" t="s">
        <v>63</v>
      </c>
      <c r="AI1798">
        <v>5</v>
      </c>
      <c r="AJ1798" t="s">
        <v>201</v>
      </c>
      <c r="AT1798" t="s">
        <v>73</v>
      </c>
      <c r="AV1798" t="s">
        <v>88</v>
      </c>
    </row>
    <row r="1799" spans="1:53" hidden="1" x14ac:dyDescent="0.3">
      <c r="A1799" t="s">
        <v>545</v>
      </c>
      <c r="C1799" t="s">
        <v>251</v>
      </c>
      <c r="D1799" t="s">
        <v>81</v>
      </c>
      <c r="E1799">
        <v>10000000</v>
      </c>
      <c r="H1799">
        <v>14.25</v>
      </c>
      <c r="I1799" t="s">
        <v>56</v>
      </c>
      <c r="J1799">
        <v>1.4250000000000001E-3</v>
      </c>
      <c r="K1799" t="s">
        <v>57</v>
      </c>
      <c r="L1799" t="s">
        <v>58</v>
      </c>
      <c r="N1799" t="s">
        <v>538</v>
      </c>
      <c r="O1799">
        <v>300</v>
      </c>
      <c r="P1799" t="s">
        <v>262</v>
      </c>
      <c r="S1799">
        <v>2</v>
      </c>
      <c r="T1799">
        <v>37</v>
      </c>
      <c r="U1799" t="s">
        <v>546</v>
      </c>
      <c r="V1799">
        <v>70</v>
      </c>
      <c r="W1799" t="s">
        <v>422</v>
      </c>
      <c r="X1799" t="s">
        <v>280</v>
      </c>
      <c r="Y1799">
        <v>720</v>
      </c>
      <c r="AB1799">
        <v>1</v>
      </c>
      <c r="AC1799" t="s">
        <v>85</v>
      </c>
      <c r="AD1799">
        <v>0.16</v>
      </c>
      <c r="AE1799" t="s">
        <v>63</v>
      </c>
      <c r="AI1799">
        <v>5</v>
      </c>
      <c r="AJ1799" t="s">
        <v>201</v>
      </c>
      <c r="AT1799" t="s">
        <v>79</v>
      </c>
      <c r="AV1799" t="s">
        <v>88</v>
      </c>
    </row>
    <row r="1800" spans="1:53" hidden="1" x14ac:dyDescent="0.3">
      <c r="A1800" t="s">
        <v>545</v>
      </c>
      <c r="C1800" t="s">
        <v>251</v>
      </c>
      <c r="D1800" t="s">
        <v>81</v>
      </c>
      <c r="E1800">
        <v>10000000</v>
      </c>
      <c r="H1800">
        <v>14.25</v>
      </c>
      <c r="I1800" t="s">
        <v>56</v>
      </c>
      <c r="J1800">
        <v>1.4250000000000001E-3</v>
      </c>
      <c r="K1800" t="s">
        <v>57</v>
      </c>
      <c r="L1800" t="s">
        <v>58</v>
      </c>
      <c r="N1800" t="s">
        <v>538</v>
      </c>
      <c r="O1800">
        <v>300</v>
      </c>
      <c r="P1800" t="s">
        <v>262</v>
      </c>
      <c r="S1800">
        <v>2</v>
      </c>
      <c r="T1800">
        <v>37</v>
      </c>
      <c r="U1800" t="s">
        <v>546</v>
      </c>
      <c r="V1800">
        <v>70</v>
      </c>
      <c r="W1800" t="s">
        <v>548</v>
      </c>
      <c r="X1800" t="s">
        <v>280</v>
      </c>
      <c r="Y1800">
        <v>720</v>
      </c>
      <c r="AB1800">
        <v>2.11</v>
      </c>
      <c r="AC1800" t="s">
        <v>85</v>
      </c>
      <c r="AD1800">
        <v>0.35</v>
      </c>
      <c r="AE1800" t="s">
        <v>63</v>
      </c>
      <c r="AI1800">
        <v>5</v>
      </c>
      <c r="AJ1800" t="s">
        <v>201</v>
      </c>
      <c r="AT1800" t="s">
        <v>75</v>
      </c>
      <c r="AV1800" t="s">
        <v>88</v>
      </c>
    </row>
    <row r="1801" spans="1:53" hidden="1" x14ac:dyDescent="0.3">
      <c r="A1801" t="s">
        <v>545</v>
      </c>
      <c r="C1801" t="s">
        <v>251</v>
      </c>
      <c r="D1801" t="s">
        <v>81</v>
      </c>
      <c r="E1801">
        <v>10000000</v>
      </c>
      <c r="H1801">
        <v>14.25</v>
      </c>
      <c r="I1801" t="s">
        <v>56</v>
      </c>
      <c r="J1801">
        <v>1.4250000000000001E-3</v>
      </c>
      <c r="K1801" t="s">
        <v>57</v>
      </c>
      <c r="L1801" t="s">
        <v>58</v>
      </c>
      <c r="N1801" t="s">
        <v>538</v>
      </c>
      <c r="O1801">
        <v>300</v>
      </c>
      <c r="P1801" t="s">
        <v>262</v>
      </c>
      <c r="S1801">
        <v>2</v>
      </c>
      <c r="T1801">
        <v>37</v>
      </c>
      <c r="U1801" t="s">
        <v>546</v>
      </c>
      <c r="V1801">
        <v>70</v>
      </c>
      <c r="W1801" t="s">
        <v>549</v>
      </c>
      <c r="X1801" t="s">
        <v>280</v>
      </c>
      <c r="Y1801">
        <v>720</v>
      </c>
      <c r="AB1801">
        <v>0.49</v>
      </c>
      <c r="AC1801" t="s">
        <v>85</v>
      </c>
      <c r="AD1801">
        <v>0.3</v>
      </c>
      <c r="AE1801" t="s">
        <v>63</v>
      </c>
      <c r="AI1801">
        <v>5</v>
      </c>
      <c r="AJ1801" t="s">
        <v>201</v>
      </c>
      <c r="AT1801" t="s">
        <v>77</v>
      </c>
      <c r="AV1801" t="s">
        <v>88</v>
      </c>
    </row>
    <row r="1802" spans="1:53" hidden="1" x14ac:dyDescent="0.3">
      <c r="A1802" t="s">
        <v>545</v>
      </c>
      <c r="C1802" t="s">
        <v>251</v>
      </c>
      <c r="D1802" t="s">
        <v>81</v>
      </c>
      <c r="E1802">
        <v>10000000</v>
      </c>
      <c r="H1802">
        <v>14.25</v>
      </c>
      <c r="I1802" t="s">
        <v>56</v>
      </c>
      <c r="J1802">
        <v>1.4250000000000001E-3</v>
      </c>
      <c r="K1802" t="s">
        <v>57</v>
      </c>
      <c r="L1802" t="s">
        <v>58</v>
      </c>
      <c r="N1802" t="s">
        <v>538</v>
      </c>
      <c r="O1802">
        <v>400</v>
      </c>
      <c r="P1802" t="s">
        <v>262</v>
      </c>
      <c r="S1802">
        <v>2</v>
      </c>
      <c r="T1802">
        <v>37</v>
      </c>
      <c r="U1802" t="s">
        <v>546</v>
      </c>
      <c r="V1802">
        <v>70</v>
      </c>
      <c r="W1802" t="s">
        <v>147</v>
      </c>
      <c r="X1802" t="s">
        <v>280</v>
      </c>
      <c r="Y1802">
        <v>1440</v>
      </c>
      <c r="AB1802">
        <v>4.01</v>
      </c>
      <c r="AC1802" t="s">
        <v>85</v>
      </c>
      <c r="AD1802">
        <v>0.32</v>
      </c>
      <c r="AE1802" t="s">
        <v>63</v>
      </c>
      <c r="AI1802">
        <v>5</v>
      </c>
      <c r="AJ1802" t="s">
        <v>201</v>
      </c>
      <c r="AT1802" t="s">
        <v>150</v>
      </c>
      <c r="AV1802" t="s">
        <v>88</v>
      </c>
    </row>
    <row r="1803" spans="1:53" hidden="1" x14ac:dyDescent="0.3">
      <c r="A1803" t="s">
        <v>545</v>
      </c>
      <c r="C1803" t="s">
        <v>251</v>
      </c>
      <c r="D1803" t="s">
        <v>81</v>
      </c>
      <c r="E1803">
        <v>10000000</v>
      </c>
      <c r="H1803">
        <v>14.25</v>
      </c>
      <c r="I1803" t="s">
        <v>56</v>
      </c>
      <c r="J1803">
        <v>1.4250000000000001E-3</v>
      </c>
      <c r="K1803" t="s">
        <v>57</v>
      </c>
      <c r="L1803" t="s">
        <v>58</v>
      </c>
      <c r="N1803" t="s">
        <v>538</v>
      </c>
      <c r="O1803">
        <v>400</v>
      </c>
      <c r="P1803" t="s">
        <v>262</v>
      </c>
      <c r="S1803">
        <v>2</v>
      </c>
      <c r="T1803">
        <v>37</v>
      </c>
      <c r="U1803" t="s">
        <v>546</v>
      </c>
      <c r="V1803">
        <v>70</v>
      </c>
      <c r="W1803" t="s">
        <v>468</v>
      </c>
      <c r="X1803" t="s">
        <v>280</v>
      </c>
      <c r="Y1803">
        <v>1440</v>
      </c>
      <c r="AA1803" t="s">
        <v>94</v>
      </c>
      <c r="AB1803">
        <v>6.61</v>
      </c>
      <c r="AC1803" t="s">
        <v>85</v>
      </c>
      <c r="AD1803">
        <v>0.06</v>
      </c>
      <c r="AE1803" t="s">
        <v>63</v>
      </c>
      <c r="AI1803">
        <v>5</v>
      </c>
      <c r="AJ1803" t="s">
        <v>201</v>
      </c>
      <c r="AT1803" t="s">
        <v>318</v>
      </c>
      <c r="AV1803" t="s">
        <v>88</v>
      </c>
      <c r="AZ1803">
        <v>0</v>
      </c>
      <c r="BA1803">
        <v>6.61</v>
      </c>
    </row>
    <row r="1804" spans="1:53" hidden="1" x14ac:dyDescent="0.3">
      <c r="A1804" t="s">
        <v>545</v>
      </c>
      <c r="C1804" t="s">
        <v>251</v>
      </c>
      <c r="D1804" t="s">
        <v>81</v>
      </c>
      <c r="E1804">
        <v>10000000</v>
      </c>
      <c r="H1804">
        <v>14.25</v>
      </c>
      <c r="I1804" t="s">
        <v>56</v>
      </c>
      <c r="J1804">
        <v>1.4250000000000001E-3</v>
      </c>
      <c r="K1804" t="s">
        <v>57</v>
      </c>
      <c r="L1804" t="s">
        <v>58</v>
      </c>
      <c r="N1804" t="s">
        <v>538</v>
      </c>
      <c r="O1804">
        <v>400</v>
      </c>
      <c r="P1804" t="s">
        <v>262</v>
      </c>
      <c r="S1804">
        <v>2</v>
      </c>
      <c r="T1804">
        <v>37</v>
      </c>
      <c r="U1804" t="s">
        <v>546</v>
      </c>
      <c r="V1804">
        <v>70</v>
      </c>
      <c r="W1804" t="s">
        <v>547</v>
      </c>
      <c r="X1804" t="s">
        <v>280</v>
      </c>
      <c r="Y1804">
        <v>1440</v>
      </c>
      <c r="AB1804">
        <v>3.25</v>
      </c>
      <c r="AC1804" t="s">
        <v>85</v>
      </c>
      <c r="AD1804">
        <v>0.24</v>
      </c>
      <c r="AE1804" t="s">
        <v>63</v>
      </c>
      <c r="AI1804">
        <v>5</v>
      </c>
      <c r="AJ1804" t="s">
        <v>201</v>
      </c>
      <c r="AT1804" t="s">
        <v>73</v>
      </c>
      <c r="AV1804" t="s">
        <v>88</v>
      </c>
    </row>
    <row r="1805" spans="1:53" hidden="1" x14ac:dyDescent="0.3">
      <c r="A1805" t="s">
        <v>545</v>
      </c>
      <c r="C1805" t="s">
        <v>251</v>
      </c>
      <c r="D1805" t="s">
        <v>81</v>
      </c>
      <c r="E1805">
        <v>10000000</v>
      </c>
      <c r="H1805">
        <v>14.25</v>
      </c>
      <c r="I1805" t="s">
        <v>56</v>
      </c>
      <c r="J1805">
        <v>1.4250000000000001E-3</v>
      </c>
      <c r="K1805" t="s">
        <v>57</v>
      </c>
      <c r="L1805" t="s">
        <v>58</v>
      </c>
      <c r="N1805" t="s">
        <v>538</v>
      </c>
      <c r="O1805">
        <v>400</v>
      </c>
      <c r="P1805" t="s">
        <v>262</v>
      </c>
      <c r="S1805">
        <v>2</v>
      </c>
      <c r="T1805">
        <v>37</v>
      </c>
      <c r="U1805" t="s">
        <v>546</v>
      </c>
      <c r="V1805">
        <v>70</v>
      </c>
      <c r="W1805" t="s">
        <v>422</v>
      </c>
      <c r="X1805" t="s">
        <v>280</v>
      </c>
      <c r="Y1805">
        <v>1440</v>
      </c>
      <c r="AB1805">
        <v>5.48</v>
      </c>
      <c r="AC1805" t="s">
        <v>85</v>
      </c>
      <c r="AD1805">
        <v>0.91</v>
      </c>
      <c r="AE1805" t="s">
        <v>63</v>
      </c>
      <c r="AI1805">
        <v>5</v>
      </c>
      <c r="AJ1805" t="s">
        <v>201</v>
      </c>
      <c r="AT1805" t="s">
        <v>79</v>
      </c>
      <c r="AV1805" t="s">
        <v>88</v>
      </c>
    </row>
    <row r="1806" spans="1:53" hidden="1" x14ac:dyDescent="0.3">
      <c r="A1806" t="s">
        <v>545</v>
      </c>
      <c r="C1806" t="s">
        <v>251</v>
      </c>
      <c r="D1806" t="s">
        <v>81</v>
      </c>
      <c r="E1806">
        <v>10000000</v>
      </c>
      <c r="H1806">
        <v>14.25</v>
      </c>
      <c r="I1806" t="s">
        <v>56</v>
      </c>
      <c r="J1806">
        <v>1.4250000000000001E-3</v>
      </c>
      <c r="K1806" t="s">
        <v>57</v>
      </c>
      <c r="L1806" t="s">
        <v>58</v>
      </c>
      <c r="N1806" t="s">
        <v>538</v>
      </c>
      <c r="O1806">
        <v>400</v>
      </c>
      <c r="P1806" t="s">
        <v>262</v>
      </c>
      <c r="S1806">
        <v>2</v>
      </c>
      <c r="T1806">
        <v>37</v>
      </c>
      <c r="U1806" t="s">
        <v>546</v>
      </c>
      <c r="V1806">
        <v>70</v>
      </c>
      <c r="W1806" t="s">
        <v>548</v>
      </c>
      <c r="X1806" t="s">
        <v>280</v>
      </c>
      <c r="Y1806">
        <v>1440</v>
      </c>
      <c r="AA1806" t="s">
        <v>94</v>
      </c>
      <c r="AB1806">
        <v>6.75</v>
      </c>
      <c r="AC1806" t="s">
        <v>85</v>
      </c>
      <c r="AD1806">
        <v>0.15</v>
      </c>
      <c r="AE1806" t="s">
        <v>63</v>
      </c>
      <c r="AI1806">
        <v>5</v>
      </c>
      <c r="AJ1806" t="s">
        <v>201</v>
      </c>
      <c r="AT1806" t="s">
        <v>75</v>
      </c>
      <c r="AV1806" t="s">
        <v>88</v>
      </c>
      <c r="AZ1806">
        <v>0</v>
      </c>
      <c r="BA1806">
        <v>6.75</v>
      </c>
    </row>
    <row r="1807" spans="1:53" hidden="1" x14ac:dyDescent="0.3">
      <c r="A1807" t="s">
        <v>545</v>
      </c>
      <c r="C1807" t="s">
        <v>251</v>
      </c>
      <c r="D1807" t="s">
        <v>81</v>
      </c>
      <c r="E1807">
        <v>10000000</v>
      </c>
      <c r="H1807">
        <v>14.25</v>
      </c>
      <c r="I1807" t="s">
        <v>56</v>
      </c>
      <c r="J1807">
        <v>1.4250000000000001E-3</v>
      </c>
      <c r="K1807" t="s">
        <v>57</v>
      </c>
      <c r="L1807" t="s">
        <v>58</v>
      </c>
      <c r="N1807" t="s">
        <v>538</v>
      </c>
      <c r="O1807">
        <v>400</v>
      </c>
      <c r="P1807" t="s">
        <v>262</v>
      </c>
      <c r="S1807">
        <v>2</v>
      </c>
      <c r="T1807">
        <v>37</v>
      </c>
      <c r="U1807" t="s">
        <v>546</v>
      </c>
      <c r="V1807">
        <v>70</v>
      </c>
      <c r="W1807" t="s">
        <v>549</v>
      </c>
      <c r="X1807" t="s">
        <v>280</v>
      </c>
      <c r="Y1807">
        <v>1440</v>
      </c>
      <c r="AA1807" t="s">
        <v>94</v>
      </c>
      <c r="AB1807">
        <v>6.38</v>
      </c>
      <c r="AC1807" t="s">
        <v>85</v>
      </c>
      <c r="AD1807">
        <v>0.31</v>
      </c>
      <c r="AE1807" t="s">
        <v>63</v>
      </c>
      <c r="AI1807">
        <v>5</v>
      </c>
      <c r="AJ1807" t="s">
        <v>201</v>
      </c>
      <c r="AT1807" t="s">
        <v>77</v>
      </c>
      <c r="AV1807" t="s">
        <v>88</v>
      </c>
      <c r="AZ1807">
        <v>0</v>
      </c>
      <c r="BA1807">
        <v>6.38</v>
      </c>
    </row>
    <row r="1808" spans="1:53" hidden="1" x14ac:dyDescent="0.3">
      <c r="A1808" t="s">
        <v>545</v>
      </c>
      <c r="C1808" t="s">
        <v>251</v>
      </c>
      <c r="D1808" t="s">
        <v>81</v>
      </c>
      <c r="E1808">
        <v>10000000</v>
      </c>
      <c r="H1808">
        <v>14.25</v>
      </c>
      <c r="I1808" t="s">
        <v>56</v>
      </c>
      <c r="J1808">
        <v>1.4250000000000001E-3</v>
      </c>
      <c r="K1808" t="s">
        <v>57</v>
      </c>
      <c r="L1808" t="s">
        <v>58</v>
      </c>
      <c r="N1808" t="s">
        <v>538</v>
      </c>
      <c r="O1808">
        <v>400</v>
      </c>
      <c r="P1808" t="s">
        <v>262</v>
      </c>
      <c r="S1808">
        <v>2</v>
      </c>
      <c r="T1808">
        <v>37</v>
      </c>
      <c r="U1808" t="s">
        <v>546</v>
      </c>
      <c r="V1808">
        <v>70</v>
      </c>
      <c r="W1808" t="s">
        <v>147</v>
      </c>
      <c r="X1808" t="s">
        <v>280</v>
      </c>
      <c r="Y1808">
        <v>720</v>
      </c>
      <c r="AB1808">
        <v>1.17</v>
      </c>
      <c r="AC1808" t="s">
        <v>85</v>
      </c>
      <c r="AD1808">
        <v>0.11</v>
      </c>
      <c r="AE1808" t="s">
        <v>63</v>
      </c>
      <c r="AI1808">
        <v>5</v>
      </c>
      <c r="AJ1808" t="s">
        <v>201</v>
      </c>
      <c r="AT1808" t="s">
        <v>150</v>
      </c>
      <c r="AV1808" t="s">
        <v>88</v>
      </c>
    </row>
    <row r="1809" spans="1:53" hidden="1" x14ac:dyDescent="0.3">
      <c r="A1809" t="s">
        <v>545</v>
      </c>
      <c r="C1809" t="s">
        <v>251</v>
      </c>
      <c r="D1809" t="s">
        <v>81</v>
      </c>
      <c r="E1809">
        <v>10000000</v>
      </c>
      <c r="H1809">
        <v>14.25</v>
      </c>
      <c r="I1809" t="s">
        <v>56</v>
      </c>
      <c r="J1809">
        <v>1.4250000000000001E-3</v>
      </c>
      <c r="K1809" t="s">
        <v>57</v>
      </c>
      <c r="L1809" t="s">
        <v>58</v>
      </c>
      <c r="N1809" t="s">
        <v>538</v>
      </c>
      <c r="O1809">
        <v>400</v>
      </c>
      <c r="P1809" t="s">
        <v>262</v>
      </c>
      <c r="S1809">
        <v>2</v>
      </c>
      <c r="T1809">
        <v>37</v>
      </c>
      <c r="U1809" t="s">
        <v>546</v>
      </c>
      <c r="V1809">
        <v>70</v>
      </c>
      <c r="W1809" t="s">
        <v>468</v>
      </c>
      <c r="X1809" t="s">
        <v>280</v>
      </c>
      <c r="Y1809">
        <v>720</v>
      </c>
      <c r="AB1809">
        <v>1.85</v>
      </c>
      <c r="AC1809" t="s">
        <v>85</v>
      </c>
      <c r="AD1809">
        <v>0.2</v>
      </c>
      <c r="AE1809" t="s">
        <v>63</v>
      </c>
      <c r="AI1809">
        <v>5</v>
      </c>
      <c r="AJ1809" t="s">
        <v>201</v>
      </c>
      <c r="AT1809" t="s">
        <v>318</v>
      </c>
      <c r="AV1809" t="s">
        <v>88</v>
      </c>
    </row>
    <row r="1810" spans="1:53" hidden="1" x14ac:dyDescent="0.3">
      <c r="A1810" t="s">
        <v>545</v>
      </c>
      <c r="C1810" t="s">
        <v>251</v>
      </c>
      <c r="D1810" t="s">
        <v>81</v>
      </c>
      <c r="E1810">
        <v>10000000</v>
      </c>
      <c r="H1810">
        <v>14.25</v>
      </c>
      <c r="I1810" t="s">
        <v>56</v>
      </c>
      <c r="J1810">
        <v>1.4250000000000001E-3</v>
      </c>
      <c r="K1810" t="s">
        <v>57</v>
      </c>
      <c r="L1810" t="s">
        <v>58</v>
      </c>
      <c r="N1810" t="s">
        <v>538</v>
      </c>
      <c r="O1810">
        <v>400</v>
      </c>
      <c r="P1810" t="s">
        <v>262</v>
      </c>
      <c r="S1810">
        <v>2</v>
      </c>
      <c r="T1810">
        <v>37</v>
      </c>
      <c r="U1810" t="s">
        <v>546</v>
      </c>
      <c r="V1810">
        <v>70</v>
      </c>
      <c r="W1810" t="s">
        <v>547</v>
      </c>
      <c r="X1810" t="s">
        <v>280</v>
      </c>
      <c r="Y1810">
        <v>720</v>
      </c>
      <c r="AB1810">
        <v>2.52</v>
      </c>
      <c r="AC1810" t="s">
        <v>85</v>
      </c>
      <c r="AD1810">
        <v>0.36</v>
      </c>
      <c r="AE1810" t="s">
        <v>63</v>
      </c>
      <c r="AI1810">
        <v>5</v>
      </c>
      <c r="AJ1810" t="s">
        <v>201</v>
      </c>
      <c r="AT1810" t="s">
        <v>73</v>
      </c>
      <c r="AV1810" t="s">
        <v>88</v>
      </c>
    </row>
    <row r="1811" spans="1:53" hidden="1" x14ac:dyDescent="0.3">
      <c r="A1811" t="s">
        <v>545</v>
      </c>
      <c r="C1811" t="s">
        <v>251</v>
      </c>
      <c r="D1811" t="s">
        <v>81</v>
      </c>
      <c r="E1811">
        <v>10000000</v>
      </c>
      <c r="H1811">
        <v>14.25</v>
      </c>
      <c r="I1811" t="s">
        <v>56</v>
      </c>
      <c r="J1811">
        <v>1.4250000000000001E-3</v>
      </c>
      <c r="K1811" t="s">
        <v>57</v>
      </c>
      <c r="L1811" t="s">
        <v>58</v>
      </c>
      <c r="N1811" t="s">
        <v>538</v>
      </c>
      <c r="O1811">
        <v>400</v>
      </c>
      <c r="P1811" t="s">
        <v>262</v>
      </c>
      <c r="S1811">
        <v>2</v>
      </c>
      <c r="T1811">
        <v>37</v>
      </c>
      <c r="U1811" t="s">
        <v>546</v>
      </c>
      <c r="V1811">
        <v>70</v>
      </c>
      <c r="W1811" t="s">
        <v>422</v>
      </c>
      <c r="X1811" t="s">
        <v>280</v>
      </c>
      <c r="Y1811">
        <v>720</v>
      </c>
      <c r="AB1811">
        <v>1.24</v>
      </c>
      <c r="AC1811" t="s">
        <v>85</v>
      </c>
      <c r="AD1811">
        <v>0.26</v>
      </c>
      <c r="AE1811" t="s">
        <v>63</v>
      </c>
      <c r="AI1811">
        <v>5</v>
      </c>
      <c r="AJ1811" t="s">
        <v>201</v>
      </c>
      <c r="AT1811" t="s">
        <v>79</v>
      </c>
      <c r="AV1811" t="s">
        <v>88</v>
      </c>
    </row>
    <row r="1812" spans="1:53" hidden="1" x14ac:dyDescent="0.3">
      <c r="A1812" t="s">
        <v>545</v>
      </c>
      <c r="C1812" t="s">
        <v>251</v>
      </c>
      <c r="D1812" t="s">
        <v>81</v>
      </c>
      <c r="E1812">
        <v>10000000</v>
      </c>
      <c r="H1812">
        <v>14.25</v>
      </c>
      <c r="I1812" t="s">
        <v>56</v>
      </c>
      <c r="J1812">
        <v>1.4250000000000001E-3</v>
      </c>
      <c r="K1812" t="s">
        <v>57</v>
      </c>
      <c r="L1812" t="s">
        <v>58</v>
      </c>
      <c r="N1812" t="s">
        <v>538</v>
      </c>
      <c r="O1812">
        <v>400</v>
      </c>
      <c r="P1812" t="s">
        <v>262</v>
      </c>
      <c r="S1812">
        <v>2</v>
      </c>
      <c r="T1812">
        <v>37</v>
      </c>
      <c r="U1812" t="s">
        <v>546</v>
      </c>
      <c r="V1812">
        <v>70</v>
      </c>
      <c r="W1812" t="s">
        <v>548</v>
      </c>
      <c r="X1812" t="s">
        <v>280</v>
      </c>
      <c r="Y1812">
        <v>720</v>
      </c>
      <c r="AB1812">
        <v>2.89</v>
      </c>
      <c r="AC1812" t="s">
        <v>85</v>
      </c>
      <c r="AD1812">
        <v>0.34</v>
      </c>
      <c r="AE1812" t="s">
        <v>63</v>
      </c>
      <c r="AI1812">
        <v>5</v>
      </c>
      <c r="AJ1812" t="s">
        <v>201</v>
      </c>
      <c r="AT1812" t="s">
        <v>75</v>
      </c>
      <c r="AV1812" t="s">
        <v>88</v>
      </c>
    </row>
    <row r="1813" spans="1:53" hidden="1" x14ac:dyDescent="0.3">
      <c r="A1813" t="s">
        <v>545</v>
      </c>
      <c r="C1813" t="s">
        <v>251</v>
      </c>
      <c r="D1813" t="s">
        <v>81</v>
      </c>
      <c r="E1813">
        <v>10000000</v>
      </c>
      <c r="H1813">
        <v>14.25</v>
      </c>
      <c r="I1813" t="s">
        <v>56</v>
      </c>
      <c r="J1813">
        <v>1.4250000000000001E-3</v>
      </c>
      <c r="K1813" t="s">
        <v>57</v>
      </c>
      <c r="L1813" t="s">
        <v>58</v>
      </c>
      <c r="N1813" t="s">
        <v>538</v>
      </c>
      <c r="O1813">
        <v>400</v>
      </c>
      <c r="P1813" t="s">
        <v>262</v>
      </c>
      <c r="S1813">
        <v>2</v>
      </c>
      <c r="T1813">
        <v>37</v>
      </c>
      <c r="U1813" t="s">
        <v>546</v>
      </c>
      <c r="V1813">
        <v>70</v>
      </c>
      <c r="W1813" t="s">
        <v>549</v>
      </c>
      <c r="X1813" t="s">
        <v>280</v>
      </c>
      <c r="Y1813">
        <v>720</v>
      </c>
      <c r="AB1813">
        <v>1.84</v>
      </c>
      <c r="AC1813" t="s">
        <v>85</v>
      </c>
      <c r="AD1813">
        <v>0.37</v>
      </c>
      <c r="AE1813" t="s">
        <v>63</v>
      </c>
      <c r="AI1813">
        <v>5</v>
      </c>
      <c r="AJ1813" t="s">
        <v>201</v>
      </c>
      <c r="AT1813" t="s">
        <v>77</v>
      </c>
      <c r="AV1813" t="s">
        <v>88</v>
      </c>
    </row>
    <row r="1814" spans="1:53" hidden="1" x14ac:dyDescent="0.3">
      <c r="A1814" t="s">
        <v>545</v>
      </c>
      <c r="C1814" t="s">
        <v>251</v>
      </c>
      <c r="D1814" t="s">
        <v>81</v>
      </c>
      <c r="E1814">
        <v>10000000</v>
      </c>
      <c r="H1814">
        <v>14.25</v>
      </c>
      <c r="I1814" t="s">
        <v>56</v>
      </c>
      <c r="J1814">
        <v>1.4250000000000001E-3</v>
      </c>
      <c r="K1814" t="s">
        <v>57</v>
      </c>
      <c r="L1814" t="s">
        <v>58</v>
      </c>
      <c r="N1814" t="s">
        <v>538</v>
      </c>
      <c r="O1814">
        <v>300</v>
      </c>
      <c r="P1814" t="s">
        <v>262</v>
      </c>
      <c r="S1814">
        <v>2</v>
      </c>
      <c r="T1814">
        <v>37</v>
      </c>
      <c r="U1814" t="s">
        <v>546</v>
      </c>
      <c r="V1814">
        <v>70</v>
      </c>
      <c r="W1814" t="s">
        <v>147</v>
      </c>
      <c r="X1814" t="s">
        <v>280</v>
      </c>
      <c r="Y1814">
        <v>2160</v>
      </c>
      <c r="AB1814">
        <v>5.15</v>
      </c>
      <c r="AC1814" t="s">
        <v>85</v>
      </c>
      <c r="AD1814">
        <v>1.44</v>
      </c>
      <c r="AE1814" t="s">
        <v>63</v>
      </c>
      <c r="AI1814">
        <v>5</v>
      </c>
      <c r="AJ1814" t="s">
        <v>201</v>
      </c>
      <c r="AT1814" t="s">
        <v>150</v>
      </c>
      <c r="AV1814" t="s">
        <v>88</v>
      </c>
    </row>
    <row r="1815" spans="1:53" hidden="1" x14ac:dyDescent="0.3">
      <c r="A1815" t="s">
        <v>545</v>
      </c>
      <c r="C1815" t="s">
        <v>251</v>
      </c>
      <c r="D1815" t="s">
        <v>81</v>
      </c>
      <c r="E1815">
        <v>10000000</v>
      </c>
      <c r="H1815">
        <v>14.25</v>
      </c>
      <c r="I1815" t="s">
        <v>56</v>
      </c>
      <c r="J1815">
        <v>1.4250000000000001E-3</v>
      </c>
      <c r="K1815" t="s">
        <v>57</v>
      </c>
      <c r="L1815" t="s">
        <v>58</v>
      </c>
      <c r="N1815" t="s">
        <v>538</v>
      </c>
      <c r="O1815">
        <v>300</v>
      </c>
      <c r="P1815" t="s">
        <v>262</v>
      </c>
      <c r="S1815">
        <v>2</v>
      </c>
      <c r="T1815">
        <v>37</v>
      </c>
      <c r="U1815" t="s">
        <v>546</v>
      </c>
      <c r="V1815">
        <v>70</v>
      </c>
      <c r="W1815" t="s">
        <v>468</v>
      </c>
      <c r="X1815" t="s">
        <v>280</v>
      </c>
      <c r="Y1815">
        <v>2160</v>
      </c>
      <c r="AA1815" t="s">
        <v>94</v>
      </c>
      <c r="AB1815">
        <v>6.47</v>
      </c>
      <c r="AC1815" t="s">
        <v>85</v>
      </c>
      <c r="AD1815">
        <v>0.13</v>
      </c>
      <c r="AE1815" t="s">
        <v>63</v>
      </c>
      <c r="AI1815">
        <v>5</v>
      </c>
      <c r="AJ1815" t="s">
        <v>201</v>
      </c>
      <c r="AT1815" t="s">
        <v>318</v>
      </c>
      <c r="AV1815" t="s">
        <v>88</v>
      </c>
      <c r="AZ1815">
        <v>0</v>
      </c>
      <c r="BA1815">
        <v>6.47</v>
      </c>
    </row>
    <row r="1816" spans="1:53" hidden="1" x14ac:dyDescent="0.3">
      <c r="A1816" t="s">
        <v>545</v>
      </c>
      <c r="C1816" t="s">
        <v>251</v>
      </c>
      <c r="D1816" t="s">
        <v>81</v>
      </c>
      <c r="E1816">
        <v>10000000</v>
      </c>
      <c r="H1816">
        <v>14.25</v>
      </c>
      <c r="I1816" t="s">
        <v>56</v>
      </c>
      <c r="J1816">
        <v>1.4250000000000001E-3</v>
      </c>
      <c r="K1816" t="s">
        <v>57</v>
      </c>
      <c r="L1816" t="s">
        <v>58</v>
      </c>
      <c r="N1816" t="s">
        <v>538</v>
      </c>
      <c r="O1816">
        <v>300</v>
      </c>
      <c r="P1816" t="s">
        <v>262</v>
      </c>
      <c r="S1816">
        <v>2</v>
      </c>
      <c r="T1816">
        <v>37</v>
      </c>
      <c r="U1816" t="s">
        <v>546</v>
      </c>
      <c r="V1816">
        <v>70</v>
      </c>
      <c r="W1816" t="s">
        <v>547</v>
      </c>
      <c r="X1816" t="s">
        <v>280</v>
      </c>
      <c r="Y1816">
        <v>2160</v>
      </c>
      <c r="AA1816" t="s">
        <v>94</v>
      </c>
      <c r="AB1816">
        <v>7.59</v>
      </c>
      <c r="AC1816" t="s">
        <v>85</v>
      </c>
      <c r="AD1816">
        <v>0.11</v>
      </c>
      <c r="AE1816" t="s">
        <v>63</v>
      </c>
      <c r="AI1816">
        <v>5</v>
      </c>
      <c r="AJ1816" t="s">
        <v>201</v>
      </c>
      <c r="AT1816" t="s">
        <v>73</v>
      </c>
      <c r="AV1816" t="s">
        <v>88</v>
      </c>
      <c r="AZ1816">
        <v>0</v>
      </c>
      <c r="BA1816">
        <v>7.59</v>
      </c>
    </row>
    <row r="1817" spans="1:53" hidden="1" x14ac:dyDescent="0.3">
      <c r="A1817" t="s">
        <v>545</v>
      </c>
      <c r="C1817" t="s">
        <v>251</v>
      </c>
      <c r="D1817" t="s">
        <v>81</v>
      </c>
      <c r="E1817">
        <v>10000000</v>
      </c>
      <c r="H1817">
        <v>14.25</v>
      </c>
      <c r="I1817" t="s">
        <v>56</v>
      </c>
      <c r="J1817">
        <v>1.4250000000000001E-3</v>
      </c>
      <c r="K1817" t="s">
        <v>57</v>
      </c>
      <c r="L1817" t="s">
        <v>58</v>
      </c>
      <c r="N1817" t="s">
        <v>538</v>
      </c>
      <c r="O1817">
        <v>300</v>
      </c>
      <c r="P1817" t="s">
        <v>262</v>
      </c>
      <c r="S1817">
        <v>2</v>
      </c>
      <c r="T1817">
        <v>37</v>
      </c>
      <c r="U1817" t="s">
        <v>546</v>
      </c>
      <c r="V1817">
        <v>70</v>
      </c>
      <c r="W1817" t="s">
        <v>422</v>
      </c>
      <c r="X1817" t="s">
        <v>280</v>
      </c>
      <c r="Y1817">
        <v>2160</v>
      </c>
      <c r="AB1817">
        <v>4.8499999999999996</v>
      </c>
      <c r="AC1817" t="s">
        <v>85</v>
      </c>
      <c r="AD1817">
        <v>0.97</v>
      </c>
      <c r="AE1817" t="s">
        <v>63</v>
      </c>
      <c r="AI1817">
        <v>5</v>
      </c>
      <c r="AJ1817" t="s">
        <v>201</v>
      </c>
      <c r="AT1817" t="s">
        <v>79</v>
      </c>
      <c r="AV1817" t="s">
        <v>88</v>
      </c>
    </row>
    <row r="1818" spans="1:53" hidden="1" x14ac:dyDescent="0.3">
      <c r="A1818" t="s">
        <v>545</v>
      </c>
      <c r="C1818" t="s">
        <v>251</v>
      </c>
      <c r="D1818" t="s">
        <v>81</v>
      </c>
      <c r="E1818">
        <v>10000000</v>
      </c>
      <c r="H1818">
        <v>14.25</v>
      </c>
      <c r="I1818" t="s">
        <v>56</v>
      </c>
      <c r="J1818">
        <v>1.4250000000000001E-3</v>
      </c>
      <c r="K1818" t="s">
        <v>57</v>
      </c>
      <c r="L1818" t="s">
        <v>58</v>
      </c>
      <c r="N1818" t="s">
        <v>538</v>
      </c>
      <c r="O1818">
        <v>300</v>
      </c>
      <c r="P1818" t="s">
        <v>262</v>
      </c>
      <c r="S1818">
        <v>2</v>
      </c>
      <c r="T1818">
        <v>37</v>
      </c>
      <c r="U1818" t="s">
        <v>546</v>
      </c>
      <c r="V1818">
        <v>70</v>
      </c>
      <c r="W1818" t="s">
        <v>548</v>
      </c>
      <c r="X1818" t="s">
        <v>280</v>
      </c>
      <c r="Y1818">
        <v>2160</v>
      </c>
      <c r="AA1818" t="s">
        <v>94</v>
      </c>
      <c r="AB1818">
        <v>6.69</v>
      </c>
      <c r="AC1818" t="s">
        <v>85</v>
      </c>
      <c r="AD1818">
        <v>0.46</v>
      </c>
      <c r="AE1818" t="s">
        <v>63</v>
      </c>
      <c r="AI1818">
        <v>5</v>
      </c>
      <c r="AJ1818" t="s">
        <v>201</v>
      </c>
      <c r="AT1818" t="s">
        <v>75</v>
      </c>
      <c r="AV1818" t="s">
        <v>88</v>
      </c>
      <c r="AZ1818">
        <v>0</v>
      </c>
      <c r="BA1818">
        <v>6.69</v>
      </c>
    </row>
    <row r="1819" spans="1:53" hidden="1" x14ac:dyDescent="0.3">
      <c r="A1819" t="s">
        <v>545</v>
      </c>
      <c r="C1819" t="s">
        <v>251</v>
      </c>
      <c r="D1819" t="s">
        <v>81</v>
      </c>
      <c r="E1819">
        <v>10000000</v>
      </c>
      <c r="H1819">
        <v>14.25</v>
      </c>
      <c r="I1819" t="s">
        <v>56</v>
      </c>
      <c r="J1819">
        <v>1.4250000000000001E-3</v>
      </c>
      <c r="K1819" t="s">
        <v>57</v>
      </c>
      <c r="L1819" t="s">
        <v>58</v>
      </c>
      <c r="N1819" t="s">
        <v>538</v>
      </c>
      <c r="O1819">
        <v>300</v>
      </c>
      <c r="P1819" t="s">
        <v>262</v>
      </c>
      <c r="S1819">
        <v>2</v>
      </c>
      <c r="T1819">
        <v>37</v>
      </c>
      <c r="U1819" t="s">
        <v>546</v>
      </c>
      <c r="V1819">
        <v>70</v>
      </c>
      <c r="W1819" t="s">
        <v>549</v>
      </c>
      <c r="X1819" t="s">
        <v>280</v>
      </c>
      <c r="Y1819">
        <v>2160</v>
      </c>
      <c r="AA1819" t="s">
        <v>94</v>
      </c>
      <c r="AB1819">
        <v>6.14</v>
      </c>
      <c r="AC1819" t="s">
        <v>85</v>
      </c>
      <c r="AD1819">
        <v>0.4</v>
      </c>
      <c r="AE1819" t="s">
        <v>63</v>
      </c>
      <c r="AI1819">
        <v>5</v>
      </c>
      <c r="AJ1819" t="s">
        <v>201</v>
      </c>
      <c r="AT1819" t="s">
        <v>77</v>
      </c>
      <c r="AV1819" t="s">
        <v>88</v>
      </c>
      <c r="AZ1819">
        <v>0</v>
      </c>
      <c r="BA1819">
        <v>6.14</v>
      </c>
    </row>
    <row r="1820" spans="1:53" hidden="1" x14ac:dyDescent="0.3">
      <c r="A1820" t="s">
        <v>545</v>
      </c>
      <c r="C1820" t="s">
        <v>251</v>
      </c>
      <c r="D1820" t="s">
        <v>81</v>
      </c>
      <c r="E1820">
        <v>10000000</v>
      </c>
      <c r="H1820">
        <v>14.25</v>
      </c>
      <c r="I1820" t="s">
        <v>56</v>
      </c>
      <c r="J1820">
        <v>1.4250000000000001E-3</v>
      </c>
      <c r="K1820" t="s">
        <v>57</v>
      </c>
      <c r="L1820" t="s">
        <v>58</v>
      </c>
      <c r="N1820" t="s">
        <v>538</v>
      </c>
      <c r="O1820">
        <v>300</v>
      </c>
      <c r="P1820" t="s">
        <v>262</v>
      </c>
      <c r="S1820">
        <v>2</v>
      </c>
      <c r="T1820">
        <v>25</v>
      </c>
      <c r="U1820" t="s">
        <v>546</v>
      </c>
      <c r="V1820">
        <v>70</v>
      </c>
      <c r="W1820" t="s">
        <v>147</v>
      </c>
      <c r="X1820" t="s">
        <v>280</v>
      </c>
      <c r="Y1820">
        <v>2160</v>
      </c>
      <c r="AB1820">
        <v>0.53</v>
      </c>
      <c r="AC1820" t="s">
        <v>85</v>
      </c>
      <c r="AD1820">
        <v>7.0000000000000007E-2</v>
      </c>
      <c r="AE1820" t="s">
        <v>63</v>
      </c>
      <c r="AI1820">
        <v>5</v>
      </c>
      <c r="AJ1820" t="s">
        <v>201</v>
      </c>
      <c r="AT1820" t="s">
        <v>150</v>
      </c>
      <c r="AV1820" t="s">
        <v>88</v>
      </c>
    </row>
    <row r="1821" spans="1:53" hidden="1" x14ac:dyDescent="0.3">
      <c r="A1821" t="s">
        <v>545</v>
      </c>
      <c r="C1821" t="s">
        <v>251</v>
      </c>
      <c r="D1821" t="s">
        <v>81</v>
      </c>
      <c r="E1821">
        <v>10000000</v>
      </c>
      <c r="H1821">
        <v>14.25</v>
      </c>
      <c r="I1821" t="s">
        <v>56</v>
      </c>
      <c r="J1821">
        <v>1.4250000000000001E-3</v>
      </c>
      <c r="K1821" t="s">
        <v>57</v>
      </c>
      <c r="L1821" t="s">
        <v>58</v>
      </c>
      <c r="N1821" t="s">
        <v>538</v>
      </c>
      <c r="O1821">
        <v>300</v>
      </c>
      <c r="P1821" t="s">
        <v>262</v>
      </c>
      <c r="S1821">
        <v>2</v>
      </c>
      <c r="T1821">
        <v>25</v>
      </c>
      <c r="U1821" t="s">
        <v>546</v>
      </c>
      <c r="V1821">
        <v>70</v>
      </c>
      <c r="W1821" t="s">
        <v>468</v>
      </c>
      <c r="X1821" t="s">
        <v>280</v>
      </c>
      <c r="Y1821">
        <v>2160</v>
      </c>
      <c r="AB1821">
        <v>0.73</v>
      </c>
      <c r="AC1821" t="s">
        <v>85</v>
      </c>
      <c r="AD1821">
        <v>0.1</v>
      </c>
      <c r="AE1821" t="s">
        <v>63</v>
      </c>
      <c r="AI1821">
        <v>5</v>
      </c>
      <c r="AJ1821" t="s">
        <v>201</v>
      </c>
      <c r="AT1821" t="s">
        <v>318</v>
      </c>
      <c r="AV1821" t="s">
        <v>88</v>
      </c>
    </row>
    <row r="1822" spans="1:53" hidden="1" x14ac:dyDescent="0.3">
      <c r="A1822" t="s">
        <v>545</v>
      </c>
      <c r="C1822" t="s">
        <v>251</v>
      </c>
      <c r="D1822" t="s">
        <v>81</v>
      </c>
      <c r="E1822">
        <v>10000000</v>
      </c>
      <c r="H1822">
        <v>14.25</v>
      </c>
      <c r="I1822" t="s">
        <v>56</v>
      </c>
      <c r="J1822">
        <v>1.4250000000000001E-3</v>
      </c>
      <c r="K1822" t="s">
        <v>57</v>
      </c>
      <c r="L1822" t="s">
        <v>58</v>
      </c>
      <c r="N1822" t="s">
        <v>538</v>
      </c>
      <c r="O1822">
        <v>300</v>
      </c>
      <c r="P1822" t="s">
        <v>262</v>
      </c>
      <c r="S1822">
        <v>2</v>
      </c>
      <c r="T1822">
        <v>25</v>
      </c>
      <c r="U1822" t="s">
        <v>546</v>
      </c>
      <c r="V1822">
        <v>70</v>
      </c>
      <c r="W1822" t="s">
        <v>547</v>
      </c>
      <c r="X1822" t="s">
        <v>280</v>
      </c>
      <c r="Y1822">
        <v>2160</v>
      </c>
      <c r="AB1822">
        <v>0.73</v>
      </c>
      <c r="AC1822" t="s">
        <v>85</v>
      </c>
      <c r="AD1822">
        <v>0.16</v>
      </c>
      <c r="AE1822" t="s">
        <v>63</v>
      </c>
      <c r="AI1822">
        <v>5</v>
      </c>
      <c r="AJ1822" t="s">
        <v>201</v>
      </c>
      <c r="AT1822" t="s">
        <v>73</v>
      </c>
      <c r="AV1822" t="s">
        <v>88</v>
      </c>
    </row>
    <row r="1823" spans="1:53" hidden="1" x14ac:dyDescent="0.3">
      <c r="A1823" t="s">
        <v>545</v>
      </c>
      <c r="C1823" t="s">
        <v>251</v>
      </c>
      <c r="D1823" t="s">
        <v>81</v>
      </c>
      <c r="E1823">
        <v>10000000</v>
      </c>
      <c r="H1823">
        <v>14.25</v>
      </c>
      <c r="I1823" t="s">
        <v>56</v>
      </c>
      <c r="J1823">
        <v>1.4250000000000001E-3</v>
      </c>
      <c r="K1823" t="s">
        <v>57</v>
      </c>
      <c r="L1823" t="s">
        <v>58</v>
      </c>
      <c r="N1823" t="s">
        <v>538</v>
      </c>
      <c r="O1823">
        <v>300</v>
      </c>
      <c r="P1823" t="s">
        <v>262</v>
      </c>
      <c r="S1823">
        <v>2</v>
      </c>
      <c r="T1823">
        <v>25</v>
      </c>
      <c r="U1823" t="s">
        <v>546</v>
      </c>
      <c r="V1823">
        <v>70</v>
      </c>
      <c r="W1823" t="s">
        <v>422</v>
      </c>
      <c r="X1823" t="s">
        <v>280</v>
      </c>
      <c r="Y1823">
        <v>2160</v>
      </c>
      <c r="AB1823">
        <v>0.64</v>
      </c>
      <c r="AC1823" t="s">
        <v>85</v>
      </c>
      <c r="AD1823">
        <v>0.2</v>
      </c>
      <c r="AE1823" t="s">
        <v>63</v>
      </c>
      <c r="AI1823">
        <v>5</v>
      </c>
      <c r="AJ1823" t="s">
        <v>201</v>
      </c>
      <c r="AT1823" t="s">
        <v>79</v>
      </c>
      <c r="AV1823" t="s">
        <v>88</v>
      </c>
    </row>
    <row r="1824" spans="1:53" hidden="1" x14ac:dyDescent="0.3">
      <c r="A1824" t="s">
        <v>545</v>
      </c>
      <c r="C1824" t="s">
        <v>251</v>
      </c>
      <c r="D1824" t="s">
        <v>81</v>
      </c>
      <c r="E1824">
        <v>10000000</v>
      </c>
      <c r="H1824">
        <v>14.25</v>
      </c>
      <c r="I1824" t="s">
        <v>56</v>
      </c>
      <c r="J1824">
        <v>1.4250000000000001E-3</v>
      </c>
      <c r="K1824" t="s">
        <v>57</v>
      </c>
      <c r="L1824" t="s">
        <v>58</v>
      </c>
      <c r="N1824" t="s">
        <v>538</v>
      </c>
      <c r="O1824">
        <v>300</v>
      </c>
      <c r="P1824" t="s">
        <v>262</v>
      </c>
      <c r="S1824">
        <v>2</v>
      </c>
      <c r="T1824">
        <v>25</v>
      </c>
      <c r="U1824" t="s">
        <v>546</v>
      </c>
      <c r="V1824">
        <v>70</v>
      </c>
      <c r="W1824" t="s">
        <v>548</v>
      </c>
      <c r="X1824" t="s">
        <v>280</v>
      </c>
      <c r="Y1824">
        <v>2160</v>
      </c>
      <c r="AB1824">
        <v>0.88</v>
      </c>
      <c r="AC1824" t="s">
        <v>85</v>
      </c>
      <c r="AD1824">
        <v>0.25</v>
      </c>
      <c r="AE1824" t="s">
        <v>63</v>
      </c>
      <c r="AI1824">
        <v>5</v>
      </c>
      <c r="AJ1824" t="s">
        <v>201</v>
      </c>
      <c r="AT1824" t="s">
        <v>75</v>
      </c>
      <c r="AV1824" t="s">
        <v>88</v>
      </c>
    </row>
    <row r="1825" spans="1:53" hidden="1" x14ac:dyDescent="0.3">
      <c r="A1825" t="s">
        <v>545</v>
      </c>
      <c r="C1825" t="s">
        <v>251</v>
      </c>
      <c r="D1825" t="s">
        <v>81</v>
      </c>
      <c r="E1825">
        <v>10000000</v>
      </c>
      <c r="H1825">
        <v>14.25</v>
      </c>
      <c r="I1825" t="s">
        <v>56</v>
      </c>
      <c r="J1825">
        <v>1.4250000000000001E-3</v>
      </c>
      <c r="K1825" t="s">
        <v>57</v>
      </c>
      <c r="L1825" t="s">
        <v>58</v>
      </c>
      <c r="N1825" t="s">
        <v>538</v>
      </c>
      <c r="O1825">
        <v>300</v>
      </c>
      <c r="P1825" t="s">
        <v>262</v>
      </c>
      <c r="S1825">
        <v>2</v>
      </c>
      <c r="T1825">
        <v>25</v>
      </c>
      <c r="U1825" t="s">
        <v>546</v>
      </c>
      <c r="V1825">
        <v>70</v>
      </c>
      <c r="W1825" t="s">
        <v>549</v>
      </c>
      <c r="X1825" t="s">
        <v>280</v>
      </c>
      <c r="Y1825">
        <v>2160</v>
      </c>
      <c r="AB1825">
        <v>0.62</v>
      </c>
      <c r="AC1825" t="s">
        <v>85</v>
      </c>
      <c r="AD1825">
        <v>0.39</v>
      </c>
      <c r="AE1825" t="s">
        <v>63</v>
      </c>
      <c r="AI1825">
        <v>5</v>
      </c>
      <c r="AJ1825" t="s">
        <v>201</v>
      </c>
      <c r="AT1825" t="s">
        <v>77</v>
      </c>
      <c r="AV1825" t="s">
        <v>88</v>
      </c>
    </row>
    <row r="1826" spans="1:53" hidden="1" x14ac:dyDescent="0.3">
      <c r="A1826" t="s">
        <v>545</v>
      </c>
      <c r="C1826" t="s">
        <v>251</v>
      </c>
      <c r="D1826" t="s">
        <v>81</v>
      </c>
      <c r="E1826">
        <v>10000000</v>
      </c>
      <c r="H1826">
        <v>14.25</v>
      </c>
      <c r="I1826" t="s">
        <v>56</v>
      </c>
      <c r="J1826">
        <v>1.4250000000000001E-3</v>
      </c>
      <c r="K1826" t="s">
        <v>57</v>
      </c>
      <c r="L1826" t="s">
        <v>58</v>
      </c>
      <c r="N1826" t="s">
        <v>538</v>
      </c>
      <c r="O1826">
        <v>300</v>
      </c>
      <c r="P1826" t="s">
        <v>262</v>
      </c>
      <c r="S1826">
        <v>2</v>
      </c>
      <c r="T1826">
        <v>37</v>
      </c>
      <c r="U1826" t="s">
        <v>546</v>
      </c>
      <c r="V1826">
        <v>70</v>
      </c>
      <c r="W1826" t="s">
        <v>147</v>
      </c>
      <c r="X1826" t="s">
        <v>280</v>
      </c>
      <c r="Y1826">
        <v>2160</v>
      </c>
      <c r="AA1826" t="s">
        <v>94</v>
      </c>
      <c r="AB1826">
        <v>6.97</v>
      </c>
      <c r="AC1826" t="s">
        <v>85</v>
      </c>
      <c r="AD1826">
        <v>0.19</v>
      </c>
      <c r="AE1826" t="s">
        <v>63</v>
      </c>
      <c r="AI1826">
        <v>5</v>
      </c>
      <c r="AJ1826" t="s">
        <v>201</v>
      </c>
      <c r="AT1826" t="s">
        <v>150</v>
      </c>
      <c r="AV1826" t="s">
        <v>88</v>
      </c>
      <c r="AZ1826">
        <v>0</v>
      </c>
      <c r="BA1826">
        <v>6.97</v>
      </c>
    </row>
    <row r="1827" spans="1:53" hidden="1" x14ac:dyDescent="0.3">
      <c r="A1827" t="s">
        <v>545</v>
      </c>
      <c r="C1827" t="s">
        <v>251</v>
      </c>
      <c r="D1827" t="s">
        <v>81</v>
      </c>
      <c r="E1827">
        <v>10000000</v>
      </c>
      <c r="H1827">
        <v>14.25</v>
      </c>
      <c r="I1827" t="s">
        <v>56</v>
      </c>
      <c r="J1827">
        <v>1.4250000000000001E-3</v>
      </c>
      <c r="K1827" t="s">
        <v>57</v>
      </c>
      <c r="L1827" t="s">
        <v>58</v>
      </c>
      <c r="N1827" t="s">
        <v>538</v>
      </c>
      <c r="O1827">
        <v>300</v>
      </c>
      <c r="P1827" t="s">
        <v>262</v>
      </c>
      <c r="S1827">
        <v>2</v>
      </c>
      <c r="T1827">
        <v>37</v>
      </c>
      <c r="U1827" t="s">
        <v>546</v>
      </c>
      <c r="V1827">
        <v>70</v>
      </c>
      <c r="W1827" t="s">
        <v>468</v>
      </c>
      <c r="X1827" t="s">
        <v>280</v>
      </c>
      <c r="Y1827">
        <v>2160</v>
      </c>
      <c r="AA1827" t="s">
        <v>94</v>
      </c>
      <c r="AB1827">
        <v>6.67</v>
      </c>
      <c r="AC1827" t="s">
        <v>85</v>
      </c>
      <c r="AD1827">
        <v>0.09</v>
      </c>
      <c r="AE1827" t="s">
        <v>63</v>
      </c>
      <c r="AI1827">
        <v>5</v>
      </c>
      <c r="AJ1827" t="s">
        <v>201</v>
      </c>
      <c r="AT1827" t="s">
        <v>318</v>
      </c>
      <c r="AV1827" t="s">
        <v>88</v>
      </c>
      <c r="AZ1827">
        <v>0</v>
      </c>
      <c r="BA1827">
        <v>6.67</v>
      </c>
    </row>
    <row r="1828" spans="1:53" hidden="1" x14ac:dyDescent="0.3">
      <c r="A1828" t="s">
        <v>545</v>
      </c>
      <c r="C1828" t="s">
        <v>251</v>
      </c>
      <c r="D1828" t="s">
        <v>81</v>
      </c>
      <c r="E1828">
        <v>10000000</v>
      </c>
      <c r="H1828">
        <v>14.25</v>
      </c>
      <c r="I1828" t="s">
        <v>56</v>
      </c>
      <c r="J1828">
        <v>1.4250000000000001E-3</v>
      </c>
      <c r="K1828" t="s">
        <v>57</v>
      </c>
      <c r="L1828" t="s">
        <v>58</v>
      </c>
      <c r="N1828" t="s">
        <v>538</v>
      </c>
      <c r="O1828">
        <v>300</v>
      </c>
      <c r="P1828" t="s">
        <v>262</v>
      </c>
      <c r="S1828">
        <v>2</v>
      </c>
      <c r="T1828">
        <v>37</v>
      </c>
      <c r="U1828" t="s">
        <v>546</v>
      </c>
      <c r="V1828">
        <v>70</v>
      </c>
      <c r="W1828" t="s">
        <v>547</v>
      </c>
      <c r="X1828" t="s">
        <v>280</v>
      </c>
      <c r="Y1828">
        <v>2160</v>
      </c>
      <c r="AB1828">
        <v>7.41</v>
      </c>
      <c r="AC1828" t="s">
        <v>85</v>
      </c>
      <c r="AD1828">
        <v>0.6</v>
      </c>
      <c r="AE1828" t="s">
        <v>63</v>
      </c>
      <c r="AI1828">
        <v>5</v>
      </c>
      <c r="AJ1828" t="s">
        <v>201</v>
      </c>
      <c r="AT1828" t="s">
        <v>73</v>
      </c>
      <c r="AV1828" t="s">
        <v>88</v>
      </c>
    </row>
    <row r="1829" spans="1:53" hidden="1" x14ac:dyDescent="0.3">
      <c r="A1829" t="s">
        <v>545</v>
      </c>
      <c r="C1829" t="s">
        <v>251</v>
      </c>
      <c r="D1829" t="s">
        <v>81</v>
      </c>
      <c r="E1829">
        <v>10000000</v>
      </c>
      <c r="H1829">
        <v>14.25</v>
      </c>
      <c r="I1829" t="s">
        <v>56</v>
      </c>
      <c r="J1829">
        <v>1.4250000000000001E-3</v>
      </c>
      <c r="K1829" t="s">
        <v>57</v>
      </c>
      <c r="L1829" t="s">
        <v>58</v>
      </c>
      <c r="N1829" t="s">
        <v>538</v>
      </c>
      <c r="O1829">
        <v>300</v>
      </c>
      <c r="P1829" t="s">
        <v>262</v>
      </c>
      <c r="S1829">
        <v>2</v>
      </c>
      <c r="T1829">
        <v>37</v>
      </c>
      <c r="U1829" t="s">
        <v>546</v>
      </c>
      <c r="V1829">
        <v>70</v>
      </c>
      <c r="W1829" t="s">
        <v>422</v>
      </c>
      <c r="X1829" t="s">
        <v>280</v>
      </c>
      <c r="Y1829">
        <v>2160</v>
      </c>
      <c r="AA1829" t="s">
        <v>94</v>
      </c>
      <c r="AB1829">
        <v>7.41</v>
      </c>
      <c r="AC1829" t="s">
        <v>85</v>
      </c>
      <c r="AD1829">
        <v>0.16</v>
      </c>
      <c r="AE1829" t="s">
        <v>63</v>
      </c>
      <c r="AI1829">
        <v>5</v>
      </c>
      <c r="AJ1829" t="s">
        <v>201</v>
      </c>
      <c r="AT1829" t="s">
        <v>79</v>
      </c>
      <c r="AV1829" t="s">
        <v>88</v>
      </c>
      <c r="AZ1829">
        <v>0</v>
      </c>
      <c r="BA1829">
        <v>7.41</v>
      </c>
    </row>
    <row r="1830" spans="1:53" hidden="1" x14ac:dyDescent="0.3">
      <c r="A1830" t="s">
        <v>545</v>
      </c>
      <c r="C1830" t="s">
        <v>251</v>
      </c>
      <c r="D1830" t="s">
        <v>81</v>
      </c>
      <c r="E1830">
        <v>10000000</v>
      </c>
      <c r="H1830">
        <v>14.25</v>
      </c>
      <c r="I1830" t="s">
        <v>56</v>
      </c>
      <c r="J1830">
        <v>1.4250000000000001E-3</v>
      </c>
      <c r="K1830" t="s">
        <v>57</v>
      </c>
      <c r="L1830" t="s">
        <v>58</v>
      </c>
      <c r="N1830" t="s">
        <v>538</v>
      </c>
      <c r="O1830">
        <v>300</v>
      </c>
      <c r="P1830" t="s">
        <v>262</v>
      </c>
      <c r="S1830">
        <v>2</v>
      </c>
      <c r="T1830">
        <v>37</v>
      </c>
      <c r="U1830" t="s">
        <v>546</v>
      </c>
      <c r="V1830">
        <v>70</v>
      </c>
      <c r="W1830" t="s">
        <v>548</v>
      </c>
      <c r="X1830" t="s">
        <v>280</v>
      </c>
      <c r="Y1830">
        <v>2160</v>
      </c>
      <c r="AB1830">
        <v>6.57</v>
      </c>
      <c r="AC1830" t="s">
        <v>85</v>
      </c>
      <c r="AD1830">
        <v>0.6</v>
      </c>
      <c r="AE1830" t="s">
        <v>63</v>
      </c>
      <c r="AI1830">
        <v>5</v>
      </c>
      <c r="AJ1830" t="s">
        <v>201</v>
      </c>
      <c r="AT1830" t="s">
        <v>75</v>
      </c>
      <c r="AV1830" t="s">
        <v>88</v>
      </c>
    </row>
    <row r="1831" spans="1:53" hidden="1" x14ac:dyDescent="0.3">
      <c r="A1831" t="s">
        <v>545</v>
      </c>
      <c r="C1831" t="s">
        <v>251</v>
      </c>
      <c r="D1831" t="s">
        <v>81</v>
      </c>
      <c r="E1831">
        <v>10000000</v>
      </c>
      <c r="H1831">
        <v>14.25</v>
      </c>
      <c r="I1831" t="s">
        <v>56</v>
      </c>
      <c r="J1831">
        <v>1.4250000000000001E-3</v>
      </c>
      <c r="K1831" t="s">
        <v>57</v>
      </c>
      <c r="L1831" t="s">
        <v>58</v>
      </c>
      <c r="N1831" t="s">
        <v>538</v>
      </c>
      <c r="O1831">
        <v>300</v>
      </c>
      <c r="P1831" t="s">
        <v>262</v>
      </c>
      <c r="S1831">
        <v>2</v>
      </c>
      <c r="T1831">
        <v>37</v>
      </c>
      <c r="U1831" t="s">
        <v>546</v>
      </c>
      <c r="V1831">
        <v>70</v>
      </c>
      <c r="W1831" t="s">
        <v>549</v>
      </c>
      <c r="X1831" t="s">
        <v>280</v>
      </c>
      <c r="Y1831">
        <v>2160</v>
      </c>
      <c r="AA1831" t="s">
        <v>94</v>
      </c>
      <c r="AB1831">
        <v>6.53</v>
      </c>
      <c r="AC1831" t="s">
        <v>85</v>
      </c>
      <c r="AD1831">
        <v>0.24</v>
      </c>
      <c r="AE1831" t="s">
        <v>63</v>
      </c>
      <c r="AI1831">
        <v>5</v>
      </c>
      <c r="AJ1831" t="s">
        <v>201</v>
      </c>
      <c r="AT1831" t="s">
        <v>77</v>
      </c>
      <c r="AV1831" t="s">
        <v>88</v>
      </c>
      <c r="AZ1831">
        <v>0</v>
      </c>
      <c r="BA1831">
        <v>6.53</v>
      </c>
    </row>
    <row r="1832" spans="1:53" hidden="1" x14ac:dyDescent="0.3">
      <c r="A1832" t="s">
        <v>545</v>
      </c>
      <c r="C1832" t="s">
        <v>251</v>
      </c>
      <c r="D1832" t="s">
        <v>81</v>
      </c>
      <c r="E1832">
        <v>10000000</v>
      </c>
      <c r="H1832">
        <v>14.25</v>
      </c>
      <c r="I1832" t="s">
        <v>56</v>
      </c>
      <c r="J1832">
        <v>1.4250000000000001E-3</v>
      </c>
      <c r="K1832" t="s">
        <v>57</v>
      </c>
      <c r="L1832" t="s">
        <v>58</v>
      </c>
      <c r="N1832" t="s">
        <v>538</v>
      </c>
      <c r="O1832">
        <v>300</v>
      </c>
      <c r="P1832" t="s">
        <v>262</v>
      </c>
      <c r="S1832">
        <v>2</v>
      </c>
      <c r="T1832">
        <v>25</v>
      </c>
      <c r="U1832" t="s">
        <v>546</v>
      </c>
      <c r="V1832">
        <v>70</v>
      </c>
      <c r="W1832" t="s">
        <v>147</v>
      </c>
      <c r="X1832" t="s">
        <v>280</v>
      </c>
      <c r="Y1832">
        <v>1440</v>
      </c>
      <c r="AA1832" t="s">
        <v>94</v>
      </c>
      <c r="AB1832">
        <v>7.23</v>
      </c>
      <c r="AC1832" t="s">
        <v>85</v>
      </c>
      <c r="AD1832">
        <v>0.15</v>
      </c>
      <c r="AE1832" t="s">
        <v>63</v>
      </c>
      <c r="AI1832">
        <v>5</v>
      </c>
      <c r="AJ1832" t="s">
        <v>201</v>
      </c>
      <c r="AT1832" t="s">
        <v>150</v>
      </c>
      <c r="AV1832" t="s">
        <v>88</v>
      </c>
      <c r="AZ1832">
        <v>0</v>
      </c>
      <c r="BA1832">
        <v>7.23</v>
      </c>
    </row>
    <row r="1833" spans="1:53" hidden="1" x14ac:dyDescent="0.3">
      <c r="A1833" t="s">
        <v>545</v>
      </c>
      <c r="C1833" t="s">
        <v>251</v>
      </c>
      <c r="D1833" t="s">
        <v>81</v>
      </c>
      <c r="E1833">
        <v>10000000</v>
      </c>
      <c r="H1833">
        <v>14.25</v>
      </c>
      <c r="I1833" t="s">
        <v>56</v>
      </c>
      <c r="J1833">
        <v>1.4250000000000001E-3</v>
      </c>
      <c r="K1833" t="s">
        <v>57</v>
      </c>
      <c r="L1833" t="s">
        <v>58</v>
      </c>
      <c r="N1833" t="s">
        <v>538</v>
      </c>
      <c r="O1833">
        <v>300</v>
      </c>
      <c r="P1833" t="s">
        <v>262</v>
      </c>
      <c r="S1833">
        <v>2</v>
      </c>
      <c r="T1833">
        <v>25</v>
      </c>
      <c r="U1833" t="s">
        <v>546</v>
      </c>
      <c r="V1833">
        <v>70</v>
      </c>
      <c r="W1833" t="s">
        <v>468</v>
      </c>
      <c r="X1833" t="s">
        <v>280</v>
      </c>
      <c r="Y1833">
        <v>1440</v>
      </c>
      <c r="AA1833" t="s">
        <v>94</v>
      </c>
      <c r="AB1833">
        <v>6.96</v>
      </c>
      <c r="AC1833" t="s">
        <v>85</v>
      </c>
      <c r="AD1833">
        <v>0.08</v>
      </c>
      <c r="AE1833" t="s">
        <v>63</v>
      </c>
      <c r="AI1833">
        <v>5</v>
      </c>
      <c r="AJ1833" t="s">
        <v>201</v>
      </c>
      <c r="AT1833" t="s">
        <v>318</v>
      </c>
      <c r="AV1833" t="s">
        <v>88</v>
      </c>
      <c r="AZ1833">
        <v>0</v>
      </c>
      <c r="BA1833">
        <v>6.96</v>
      </c>
    </row>
    <row r="1834" spans="1:53" hidden="1" x14ac:dyDescent="0.3">
      <c r="A1834" t="s">
        <v>545</v>
      </c>
      <c r="C1834" t="s">
        <v>251</v>
      </c>
      <c r="D1834" t="s">
        <v>81</v>
      </c>
      <c r="E1834">
        <v>10000000</v>
      </c>
      <c r="H1834">
        <v>14.25</v>
      </c>
      <c r="I1834" t="s">
        <v>56</v>
      </c>
      <c r="J1834">
        <v>1.4250000000000001E-3</v>
      </c>
      <c r="K1834" t="s">
        <v>57</v>
      </c>
      <c r="L1834" t="s">
        <v>58</v>
      </c>
      <c r="N1834" t="s">
        <v>538</v>
      </c>
      <c r="O1834">
        <v>300</v>
      </c>
      <c r="P1834" t="s">
        <v>262</v>
      </c>
      <c r="S1834">
        <v>2</v>
      </c>
      <c r="T1834">
        <v>25</v>
      </c>
      <c r="U1834" t="s">
        <v>546</v>
      </c>
      <c r="V1834">
        <v>70</v>
      </c>
      <c r="W1834" t="s">
        <v>547</v>
      </c>
      <c r="X1834" t="s">
        <v>280</v>
      </c>
      <c r="Y1834">
        <v>1440</v>
      </c>
      <c r="AA1834" t="s">
        <v>94</v>
      </c>
      <c r="AB1834">
        <v>7.85</v>
      </c>
      <c r="AC1834" t="s">
        <v>85</v>
      </c>
      <c r="AD1834">
        <v>0.08</v>
      </c>
      <c r="AE1834" t="s">
        <v>63</v>
      </c>
      <c r="AI1834">
        <v>5</v>
      </c>
      <c r="AJ1834" t="s">
        <v>201</v>
      </c>
      <c r="AT1834" t="s">
        <v>73</v>
      </c>
      <c r="AV1834" t="s">
        <v>88</v>
      </c>
      <c r="AZ1834">
        <v>0</v>
      </c>
      <c r="BA1834">
        <v>7.85</v>
      </c>
    </row>
    <row r="1835" spans="1:53" hidden="1" x14ac:dyDescent="0.3">
      <c r="A1835" t="s">
        <v>545</v>
      </c>
      <c r="C1835" t="s">
        <v>251</v>
      </c>
      <c r="D1835" t="s">
        <v>81</v>
      </c>
      <c r="E1835">
        <v>10000000</v>
      </c>
      <c r="H1835">
        <v>14.25</v>
      </c>
      <c r="I1835" t="s">
        <v>56</v>
      </c>
      <c r="J1835">
        <v>1.4250000000000001E-3</v>
      </c>
      <c r="K1835" t="s">
        <v>57</v>
      </c>
      <c r="L1835" t="s">
        <v>58</v>
      </c>
      <c r="N1835" t="s">
        <v>538</v>
      </c>
      <c r="O1835">
        <v>300</v>
      </c>
      <c r="P1835" t="s">
        <v>262</v>
      </c>
      <c r="S1835">
        <v>2</v>
      </c>
      <c r="T1835">
        <v>25</v>
      </c>
      <c r="U1835" t="s">
        <v>546</v>
      </c>
      <c r="V1835">
        <v>70</v>
      </c>
      <c r="W1835" t="s">
        <v>422</v>
      </c>
      <c r="X1835" t="s">
        <v>280</v>
      </c>
      <c r="Y1835">
        <v>1440</v>
      </c>
      <c r="AA1835" t="s">
        <v>94</v>
      </c>
      <c r="AB1835">
        <v>7.61</v>
      </c>
      <c r="AC1835" t="s">
        <v>85</v>
      </c>
      <c r="AD1835">
        <v>0.06</v>
      </c>
      <c r="AE1835" t="s">
        <v>63</v>
      </c>
      <c r="AI1835">
        <v>5</v>
      </c>
      <c r="AJ1835" t="s">
        <v>201</v>
      </c>
      <c r="AT1835" t="s">
        <v>79</v>
      </c>
      <c r="AV1835" t="s">
        <v>88</v>
      </c>
      <c r="AZ1835">
        <v>0</v>
      </c>
      <c r="BA1835">
        <v>7.61</v>
      </c>
    </row>
    <row r="1836" spans="1:53" hidden="1" x14ac:dyDescent="0.3">
      <c r="A1836" t="s">
        <v>545</v>
      </c>
      <c r="C1836" t="s">
        <v>251</v>
      </c>
      <c r="D1836" t="s">
        <v>81</v>
      </c>
      <c r="E1836">
        <v>10000000</v>
      </c>
      <c r="H1836">
        <v>14.25</v>
      </c>
      <c r="I1836" t="s">
        <v>56</v>
      </c>
      <c r="J1836">
        <v>1.4250000000000001E-3</v>
      </c>
      <c r="K1836" t="s">
        <v>57</v>
      </c>
      <c r="L1836" t="s">
        <v>58</v>
      </c>
      <c r="N1836" t="s">
        <v>538</v>
      </c>
      <c r="O1836">
        <v>300</v>
      </c>
      <c r="P1836" t="s">
        <v>262</v>
      </c>
      <c r="S1836">
        <v>2</v>
      </c>
      <c r="T1836">
        <v>25</v>
      </c>
      <c r="U1836" t="s">
        <v>546</v>
      </c>
      <c r="V1836">
        <v>70</v>
      </c>
      <c r="W1836" t="s">
        <v>548</v>
      </c>
      <c r="X1836" t="s">
        <v>280</v>
      </c>
      <c r="Y1836">
        <v>1440</v>
      </c>
      <c r="AA1836" t="s">
        <v>94</v>
      </c>
      <c r="AB1836">
        <v>7.33</v>
      </c>
      <c r="AC1836" t="s">
        <v>85</v>
      </c>
      <c r="AD1836">
        <v>0.13</v>
      </c>
      <c r="AE1836" t="s">
        <v>63</v>
      </c>
      <c r="AI1836">
        <v>5</v>
      </c>
      <c r="AJ1836" t="s">
        <v>201</v>
      </c>
      <c r="AT1836" t="s">
        <v>75</v>
      </c>
      <c r="AV1836" t="s">
        <v>88</v>
      </c>
      <c r="AZ1836">
        <v>0</v>
      </c>
      <c r="BA1836">
        <v>7.33</v>
      </c>
    </row>
    <row r="1837" spans="1:53" hidden="1" x14ac:dyDescent="0.3">
      <c r="A1837" t="s">
        <v>545</v>
      </c>
      <c r="C1837" t="s">
        <v>251</v>
      </c>
      <c r="D1837" t="s">
        <v>81</v>
      </c>
      <c r="E1837">
        <v>10000000</v>
      </c>
      <c r="H1837">
        <v>14.25</v>
      </c>
      <c r="I1837" t="s">
        <v>56</v>
      </c>
      <c r="J1837">
        <v>1.4250000000000001E-3</v>
      </c>
      <c r="K1837" t="s">
        <v>57</v>
      </c>
      <c r="L1837" t="s">
        <v>58</v>
      </c>
      <c r="N1837" t="s">
        <v>538</v>
      </c>
      <c r="O1837">
        <v>300</v>
      </c>
      <c r="P1837" t="s">
        <v>262</v>
      </c>
      <c r="S1837">
        <v>2</v>
      </c>
      <c r="T1837">
        <v>25</v>
      </c>
      <c r="U1837" t="s">
        <v>546</v>
      </c>
      <c r="V1837">
        <v>70</v>
      </c>
      <c r="W1837" t="s">
        <v>549</v>
      </c>
      <c r="X1837" t="s">
        <v>280</v>
      </c>
      <c r="Y1837">
        <v>1440</v>
      </c>
      <c r="AA1837" t="s">
        <v>94</v>
      </c>
      <c r="AB1837">
        <v>6.7</v>
      </c>
      <c r="AC1837" t="s">
        <v>85</v>
      </c>
      <c r="AD1837">
        <v>0.25</v>
      </c>
      <c r="AE1837" t="s">
        <v>63</v>
      </c>
      <c r="AI1837">
        <v>5</v>
      </c>
      <c r="AJ1837" t="s">
        <v>201</v>
      </c>
      <c r="AT1837" t="s">
        <v>77</v>
      </c>
      <c r="AV1837" t="s">
        <v>88</v>
      </c>
      <c r="AZ1837">
        <v>0</v>
      </c>
      <c r="BA1837">
        <v>6.7</v>
      </c>
    </row>
    <row r="1838" spans="1:53" hidden="1" x14ac:dyDescent="0.3">
      <c r="A1838" t="s">
        <v>545</v>
      </c>
      <c r="C1838" t="s">
        <v>251</v>
      </c>
      <c r="D1838" t="s">
        <v>81</v>
      </c>
      <c r="E1838">
        <v>10000000</v>
      </c>
      <c r="H1838">
        <v>14.25</v>
      </c>
      <c r="I1838" t="s">
        <v>56</v>
      </c>
      <c r="J1838">
        <v>1.4250000000000001E-3</v>
      </c>
      <c r="K1838" t="s">
        <v>57</v>
      </c>
      <c r="L1838" t="s">
        <v>58</v>
      </c>
      <c r="N1838" t="s">
        <v>538</v>
      </c>
      <c r="O1838">
        <v>300</v>
      </c>
      <c r="P1838" t="s">
        <v>262</v>
      </c>
      <c r="S1838">
        <v>2</v>
      </c>
      <c r="T1838">
        <v>25</v>
      </c>
      <c r="U1838" t="s">
        <v>546</v>
      </c>
      <c r="V1838">
        <v>70</v>
      </c>
      <c r="W1838" t="s">
        <v>147</v>
      </c>
      <c r="X1838" t="s">
        <v>280</v>
      </c>
      <c r="Y1838">
        <v>720</v>
      </c>
      <c r="AB1838">
        <v>0.87</v>
      </c>
      <c r="AC1838" t="s">
        <v>85</v>
      </c>
      <c r="AD1838">
        <v>0.56999999999999995</v>
      </c>
      <c r="AE1838" t="s">
        <v>63</v>
      </c>
      <c r="AI1838">
        <v>5</v>
      </c>
      <c r="AJ1838" t="s">
        <v>201</v>
      </c>
      <c r="AT1838" t="s">
        <v>150</v>
      </c>
      <c r="AV1838" t="s">
        <v>88</v>
      </c>
    </row>
    <row r="1839" spans="1:53" hidden="1" x14ac:dyDescent="0.3">
      <c r="A1839" t="s">
        <v>545</v>
      </c>
      <c r="C1839" t="s">
        <v>251</v>
      </c>
      <c r="D1839" t="s">
        <v>81</v>
      </c>
      <c r="E1839">
        <v>10000000</v>
      </c>
      <c r="H1839">
        <v>14.25</v>
      </c>
      <c r="I1839" t="s">
        <v>56</v>
      </c>
      <c r="J1839">
        <v>1.4250000000000001E-3</v>
      </c>
      <c r="K1839" t="s">
        <v>57</v>
      </c>
      <c r="L1839" t="s">
        <v>58</v>
      </c>
      <c r="N1839" t="s">
        <v>538</v>
      </c>
      <c r="O1839">
        <v>300</v>
      </c>
      <c r="P1839" t="s">
        <v>262</v>
      </c>
      <c r="S1839">
        <v>2</v>
      </c>
      <c r="T1839">
        <v>25</v>
      </c>
      <c r="U1839" t="s">
        <v>546</v>
      </c>
      <c r="V1839">
        <v>70</v>
      </c>
      <c r="W1839" t="s">
        <v>468</v>
      </c>
      <c r="X1839" t="s">
        <v>280</v>
      </c>
      <c r="Y1839">
        <v>720</v>
      </c>
      <c r="AB1839">
        <v>1.24</v>
      </c>
      <c r="AC1839" t="s">
        <v>85</v>
      </c>
      <c r="AD1839">
        <v>0.67</v>
      </c>
      <c r="AE1839" t="s">
        <v>63</v>
      </c>
      <c r="AI1839">
        <v>5</v>
      </c>
      <c r="AJ1839" t="s">
        <v>201</v>
      </c>
      <c r="AT1839" t="s">
        <v>318</v>
      </c>
      <c r="AV1839" t="s">
        <v>88</v>
      </c>
    </row>
    <row r="1840" spans="1:53" hidden="1" x14ac:dyDescent="0.3">
      <c r="A1840" t="s">
        <v>545</v>
      </c>
      <c r="C1840" t="s">
        <v>251</v>
      </c>
      <c r="D1840" t="s">
        <v>81</v>
      </c>
      <c r="E1840">
        <v>10000000</v>
      </c>
      <c r="H1840">
        <v>14.25</v>
      </c>
      <c r="I1840" t="s">
        <v>56</v>
      </c>
      <c r="J1840">
        <v>1.4250000000000001E-3</v>
      </c>
      <c r="K1840" t="s">
        <v>57</v>
      </c>
      <c r="L1840" t="s">
        <v>58</v>
      </c>
      <c r="N1840" t="s">
        <v>538</v>
      </c>
      <c r="O1840">
        <v>300</v>
      </c>
      <c r="P1840" t="s">
        <v>262</v>
      </c>
      <c r="S1840">
        <v>2</v>
      </c>
      <c r="T1840">
        <v>25</v>
      </c>
      <c r="U1840" t="s">
        <v>546</v>
      </c>
      <c r="V1840">
        <v>70</v>
      </c>
      <c r="W1840" t="s">
        <v>547</v>
      </c>
      <c r="X1840" t="s">
        <v>280</v>
      </c>
      <c r="Y1840">
        <v>720</v>
      </c>
      <c r="AB1840">
        <v>2.2200000000000002</v>
      </c>
      <c r="AC1840" t="s">
        <v>85</v>
      </c>
      <c r="AD1840">
        <v>0.22</v>
      </c>
      <c r="AE1840" t="s">
        <v>63</v>
      </c>
      <c r="AI1840">
        <v>5</v>
      </c>
      <c r="AJ1840" t="s">
        <v>201</v>
      </c>
      <c r="AT1840" t="s">
        <v>73</v>
      </c>
      <c r="AV1840" t="s">
        <v>88</v>
      </c>
    </row>
    <row r="1841" spans="1:53" hidden="1" x14ac:dyDescent="0.3">
      <c r="A1841" t="s">
        <v>545</v>
      </c>
      <c r="C1841" t="s">
        <v>251</v>
      </c>
      <c r="D1841" t="s">
        <v>81</v>
      </c>
      <c r="E1841">
        <v>10000000</v>
      </c>
      <c r="H1841">
        <v>14.25</v>
      </c>
      <c r="I1841" t="s">
        <v>56</v>
      </c>
      <c r="J1841">
        <v>1.4250000000000001E-3</v>
      </c>
      <c r="K1841" t="s">
        <v>57</v>
      </c>
      <c r="L1841" t="s">
        <v>58</v>
      </c>
      <c r="N1841" t="s">
        <v>538</v>
      </c>
      <c r="O1841">
        <v>300</v>
      </c>
      <c r="P1841" t="s">
        <v>262</v>
      </c>
      <c r="S1841">
        <v>2</v>
      </c>
      <c r="T1841">
        <v>25</v>
      </c>
      <c r="U1841" t="s">
        <v>546</v>
      </c>
      <c r="V1841">
        <v>70</v>
      </c>
      <c r="W1841" t="s">
        <v>422</v>
      </c>
      <c r="X1841" t="s">
        <v>280</v>
      </c>
      <c r="Y1841">
        <v>720</v>
      </c>
      <c r="AB1841">
        <v>0.56000000000000005</v>
      </c>
      <c r="AC1841" t="s">
        <v>85</v>
      </c>
      <c r="AD1841">
        <v>0.33</v>
      </c>
      <c r="AE1841" t="s">
        <v>63</v>
      </c>
      <c r="AI1841">
        <v>5</v>
      </c>
      <c r="AJ1841" t="s">
        <v>201</v>
      </c>
      <c r="AT1841" t="s">
        <v>79</v>
      </c>
      <c r="AV1841" t="s">
        <v>88</v>
      </c>
    </row>
    <row r="1842" spans="1:53" hidden="1" x14ac:dyDescent="0.3">
      <c r="A1842" t="s">
        <v>545</v>
      </c>
      <c r="C1842" t="s">
        <v>251</v>
      </c>
      <c r="D1842" t="s">
        <v>81</v>
      </c>
      <c r="E1842">
        <v>10000000</v>
      </c>
      <c r="H1842">
        <v>14.25</v>
      </c>
      <c r="I1842" t="s">
        <v>56</v>
      </c>
      <c r="J1842">
        <v>1.4250000000000001E-3</v>
      </c>
      <c r="K1842" t="s">
        <v>57</v>
      </c>
      <c r="L1842" t="s">
        <v>58</v>
      </c>
      <c r="N1842" t="s">
        <v>538</v>
      </c>
      <c r="O1842">
        <v>300</v>
      </c>
      <c r="P1842" t="s">
        <v>262</v>
      </c>
      <c r="S1842">
        <v>2</v>
      </c>
      <c r="T1842">
        <v>25</v>
      </c>
      <c r="U1842" t="s">
        <v>546</v>
      </c>
      <c r="V1842">
        <v>70</v>
      </c>
      <c r="W1842" t="s">
        <v>548</v>
      </c>
      <c r="X1842" t="s">
        <v>280</v>
      </c>
      <c r="Y1842">
        <v>720</v>
      </c>
      <c r="AB1842">
        <v>0.9</v>
      </c>
      <c r="AC1842" t="s">
        <v>85</v>
      </c>
      <c r="AD1842">
        <v>0.22</v>
      </c>
      <c r="AE1842" t="s">
        <v>63</v>
      </c>
      <c r="AI1842">
        <v>5</v>
      </c>
      <c r="AJ1842" t="s">
        <v>201</v>
      </c>
      <c r="AT1842" t="s">
        <v>75</v>
      </c>
      <c r="AV1842" t="s">
        <v>88</v>
      </c>
    </row>
    <row r="1843" spans="1:53" hidden="1" x14ac:dyDescent="0.3">
      <c r="A1843" t="s">
        <v>545</v>
      </c>
      <c r="C1843" t="s">
        <v>251</v>
      </c>
      <c r="D1843" t="s">
        <v>81</v>
      </c>
      <c r="E1843">
        <v>10000000</v>
      </c>
      <c r="H1843">
        <v>14.25</v>
      </c>
      <c r="I1843" t="s">
        <v>56</v>
      </c>
      <c r="J1843">
        <v>1.4250000000000001E-3</v>
      </c>
      <c r="K1843" t="s">
        <v>57</v>
      </c>
      <c r="L1843" t="s">
        <v>58</v>
      </c>
      <c r="N1843" t="s">
        <v>538</v>
      </c>
      <c r="O1843">
        <v>300</v>
      </c>
      <c r="P1843" t="s">
        <v>262</v>
      </c>
      <c r="S1843">
        <v>2</v>
      </c>
      <c r="T1843">
        <v>25</v>
      </c>
      <c r="U1843" t="s">
        <v>546</v>
      </c>
      <c r="V1843">
        <v>70</v>
      </c>
      <c r="W1843" t="s">
        <v>549</v>
      </c>
      <c r="X1843" t="s">
        <v>280</v>
      </c>
      <c r="Y1843">
        <v>720</v>
      </c>
      <c r="AB1843">
        <v>0.64</v>
      </c>
      <c r="AC1843" t="s">
        <v>85</v>
      </c>
      <c r="AD1843">
        <v>0.57999999999999996</v>
      </c>
      <c r="AE1843" t="s">
        <v>63</v>
      </c>
      <c r="AI1843">
        <v>5</v>
      </c>
      <c r="AJ1843" t="s">
        <v>201</v>
      </c>
      <c r="AT1843" t="s">
        <v>77</v>
      </c>
      <c r="AV1843" t="s">
        <v>88</v>
      </c>
    </row>
    <row r="1844" spans="1:53" hidden="1" x14ac:dyDescent="0.3">
      <c r="A1844" t="s">
        <v>545</v>
      </c>
      <c r="C1844" t="s">
        <v>251</v>
      </c>
      <c r="D1844" t="s">
        <v>81</v>
      </c>
      <c r="E1844">
        <v>10000000</v>
      </c>
      <c r="H1844">
        <v>14.25</v>
      </c>
      <c r="I1844" t="s">
        <v>56</v>
      </c>
      <c r="J1844">
        <v>1.4250000000000001E-3</v>
      </c>
      <c r="K1844" t="s">
        <v>57</v>
      </c>
      <c r="L1844" t="s">
        <v>58</v>
      </c>
      <c r="N1844" t="s">
        <v>538</v>
      </c>
      <c r="O1844">
        <v>300</v>
      </c>
      <c r="P1844" t="s">
        <v>262</v>
      </c>
      <c r="S1844">
        <v>2</v>
      </c>
      <c r="T1844">
        <v>25</v>
      </c>
      <c r="U1844" t="s">
        <v>546</v>
      </c>
      <c r="V1844">
        <v>45</v>
      </c>
      <c r="W1844" t="s">
        <v>147</v>
      </c>
      <c r="X1844" t="s">
        <v>280</v>
      </c>
      <c r="Y1844">
        <v>1440</v>
      </c>
      <c r="AB1844">
        <v>1.98</v>
      </c>
      <c r="AC1844" t="s">
        <v>85</v>
      </c>
      <c r="AD1844">
        <v>0.39</v>
      </c>
      <c r="AE1844" t="s">
        <v>63</v>
      </c>
      <c r="AI1844">
        <v>5</v>
      </c>
      <c r="AJ1844" t="s">
        <v>201</v>
      </c>
      <c r="AT1844" t="s">
        <v>150</v>
      </c>
      <c r="AV1844" t="s">
        <v>88</v>
      </c>
    </row>
    <row r="1845" spans="1:53" hidden="1" x14ac:dyDescent="0.3">
      <c r="A1845" t="s">
        <v>545</v>
      </c>
      <c r="C1845" t="s">
        <v>251</v>
      </c>
      <c r="D1845" t="s">
        <v>81</v>
      </c>
      <c r="E1845">
        <v>10000000</v>
      </c>
      <c r="H1845">
        <v>14.25</v>
      </c>
      <c r="I1845" t="s">
        <v>56</v>
      </c>
      <c r="J1845">
        <v>1.4250000000000001E-3</v>
      </c>
      <c r="K1845" t="s">
        <v>57</v>
      </c>
      <c r="L1845" t="s">
        <v>58</v>
      </c>
      <c r="N1845" t="s">
        <v>538</v>
      </c>
      <c r="O1845">
        <v>300</v>
      </c>
      <c r="P1845" t="s">
        <v>262</v>
      </c>
      <c r="S1845">
        <v>2</v>
      </c>
      <c r="T1845">
        <v>25</v>
      </c>
      <c r="U1845" t="s">
        <v>546</v>
      </c>
      <c r="V1845">
        <v>45</v>
      </c>
      <c r="W1845" t="s">
        <v>468</v>
      </c>
      <c r="X1845" t="s">
        <v>280</v>
      </c>
      <c r="Y1845">
        <v>1440</v>
      </c>
      <c r="AB1845">
        <v>2.71</v>
      </c>
      <c r="AC1845" t="s">
        <v>85</v>
      </c>
      <c r="AD1845">
        <v>0.23</v>
      </c>
      <c r="AE1845" t="s">
        <v>63</v>
      </c>
      <c r="AI1845">
        <v>5</v>
      </c>
      <c r="AJ1845" t="s">
        <v>201</v>
      </c>
      <c r="AT1845" t="s">
        <v>318</v>
      </c>
      <c r="AV1845" t="s">
        <v>88</v>
      </c>
    </row>
    <row r="1846" spans="1:53" hidden="1" x14ac:dyDescent="0.3">
      <c r="A1846" t="s">
        <v>545</v>
      </c>
      <c r="C1846" t="s">
        <v>251</v>
      </c>
      <c r="D1846" t="s">
        <v>81</v>
      </c>
      <c r="E1846">
        <v>10000000</v>
      </c>
      <c r="H1846">
        <v>14.25</v>
      </c>
      <c r="I1846" t="s">
        <v>56</v>
      </c>
      <c r="J1846">
        <v>1.4250000000000001E-3</v>
      </c>
      <c r="K1846" t="s">
        <v>57</v>
      </c>
      <c r="L1846" t="s">
        <v>58</v>
      </c>
      <c r="N1846" t="s">
        <v>538</v>
      </c>
      <c r="O1846">
        <v>300</v>
      </c>
      <c r="P1846" t="s">
        <v>262</v>
      </c>
      <c r="S1846">
        <v>2</v>
      </c>
      <c r="T1846">
        <v>25</v>
      </c>
      <c r="U1846" t="s">
        <v>546</v>
      </c>
      <c r="V1846">
        <v>45</v>
      </c>
      <c r="W1846" t="s">
        <v>547</v>
      </c>
      <c r="X1846" t="s">
        <v>280</v>
      </c>
      <c r="Y1846">
        <v>1440</v>
      </c>
      <c r="AB1846">
        <v>3.27</v>
      </c>
      <c r="AC1846" t="s">
        <v>85</v>
      </c>
      <c r="AD1846">
        <v>0.45</v>
      </c>
      <c r="AE1846" t="s">
        <v>63</v>
      </c>
      <c r="AI1846">
        <v>5</v>
      </c>
      <c r="AJ1846" t="s">
        <v>201</v>
      </c>
      <c r="AT1846" t="s">
        <v>73</v>
      </c>
      <c r="AV1846" t="s">
        <v>88</v>
      </c>
    </row>
    <row r="1847" spans="1:53" hidden="1" x14ac:dyDescent="0.3">
      <c r="A1847" t="s">
        <v>545</v>
      </c>
      <c r="C1847" t="s">
        <v>251</v>
      </c>
      <c r="D1847" t="s">
        <v>81</v>
      </c>
      <c r="E1847">
        <v>10000000</v>
      </c>
      <c r="H1847">
        <v>14.25</v>
      </c>
      <c r="I1847" t="s">
        <v>56</v>
      </c>
      <c r="J1847">
        <v>1.4250000000000001E-3</v>
      </c>
      <c r="K1847" t="s">
        <v>57</v>
      </c>
      <c r="L1847" t="s">
        <v>58</v>
      </c>
      <c r="N1847" t="s">
        <v>538</v>
      </c>
      <c r="O1847">
        <v>300</v>
      </c>
      <c r="P1847" t="s">
        <v>262</v>
      </c>
      <c r="S1847">
        <v>2</v>
      </c>
      <c r="T1847">
        <v>25</v>
      </c>
      <c r="U1847" t="s">
        <v>546</v>
      </c>
      <c r="V1847">
        <v>45</v>
      </c>
      <c r="W1847" t="s">
        <v>422</v>
      </c>
      <c r="X1847" t="s">
        <v>280</v>
      </c>
      <c r="Y1847">
        <v>1440</v>
      </c>
      <c r="AA1847" t="s">
        <v>94</v>
      </c>
      <c r="AB1847">
        <v>7.59</v>
      </c>
      <c r="AC1847" t="s">
        <v>85</v>
      </c>
      <c r="AD1847">
        <v>7.0000000000000007E-2</v>
      </c>
      <c r="AE1847" t="s">
        <v>63</v>
      </c>
      <c r="AI1847">
        <v>5</v>
      </c>
      <c r="AJ1847" t="s">
        <v>201</v>
      </c>
      <c r="AT1847" t="s">
        <v>79</v>
      </c>
      <c r="AV1847" t="s">
        <v>88</v>
      </c>
      <c r="AZ1847">
        <v>0</v>
      </c>
      <c r="BA1847">
        <v>7.59</v>
      </c>
    </row>
    <row r="1848" spans="1:53" hidden="1" x14ac:dyDescent="0.3">
      <c r="A1848" t="s">
        <v>545</v>
      </c>
      <c r="C1848" t="s">
        <v>251</v>
      </c>
      <c r="D1848" t="s">
        <v>81</v>
      </c>
      <c r="E1848">
        <v>10000000</v>
      </c>
      <c r="H1848">
        <v>14.25</v>
      </c>
      <c r="I1848" t="s">
        <v>56</v>
      </c>
      <c r="J1848">
        <v>1.4250000000000001E-3</v>
      </c>
      <c r="K1848" t="s">
        <v>57</v>
      </c>
      <c r="L1848" t="s">
        <v>58</v>
      </c>
      <c r="N1848" t="s">
        <v>538</v>
      </c>
      <c r="O1848">
        <v>300</v>
      </c>
      <c r="P1848" t="s">
        <v>262</v>
      </c>
      <c r="S1848">
        <v>2</v>
      </c>
      <c r="T1848">
        <v>25</v>
      </c>
      <c r="U1848" t="s">
        <v>546</v>
      </c>
      <c r="V1848">
        <v>45</v>
      </c>
      <c r="W1848" t="s">
        <v>548</v>
      </c>
      <c r="X1848" t="s">
        <v>280</v>
      </c>
      <c r="Y1848">
        <v>1440</v>
      </c>
      <c r="AB1848">
        <v>2.4700000000000002</v>
      </c>
      <c r="AC1848" t="s">
        <v>85</v>
      </c>
      <c r="AD1848">
        <v>0.22</v>
      </c>
      <c r="AE1848" t="s">
        <v>63</v>
      </c>
      <c r="AI1848">
        <v>5</v>
      </c>
      <c r="AJ1848" t="s">
        <v>201</v>
      </c>
      <c r="AT1848" t="s">
        <v>75</v>
      </c>
      <c r="AV1848" t="s">
        <v>88</v>
      </c>
    </row>
    <row r="1849" spans="1:53" hidden="1" x14ac:dyDescent="0.3">
      <c r="A1849" t="s">
        <v>545</v>
      </c>
      <c r="C1849" t="s">
        <v>251</v>
      </c>
      <c r="D1849" t="s">
        <v>81</v>
      </c>
      <c r="E1849">
        <v>10000000</v>
      </c>
      <c r="H1849">
        <v>14.25</v>
      </c>
      <c r="I1849" t="s">
        <v>56</v>
      </c>
      <c r="J1849">
        <v>1.4250000000000001E-3</v>
      </c>
      <c r="K1849" t="s">
        <v>57</v>
      </c>
      <c r="L1849" t="s">
        <v>58</v>
      </c>
      <c r="N1849" t="s">
        <v>538</v>
      </c>
      <c r="O1849">
        <v>300</v>
      </c>
      <c r="P1849" t="s">
        <v>262</v>
      </c>
      <c r="S1849">
        <v>2</v>
      </c>
      <c r="T1849">
        <v>25</v>
      </c>
      <c r="U1849" t="s">
        <v>546</v>
      </c>
      <c r="V1849">
        <v>45</v>
      </c>
      <c r="W1849" t="s">
        <v>549</v>
      </c>
      <c r="X1849" t="s">
        <v>280</v>
      </c>
      <c r="Y1849">
        <v>1440</v>
      </c>
      <c r="AA1849" t="s">
        <v>94</v>
      </c>
      <c r="AB1849">
        <v>6.71</v>
      </c>
      <c r="AC1849" t="s">
        <v>85</v>
      </c>
      <c r="AD1849">
        <v>7.0000000000000007E-2</v>
      </c>
      <c r="AE1849" t="s">
        <v>63</v>
      </c>
      <c r="AI1849">
        <v>5</v>
      </c>
      <c r="AJ1849" t="s">
        <v>201</v>
      </c>
      <c r="AT1849" t="s">
        <v>77</v>
      </c>
      <c r="AV1849" t="s">
        <v>88</v>
      </c>
      <c r="AZ1849">
        <v>0</v>
      </c>
      <c r="BA1849">
        <v>6.71</v>
      </c>
    </row>
    <row r="1850" spans="1:53" hidden="1" x14ac:dyDescent="0.3">
      <c r="A1850" t="s">
        <v>545</v>
      </c>
      <c r="C1850" t="s">
        <v>251</v>
      </c>
      <c r="D1850" t="s">
        <v>81</v>
      </c>
      <c r="E1850">
        <v>10000000</v>
      </c>
      <c r="H1850">
        <v>14.25</v>
      </c>
      <c r="I1850" t="s">
        <v>56</v>
      </c>
      <c r="J1850">
        <v>1.4250000000000001E-3</v>
      </c>
      <c r="K1850" t="s">
        <v>57</v>
      </c>
      <c r="L1850" t="s">
        <v>58</v>
      </c>
      <c r="N1850" t="s">
        <v>538</v>
      </c>
      <c r="O1850">
        <v>200</v>
      </c>
      <c r="P1850" t="s">
        <v>262</v>
      </c>
      <c r="S1850">
        <v>2</v>
      </c>
      <c r="T1850">
        <v>25</v>
      </c>
      <c r="U1850" t="s">
        <v>546</v>
      </c>
      <c r="V1850">
        <v>70</v>
      </c>
      <c r="W1850" t="s">
        <v>147</v>
      </c>
      <c r="X1850" t="s">
        <v>280</v>
      </c>
      <c r="Y1850">
        <v>1440</v>
      </c>
      <c r="AA1850" t="s">
        <v>94</v>
      </c>
      <c r="AB1850">
        <v>6.97</v>
      </c>
      <c r="AC1850" t="s">
        <v>85</v>
      </c>
      <c r="AD1850">
        <v>0.09</v>
      </c>
      <c r="AE1850" t="s">
        <v>63</v>
      </c>
      <c r="AI1850">
        <v>5</v>
      </c>
      <c r="AJ1850" t="s">
        <v>201</v>
      </c>
      <c r="AT1850" t="s">
        <v>150</v>
      </c>
      <c r="AV1850" t="s">
        <v>88</v>
      </c>
      <c r="AZ1850">
        <v>0</v>
      </c>
      <c r="BA1850">
        <v>6.97</v>
      </c>
    </row>
    <row r="1851" spans="1:53" hidden="1" x14ac:dyDescent="0.3">
      <c r="A1851" t="s">
        <v>545</v>
      </c>
      <c r="C1851" t="s">
        <v>251</v>
      </c>
      <c r="D1851" t="s">
        <v>81</v>
      </c>
      <c r="E1851">
        <v>10000000</v>
      </c>
      <c r="H1851">
        <v>14.25</v>
      </c>
      <c r="I1851" t="s">
        <v>56</v>
      </c>
      <c r="J1851">
        <v>1.4250000000000001E-3</v>
      </c>
      <c r="K1851" t="s">
        <v>57</v>
      </c>
      <c r="L1851" t="s">
        <v>58</v>
      </c>
      <c r="N1851" t="s">
        <v>538</v>
      </c>
      <c r="O1851">
        <v>200</v>
      </c>
      <c r="P1851" t="s">
        <v>262</v>
      </c>
      <c r="S1851">
        <v>2</v>
      </c>
      <c r="T1851">
        <v>25</v>
      </c>
      <c r="U1851" t="s">
        <v>546</v>
      </c>
      <c r="V1851">
        <v>70</v>
      </c>
      <c r="W1851" t="s">
        <v>468</v>
      </c>
      <c r="X1851" t="s">
        <v>280</v>
      </c>
      <c r="Y1851">
        <v>1440</v>
      </c>
      <c r="AB1851">
        <v>4.34</v>
      </c>
      <c r="AC1851" t="s">
        <v>85</v>
      </c>
      <c r="AD1851">
        <v>1.43</v>
      </c>
      <c r="AE1851" t="s">
        <v>63</v>
      </c>
      <c r="AI1851">
        <v>5</v>
      </c>
      <c r="AJ1851" t="s">
        <v>201</v>
      </c>
      <c r="AT1851" t="s">
        <v>318</v>
      </c>
      <c r="AV1851" t="s">
        <v>88</v>
      </c>
    </row>
    <row r="1852" spans="1:53" hidden="1" x14ac:dyDescent="0.3">
      <c r="A1852" t="s">
        <v>545</v>
      </c>
      <c r="C1852" t="s">
        <v>251</v>
      </c>
      <c r="D1852" t="s">
        <v>81</v>
      </c>
      <c r="E1852">
        <v>10000000</v>
      </c>
      <c r="H1852">
        <v>14.25</v>
      </c>
      <c r="I1852" t="s">
        <v>56</v>
      </c>
      <c r="J1852">
        <v>1.4250000000000001E-3</v>
      </c>
      <c r="K1852" t="s">
        <v>57</v>
      </c>
      <c r="L1852" t="s">
        <v>58</v>
      </c>
      <c r="N1852" t="s">
        <v>538</v>
      </c>
      <c r="O1852">
        <v>200</v>
      </c>
      <c r="P1852" t="s">
        <v>262</v>
      </c>
      <c r="S1852">
        <v>2</v>
      </c>
      <c r="T1852">
        <v>25</v>
      </c>
      <c r="U1852" t="s">
        <v>546</v>
      </c>
      <c r="V1852">
        <v>70</v>
      </c>
      <c r="W1852" t="s">
        <v>547</v>
      </c>
      <c r="X1852" t="s">
        <v>280</v>
      </c>
      <c r="Y1852">
        <v>1440</v>
      </c>
      <c r="AB1852">
        <v>6.96</v>
      </c>
      <c r="AC1852" t="s">
        <v>85</v>
      </c>
      <c r="AD1852">
        <v>0.98</v>
      </c>
      <c r="AE1852" t="s">
        <v>63</v>
      </c>
      <c r="AI1852">
        <v>5</v>
      </c>
      <c r="AJ1852" t="s">
        <v>201</v>
      </c>
      <c r="AT1852" t="s">
        <v>73</v>
      </c>
      <c r="AV1852" t="s">
        <v>88</v>
      </c>
    </row>
    <row r="1853" spans="1:53" hidden="1" x14ac:dyDescent="0.3">
      <c r="A1853" t="s">
        <v>545</v>
      </c>
      <c r="C1853" t="s">
        <v>251</v>
      </c>
      <c r="D1853" t="s">
        <v>81</v>
      </c>
      <c r="E1853">
        <v>10000000</v>
      </c>
      <c r="H1853">
        <v>14.25</v>
      </c>
      <c r="I1853" t="s">
        <v>56</v>
      </c>
      <c r="J1853">
        <v>1.4250000000000001E-3</v>
      </c>
      <c r="K1853" t="s">
        <v>57</v>
      </c>
      <c r="L1853" t="s">
        <v>58</v>
      </c>
      <c r="N1853" t="s">
        <v>538</v>
      </c>
      <c r="O1853">
        <v>200</v>
      </c>
      <c r="P1853" t="s">
        <v>262</v>
      </c>
      <c r="S1853">
        <v>2</v>
      </c>
      <c r="T1853">
        <v>25</v>
      </c>
      <c r="U1853" t="s">
        <v>546</v>
      </c>
      <c r="V1853">
        <v>70</v>
      </c>
      <c r="W1853" t="s">
        <v>422</v>
      </c>
      <c r="X1853" t="s">
        <v>280</v>
      </c>
      <c r="Y1853">
        <v>1440</v>
      </c>
      <c r="AB1853">
        <v>3.14</v>
      </c>
      <c r="AC1853" t="s">
        <v>85</v>
      </c>
      <c r="AD1853">
        <v>0.81</v>
      </c>
      <c r="AE1853" t="s">
        <v>63</v>
      </c>
      <c r="AI1853">
        <v>5</v>
      </c>
      <c r="AJ1853" t="s">
        <v>201</v>
      </c>
      <c r="AT1853" t="s">
        <v>79</v>
      </c>
      <c r="AV1853" t="s">
        <v>88</v>
      </c>
    </row>
    <row r="1854" spans="1:53" hidden="1" x14ac:dyDescent="0.3">
      <c r="A1854" t="s">
        <v>545</v>
      </c>
      <c r="C1854" t="s">
        <v>251</v>
      </c>
      <c r="D1854" t="s">
        <v>81</v>
      </c>
      <c r="E1854">
        <v>10000000</v>
      </c>
      <c r="H1854">
        <v>14.25</v>
      </c>
      <c r="I1854" t="s">
        <v>56</v>
      </c>
      <c r="J1854">
        <v>1.4250000000000001E-3</v>
      </c>
      <c r="K1854" t="s">
        <v>57</v>
      </c>
      <c r="L1854" t="s">
        <v>58</v>
      </c>
      <c r="N1854" t="s">
        <v>538</v>
      </c>
      <c r="O1854">
        <v>200</v>
      </c>
      <c r="P1854" t="s">
        <v>262</v>
      </c>
      <c r="S1854">
        <v>2</v>
      </c>
      <c r="T1854">
        <v>25</v>
      </c>
      <c r="U1854" t="s">
        <v>546</v>
      </c>
      <c r="V1854">
        <v>70</v>
      </c>
      <c r="W1854" t="s">
        <v>548</v>
      </c>
      <c r="X1854" t="s">
        <v>280</v>
      </c>
      <c r="Y1854">
        <v>1440</v>
      </c>
      <c r="AB1854">
        <v>5.8</v>
      </c>
      <c r="AC1854" t="s">
        <v>85</v>
      </c>
      <c r="AD1854">
        <v>1.76</v>
      </c>
      <c r="AE1854" t="s">
        <v>63</v>
      </c>
      <c r="AI1854">
        <v>5</v>
      </c>
      <c r="AJ1854" t="s">
        <v>201</v>
      </c>
      <c r="AT1854" t="s">
        <v>75</v>
      </c>
      <c r="AV1854" t="s">
        <v>88</v>
      </c>
    </row>
    <row r="1855" spans="1:53" hidden="1" x14ac:dyDescent="0.3">
      <c r="A1855" t="s">
        <v>545</v>
      </c>
      <c r="C1855" t="s">
        <v>251</v>
      </c>
      <c r="D1855" t="s">
        <v>81</v>
      </c>
      <c r="E1855">
        <v>10000000</v>
      </c>
      <c r="H1855">
        <v>14.25</v>
      </c>
      <c r="I1855" t="s">
        <v>56</v>
      </c>
      <c r="J1855">
        <v>1.4250000000000001E-3</v>
      </c>
      <c r="K1855" t="s">
        <v>57</v>
      </c>
      <c r="L1855" t="s">
        <v>58</v>
      </c>
      <c r="N1855" t="s">
        <v>538</v>
      </c>
      <c r="O1855">
        <v>200</v>
      </c>
      <c r="P1855" t="s">
        <v>262</v>
      </c>
      <c r="S1855">
        <v>2</v>
      </c>
      <c r="T1855">
        <v>25</v>
      </c>
      <c r="U1855" t="s">
        <v>546</v>
      </c>
      <c r="V1855">
        <v>70</v>
      </c>
      <c r="W1855" t="s">
        <v>549</v>
      </c>
      <c r="X1855" t="s">
        <v>280</v>
      </c>
      <c r="Y1855">
        <v>1440</v>
      </c>
      <c r="AB1855">
        <v>5.05</v>
      </c>
      <c r="AC1855" t="s">
        <v>85</v>
      </c>
      <c r="AD1855">
        <v>1.4</v>
      </c>
      <c r="AE1855" t="s">
        <v>63</v>
      </c>
      <c r="AI1855">
        <v>5</v>
      </c>
      <c r="AJ1855" t="s">
        <v>201</v>
      </c>
      <c r="AT1855" t="s">
        <v>77</v>
      </c>
      <c r="AV1855" t="s">
        <v>88</v>
      </c>
    </row>
    <row r="1856" spans="1:53" hidden="1" x14ac:dyDescent="0.3">
      <c r="A1856" t="s">
        <v>545</v>
      </c>
      <c r="C1856" t="s">
        <v>251</v>
      </c>
      <c r="D1856" t="s">
        <v>81</v>
      </c>
      <c r="E1856">
        <v>10000000</v>
      </c>
      <c r="H1856">
        <v>14.25</v>
      </c>
      <c r="I1856" t="s">
        <v>56</v>
      </c>
      <c r="J1856">
        <v>1.4250000000000001E-3</v>
      </c>
      <c r="K1856" t="s">
        <v>57</v>
      </c>
      <c r="L1856" t="s">
        <v>58</v>
      </c>
      <c r="N1856" t="s">
        <v>538</v>
      </c>
      <c r="O1856">
        <v>300</v>
      </c>
      <c r="P1856" t="s">
        <v>262</v>
      </c>
      <c r="S1856">
        <v>2</v>
      </c>
      <c r="T1856">
        <v>25</v>
      </c>
      <c r="U1856" t="s">
        <v>546</v>
      </c>
      <c r="V1856">
        <v>45</v>
      </c>
      <c r="W1856" t="s">
        <v>147</v>
      </c>
      <c r="X1856" t="s">
        <v>280</v>
      </c>
      <c r="Y1856">
        <v>2160</v>
      </c>
      <c r="AB1856">
        <v>3.61</v>
      </c>
      <c r="AC1856" t="s">
        <v>85</v>
      </c>
      <c r="AD1856">
        <v>0.5</v>
      </c>
      <c r="AE1856" t="s">
        <v>63</v>
      </c>
      <c r="AI1856">
        <v>5</v>
      </c>
      <c r="AJ1856" t="s">
        <v>201</v>
      </c>
      <c r="AT1856" t="s">
        <v>150</v>
      </c>
      <c r="AV1856" t="s">
        <v>88</v>
      </c>
    </row>
    <row r="1857" spans="1:53" hidden="1" x14ac:dyDescent="0.3">
      <c r="A1857" t="s">
        <v>545</v>
      </c>
      <c r="C1857" t="s">
        <v>251</v>
      </c>
      <c r="D1857" t="s">
        <v>81</v>
      </c>
      <c r="E1857">
        <v>10000000</v>
      </c>
      <c r="H1857">
        <v>14.25</v>
      </c>
      <c r="I1857" t="s">
        <v>56</v>
      </c>
      <c r="J1857">
        <v>1.4250000000000001E-3</v>
      </c>
      <c r="K1857" t="s">
        <v>57</v>
      </c>
      <c r="L1857" t="s">
        <v>58</v>
      </c>
      <c r="N1857" t="s">
        <v>538</v>
      </c>
      <c r="O1857">
        <v>300</v>
      </c>
      <c r="P1857" t="s">
        <v>262</v>
      </c>
      <c r="S1857">
        <v>2</v>
      </c>
      <c r="T1857">
        <v>25</v>
      </c>
      <c r="U1857" t="s">
        <v>546</v>
      </c>
      <c r="V1857">
        <v>45</v>
      </c>
      <c r="W1857" t="s">
        <v>468</v>
      </c>
      <c r="X1857" t="s">
        <v>280</v>
      </c>
      <c r="Y1857">
        <v>2160</v>
      </c>
      <c r="AB1857">
        <v>3.48</v>
      </c>
      <c r="AC1857" t="s">
        <v>85</v>
      </c>
      <c r="AD1857">
        <v>0.27</v>
      </c>
      <c r="AE1857" t="s">
        <v>63</v>
      </c>
      <c r="AI1857">
        <v>5</v>
      </c>
      <c r="AJ1857" t="s">
        <v>201</v>
      </c>
      <c r="AT1857" t="s">
        <v>318</v>
      </c>
      <c r="AV1857" t="s">
        <v>88</v>
      </c>
    </row>
    <row r="1858" spans="1:53" hidden="1" x14ac:dyDescent="0.3">
      <c r="A1858" t="s">
        <v>545</v>
      </c>
      <c r="C1858" t="s">
        <v>251</v>
      </c>
      <c r="D1858" t="s">
        <v>81</v>
      </c>
      <c r="E1858">
        <v>10000000</v>
      </c>
      <c r="H1858">
        <v>14.25</v>
      </c>
      <c r="I1858" t="s">
        <v>56</v>
      </c>
      <c r="J1858">
        <v>1.4250000000000001E-3</v>
      </c>
      <c r="K1858" t="s">
        <v>57</v>
      </c>
      <c r="L1858" t="s">
        <v>58</v>
      </c>
      <c r="N1858" t="s">
        <v>538</v>
      </c>
      <c r="O1858">
        <v>300</v>
      </c>
      <c r="P1858" t="s">
        <v>262</v>
      </c>
      <c r="S1858">
        <v>2</v>
      </c>
      <c r="T1858">
        <v>25</v>
      </c>
      <c r="U1858" t="s">
        <v>546</v>
      </c>
      <c r="V1858">
        <v>45</v>
      </c>
      <c r="W1858" t="s">
        <v>547</v>
      </c>
      <c r="X1858" t="s">
        <v>280</v>
      </c>
      <c r="Y1858">
        <v>2160</v>
      </c>
      <c r="AB1858">
        <v>6.86</v>
      </c>
      <c r="AC1858" t="s">
        <v>85</v>
      </c>
      <c r="AD1858">
        <v>1.26</v>
      </c>
      <c r="AE1858" t="s">
        <v>63</v>
      </c>
      <c r="AI1858">
        <v>5</v>
      </c>
      <c r="AJ1858" t="s">
        <v>201</v>
      </c>
      <c r="AT1858" t="s">
        <v>73</v>
      </c>
      <c r="AV1858" t="s">
        <v>88</v>
      </c>
    </row>
    <row r="1859" spans="1:53" hidden="1" x14ac:dyDescent="0.3">
      <c r="A1859" t="s">
        <v>545</v>
      </c>
      <c r="C1859" t="s">
        <v>251</v>
      </c>
      <c r="D1859" t="s">
        <v>81</v>
      </c>
      <c r="E1859">
        <v>10000000</v>
      </c>
      <c r="H1859">
        <v>14.25</v>
      </c>
      <c r="I1859" t="s">
        <v>56</v>
      </c>
      <c r="J1859">
        <v>1.4250000000000001E-3</v>
      </c>
      <c r="K1859" t="s">
        <v>57</v>
      </c>
      <c r="L1859" t="s">
        <v>58</v>
      </c>
      <c r="N1859" t="s">
        <v>538</v>
      </c>
      <c r="O1859">
        <v>300</v>
      </c>
      <c r="P1859" t="s">
        <v>262</v>
      </c>
      <c r="S1859">
        <v>2</v>
      </c>
      <c r="T1859">
        <v>25</v>
      </c>
      <c r="U1859" t="s">
        <v>546</v>
      </c>
      <c r="V1859">
        <v>45</v>
      </c>
      <c r="W1859" t="s">
        <v>422</v>
      </c>
      <c r="X1859" t="s">
        <v>280</v>
      </c>
      <c r="Y1859">
        <v>2160</v>
      </c>
      <c r="AA1859" t="s">
        <v>94</v>
      </c>
      <c r="AB1859">
        <v>7.47</v>
      </c>
      <c r="AC1859" t="s">
        <v>85</v>
      </c>
      <c r="AD1859">
        <v>0.06</v>
      </c>
      <c r="AE1859" t="s">
        <v>63</v>
      </c>
      <c r="AI1859">
        <v>5</v>
      </c>
      <c r="AJ1859" t="s">
        <v>201</v>
      </c>
      <c r="AT1859" t="s">
        <v>79</v>
      </c>
      <c r="AV1859" t="s">
        <v>88</v>
      </c>
      <c r="AZ1859">
        <v>0</v>
      </c>
      <c r="BA1859">
        <v>7.47</v>
      </c>
    </row>
    <row r="1860" spans="1:53" hidden="1" x14ac:dyDescent="0.3">
      <c r="A1860" t="s">
        <v>545</v>
      </c>
      <c r="C1860" t="s">
        <v>251</v>
      </c>
      <c r="D1860" t="s">
        <v>81</v>
      </c>
      <c r="E1860">
        <v>10000000</v>
      </c>
      <c r="H1860">
        <v>14.25</v>
      </c>
      <c r="I1860" t="s">
        <v>56</v>
      </c>
      <c r="J1860">
        <v>1.4250000000000001E-3</v>
      </c>
      <c r="K1860" t="s">
        <v>57</v>
      </c>
      <c r="L1860" t="s">
        <v>58</v>
      </c>
      <c r="N1860" t="s">
        <v>538</v>
      </c>
      <c r="O1860">
        <v>300</v>
      </c>
      <c r="P1860" t="s">
        <v>262</v>
      </c>
      <c r="S1860">
        <v>2</v>
      </c>
      <c r="T1860">
        <v>25</v>
      </c>
      <c r="U1860" t="s">
        <v>546</v>
      </c>
      <c r="V1860">
        <v>45</v>
      </c>
      <c r="W1860" t="s">
        <v>548</v>
      </c>
      <c r="X1860" t="s">
        <v>280</v>
      </c>
      <c r="Y1860">
        <v>2160</v>
      </c>
      <c r="AB1860">
        <v>2.97</v>
      </c>
      <c r="AC1860" t="s">
        <v>85</v>
      </c>
      <c r="AD1860">
        <v>0.43</v>
      </c>
      <c r="AE1860" t="s">
        <v>63</v>
      </c>
      <c r="AI1860">
        <v>5</v>
      </c>
      <c r="AJ1860" t="s">
        <v>201</v>
      </c>
      <c r="AT1860" t="s">
        <v>75</v>
      </c>
      <c r="AV1860" t="s">
        <v>88</v>
      </c>
    </row>
    <row r="1861" spans="1:53" hidden="1" x14ac:dyDescent="0.3">
      <c r="A1861" t="s">
        <v>545</v>
      </c>
      <c r="C1861" t="s">
        <v>251</v>
      </c>
      <c r="D1861" t="s">
        <v>81</v>
      </c>
      <c r="E1861">
        <v>10000000</v>
      </c>
      <c r="H1861">
        <v>14.25</v>
      </c>
      <c r="I1861" t="s">
        <v>56</v>
      </c>
      <c r="J1861">
        <v>1.4250000000000001E-3</v>
      </c>
      <c r="K1861" t="s">
        <v>57</v>
      </c>
      <c r="L1861" t="s">
        <v>58</v>
      </c>
      <c r="N1861" t="s">
        <v>538</v>
      </c>
      <c r="O1861">
        <v>300</v>
      </c>
      <c r="P1861" t="s">
        <v>262</v>
      </c>
      <c r="S1861">
        <v>2</v>
      </c>
      <c r="T1861">
        <v>25</v>
      </c>
      <c r="U1861" t="s">
        <v>546</v>
      </c>
      <c r="V1861">
        <v>45</v>
      </c>
      <c r="W1861" t="s">
        <v>549</v>
      </c>
      <c r="X1861" t="s">
        <v>280</v>
      </c>
      <c r="Y1861">
        <v>2160</v>
      </c>
      <c r="AA1861" t="s">
        <v>94</v>
      </c>
      <c r="AB1861">
        <v>6.54</v>
      </c>
      <c r="AC1861" t="s">
        <v>85</v>
      </c>
      <c r="AD1861">
        <v>0.25</v>
      </c>
      <c r="AE1861" t="s">
        <v>63</v>
      </c>
      <c r="AI1861">
        <v>5</v>
      </c>
      <c r="AJ1861" t="s">
        <v>201</v>
      </c>
      <c r="AT1861" t="s">
        <v>77</v>
      </c>
      <c r="AV1861" t="s">
        <v>88</v>
      </c>
      <c r="AZ1861">
        <v>0</v>
      </c>
      <c r="BA1861">
        <v>6.54</v>
      </c>
    </row>
    <row r="1862" spans="1:53" hidden="1" x14ac:dyDescent="0.3">
      <c r="A1862" t="s">
        <v>545</v>
      </c>
      <c r="C1862" t="s">
        <v>251</v>
      </c>
      <c r="D1862" t="s">
        <v>81</v>
      </c>
      <c r="E1862">
        <v>10000000</v>
      </c>
      <c r="H1862">
        <v>14.25</v>
      </c>
      <c r="I1862" t="s">
        <v>56</v>
      </c>
      <c r="J1862">
        <v>1.4250000000000001E-3</v>
      </c>
      <c r="K1862" t="s">
        <v>57</v>
      </c>
      <c r="L1862" t="s">
        <v>58</v>
      </c>
      <c r="N1862" t="s">
        <v>538</v>
      </c>
      <c r="O1862">
        <v>200</v>
      </c>
      <c r="P1862" t="s">
        <v>262</v>
      </c>
      <c r="S1862">
        <v>2</v>
      </c>
      <c r="T1862">
        <v>25</v>
      </c>
      <c r="U1862" t="s">
        <v>546</v>
      </c>
      <c r="V1862">
        <v>70</v>
      </c>
      <c r="W1862" t="s">
        <v>147</v>
      </c>
      <c r="X1862" t="s">
        <v>280</v>
      </c>
      <c r="Y1862">
        <v>720</v>
      </c>
      <c r="AB1862">
        <v>0.41</v>
      </c>
      <c r="AC1862" t="s">
        <v>85</v>
      </c>
      <c r="AD1862">
        <v>0.25</v>
      </c>
      <c r="AE1862" t="s">
        <v>63</v>
      </c>
      <c r="AI1862">
        <v>5</v>
      </c>
      <c r="AJ1862" t="s">
        <v>201</v>
      </c>
      <c r="AT1862" t="s">
        <v>150</v>
      </c>
      <c r="AV1862" t="s">
        <v>88</v>
      </c>
    </row>
    <row r="1863" spans="1:53" hidden="1" x14ac:dyDescent="0.3">
      <c r="A1863" t="s">
        <v>545</v>
      </c>
      <c r="C1863" t="s">
        <v>251</v>
      </c>
      <c r="D1863" t="s">
        <v>81</v>
      </c>
      <c r="E1863">
        <v>10000000</v>
      </c>
      <c r="H1863">
        <v>14.25</v>
      </c>
      <c r="I1863" t="s">
        <v>56</v>
      </c>
      <c r="J1863">
        <v>1.4250000000000001E-3</v>
      </c>
      <c r="K1863" t="s">
        <v>57</v>
      </c>
      <c r="L1863" t="s">
        <v>58</v>
      </c>
      <c r="N1863" t="s">
        <v>538</v>
      </c>
      <c r="O1863">
        <v>200</v>
      </c>
      <c r="P1863" t="s">
        <v>262</v>
      </c>
      <c r="S1863">
        <v>2</v>
      </c>
      <c r="T1863">
        <v>25</v>
      </c>
      <c r="U1863" t="s">
        <v>546</v>
      </c>
      <c r="V1863">
        <v>70</v>
      </c>
      <c r="W1863" t="s">
        <v>468</v>
      </c>
      <c r="X1863" t="s">
        <v>280</v>
      </c>
      <c r="Y1863">
        <v>720</v>
      </c>
      <c r="AB1863">
        <v>0.22</v>
      </c>
      <c r="AC1863" t="s">
        <v>85</v>
      </c>
      <c r="AD1863">
        <v>0.1</v>
      </c>
      <c r="AE1863" t="s">
        <v>63</v>
      </c>
      <c r="AI1863">
        <v>5</v>
      </c>
      <c r="AJ1863" t="s">
        <v>201</v>
      </c>
      <c r="AT1863" t="s">
        <v>318</v>
      </c>
      <c r="AV1863" t="s">
        <v>88</v>
      </c>
    </row>
    <row r="1864" spans="1:53" hidden="1" x14ac:dyDescent="0.3">
      <c r="A1864" t="s">
        <v>545</v>
      </c>
      <c r="C1864" t="s">
        <v>251</v>
      </c>
      <c r="D1864" t="s">
        <v>81</v>
      </c>
      <c r="E1864">
        <v>10000000</v>
      </c>
      <c r="H1864">
        <v>14.25</v>
      </c>
      <c r="I1864" t="s">
        <v>56</v>
      </c>
      <c r="J1864">
        <v>1.4250000000000001E-3</v>
      </c>
      <c r="K1864" t="s">
        <v>57</v>
      </c>
      <c r="L1864" t="s">
        <v>58</v>
      </c>
      <c r="N1864" t="s">
        <v>538</v>
      </c>
      <c r="O1864">
        <v>200</v>
      </c>
      <c r="P1864" t="s">
        <v>262</v>
      </c>
      <c r="S1864">
        <v>2</v>
      </c>
      <c r="T1864">
        <v>25</v>
      </c>
      <c r="U1864" t="s">
        <v>546</v>
      </c>
      <c r="V1864">
        <v>70</v>
      </c>
      <c r="W1864" t="s">
        <v>547</v>
      </c>
      <c r="X1864" t="s">
        <v>280</v>
      </c>
      <c r="Y1864">
        <v>720</v>
      </c>
      <c r="AB1864">
        <v>0.15</v>
      </c>
      <c r="AC1864" t="s">
        <v>85</v>
      </c>
      <c r="AD1864">
        <v>0.09</v>
      </c>
      <c r="AE1864" t="s">
        <v>63</v>
      </c>
      <c r="AI1864">
        <v>5</v>
      </c>
      <c r="AJ1864" t="s">
        <v>201</v>
      </c>
      <c r="AT1864" t="s">
        <v>73</v>
      </c>
      <c r="AV1864" t="s">
        <v>88</v>
      </c>
    </row>
    <row r="1865" spans="1:53" hidden="1" x14ac:dyDescent="0.3">
      <c r="A1865" t="s">
        <v>545</v>
      </c>
      <c r="C1865" t="s">
        <v>251</v>
      </c>
      <c r="D1865" t="s">
        <v>81</v>
      </c>
      <c r="E1865">
        <v>10000000</v>
      </c>
      <c r="H1865">
        <v>14.25</v>
      </c>
      <c r="I1865" t="s">
        <v>56</v>
      </c>
      <c r="J1865">
        <v>1.4250000000000001E-3</v>
      </c>
      <c r="K1865" t="s">
        <v>57</v>
      </c>
      <c r="L1865" t="s">
        <v>58</v>
      </c>
      <c r="N1865" t="s">
        <v>538</v>
      </c>
      <c r="O1865">
        <v>200</v>
      </c>
      <c r="P1865" t="s">
        <v>262</v>
      </c>
      <c r="S1865">
        <v>2</v>
      </c>
      <c r="T1865">
        <v>25</v>
      </c>
      <c r="U1865" t="s">
        <v>546</v>
      </c>
      <c r="V1865">
        <v>70</v>
      </c>
      <c r="W1865" t="s">
        <v>422</v>
      </c>
      <c r="X1865" t="s">
        <v>280</v>
      </c>
      <c r="Y1865">
        <v>720</v>
      </c>
      <c r="AB1865">
        <v>0.28000000000000003</v>
      </c>
      <c r="AC1865" t="s">
        <v>85</v>
      </c>
      <c r="AD1865">
        <v>0.15</v>
      </c>
      <c r="AE1865" t="s">
        <v>63</v>
      </c>
      <c r="AI1865">
        <v>5</v>
      </c>
      <c r="AJ1865" t="s">
        <v>201</v>
      </c>
      <c r="AT1865" t="s">
        <v>79</v>
      </c>
      <c r="AV1865" t="s">
        <v>88</v>
      </c>
    </row>
    <row r="1866" spans="1:53" hidden="1" x14ac:dyDescent="0.3">
      <c r="A1866" t="s">
        <v>545</v>
      </c>
      <c r="C1866" t="s">
        <v>251</v>
      </c>
      <c r="D1866" t="s">
        <v>81</v>
      </c>
      <c r="E1866">
        <v>10000000</v>
      </c>
      <c r="H1866">
        <v>14.25</v>
      </c>
      <c r="I1866" t="s">
        <v>56</v>
      </c>
      <c r="J1866">
        <v>1.4250000000000001E-3</v>
      </c>
      <c r="K1866" t="s">
        <v>57</v>
      </c>
      <c r="L1866" t="s">
        <v>58</v>
      </c>
      <c r="N1866" t="s">
        <v>538</v>
      </c>
      <c r="O1866">
        <v>200</v>
      </c>
      <c r="P1866" t="s">
        <v>262</v>
      </c>
      <c r="S1866">
        <v>2</v>
      </c>
      <c r="T1866">
        <v>25</v>
      </c>
      <c r="U1866" t="s">
        <v>546</v>
      </c>
      <c r="V1866">
        <v>70</v>
      </c>
      <c r="W1866" t="s">
        <v>548</v>
      </c>
      <c r="X1866" t="s">
        <v>280</v>
      </c>
      <c r="Y1866">
        <v>720</v>
      </c>
      <c r="AB1866">
        <v>0.14000000000000001</v>
      </c>
      <c r="AC1866" t="s">
        <v>85</v>
      </c>
      <c r="AD1866">
        <v>0.13</v>
      </c>
      <c r="AE1866" t="s">
        <v>63</v>
      </c>
      <c r="AI1866">
        <v>5</v>
      </c>
      <c r="AJ1866" t="s">
        <v>201</v>
      </c>
      <c r="AT1866" t="s">
        <v>75</v>
      </c>
      <c r="AV1866" t="s">
        <v>88</v>
      </c>
    </row>
    <row r="1867" spans="1:53" hidden="1" x14ac:dyDescent="0.3">
      <c r="A1867" t="s">
        <v>545</v>
      </c>
      <c r="C1867" t="s">
        <v>251</v>
      </c>
      <c r="D1867" t="s">
        <v>81</v>
      </c>
      <c r="E1867">
        <v>10000000</v>
      </c>
      <c r="H1867">
        <v>14.25</v>
      </c>
      <c r="I1867" t="s">
        <v>56</v>
      </c>
      <c r="J1867">
        <v>1.4250000000000001E-3</v>
      </c>
      <c r="K1867" t="s">
        <v>57</v>
      </c>
      <c r="L1867" t="s">
        <v>58</v>
      </c>
      <c r="N1867" t="s">
        <v>538</v>
      </c>
      <c r="O1867">
        <v>200</v>
      </c>
      <c r="P1867" t="s">
        <v>262</v>
      </c>
      <c r="S1867">
        <v>2</v>
      </c>
      <c r="T1867">
        <v>25</v>
      </c>
      <c r="U1867" t="s">
        <v>546</v>
      </c>
      <c r="V1867">
        <v>70</v>
      </c>
      <c r="W1867" t="s">
        <v>549</v>
      </c>
      <c r="X1867" t="s">
        <v>280</v>
      </c>
      <c r="Y1867">
        <v>720</v>
      </c>
      <c r="AB1867">
        <v>0.41</v>
      </c>
      <c r="AC1867" t="s">
        <v>85</v>
      </c>
      <c r="AD1867">
        <v>0.25</v>
      </c>
      <c r="AE1867" t="s">
        <v>63</v>
      </c>
      <c r="AI1867">
        <v>5</v>
      </c>
      <c r="AJ1867" t="s">
        <v>201</v>
      </c>
      <c r="AT1867" t="s">
        <v>77</v>
      </c>
      <c r="AV1867" t="s">
        <v>88</v>
      </c>
    </row>
    <row r="1868" spans="1:53" hidden="1" x14ac:dyDescent="0.3">
      <c r="A1868" t="s">
        <v>545</v>
      </c>
      <c r="C1868" t="s">
        <v>251</v>
      </c>
      <c r="D1868" t="s">
        <v>81</v>
      </c>
      <c r="E1868">
        <v>10000000</v>
      </c>
      <c r="H1868">
        <v>14.25</v>
      </c>
      <c r="I1868" t="s">
        <v>56</v>
      </c>
      <c r="J1868">
        <v>1.4250000000000001E-3</v>
      </c>
      <c r="K1868" t="s">
        <v>57</v>
      </c>
      <c r="L1868" t="s">
        <v>58</v>
      </c>
      <c r="N1868" t="s">
        <v>538</v>
      </c>
      <c r="O1868">
        <v>100</v>
      </c>
      <c r="P1868" t="s">
        <v>262</v>
      </c>
      <c r="S1868">
        <v>2</v>
      </c>
      <c r="T1868">
        <v>25</v>
      </c>
      <c r="U1868" t="s">
        <v>546</v>
      </c>
      <c r="V1868">
        <v>70</v>
      </c>
      <c r="W1868" t="s">
        <v>147</v>
      </c>
      <c r="X1868" t="s">
        <v>280</v>
      </c>
      <c r="Y1868">
        <v>2880</v>
      </c>
      <c r="AB1868">
        <v>6.88</v>
      </c>
      <c r="AC1868" t="s">
        <v>85</v>
      </c>
      <c r="AD1868">
        <v>0.85</v>
      </c>
      <c r="AE1868" t="s">
        <v>63</v>
      </c>
      <c r="AI1868">
        <v>5</v>
      </c>
      <c r="AJ1868" t="s">
        <v>201</v>
      </c>
      <c r="AT1868" t="s">
        <v>150</v>
      </c>
      <c r="AV1868" t="s">
        <v>88</v>
      </c>
    </row>
    <row r="1869" spans="1:53" hidden="1" x14ac:dyDescent="0.3">
      <c r="A1869" t="s">
        <v>545</v>
      </c>
      <c r="C1869" t="s">
        <v>251</v>
      </c>
      <c r="D1869" t="s">
        <v>81</v>
      </c>
      <c r="E1869">
        <v>10000000</v>
      </c>
      <c r="H1869">
        <v>14.25</v>
      </c>
      <c r="I1869" t="s">
        <v>56</v>
      </c>
      <c r="J1869">
        <v>1.4250000000000001E-3</v>
      </c>
      <c r="K1869" t="s">
        <v>57</v>
      </c>
      <c r="L1869" t="s">
        <v>58</v>
      </c>
      <c r="N1869" t="s">
        <v>538</v>
      </c>
      <c r="O1869">
        <v>100</v>
      </c>
      <c r="P1869" t="s">
        <v>262</v>
      </c>
      <c r="S1869">
        <v>2</v>
      </c>
      <c r="T1869">
        <v>25</v>
      </c>
      <c r="U1869" t="s">
        <v>546</v>
      </c>
      <c r="V1869">
        <v>70</v>
      </c>
      <c r="W1869" t="s">
        <v>468</v>
      </c>
      <c r="X1869" t="s">
        <v>280</v>
      </c>
      <c r="Y1869">
        <v>2880</v>
      </c>
      <c r="AB1869">
        <v>5.44</v>
      </c>
      <c r="AC1869" t="s">
        <v>85</v>
      </c>
      <c r="AD1869">
        <v>1.1399999999999999</v>
      </c>
      <c r="AE1869" t="s">
        <v>63</v>
      </c>
      <c r="AI1869">
        <v>5</v>
      </c>
      <c r="AJ1869" t="s">
        <v>201</v>
      </c>
      <c r="AT1869" t="s">
        <v>318</v>
      </c>
      <c r="AV1869" t="s">
        <v>88</v>
      </c>
    </row>
    <row r="1870" spans="1:53" hidden="1" x14ac:dyDescent="0.3">
      <c r="A1870" t="s">
        <v>545</v>
      </c>
      <c r="C1870" t="s">
        <v>251</v>
      </c>
      <c r="D1870" t="s">
        <v>81</v>
      </c>
      <c r="E1870">
        <v>10000000</v>
      </c>
      <c r="H1870">
        <v>14.25</v>
      </c>
      <c r="I1870" t="s">
        <v>56</v>
      </c>
      <c r="J1870">
        <v>1.4250000000000001E-3</v>
      </c>
      <c r="K1870" t="s">
        <v>57</v>
      </c>
      <c r="L1870" t="s">
        <v>58</v>
      </c>
      <c r="N1870" t="s">
        <v>538</v>
      </c>
      <c r="O1870">
        <v>100</v>
      </c>
      <c r="P1870" t="s">
        <v>262</v>
      </c>
      <c r="S1870">
        <v>2</v>
      </c>
      <c r="T1870">
        <v>25</v>
      </c>
      <c r="U1870" t="s">
        <v>546</v>
      </c>
      <c r="V1870">
        <v>70</v>
      </c>
      <c r="W1870" t="s">
        <v>547</v>
      </c>
      <c r="X1870" t="s">
        <v>280</v>
      </c>
      <c r="Y1870">
        <v>2880</v>
      </c>
      <c r="AB1870">
        <v>5.3</v>
      </c>
      <c r="AC1870" t="s">
        <v>85</v>
      </c>
      <c r="AD1870">
        <v>0.71</v>
      </c>
      <c r="AE1870" t="s">
        <v>63</v>
      </c>
      <c r="AI1870">
        <v>5</v>
      </c>
      <c r="AJ1870" t="s">
        <v>201</v>
      </c>
      <c r="AT1870" t="s">
        <v>73</v>
      </c>
      <c r="AV1870" t="s">
        <v>88</v>
      </c>
    </row>
    <row r="1871" spans="1:53" hidden="1" x14ac:dyDescent="0.3">
      <c r="A1871" t="s">
        <v>545</v>
      </c>
      <c r="C1871" t="s">
        <v>251</v>
      </c>
      <c r="D1871" t="s">
        <v>81</v>
      </c>
      <c r="E1871">
        <v>10000000</v>
      </c>
      <c r="H1871">
        <v>14.25</v>
      </c>
      <c r="I1871" t="s">
        <v>56</v>
      </c>
      <c r="J1871">
        <v>1.4250000000000001E-3</v>
      </c>
      <c r="K1871" t="s">
        <v>57</v>
      </c>
      <c r="L1871" t="s">
        <v>58</v>
      </c>
      <c r="N1871" t="s">
        <v>538</v>
      </c>
      <c r="O1871">
        <v>100</v>
      </c>
      <c r="P1871" t="s">
        <v>262</v>
      </c>
      <c r="S1871">
        <v>2</v>
      </c>
      <c r="T1871">
        <v>25</v>
      </c>
      <c r="U1871" t="s">
        <v>546</v>
      </c>
      <c r="V1871">
        <v>70</v>
      </c>
      <c r="W1871" t="s">
        <v>422</v>
      </c>
      <c r="X1871" t="s">
        <v>280</v>
      </c>
      <c r="Y1871">
        <v>2880</v>
      </c>
      <c r="AB1871">
        <v>4.87</v>
      </c>
      <c r="AC1871" t="s">
        <v>85</v>
      </c>
      <c r="AD1871">
        <v>1.38</v>
      </c>
      <c r="AE1871" t="s">
        <v>63</v>
      </c>
      <c r="AI1871">
        <v>5</v>
      </c>
      <c r="AJ1871" t="s">
        <v>201</v>
      </c>
      <c r="AT1871" t="s">
        <v>79</v>
      </c>
      <c r="AV1871" t="s">
        <v>88</v>
      </c>
    </row>
    <row r="1872" spans="1:53" hidden="1" x14ac:dyDescent="0.3">
      <c r="A1872" t="s">
        <v>545</v>
      </c>
      <c r="C1872" t="s">
        <v>251</v>
      </c>
      <c r="D1872" t="s">
        <v>81</v>
      </c>
      <c r="E1872">
        <v>10000000</v>
      </c>
      <c r="H1872">
        <v>14.25</v>
      </c>
      <c r="I1872" t="s">
        <v>56</v>
      </c>
      <c r="J1872">
        <v>1.4250000000000001E-3</v>
      </c>
      <c r="K1872" t="s">
        <v>57</v>
      </c>
      <c r="L1872" t="s">
        <v>58</v>
      </c>
      <c r="N1872" t="s">
        <v>538</v>
      </c>
      <c r="O1872">
        <v>100</v>
      </c>
      <c r="P1872" t="s">
        <v>262</v>
      </c>
      <c r="S1872">
        <v>2</v>
      </c>
      <c r="T1872">
        <v>25</v>
      </c>
      <c r="U1872" t="s">
        <v>546</v>
      </c>
      <c r="V1872">
        <v>70</v>
      </c>
      <c r="W1872" t="s">
        <v>548</v>
      </c>
      <c r="X1872" t="s">
        <v>280</v>
      </c>
      <c r="Y1872">
        <v>2880</v>
      </c>
      <c r="AB1872">
        <v>5.45</v>
      </c>
      <c r="AC1872" t="s">
        <v>85</v>
      </c>
      <c r="AD1872">
        <v>1.41</v>
      </c>
      <c r="AE1872" t="s">
        <v>63</v>
      </c>
      <c r="AI1872">
        <v>5</v>
      </c>
      <c r="AJ1872" t="s">
        <v>201</v>
      </c>
      <c r="AT1872" t="s">
        <v>75</v>
      </c>
      <c r="AV1872" t="s">
        <v>88</v>
      </c>
    </row>
    <row r="1873" spans="1:53" hidden="1" x14ac:dyDescent="0.3">
      <c r="A1873" t="s">
        <v>545</v>
      </c>
      <c r="C1873" t="s">
        <v>251</v>
      </c>
      <c r="D1873" t="s">
        <v>81</v>
      </c>
      <c r="E1873">
        <v>10000000</v>
      </c>
      <c r="H1873">
        <v>14.25</v>
      </c>
      <c r="I1873" t="s">
        <v>56</v>
      </c>
      <c r="J1873">
        <v>1.4250000000000001E-3</v>
      </c>
      <c r="K1873" t="s">
        <v>57</v>
      </c>
      <c r="L1873" t="s">
        <v>58</v>
      </c>
      <c r="N1873" t="s">
        <v>538</v>
      </c>
      <c r="O1873">
        <v>100</v>
      </c>
      <c r="P1873" t="s">
        <v>262</v>
      </c>
      <c r="S1873">
        <v>2</v>
      </c>
      <c r="T1873">
        <v>25</v>
      </c>
      <c r="U1873" t="s">
        <v>546</v>
      </c>
      <c r="V1873">
        <v>70</v>
      </c>
      <c r="W1873" t="s">
        <v>549</v>
      </c>
      <c r="X1873" t="s">
        <v>280</v>
      </c>
      <c r="Y1873">
        <v>2880</v>
      </c>
      <c r="AB1873">
        <v>6.29</v>
      </c>
      <c r="AC1873" t="s">
        <v>85</v>
      </c>
      <c r="AD1873">
        <v>0.73</v>
      </c>
      <c r="AE1873" t="s">
        <v>63</v>
      </c>
      <c r="AI1873">
        <v>5</v>
      </c>
      <c r="AJ1873" t="s">
        <v>201</v>
      </c>
      <c r="AT1873" t="s">
        <v>77</v>
      </c>
      <c r="AV1873" t="s">
        <v>88</v>
      </c>
    </row>
    <row r="1874" spans="1:53" hidden="1" x14ac:dyDescent="0.3">
      <c r="A1874" t="s">
        <v>550</v>
      </c>
      <c r="C1874" t="s">
        <v>251</v>
      </c>
      <c r="D1874" t="s">
        <v>81</v>
      </c>
      <c r="E1874">
        <v>10000000</v>
      </c>
      <c r="H1874">
        <v>2.5449999999999999</v>
      </c>
      <c r="I1874" t="s">
        <v>56</v>
      </c>
      <c r="J1874">
        <v>2.5450000000000001E-4</v>
      </c>
      <c r="K1874" t="s">
        <v>57</v>
      </c>
      <c r="N1874" t="s">
        <v>551</v>
      </c>
      <c r="O1874">
        <v>100</v>
      </c>
      <c r="P1874" t="s">
        <v>277</v>
      </c>
      <c r="S1874">
        <v>4</v>
      </c>
      <c r="T1874">
        <v>24</v>
      </c>
      <c r="U1874" t="s">
        <v>120</v>
      </c>
      <c r="V1874">
        <v>75</v>
      </c>
      <c r="W1874" t="s">
        <v>552</v>
      </c>
      <c r="X1874" t="s">
        <v>280</v>
      </c>
      <c r="Y1874">
        <v>120</v>
      </c>
      <c r="AB1874">
        <v>5.71</v>
      </c>
      <c r="AC1874" t="s">
        <v>85</v>
      </c>
      <c r="AD1874" t="s">
        <v>106</v>
      </c>
      <c r="AE1874" t="s">
        <v>63</v>
      </c>
      <c r="AI1874">
        <v>5</v>
      </c>
      <c r="AT1874" t="s">
        <v>65</v>
      </c>
      <c r="AV1874" t="s">
        <v>88</v>
      </c>
      <c r="AW1874">
        <v>100</v>
      </c>
    </row>
    <row r="1875" spans="1:53" hidden="1" x14ac:dyDescent="0.3">
      <c r="A1875" t="s">
        <v>550</v>
      </c>
      <c r="C1875" t="s">
        <v>251</v>
      </c>
      <c r="D1875" t="s">
        <v>81</v>
      </c>
      <c r="E1875">
        <v>10000000</v>
      </c>
      <c r="H1875">
        <v>2.5449999999999999</v>
      </c>
      <c r="I1875" t="s">
        <v>56</v>
      </c>
      <c r="J1875">
        <v>2.5450000000000001E-4</v>
      </c>
      <c r="K1875" t="s">
        <v>57</v>
      </c>
      <c r="N1875" t="s">
        <v>551</v>
      </c>
      <c r="O1875">
        <v>100</v>
      </c>
      <c r="P1875" t="s">
        <v>277</v>
      </c>
      <c r="S1875">
        <v>4</v>
      </c>
      <c r="T1875">
        <v>24</v>
      </c>
      <c r="U1875" t="s">
        <v>120</v>
      </c>
      <c r="V1875">
        <v>75</v>
      </c>
      <c r="W1875" t="s">
        <v>552</v>
      </c>
      <c r="X1875" t="s">
        <v>280</v>
      </c>
      <c r="Y1875">
        <v>240</v>
      </c>
      <c r="AB1875">
        <v>7.49</v>
      </c>
      <c r="AC1875" t="s">
        <v>85</v>
      </c>
      <c r="AD1875" t="s">
        <v>436</v>
      </c>
      <c r="AE1875" t="s">
        <v>63</v>
      </c>
      <c r="AI1875">
        <v>5</v>
      </c>
      <c r="AT1875" t="s">
        <v>65</v>
      </c>
      <c r="AV1875" t="s">
        <v>88</v>
      </c>
      <c r="AW1875">
        <v>100</v>
      </c>
    </row>
    <row r="1876" spans="1:53" hidden="1" x14ac:dyDescent="0.3">
      <c r="A1876" t="s">
        <v>550</v>
      </c>
      <c r="C1876" t="s">
        <v>251</v>
      </c>
      <c r="D1876" t="s">
        <v>81</v>
      </c>
      <c r="E1876">
        <v>10000000</v>
      </c>
      <c r="H1876">
        <v>2.5449999999999999</v>
      </c>
      <c r="I1876" t="s">
        <v>56</v>
      </c>
      <c r="J1876">
        <v>2.5450000000000001E-4</v>
      </c>
      <c r="K1876" t="s">
        <v>57</v>
      </c>
      <c r="N1876" t="s">
        <v>551</v>
      </c>
      <c r="O1876">
        <v>100</v>
      </c>
      <c r="P1876" t="s">
        <v>277</v>
      </c>
      <c r="S1876">
        <v>4</v>
      </c>
      <c r="T1876">
        <v>24</v>
      </c>
      <c r="U1876" t="s">
        <v>120</v>
      </c>
      <c r="V1876">
        <v>75</v>
      </c>
      <c r="W1876" t="s">
        <v>552</v>
      </c>
      <c r="X1876" t="s">
        <v>280</v>
      </c>
      <c r="Y1876">
        <v>360</v>
      </c>
      <c r="AB1876">
        <v>6.76</v>
      </c>
      <c r="AC1876" t="s">
        <v>85</v>
      </c>
      <c r="AD1876" t="s">
        <v>100</v>
      </c>
      <c r="AE1876" t="s">
        <v>63</v>
      </c>
      <c r="AI1876">
        <v>5</v>
      </c>
      <c r="AT1876" t="s">
        <v>65</v>
      </c>
      <c r="AV1876" t="s">
        <v>88</v>
      </c>
      <c r="AW1876">
        <v>100</v>
      </c>
    </row>
    <row r="1877" spans="1:53" hidden="1" x14ac:dyDescent="0.3">
      <c r="A1877" t="s">
        <v>550</v>
      </c>
      <c r="C1877" t="s">
        <v>251</v>
      </c>
      <c r="D1877" t="s">
        <v>81</v>
      </c>
      <c r="E1877">
        <v>10000000</v>
      </c>
      <c r="H1877">
        <v>2.5449999999999999</v>
      </c>
      <c r="I1877" t="s">
        <v>56</v>
      </c>
      <c r="J1877">
        <v>2.5450000000000001E-4</v>
      </c>
      <c r="K1877" t="s">
        <v>57</v>
      </c>
      <c r="N1877" t="s">
        <v>551</v>
      </c>
      <c r="O1877">
        <v>100</v>
      </c>
      <c r="P1877" t="s">
        <v>277</v>
      </c>
      <c r="S1877">
        <v>4</v>
      </c>
      <c r="T1877">
        <v>24</v>
      </c>
      <c r="U1877" t="s">
        <v>120</v>
      </c>
      <c r="V1877">
        <v>75</v>
      </c>
      <c r="W1877" t="s">
        <v>74</v>
      </c>
      <c r="X1877" t="s">
        <v>280</v>
      </c>
      <c r="Y1877">
        <v>480</v>
      </c>
      <c r="AB1877">
        <v>6.61</v>
      </c>
      <c r="AC1877" t="s">
        <v>85</v>
      </c>
      <c r="AD1877" t="s">
        <v>326</v>
      </c>
      <c r="AE1877" t="s">
        <v>63</v>
      </c>
      <c r="AI1877">
        <v>5</v>
      </c>
      <c r="AT1877" t="s">
        <v>75</v>
      </c>
      <c r="AV1877" t="s">
        <v>88</v>
      </c>
      <c r="AW1877">
        <v>100</v>
      </c>
    </row>
    <row r="1878" spans="1:53" hidden="1" x14ac:dyDescent="0.3">
      <c r="A1878" t="s">
        <v>550</v>
      </c>
      <c r="C1878" t="s">
        <v>251</v>
      </c>
      <c r="D1878" t="s">
        <v>81</v>
      </c>
      <c r="E1878">
        <v>10000000</v>
      </c>
      <c r="H1878">
        <v>2.5449999999999999</v>
      </c>
      <c r="I1878" t="s">
        <v>56</v>
      </c>
      <c r="J1878">
        <v>2.5450000000000001E-4</v>
      </c>
      <c r="K1878" t="s">
        <v>57</v>
      </c>
      <c r="N1878" t="s">
        <v>551</v>
      </c>
      <c r="O1878">
        <v>100</v>
      </c>
      <c r="P1878" t="s">
        <v>277</v>
      </c>
      <c r="S1878">
        <v>4</v>
      </c>
      <c r="T1878">
        <v>24</v>
      </c>
      <c r="U1878" t="s">
        <v>120</v>
      </c>
      <c r="V1878">
        <v>75</v>
      </c>
      <c r="W1878" t="s">
        <v>76</v>
      </c>
      <c r="X1878" t="s">
        <v>280</v>
      </c>
      <c r="Y1878">
        <v>480</v>
      </c>
      <c r="AA1878" t="s">
        <v>184</v>
      </c>
      <c r="AB1878">
        <v>7.67</v>
      </c>
      <c r="AC1878" t="s">
        <v>85</v>
      </c>
      <c r="AD1878" t="s">
        <v>553</v>
      </c>
      <c r="AE1878" t="s">
        <v>63</v>
      </c>
      <c r="AI1878">
        <v>5</v>
      </c>
      <c r="AT1878" t="s">
        <v>77</v>
      </c>
      <c r="AV1878" t="s">
        <v>88</v>
      </c>
      <c r="AW1878">
        <v>100</v>
      </c>
      <c r="AZ1878">
        <v>0</v>
      </c>
      <c r="BA1878">
        <v>7.67</v>
      </c>
    </row>
    <row r="1879" spans="1:53" hidden="1" x14ac:dyDescent="0.3">
      <c r="A1879" t="s">
        <v>550</v>
      </c>
      <c r="C1879" t="s">
        <v>251</v>
      </c>
      <c r="D1879" t="s">
        <v>81</v>
      </c>
      <c r="E1879">
        <v>10000000</v>
      </c>
      <c r="H1879">
        <v>2.5449999999999999</v>
      </c>
      <c r="I1879" t="s">
        <v>56</v>
      </c>
      <c r="J1879">
        <v>2.5450000000000001E-4</v>
      </c>
      <c r="K1879" t="s">
        <v>57</v>
      </c>
      <c r="N1879" t="s">
        <v>551</v>
      </c>
      <c r="O1879">
        <v>100</v>
      </c>
      <c r="P1879" t="s">
        <v>277</v>
      </c>
      <c r="S1879">
        <v>4</v>
      </c>
      <c r="T1879">
        <v>24</v>
      </c>
      <c r="U1879" t="s">
        <v>120</v>
      </c>
      <c r="V1879">
        <v>75</v>
      </c>
      <c r="W1879" t="s">
        <v>554</v>
      </c>
      <c r="X1879" t="s">
        <v>280</v>
      </c>
      <c r="Y1879">
        <v>480</v>
      </c>
      <c r="AA1879" t="s">
        <v>184</v>
      </c>
      <c r="AB1879">
        <v>7.88</v>
      </c>
      <c r="AC1879" t="s">
        <v>85</v>
      </c>
      <c r="AD1879" t="s">
        <v>505</v>
      </c>
      <c r="AE1879" t="s">
        <v>63</v>
      </c>
      <c r="AI1879">
        <v>5</v>
      </c>
      <c r="AT1879" t="s">
        <v>79</v>
      </c>
      <c r="AV1879" t="s">
        <v>88</v>
      </c>
      <c r="AW1879">
        <v>100</v>
      </c>
      <c r="AZ1879">
        <v>0</v>
      </c>
      <c r="BA1879">
        <v>7.88</v>
      </c>
    </row>
    <row r="1880" spans="1:53" hidden="1" x14ac:dyDescent="0.3">
      <c r="A1880" t="s">
        <v>550</v>
      </c>
      <c r="C1880" t="s">
        <v>251</v>
      </c>
      <c r="D1880" t="s">
        <v>81</v>
      </c>
      <c r="E1880">
        <v>10000000</v>
      </c>
      <c r="H1880">
        <v>2.5449999999999999</v>
      </c>
      <c r="I1880" t="s">
        <v>56</v>
      </c>
      <c r="J1880">
        <v>2.5450000000000001E-4</v>
      </c>
      <c r="K1880" t="s">
        <v>57</v>
      </c>
      <c r="N1880" t="s">
        <v>551</v>
      </c>
      <c r="O1880">
        <v>100</v>
      </c>
      <c r="P1880" t="s">
        <v>277</v>
      </c>
      <c r="S1880">
        <v>4</v>
      </c>
      <c r="T1880">
        <v>24</v>
      </c>
      <c r="U1880" t="s">
        <v>120</v>
      </c>
      <c r="V1880">
        <v>75</v>
      </c>
      <c r="W1880" t="s">
        <v>353</v>
      </c>
      <c r="X1880" t="s">
        <v>280</v>
      </c>
      <c r="Y1880">
        <v>480</v>
      </c>
      <c r="AB1880">
        <v>7.72</v>
      </c>
      <c r="AC1880" t="s">
        <v>85</v>
      </c>
      <c r="AD1880" t="s">
        <v>529</v>
      </c>
      <c r="AE1880" t="s">
        <v>63</v>
      </c>
      <c r="AI1880">
        <v>5</v>
      </c>
      <c r="AT1880" t="s">
        <v>73</v>
      </c>
      <c r="AV1880" t="s">
        <v>88</v>
      </c>
      <c r="AW1880">
        <v>100</v>
      </c>
    </row>
    <row r="1881" spans="1:53" hidden="1" x14ac:dyDescent="0.3">
      <c r="A1881" t="s">
        <v>550</v>
      </c>
      <c r="C1881" t="s">
        <v>251</v>
      </c>
      <c r="D1881" t="s">
        <v>81</v>
      </c>
      <c r="E1881">
        <v>10000000</v>
      </c>
      <c r="H1881">
        <v>2.5449999999999999</v>
      </c>
      <c r="I1881" t="s">
        <v>56</v>
      </c>
      <c r="J1881">
        <v>2.5450000000000001E-4</v>
      </c>
      <c r="K1881" t="s">
        <v>57</v>
      </c>
      <c r="N1881" t="s">
        <v>551</v>
      </c>
      <c r="O1881">
        <v>100</v>
      </c>
      <c r="P1881" t="s">
        <v>277</v>
      </c>
      <c r="S1881">
        <v>4</v>
      </c>
      <c r="T1881">
        <v>24</v>
      </c>
      <c r="U1881" t="s">
        <v>120</v>
      </c>
      <c r="V1881">
        <v>75</v>
      </c>
      <c r="W1881" t="s">
        <v>552</v>
      </c>
      <c r="X1881" t="s">
        <v>280</v>
      </c>
      <c r="Y1881">
        <v>480</v>
      </c>
      <c r="AB1881">
        <v>6.33</v>
      </c>
      <c r="AC1881" t="s">
        <v>85</v>
      </c>
      <c r="AD1881" t="s">
        <v>525</v>
      </c>
      <c r="AE1881" t="s">
        <v>63</v>
      </c>
      <c r="AI1881">
        <v>5</v>
      </c>
      <c r="AT1881" t="s">
        <v>65</v>
      </c>
      <c r="AV1881" t="s">
        <v>88</v>
      </c>
      <c r="AW1881">
        <v>100</v>
      </c>
    </row>
    <row r="1882" spans="1:53" hidden="1" x14ac:dyDescent="0.3">
      <c r="A1882" t="s">
        <v>550</v>
      </c>
      <c r="C1882" t="s">
        <v>251</v>
      </c>
      <c r="D1882" t="s">
        <v>81</v>
      </c>
      <c r="E1882">
        <v>10000000</v>
      </c>
      <c r="H1882">
        <v>2.5449999999999999</v>
      </c>
      <c r="I1882" t="s">
        <v>56</v>
      </c>
      <c r="J1882">
        <v>2.5450000000000001E-4</v>
      </c>
      <c r="K1882" t="s">
        <v>57</v>
      </c>
      <c r="N1882" t="s">
        <v>551</v>
      </c>
      <c r="O1882">
        <v>100</v>
      </c>
      <c r="P1882" t="s">
        <v>277</v>
      </c>
      <c r="S1882">
        <v>4</v>
      </c>
      <c r="T1882">
        <v>24</v>
      </c>
      <c r="U1882" t="s">
        <v>120</v>
      </c>
      <c r="V1882">
        <v>75</v>
      </c>
      <c r="W1882" t="s">
        <v>74</v>
      </c>
      <c r="X1882" t="s">
        <v>280</v>
      </c>
      <c r="Y1882">
        <v>600</v>
      </c>
      <c r="AB1882">
        <v>6.67</v>
      </c>
      <c r="AC1882" t="s">
        <v>85</v>
      </c>
      <c r="AD1882" t="s">
        <v>105</v>
      </c>
      <c r="AE1882" t="s">
        <v>63</v>
      </c>
      <c r="AI1882">
        <v>5</v>
      </c>
      <c r="AT1882" t="s">
        <v>75</v>
      </c>
      <c r="AV1882" t="s">
        <v>88</v>
      </c>
      <c r="AW1882">
        <v>100</v>
      </c>
    </row>
    <row r="1883" spans="1:53" hidden="1" x14ac:dyDescent="0.3">
      <c r="A1883" t="s">
        <v>550</v>
      </c>
      <c r="C1883" t="s">
        <v>251</v>
      </c>
      <c r="D1883" t="s">
        <v>81</v>
      </c>
      <c r="E1883">
        <v>10000000</v>
      </c>
      <c r="H1883">
        <v>2.5449999999999999</v>
      </c>
      <c r="I1883" t="s">
        <v>56</v>
      </c>
      <c r="J1883">
        <v>2.5450000000000001E-4</v>
      </c>
      <c r="K1883" t="s">
        <v>57</v>
      </c>
      <c r="N1883" t="s">
        <v>551</v>
      </c>
      <c r="O1883">
        <v>100</v>
      </c>
      <c r="P1883" t="s">
        <v>277</v>
      </c>
      <c r="S1883">
        <v>4</v>
      </c>
      <c r="T1883">
        <v>24</v>
      </c>
      <c r="U1883" t="s">
        <v>120</v>
      </c>
      <c r="V1883">
        <v>75</v>
      </c>
      <c r="W1883" t="s">
        <v>76</v>
      </c>
      <c r="X1883" t="s">
        <v>280</v>
      </c>
      <c r="Y1883">
        <v>600</v>
      </c>
      <c r="AA1883" t="s">
        <v>184</v>
      </c>
      <c r="AB1883">
        <v>7.68</v>
      </c>
      <c r="AC1883" t="s">
        <v>85</v>
      </c>
      <c r="AD1883" t="s">
        <v>553</v>
      </c>
      <c r="AE1883" t="s">
        <v>63</v>
      </c>
      <c r="AI1883">
        <v>5</v>
      </c>
      <c r="AT1883" t="s">
        <v>77</v>
      </c>
      <c r="AV1883" t="s">
        <v>88</v>
      </c>
      <c r="AW1883">
        <v>100</v>
      </c>
      <c r="AZ1883">
        <v>0</v>
      </c>
      <c r="BA1883">
        <v>7.68</v>
      </c>
    </row>
    <row r="1884" spans="1:53" hidden="1" x14ac:dyDescent="0.3">
      <c r="A1884" t="s">
        <v>550</v>
      </c>
      <c r="C1884" t="s">
        <v>251</v>
      </c>
      <c r="D1884" t="s">
        <v>81</v>
      </c>
      <c r="E1884">
        <v>10000000</v>
      </c>
      <c r="H1884">
        <v>2.5449999999999999</v>
      </c>
      <c r="I1884" t="s">
        <v>56</v>
      </c>
      <c r="J1884">
        <v>2.5450000000000001E-4</v>
      </c>
      <c r="K1884" t="s">
        <v>57</v>
      </c>
      <c r="N1884" t="s">
        <v>551</v>
      </c>
      <c r="O1884">
        <v>100</v>
      </c>
      <c r="P1884" t="s">
        <v>277</v>
      </c>
      <c r="S1884">
        <v>4</v>
      </c>
      <c r="T1884">
        <v>24</v>
      </c>
      <c r="U1884" t="s">
        <v>120</v>
      </c>
      <c r="V1884">
        <v>75</v>
      </c>
      <c r="W1884" t="s">
        <v>554</v>
      </c>
      <c r="X1884" t="s">
        <v>280</v>
      </c>
      <c r="Y1884">
        <v>600</v>
      </c>
      <c r="AA1884" t="s">
        <v>184</v>
      </c>
      <c r="AB1884">
        <v>7.88</v>
      </c>
      <c r="AC1884" t="s">
        <v>85</v>
      </c>
      <c r="AD1884" t="s">
        <v>505</v>
      </c>
      <c r="AE1884" t="s">
        <v>63</v>
      </c>
      <c r="AI1884">
        <v>5</v>
      </c>
      <c r="AT1884" t="s">
        <v>79</v>
      </c>
      <c r="AV1884" t="s">
        <v>88</v>
      </c>
      <c r="AW1884">
        <v>100</v>
      </c>
      <c r="AZ1884">
        <v>0</v>
      </c>
      <c r="BA1884">
        <v>7.88</v>
      </c>
    </row>
    <row r="1885" spans="1:53" hidden="1" x14ac:dyDescent="0.3">
      <c r="A1885" t="s">
        <v>550</v>
      </c>
      <c r="C1885" t="s">
        <v>251</v>
      </c>
      <c r="D1885" t="s">
        <v>81</v>
      </c>
      <c r="E1885">
        <v>10000000</v>
      </c>
      <c r="H1885">
        <v>2.5449999999999999</v>
      </c>
      <c r="I1885" t="s">
        <v>56</v>
      </c>
      <c r="J1885">
        <v>2.5450000000000001E-4</v>
      </c>
      <c r="K1885" t="s">
        <v>57</v>
      </c>
      <c r="N1885" t="s">
        <v>551</v>
      </c>
      <c r="O1885">
        <v>100</v>
      </c>
      <c r="P1885" t="s">
        <v>277</v>
      </c>
      <c r="S1885">
        <v>4</v>
      </c>
      <c r="T1885">
        <v>24</v>
      </c>
      <c r="U1885" t="s">
        <v>120</v>
      </c>
      <c r="V1885">
        <v>75</v>
      </c>
      <c r="W1885" t="s">
        <v>353</v>
      </c>
      <c r="X1885" t="s">
        <v>280</v>
      </c>
      <c r="Y1885">
        <v>600</v>
      </c>
      <c r="AB1885">
        <v>7.77</v>
      </c>
      <c r="AC1885" t="s">
        <v>85</v>
      </c>
      <c r="AD1885" t="s">
        <v>487</v>
      </c>
      <c r="AE1885" t="s">
        <v>63</v>
      </c>
      <c r="AI1885">
        <v>5</v>
      </c>
      <c r="AT1885" t="s">
        <v>73</v>
      </c>
      <c r="AV1885" t="s">
        <v>88</v>
      </c>
      <c r="AW1885">
        <v>100</v>
      </c>
    </row>
    <row r="1886" spans="1:53" hidden="1" x14ac:dyDescent="0.3">
      <c r="A1886" t="s">
        <v>550</v>
      </c>
      <c r="C1886" t="s">
        <v>251</v>
      </c>
      <c r="D1886" t="s">
        <v>81</v>
      </c>
      <c r="E1886">
        <v>10000000</v>
      </c>
      <c r="H1886">
        <v>2.5449999999999999</v>
      </c>
      <c r="I1886" t="s">
        <v>56</v>
      </c>
      <c r="J1886">
        <v>2.5450000000000001E-4</v>
      </c>
      <c r="K1886" t="s">
        <v>57</v>
      </c>
      <c r="N1886" t="s">
        <v>551</v>
      </c>
      <c r="O1886">
        <v>100</v>
      </c>
      <c r="P1886" t="s">
        <v>277</v>
      </c>
      <c r="S1886">
        <v>4</v>
      </c>
      <c r="T1886">
        <v>24</v>
      </c>
      <c r="U1886" t="s">
        <v>120</v>
      </c>
      <c r="V1886">
        <v>75</v>
      </c>
      <c r="W1886" t="s">
        <v>74</v>
      </c>
      <c r="X1886" t="s">
        <v>280</v>
      </c>
      <c r="Y1886">
        <v>720</v>
      </c>
      <c r="AB1886">
        <v>7.14</v>
      </c>
      <c r="AC1886" t="s">
        <v>85</v>
      </c>
      <c r="AD1886" t="s">
        <v>327</v>
      </c>
      <c r="AE1886" t="s">
        <v>63</v>
      </c>
      <c r="AI1886">
        <v>5</v>
      </c>
      <c r="AT1886" t="s">
        <v>75</v>
      </c>
      <c r="AV1886" t="s">
        <v>88</v>
      </c>
      <c r="AW1886">
        <v>100</v>
      </c>
    </row>
    <row r="1887" spans="1:53" hidden="1" x14ac:dyDescent="0.3">
      <c r="A1887" t="s">
        <v>550</v>
      </c>
      <c r="C1887" t="s">
        <v>251</v>
      </c>
      <c r="D1887" t="s">
        <v>81</v>
      </c>
      <c r="E1887">
        <v>10000000</v>
      </c>
      <c r="H1887">
        <v>2.5449999999999999</v>
      </c>
      <c r="I1887" t="s">
        <v>56</v>
      </c>
      <c r="J1887">
        <v>2.5450000000000001E-4</v>
      </c>
      <c r="K1887" t="s">
        <v>57</v>
      </c>
      <c r="N1887" t="s">
        <v>551</v>
      </c>
      <c r="O1887">
        <v>100</v>
      </c>
      <c r="P1887" t="s">
        <v>277</v>
      </c>
      <c r="S1887">
        <v>4</v>
      </c>
      <c r="T1887">
        <v>24</v>
      </c>
      <c r="U1887" t="s">
        <v>120</v>
      </c>
      <c r="V1887">
        <v>75</v>
      </c>
      <c r="W1887" t="s">
        <v>76</v>
      </c>
      <c r="X1887" t="s">
        <v>280</v>
      </c>
      <c r="Y1887">
        <v>720</v>
      </c>
      <c r="AA1887" t="s">
        <v>184</v>
      </c>
      <c r="AB1887">
        <v>7.68</v>
      </c>
      <c r="AC1887" t="s">
        <v>85</v>
      </c>
      <c r="AD1887" t="s">
        <v>553</v>
      </c>
      <c r="AE1887" t="s">
        <v>63</v>
      </c>
      <c r="AI1887">
        <v>5</v>
      </c>
      <c r="AT1887" t="s">
        <v>77</v>
      </c>
      <c r="AV1887" t="s">
        <v>88</v>
      </c>
      <c r="AW1887">
        <v>100</v>
      </c>
      <c r="AZ1887">
        <v>0</v>
      </c>
      <c r="BA1887">
        <v>7.68</v>
      </c>
    </row>
    <row r="1888" spans="1:53" hidden="1" x14ac:dyDescent="0.3">
      <c r="A1888" t="s">
        <v>550</v>
      </c>
      <c r="C1888" t="s">
        <v>251</v>
      </c>
      <c r="D1888" t="s">
        <v>81</v>
      </c>
      <c r="E1888">
        <v>10000000</v>
      </c>
      <c r="H1888">
        <v>2.5449999999999999</v>
      </c>
      <c r="I1888" t="s">
        <v>56</v>
      </c>
      <c r="J1888">
        <v>2.5450000000000001E-4</v>
      </c>
      <c r="K1888" t="s">
        <v>57</v>
      </c>
      <c r="N1888" t="s">
        <v>551</v>
      </c>
      <c r="O1888">
        <v>100</v>
      </c>
      <c r="P1888" t="s">
        <v>277</v>
      </c>
      <c r="S1888">
        <v>4</v>
      </c>
      <c r="T1888">
        <v>24</v>
      </c>
      <c r="U1888" t="s">
        <v>120</v>
      </c>
      <c r="V1888">
        <v>75</v>
      </c>
      <c r="W1888" t="s">
        <v>554</v>
      </c>
      <c r="X1888" t="s">
        <v>280</v>
      </c>
      <c r="Y1888">
        <v>720</v>
      </c>
      <c r="AA1888" t="s">
        <v>184</v>
      </c>
      <c r="AB1888">
        <v>7.88</v>
      </c>
      <c r="AC1888" t="s">
        <v>85</v>
      </c>
      <c r="AD1888" t="s">
        <v>505</v>
      </c>
      <c r="AE1888" t="s">
        <v>63</v>
      </c>
      <c r="AI1888">
        <v>5</v>
      </c>
      <c r="AT1888" t="s">
        <v>79</v>
      </c>
      <c r="AV1888" t="s">
        <v>88</v>
      </c>
      <c r="AW1888">
        <v>100</v>
      </c>
      <c r="AZ1888">
        <v>0</v>
      </c>
      <c r="BA1888">
        <v>7.88</v>
      </c>
    </row>
    <row r="1889" spans="1:53" hidden="1" x14ac:dyDescent="0.3">
      <c r="A1889" t="s">
        <v>550</v>
      </c>
      <c r="C1889" t="s">
        <v>251</v>
      </c>
      <c r="D1889" t="s">
        <v>81</v>
      </c>
      <c r="E1889">
        <v>10000000</v>
      </c>
      <c r="H1889">
        <v>2.5449999999999999</v>
      </c>
      <c r="I1889" t="s">
        <v>56</v>
      </c>
      <c r="J1889">
        <v>2.5450000000000001E-4</v>
      </c>
      <c r="K1889" t="s">
        <v>57</v>
      </c>
      <c r="N1889" t="s">
        <v>551</v>
      </c>
      <c r="O1889">
        <v>100</v>
      </c>
      <c r="P1889" t="s">
        <v>277</v>
      </c>
      <c r="S1889">
        <v>4</v>
      </c>
      <c r="T1889">
        <v>24</v>
      </c>
      <c r="U1889" t="s">
        <v>120</v>
      </c>
      <c r="V1889">
        <v>75</v>
      </c>
      <c r="W1889" t="s">
        <v>353</v>
      </c>
      <c r="X1889" t="s">
        <v>280</v>
      </c>
      <c r="Y1889">
        <v>720</v>
      </c>
      <c r="AB1889">
        <v>7.67</v>
      </c>
      <c r="AC1889" t="s">
        <v>85</v>
      </c>
      <c r="AD1889" t="s">
        <v>234</v>
      </c>
      <c r="AE1889" t="s">
        <v>63</v>
      </c>
      <c r="AI1889">
        <v>5</v>
      </c>
      <c r="AT1889" t="s">
        <v>73</v>
      </c>
      <c r="AV1889" t="s">
        <v>88</v>
      </c>
      <c r="AW1889">
        <v>100</v>
      </c>
    </row>
    <row r="1890" spans="1:53" hidden="1" x14ac:dyDescent="0.3">
      <c r="A1890" t="s">
        <v>550</v>
      </c>
      <c r="C1890" t="s">
        <v>251</v>
      </c>
      <c r="D1890" t="s">
        <v>81</v>
      </c>
      <c r="E1890">
        <v>10000000</v>
      </c>
      <c r="H1890">
        <v>2.5449999999999999</v>
      </c>
      <c r="I1890" t="s">
        <v>56</v>
      </c>
      <c r="J1890">
        <v>2.5450000000000001E-4</v>
      </c>
      <c r="K1890" t="s">
        <v>57</v>
      </c>
      <c r="N1890" t="s">
        <v>551</v>
      </c>
      <c r="O1890">
        <v>200</v>
      </c>
      <c r="P1890" t="s">
        <v>277</v>
      </c>
      <c r="S1890">
        <v>4</v>
      </c>
      <c r="T1890">
        <v>24</v>
      </c>
      <c r="U1890" t="s">
        <v>120</v>
      </c>
      <c r="V1890">
        <v>75</v>
      </c>
      <c r="W1890" t="s">
        <v>552</v>
      </c>
      <c r="X1890" t="s">
        <v>280</v>
      </c>
      <c r="Y1890">
        <v>120</v>
      </c>
      <c r="AB1890">
        <v>7.54</v>
      </c>
      <c r="AC1890" t="s">
        <v>85</v>
      </c>
      <c r="AD1890" t="s">
        <v>234</v>
      </c>
      <c r="AE1890" t="s">
        <v>63</v>
      </c>
      <c r="AI1890">
        <v>5</v>
      </c>
      <c r="AT1890" t="s">
        <v>65</v>
      </c>
      <c r="AV1890" t="s">
        <v>88</v>
      </c>
      <c r="AW1890">
        <v>200</v>
      </c>
    </row>
    <row r="1891" spans="1:53" hidden="1" x14ac:dyDescent="0.3">
      <c r="A1891" t="s">
        <v>550</v>
      </c>
      <c r="C1891" t="s">
        <v>251</v>
      </c>
      <c r="D1891" t="s">
        <v>81</v>
      </c>
      <c r="E1891">
        <v>10000000</v>
      </c>
      <c r="H1891">
        <v>2.5449999999999999</v>
      </c>
      <c r="I1891" t="s">
        <v>56</v>
      </c>
      <c r="J1891">
        <v>2.5450000000000001E-4</v>
      </c>
      <c r="K1891" t="s">
        <v>57</v>
      </c>
      <c r="N1891" t="s">
        <v>551</v>
      </c>
      <c r="O1891">
        <v>200</v>
      </c>
      <c r="P1891" t="s">
        <v>277</v>
      </c>
      <c r="S1891">
        <v>4</v>
      </c>
      <c r="T1891">
        <v>24</v>
      </c>
      <c r="U1891" t="s">
        <v>120</v>
      </c>
      <c r="V1891">
        <v>75</v>
      </c>
      <c r="W1891" t="s">
        <v>74</v>
      </c>
      <c r="X1891" t="s">
        <v>280</v>
      </c>
      <c r="Y1891">
        <v>240</v>
      </c>
      <c r="AB1891">
        <v>5.4</v>
      </c>
      <c r="AC1891" t="s">
        <v>85</v>
      </c>
      <c r="AD1891" t="s">
        <v>555</v>
      </c>
      <c r="AE1891" t="s">
        <v>63</v>
      </c>
      <c r="AI1891">
        <v>5</v>
      </c>
      <c r="AT1891" t="s">
        <v>75</v>
      </c>
      <c r="AV1891" t="s">
        <v>88</v>
      </c>
      <c r="AW1891">
        <v>200</v>
      </c>
    </row>
    <row r="1892" spans="1:53" hidden="1" x14ac:dyDescent="0.3">
      <c r="A1892" t="s">
        <v>550</v>
      </c>
      <c r="C1892" t="s">
        <v>251</v>
      </c>
      <c r="D1892" t="s">
        <v>81</v>
      </c>
      <c r="E1892">
        <v>10000000</v>
      </c>
      <c r="H1892">
        <v>2.5449999999999999</v>
      </c>
      <c r="I1892" t="s">
        <v>56</v>
      </c>
      <c r="J1892">
        <v>2.5450000000000001E-4</v>
      </c>
      <c r="K1892" t="s">
        <v>57</v>
      </c>
      <c r="N1892" t="s">
        <v>551</v>
      </c>
      <c r="O1892">
        <v>200</v>
      </c>
      <c r="P1892" t="s">
        <v>277</v>
      </c>
      <c r="S1892">
        <v>4</v>
      </c>
      <c r="T1892">
        <v>24</v>
      </c>
      <c r="U1892" t="s">
        <v>120</v>
      </c>
      <c r="V1892">
        <v>75</v>
      </c>
      <c r="W1892" t="s">
        <v>554</v>
      </c>
      <c r="X1892" t="s">
        <v>280</v>
      </c>
      <c r="Y1892">
        <v>240</v>
      </c>
      <c r="AA1892" t="s">
        <v>184</v>
      </c>
      <c r="AB1892">
        <v>7.69</v>
      </c>
      <c r="AC1892" t="s">
        <v>85</v>
      </c>
      <c r="AD1892" t="s">
        <v>517</v>
      </c>
      <c r="AE1892" t="s">
        <v>63</v>
      </c>
      <c r="AI1892">
        <v>5</v>
      </c>
      <c r="AT1892" t="s">
        <v>79</v>
      </c>
      <c r="AV1892" t="s">
        <v>88</v>
      </c>
      <c r="AW1892">
        <v>200</v>
      </c>
      <c r="AZ1892">
        <v>0</v>
      </c>
      <c r="BA1892">
        <v>7.69</v>
      </c>
    </row>
    <row r="1893" spans="1:53" hidden="1" x14ac:dyDescent="0.3">
      <c r="A1893" t="s">
        <v>550</v>
      </c>
      <c r="C1893" t="s">
        <v>251</v>
      </c>
      <c r="D1893" t="s">
        <v>81</v>
      </c>
      <c r="E1893">
        <v>10000000</v>
      </c>
      <c r="H1893">
        <v>2.5449999999999999</v>
      </c>
      <c r="I1893" t="s">
        <v>56</v>
      </c>
      <c r="J1893">
        <v>2.5450000000000001E-4</v>
      </c>
      <c r="K1893" t="s">
        <v>57</v>
      </c>
      <c r="N1893" t="s">
        <v>551</v>
      </c>
      <c r="O1893">
        <v>200</v>
      </c>
      <c r="P1893" t="s">
        <v>277</v>
      </c>
      <c r="S1893">
        <v>4</v>
      </c>
      <c r="T1893">
        <v>24</v>
      </c>
      <c r="U1893" t="s">
        <v>120</v>
      </c>
      <c r="V1893">
        <v>75</v>
      </c>
      <c r="W1893" t="s">
        <v>353</v>
      </c>
      <c r="X1893" t="s">
        <v>280</v>
      </c>
      <c r="Y1893">
        <v>240</v>
      </c>
      <c r="AA1893" t="s">
        <v>184</v>
      </c>
      <c r="AB1893">
        <v>7.76</v>
      </c>
      <c r="AC1893" t="s">
        <v>85</v>
      </c>
      <c r="AD1893" t="s">
        <v>225</v>
      </c>
      <c r="AE1893" t="s">
        <v>63</v>
      </c>
      <c r="AI1893">
        <v>5</v>
      </c>
      <c r="AT1893" t="s">
        <v>73</v>
      </c>
      <c r="AV1893" t="s">
        <v>88</v>
      </c>
      <c r="AW1893">
        <v>200</v>
      </c>
      <c r="AZ1893">
        <v>0</v>
      </c>
      <c r="BA1893">
        <v>7.76</v>
      </c>
    </row>
    <row r="1894" spans="1:53" hidden="1" x14ac:dyDescent="0.3">
      <c r="A1894" t="s">
        <v>550</v>
      </c>
      <c r="C1894" t="s">
        <v>251</v>
      </c>
      <c r="D1894" t="s">
        <v>81</v>
      </c>
      <c r="E1894">
        <v>10000000</v>
      </c>
      <c r="H1894">
        <v>2.5449999999999999</v>
      </c>
      <c r="I1894" t="s">
        <v>56</v>
      </c>
      <c r="J1894">
        <v>2.5450000000000001E-4</v>
      </c>
      <c r="K1894" t="s">
        <v>57</v>
      </c>
      <c r="N1894" t="s">
        <v>551</v>
      </c>
      <c r="O1894">
        <v>200</v>
      </c>
      <c r="P1894" t="s">
        <v>277</v>
      </c>
      <c r="S1894">
        <v>4</v>
      </c>
      <c r="T1894">
        <v>24</v>
      </c>
      <c r="U1894" t="s">
        <v>120</v>
      </c>
      <c r="V1894">
        <v>75</v>
      </c>
      <c r="W1894" t="s">
        <v>552</v>
      </c>
      <c r="X1894" t="s">
        <v>280</v>
      </c>
      <c r="Y1894">
        <v>240</v>
      </c>
      <c r="AA1894" t="s">
        <v>184</v>
      </c>
      <c r="AB1894">
        <v>7.81</v>
      </c>
      <c r="AC1894" t="s">
        <v>85</v>
      </c>
      <c r="AD1894" t="s">
        <v>248</v>
      </c>
      <c r="AE1894" t="s">
        <v>63</v>
      </c>
      <c r="AI1894">
        <v>5</v>
      </c>
      <c r="AT1894" t="s">
        <v>65</v>
      </c>
      <c r="AV1894" t="s">
        <v>88</v>
      </c>
      <c r="AW1894">
        <v>200</v>
      </c>
      <c r="AZ1894">
        <v>0</v>
      </c>
      <c r="BA1894">
        <v>7.81</v>
      </c>
    </row>
    <row r="1895" spans="1:53" hidden="1" x14ac:dyDescent="0.3">
      <c r="A1895" t="s">
        <v>550</v>
      </c>
      <c r="C1895" t="s">
        <v>251</v>
      </c>
      <c r="D1895" t="s">
        <v>81</v>
      </c>
      <c r="E1895">
        <v>10000000</v>
      </c>
      <c r="H1895">
        <v>2.5449999999999999</v>
      </c>
      <c r="I1895" t="s">
        <v>56</v>
      </c>
      <c r="J1895">
        <v>2.5450000000000001E-4</v>
      </c>
      <c r="K1895" t="s">
        <v>57</v>
      </c>
      <c r="N1895" t="s">
        <v>551</v>
      </c>
      <c r="O1895">
        <v>200</v>
      </c>
      <c r="P1895" t="s">
        <v>277</v>
      </c>
      <c r="S1895">
        <v>4</v>
      </c>
      <c r="T1895">
        <v>24</v>
      </c>
      <c r="U1895" t="s">
        <v>120</v>
      </c>
      <c r="V1895">
        <v>75</v>
      </c>
      <c r="W1895" t="s">
        <v>74</v>
      </c>
      <c r="X1895" t="s">
        <v>280</v>
      </c>
      <c r="Y1895">
        <v>360</v>
      </c>
      <c r="AB1895">
        <v>5.23</v>
      </c>
      <c r="AC1895" t="s">
        <v>85</v>
      </c>
      <c r="AD1895" t="s">
        <v>556</v>
      </c>
      <c r="AE1895" t="s">
        <v>63</v>
      </c>
      <c r="AI1895">
        <v>5</v>
      </c>
      <c r="AT1895" t="s">
        <v>75</v>
      </c>
      <c r="AV1895" t="s">
        <v>88</v>
      </c>
      <c r="AW1895">
        <v>200</v>
      </c>
    </row>
    <row r="1896" spans="1:53" hidden="1" x14ac:dyDescent="0.3">
      <c r="A1896" t="s">
        <v>550</v>
      </c>
      <c r="C1896" t="s">
        <v>251</v>
      </c>
      <c r="D1896" t="s">
        <v>81</v>
      </c>
      <c r="E1896">
        <v>10000000</v>
      </c>
      <c r="H1896">
        <v>2.5449999999999999</v>
      </c>
      <c r="I1896" t="s">
        <v>56</v>
      </c>
      <c r="J1896">
        <v>2.5450000000000001E-4</v>
      </c>
      <c r="K1896" t="s">
        <v>57</v>
      </c>
      <c r="N1896" t="s">
        <v>551</v>
      </c>
      <c r="O1896">
        <v>200</v>
      </c>
      <c r="P1896" t="s">
        <v>277</v>
      </c>
      <c r="S1896">
        <v>4</v>
      </c>
      <c r="T1896">
        <v>24</v>
      </c>
      <c r="U1896" t="s">
        <v>120</v>
      </c>
      <c r="V1896">
        <v>75</v>
      </c>
      <c r="W1896" t="s">
        <v>76</v>
      </c>
      <c r="X1896" t="s">
        <v>280</v>
      </c>
      <c r="Y1896">
        <v>360</v>
      </c>
      <c r="AA1896" t="s">
        <v>184</v>
      </c>
      <c r="AB1896">
        <v>7.66</v>
      </c>
      <c r="AC1896" t="s">
        <v>85</v>
      </c>
      <c r="AD1896" t="s">
        <v>493</v>
      </c>
      <c r="AE1896" t="s">
        <v>63</v>
      </c>
      <c r="AI1896">
        <v>5</v>
      </c>
      <c r="AT1896" t="s">
        <v>77</v>
      </c>
      <c r="AV1896" t="s">
        <v>88</v>
      </c>
      <c r="AW1896">
        <v>200</v>
      </c>
      <c r="AZ1896">
        <v>0</v>
      </c>
      <c r="BA1896">
        <v>7.66</v>
      </c>
    </row>
    <row r="1897" spans="1:53" hidden="1" x14ac:dyDescent="0.3">
      <c r="A1897" t="s">
        <v>550</v>
      </c>
      <c r="C1897" t="s">
        <v>251</v>
      </c>
      <c r="D1897" t="s">
        <v>81</v>
      </c>
      <c r="E1897">
        <v>10000000</v>
      </c>
      <c r="H1897">
        <v>2.5449999999999999</v>
      </c>
      <c r="I1897" t="s">
        <v>56</v>
      </c>
      <c r="J1897">
        <v>2.5450000000000001E-4</v>
      </c>
      <c r="K1897" t="s">
        <v>57</v>
      </c>
      <c r="N1897" t="s">
        <v>551</v>
      </c>
      <c r="O1897">
        <v>200</v>
      </c>
      <c r="P1897" t="s">
        <v>277</v>
      </c>
      <c r="S1897">
        <v>4</v>
      </c>
      <c r="T1897">
        <v>24</v>
      </c>
      <c r="U1897" t="s">
        <v>120</v>
      </c>
      <c r="V1897">
        <v>75</v>
      </c>
      <c r="W1897" t="s">
        <v>554</v>
      </c>
      <c r="X1897" t="s">
        <v>280</v>
      </c>
      <c r="Y1897">
        <v>360</v>
      </c>
      <c r="AA1897" t="s">
        <v>184</v>
      </c>
      <c r="AB1897">
        <v>7.71</v>
      </c>
      <c r="AC1897" t="s">
        <v>85</v>
      </c>
      <c r="AD1897" t="s">
        <v>517</v>
      </c>
      <c r="AE1897" t="s">
        <v>63</v>
      </c>
      <c r="AI1897">
        <v>5</v>
      </c>
      <c r="AT1897" t="s">
        <v>79</v>
      </c>
      <c r="AV1897" t="s">
        <v>88</v>
      </c>
      <c r="AW1897">
        <v>200</v>
      </c>
      <c r="AZ1897">
        <v>0</v>
      </c>
      <c r="BA1897">
        <v>7.71</v>
      </c>
    </row>
    <row r="1898" spans="1:53" hidden="1" x14ac:dyDescent="0.3">
      <c r="A1898" t="s">
        <v>550</v>
      </c>
      <c r="C1898" t="s">
        <v>251</v>
      </c>
      <c r="D1898" t="s">
        <v>81</v>
      </c>
      <c r="E1898">
        <v>10000000</v>
      </c>
      <c r="H1898">
        <v>2.5449999999999999</v>
      </c>
      <c r="I1898" t="s">
        <v>56</v>
      </c>
      <c r="J1898">
        <v>2.5450000000000001E-4</v>
      </c>
      <c r="K1898" t="s">
        <v>57</v>
      </c>
      <c r="N1898" t="s">
        <v>551</v>
      </c>
      <c r="O1898">
        <v>200</v>
      </c>
      <c r="P1898" t="s">
        <v>277</v>
      </c>
      <c r="S1898">
        <v>4</v>
      </c>
      <c r="T1898">
        <v>24</v>
      </c>
      <c r="U1898" t="s">
        <v>120</v>
      </c>
      <c r="V1898">
        <v>75</v>
      </c>
      <c r="W1898" t="s">
        <v>353</v>
      </c>
      <c r="X1898" t="s">
        <v>280</v>
      </c>
      <c r="Y1898">
        <v>360</v>
      </c>
      <c r="AB1898">
        <v>7.54</v>
      </c>
      <c r="AC1898" t="s">
        <v>85</v>
      </c>
      <c r="AD1898" t="s">
        <v>529</v>
      </c>
      <c r="AE1898" t="s">
        <v>63</v>
      </c>
      <c r="AI1898">
        <v>5</v>
      </c>
      <c r="AT1898" t="s">
        <v>73</v>
      </c>
      <c r="AV1898" t="s">
        <v>88</v>
      </c>
      <c r="AW1898">
        <v>200</v>
      </c>
    </row>
    <row r="1899" spans="1:53" hidden="1" x14ac:dyDescent="0.3">
      <c r="A1899" t="s">
        <v>550</v>
      </c>
      <c r="C1899" t="s">
        <v>251</v>
      </c>
      <c r="D1899" t="s">
        <v>81</v>
      </c>
      <c r="E1899">
        <v>10000000</v>
      </c>
      <c r="H1899">
        <v>2.5449999999999999</v>
      </c>
      <c r="I1899" t="s">
        <v>56</v>
      </c>
      <c r="J1899">
        <v>2.5450000000000001E-4</v>
      </c>
      <c r="K1899" t="s">
        <v>57</v>
      </c>
      <c r="N1899" t="s">
        <v>551</v>
      </c>
      <c r="O1899">
        <v>200</v>
      </c>
      <c r="P1899" t="s">
        <v>277</v>
      </c>
      <c r="S1899">
        <v>4</v>
      </c>
      <c r="T1899">
        <v>24</v>
      </c>
      <c r="U1899" t="s">
        <v>120</v>
      </c>
      <c r="V1899">
        <v>75</v>
      </c>
      <c r="W1899" t="s">
        <v>552</v>
      </c>
      <c r="X1899" t="s">
        <v>280</v>
      </c>
      <c r="Y1899">
        <v>360</v>
      </c>
      <c r="AA1899" t="s">
        <v>184</v>
      </c>
      <c r="AB1899">
        <v>7.81</v>
      </c>
      <c r="AC1899" t="s">
        <v>85</v>
      </c>
      <c r="AD1899" t="s">
        <v>248</v>
      </c>
      <c r="AE1899" t="s">
        <v>63</v>
      </c>
      <c r="AI1899">
        <v>5</v>
      </c>
      <c r="AT1899" t="s">
        <v>65</v>
      </c>
      <c r="AV1899" t="s">
        <v>88</v>
      </c>
      <c r="AW1899">
        <v>200</v>
      </c>
      <c r="AZ1899">
        <v>0</v>
      </c>
      <c r="BA1899">
        <v>7.81</v>
      </c>
    </row>
    <row r="1900" spans="1:53" hidden="1" x14ac:dyDescent="0.3">
      <c r="A1900" t="s">
        <v>550</v>
      </c>
      <c r="C1900" t="s">
        <v>251</v>
      </c>
      <c r="D1900" t="s">
        <v>81</v>
      </c>
      <c r="E1900">
        <v>10000000</v>
      </c>
      <c r="H1900">
        <v>2.5449999999999999</v>
      </c>
      <c r="I1900" t="s">
        <v>56</v>
      </c>
      <c r="J1900">
        <v>2.5450000000000001E-4</v>
      </c>
      <c r="K1900" t="s">
        <v>57</v>
      </c>
      <c r="N1900" t="s">
        <v>551</v>
      </c>
      <c r="O1900">
        <v>200</v>
      </c>
      <c r="P1900" t="s">
        <v>277</v>
      </c>
      <c r="S1900">
        <v>4</v>
      </c>
      <c r="T1900">
        <v>24</v>
      </c>
      <c r="U1900" t="s">
        <v>120</v>
      </c>
      <c r="V1900">
        <v>75</v>
      </c>
      <c r="W1900" t="s">
        <v>76</v>
      </c>
      <c r="X1900" t="s">
        <v>280</v>
      </c>
      <c r="Y1900">
        <v>480</v>
      </c>
      <c r="AA1900" t="s">
        <v>184</v>
      </c>
      <c r="AB1900">
        <v>7.6</v>
      </c>
      <c r="AC1900" t="s">
        <v>85</v>
      </c>
      <c r="AD1900" t="s">
        <v>493</v>
      </c>
      <c r="AE1900" t="s">
        <v>63</v>
      </c>
      <c r="AI1900">
        <v>5</v>
      </c>
      <c r="AT1900" t="s">
        <v>77</v>
      </c>
      <c r="AV1900" t="s">
        <v>88</v>
      </c>
      <c r="AW1900">
        <v>200</v>
      </c>
      <c r="AZ1900">
        <v>0</v>
      </c>
      <c r="BA1900">
        <v>7.6</v>
      </c>
    </row>
    <row r="1901" spans="1:53" hidden="1" x14ac:dyDescent="0.3">
      <c r="A1901" t="s">
        <v>550</v>
      </c>
      <c r="C1901" t="s">
        <v>251</v>
      </c>
      <c r="D1901" t="s">
        <v>81</v>
      </c>
      <c r="E1901">
        <v>10000000</v>
      </c>
      <c r="H1901">
        <v>2.5449999999999999</v>
      </c>
      <c r="I1901" t="s">
        <v>56</v>
      </c>
      <c r="J1901">
        <v>2.5450000000000001E-4</v>
      </c>
      <c r="K1901" t="s">
        <v>57</v>
      </c>
      <c r="N1901" t="s">
        <v>551</v>
      </c>
      <c r="O1901">
        <v>200</v>
      </c>
      <c r="P1901" t="s">
        <v>277</v>
      </c>
      <c r="S1901">
        <v>4</v>
      </c>
      <c r="T1901">
        <v>24</v>
      </c>
      <c r="U1901" t="s">
        <v>120</v>
      </c>
      <c r="V1901">
        <v>75</v>
      </c>
      <c r="W1901" t="s">
        <v>554</v>
      </c>
      <c r="X1901" t="s">
        <v>280</v>
      </c>
      <c r="Y1901">
        <v>480</v>
      </c>
      <c r="AA1901" t="s">
        <v>184</v>
      </c>
      <c r="AB1901">
        <v>7.71</v>
      </c>
      <c r="AC1901" t="s">
        <v>85</v>
      </c>
      <c r="AD1901" t="s">
        <v>517</v>
      </c>
      <c r="AE1901" t="s">
        <v>63</v>
      </c>
      <c r="AI1901">
        <v>5</v>
      </c>
      <c r="AT1901" t="s">
        <v>79</v>
      </c>
      <c r="AV1901" t="s">
        <v>88</v>
      </c>
      <c r="AW1901">
        <v>200</v>
      </c>
      <c r="AZ1901">
        <v>0</v>
      </c>
      <c r="BA1901">
        <v>7.71</v>
      </c>
    </row>
    <row r="1902" spans="1:53" hidden="1" x14ac:dyDescent="0.3">
      <c r="A1902" t="s">
        <v>550</v>
      </c>
      <c r="C1902" t="s">
        <v>251</v>
      </c>
      <c r="D1902" t="s">
        <v>81</v>
      </c>
      <c r="E1902">
        <v>10000000</v>
      </c>
      <c r="H1902">
        <v>2.5449999999999999</v>
      </c>
      <c r="I1902" t="s">
        <v>56</v>
      </c>
      <c r="J1902">
        <v>2.5450000000000001E-4</v>
      </c>
      <c r="K1902" t="s">
        <v>57</v>
      </c>
      <c r="N1902" t="s">
        <v>551</v>
      </c>
      <c r="O1902">
        <v>200</v>
      </c>
      <c r="P1902" t="s">
        <v>277</v>
      </c>
      <c r="S1902">
        <v>4</v>
      </c>
      <c r="T1902">
        <v>24</v>
      </c>
      <c r="U1902" t="s">
        <v>120</v>
      </c>
      <c r="V1902">
        <v>75</v>
      </c>
      <c r="W1902" t="s">
        <v>353</v>
      </c>
      <c r="X1902" t="s">
        <v>280</v>
      </c>
      <c r="Y1902">
        <v>480</v>
      </c>
      <c r="AA1902" t="s">
        <v>184</v>
      </c>
      <c r="AB1902">
        <v>7.78</v>
      </c>
      <c r="AC1902" t="s">
        <v>85</v>
      </c>
      <c r="AD1902" t="s">
        <v>225</v>
      </c>
      <c r="AE1902" t="s">
        <v>63</v>
      </c>
      <c r="AI1902">
        <v>5</v>
      </c>
      <c r="AT1902" t="s">
        <v>73</v>
      </c>
      <c r="AV1902" t="s">
        <v>88</v>
      </c>
      <c r="AW1902">
        <v>200</v>
      </c>
      <c r="AZ1902">
        <v>0</v>
      </c>
      <c r="BA1902">
        <v>7.78</v>
      </c>
    </row>
    <row r="1903" spans="1:53" hidden="1" x14ac:dyDescent="0.3">
      <c r="A1903" t="s">
        <v>550</v>
      </c>
      <c r="C1903" t="s">
        <v>251</v>
      </c>
      <c r="D1903" t="s">
        <v>81</v>
      </c>
      <c r="E1903">
        <v>10000000</v>
      </c>
      <c r="H1903">
        <v>2.5449999999999999</v>
      </c>
      <c r="I1903" t="s">
        <v>56</v>
      </c>
      <c r="J1903">
        <v>2.5450000000000001E-4</v>
      </c>
      <c r="K1903" t="s">
        <v>57</v>
      </c>
      <c r="N1903" t="s">
        <v>551</v>
      </c>
      <c r="O1903">
        <v>200</v>
      </c>
      <c r="P1903" t="s">
        <v>277</v>
      </c>
      <c r="S1903">
        <v>4</v>
      </c>
      <c r="T1903">
        <v>24</v>
      </c>
      <c r="U1903" t="s">
        <v>120</v>
      </c>
      <c r="V1903">
        <v>75</v>
      </c>
      <c r="W1903" t="s">
        <v>552</v>
      </c>
      <c r="X1903" t="s">
        <v>280</v>
      </c>
      <c r="Y1903">
        <v>480</v>
      </c>
      <c r="AB1903">
        <v>7.66</v>
      </c>
      <c r="AC1903" t="s">
        <v>85</v>
      </c>
      <c r="AD1903" t="s">
        <v>104</v>
      </c>
      <c r="AE1903" t="s">
        <v>63</v>
      </c>
      <c r="AI1903">
        <v>5</v>
      </c>
      <c r="AT1903" t="s">
        <v>65</v>
      </c>
      <c r="AV1903" t="s">
        <v>88</v>
      </c>
      <c r="AW1903">
        <v>200</v>
      </c>
    </row>
    <row r="1904" spans="1:53" hidden="1" x14ac:dyDescent="0.3">
      <c r="A1904" t="s">
        <v>550</v>
      </c>
      <c r="C1904" t="s">
        <v>251</v>
      </c>
      <c r="D1904" t="s">
        <v>81</v>
      </c>
      <c r="E1904">
        <v>10000000</v>
      </c>
      <c r="H1904">
        <v>2.5449999999999999</v>
      </c>
      <c r="I1904" t="s">
        <v>56</v>
      </c>
      <c r="J1904">
        <v>2.5450000000000001E-4</v>
      </c>
      <c r="K1904" t="s">
        <v>57</v>
      </c>
      <c r="N1904" t="s">
        <v>551</v>
      </c>
      <c r="O1904">
        <v>200</v>
      </c>
      <c r="P1904" t="s">
        <v>277</v>
      </c>
      <c r="S1904">
        <v>4</v>
      </c>
      <c r="T1904">
        <v>24</v>
      </c>
      <c r="U1904" t="s">
        <v>120</v>
      </c>
      <c r="V1904">
        <v>75</v>
      </c>
      <c r="W1904" t="s">
        <v>74</v>
      </c>
      <c r="X1904" t="s">
        <v>280</v>
      </c>
      <c r="Y1904">
        <v>600</v>
      </c>
      <c r="AB1904">
        <v>5.35</v>
      </c>
      <c r="AC1904" t="s">
        <v>85</v>
      </c>
      <c r="AD1904" t="s">
        <v>557</v>
      </c>
      <c r="AE1904" t="s">
        <v>63</v>
      </c>
      <c r="AI1904">
        <v>5</v>
      </c>
      <c r="AT1904" t="s">
        <v>75</v>
      </c>
      <c r="AV1904" t="s">
        <v>88</v>
      </c>
      <c r="AW1904">
        <v>200</v>
      </c>
    </row>
    <row r="1905" spans="1:53" hidden="1" x14ac:dyDescent="0.3">
      <c r="A1905" t="s">
        <v>550</v>
      </c>
      <c r="C1905" t="s">
        <v>251</v>
      </c>
      <c r="D1905" t="s">
        <v>81</v>
      </c>
      <c r="E1905">
        <v>10000000</v>
      </c>
      <c r="H1905">
        <v>2.5449999999999999</v>
      </c>
      <c r="I1905" t="s">
        <v>56</v>
      </c>
      <c r="J1905">
        <v>2.5450000000000001E-4</v>
      </c>
      <c r="K1905" t="s">
        <v>57</v>
      </c>
      <c r="N1905" t="s">
        <v>551</v>
      </c>
      <c r="O1905">
        <v>200</v>
      </c>
      <c r="P1905" t="s">
        <v>277</v>
      </c>
      <c r="S1905">
        <v>4</v>
      </c>
      <c r="T1905">
        <v>24</v>
      </c>
      <c r="U1905" t="s">
        <v>120</v>
      </c>
      <c r="V1905">
        <v>75</v>
      </c>
      <c r="W1905" t="s">
        <v>76</v>
      </c>
      <c r="X1905" t="s">
        <v>280</v>
      </c>
      <c r="Y1905">
        <v>600</v>
      </c>
      <c r="AA1905" t="s">
        <v>184</v>
      </c>
      <c r="AB1905">
        <v>7.59</v>
      </c>
      <c r="AC1905" t="s">
        <v>85</v>
      </c>
      <c r="AD1905" t="s">
        <v>493</v>
      </c>
      <c r="AE1905" t="s">
        <v>63</v>
      </c>
      <c r="AI1905">
        <v>5</v>
      </c>
      <c r="AT1905" t="s">
        <v>77</v>
      </c>
      <c r="AV1905" t="s">
        <v>88</v>
      </c>
      <c r="AW1905">
        <v>200</v>
      </c>
      <c r="AZ1905">
        <v>0</v>
      </c>
      <c r="BA1905">
        <v>7.59</v>
      </c>
    </row>
    <row r="1906" spans="1:53" hidden="1" x14ac:dyDescent="0.3">
      <c r="A1906" t="s">
        <v>550</v>
      </c>
      <c r="C1906" t="s">
        <v>251</v>
      </c>
      <c r="D1906" t="s">
        <v>81</v>
      </c>
      <c r="E1906">
        <v>10000000</v>
      </c>
      <c r="H1906">
        <v>97</v>
      </c>
      <c r="I1906" t="s">
        <v>56</v>
      </c>
      <c r="J1906">
        <v>9.7000000000000003E-3</v>
      </c>
      <c r="K1906" t="s">
        <v>57</v>
      </c>
      <c r="N1906" t="s">
        <v>558</v>
      </c>
      <c r="O1906">
        <v>129</v>
      </c>
      <c r="P1906" t="s">
        <v>277</v>
      </c>
      <c r="S1906">
        <v>4</v>
      </c>
      <c r="T1906">
        <v>28.8</v>
      </c>
      <c r="U1906" t="s">
        <v>120</v>
      </c>
      <c r="V1906">
        <v>74.7</v>
      </c>
      <c r="W1906" t="s">
        <v>559</v>
      </c>
      <c r="X1906" t="s">
        <v>280</v>
      </c>
      <c r="Y1906">
        <v>480</v>
      </c>
      <c r="AB1906">
        <v>2.2201080880400501</v>
      </c>
      <c r="AC1906" t="s">
        <v>62</v>
      </c>
      <c r="AH1906">
        <v>5.3117538610557498</v>
      </c>
      <c r="AI1906">
        <v>1</v>
      </c>
      <c r="AT1906" t="s">
        <v>382</v>
      </c>
      <c r="AV1906" t="s">
        <v>88</v>
      </c>
      <c r="AW1906">
        <v>129</v>
      </c>
      <c r="BA1906">
        <v>5.3117538610557498</v>
      </c>
    </row>
    <row r="1907" spans="1:53" hidden="1" x14ac:dyDescent="0.3">
      <c r="A1907" t="s">
        <v>550</v>
      </c>
      <c r="C1907" t="s">
        <v>251</v>
      </c>
      <c r="D1907" t="s">
        <v>81</v>
      </c>
      <c r="E1907">
        <v>10000000</v>
      </c>
      <c r="H1907">
        <v>564</v>
      </c>
      <c r="I1907" t="s">
        <v>56</v>
      </c>
      <c r="J1907">
        <v>5.6400000000000013E-2</v>
      </c>
      <c r="K1907" t="s">
        <v>57</v>
      </c>
      <c r="N1907" t="s">
        <v>558</v>
      </c>
      <c r="O1907">
        <v>129</v>
      </c>
      <c r="P1907" t="s">
        <v>277</v>
      </c>
      <c r="S1907">
        <v>4</v>
      </c>
      <c r="T1907">
        <v>28.8</v>
      </c>
      <c r="U1907" t="s">
        <v>120</v>
      </c>
      <c r="V1907">
        <v>74.7</v>
      </c>
      <c r="W1907" t="s">
        <v>560</v>
      </c>
      <c r="X1907" t="s">
        <v>280</v>
      </c>
      <c r="Y1907">
        <v>480</v>
      </c>
      <c r="AB1907">
        <v>2.1038037209559501</v>
      </c>
      <c r="AC1907" t="s">
        <v>62</v>
      </c>
      <c r="AH1907">
        <v>6.2855573090077703</v>
      </c>
      <c r="AI1907">
        <v>1</v>
      </c>
      <c r="AV1907" t="s">
        <v>88</v>
      </c>
      <c r="AW1907">
        <v>129</v>
      </c>
      <c r="BA1907">
        <v>6.2855573090077703</v>
      </c>
    </row>
    <row r="1908" spans="1:53" hidden="1" x14ac:dyDescent="0.3">
      <c r="A1908" t="s">
        <v>550</v>
      </c>
      <c r="C1908" t="s">
        <v>251</v>
      </c>
      <c r="D1908" t="s">
        <v>81</v>
      </c>
      <c r="E1908">
        <v>10000000</v>
      </c>
      <c r="H1908">
        <v>465</v>
      </c>
      <c r="I1908" t="s">
        <v>56</v>
      </c>
      <c r="J1908">
        <v>4.65E-2</v>
      </c>
      <c r="K1908" t="s">
        <v>57</v>
      </c>
      <c r="N1908" t="s">
        <v>558</v>
      </c>
      <c r="O1908">
        <v>129</v>
      </c>
      <c r="P1908" t="s">
        <v>277</v>
      </c>
      <c r="S1908">
        <v>4</v>
      </c>
      <c r="T1908">
        <v>28.8</v>
      </c>
      <c r="U1908" t="s">
        <v>120</v>
      </c>
      <c r="V1908">
        <v>74.7</v>
      </c>
      <c r="W1908" t="s">
        <v>561</v>
      </c>
      <c r="X1908" t="s">
        <v>280</v>
      </c>
      <c r="Y1908">
        <v>480</v>
      </c>
      <c r="AB1908">
        <v>2.7566361082458402</v>
      </c>
      <c r="AC1908" t="s">
        <v>62</v>
      </c>
      <c r="AH1908">
        <v>4.6711728427150803</v>
      </c>
      <c r="AI1908">
        <v>2</v>
      </c>
      <c r="AV1908" t="s">
        <v>88</v>
      </c>
      <c r="AW1908">
        <v>129</v>
      </c>
      <c r="BA1908">
        <v>4.6711728427150803</v>
      </c>
    </row>
    <row r="1909" spans="1:53" hidden="1" x14ac:dyDescent="0.3">
      <c r="A1909" t="s">
        <v>550</v>
      </c>
      <c r="C1909" t="s">
        <v>251</v>
      </c>
      <c r="D1909" t="s">
        <v>81</v>
      </c>
      <c r="E1909">
        <v>10000000</v>
      </c>
      <c r="H1909">
        <v>465</v>
      </c>
      <c r="I1909" t="s">
        <v>56</v>
      </c>
      <c r="J1909">
        <v>4.65E-2</v>
      </c>
      <c r="K1909" t="s">
        <v>57</v>
      </c>
      <c r="N1909" t="s">
        <v>558</v>
      </c>
      <c r="O1909">
        <v>129</v>
      </c>
      <c r="P1909" t="s">
        <v>277</v>
      </c>
      <c r="S1909">
        <v>4</v>
      </c>
      <c r="T1909">
        <v>28.8</v>
      </c>
      <c r="U1909" t="s">
        <v>120</v>
      </c>
      <c r="V1909">
        <v>74.7</v>
      </c>
      <c r="W1909" t="s">
        <v>562</v>
      </c>
      <c r="X1909" t="s">
        <v>280</v>
      </c>
      <c r="Y1909">
        <v>480</v>
      </c>
      <c r="AB1909">
        <v>1.98452731334379</v>
      </c>
      <c r="AC1909" t="s">
        <v>62</v>
      </c>
      <c r="AH1909">
        <v>5.7387805584843603</v>
      </c>
      <c r="AI1909">
        <v>2</v>
      </c>
      <c r="AV1909" t="s">
        <v>88</v>
      </c>
      <c r="AW1909">
        <v>129</v>
      </c>
      <c r="BA1909">
        <v>5.7387805584843603</v>
      </c>
    </row>
    <row r="1910" spans="1:53" hidden="1" x14ac:dyDescent="0.3">
      <c r="A1910" t="s">
        <v>550</v>
      </c>
      <c r="C1910" t="s">
        <v>251</v>
      </c>
      <c r="D1910" t="s">
        <v>81</v>
      </c>
      <c r="E1910">
        <v>10000000</v>
      </c>
      <c r="H1910">
        <v>929</v>
      </c>
      <c r="I1910" t="s">
        <v>56</v>
      </c>
      <c r="J1910">
        <v>9.290000000000001E-2</v>
      </c>
      <c r="K1910" t="s">
        <v>57</v>
      </c>
      <c r="N1910" t="s">
        <v>558</v>
      </c>
      <c r="O1910">
        <v>129</v>
      </c>
      <c r="P1910" t="s">
        <v>277</v>
      </c>
      <c r="S1910">
        <v>4</v>
      </c>
      <c r="T1910">
        <v>28.8</v>
      </c>
      <c r="U1910" t="s">
        <v>120</v>
      </c>
      <c r="V1910">
        <v>74.7</v>
      </c>
      <c r="W1910" t="s">
        <v>563</v>
      </c>
      <c r="X1910" t="s">
        <v>280</v>
      </c>
      <c r="Y1910">
        <v>480</v>
      </c>
      <c r="AB1910">
        <v>-9.2051478387727606E-2</v>
      </c>
      <c r="AC1910" t="s">
        <v>62</v>
      </c>
      <c r="AH1910">
        <v>5.41995574848975</v>
      </c>
      <c r="AI1910">
        <v>3</v>
      </c>
      <c r="AT1910" t="s">
        <v>382</v>
      </c>
      <c r="AV1910" t="s">
        <v>88</v>
      </c>
      <c r="AW1910">
        <v>129</v>
      </c>
      <c r="BA1910">
        <v>5.41995574848975</v>
      </c>
    </row>
    <row r="1911" spans="1:53" hidden="1" x14ac:dyDescent="0.3">
      <c r="A1911" t="s">
        <v>550</v>
      </c>
      <c r="C1911" t="s">
        <v>251</v>
      </c>
      <c r="D1911" t="s">
        <v>81</v>
      </c>
      <c r="E1911">
        <v>10000000</v>
      </c>
      <c r="H1911">
        <v>929</v>
      </c>
      <c r="I1911" t="s">
        <v>56</v>
      </c>
      <c r="J1911">
        <v>9.290000000000001E-2</v>
      </c>
      <c r="K1911" t="s">
        <v>57</v>
      </c>
      <c r="N1911" t="s">
        <v>558</v>
      </c>
      <c r="O1911">
        <v>129</v>
      </c>
      <c r="P1911" t="s">
        <v>277</v>
      </c>
      <c r="S1911">
        <v>4</v>
      </c>
      <c r="T1911">
        <v>28.8</v>
      </c>
      <c r="U1911" t="s">
        <v>120</v>
      </c>
      <c r="V1911">
        <v>74.7</v>
      </c>
      <c r="W1911" t="s">
        <v>318</v>
      </c>
      <c r="X1911" t="s">
        <v>280</v>
      </c>
      <c r="Y1911">
        <v>480</v>
      </c>
      <c r="AB1911">
        <v>0.35602585719312202</v>
      </c>
      <c r="AC1911" t="s">
        <v>62</v>
      </c>
      <c r="AH1911">
        <v>5.1522883443830496</v>
      </c>
      <c r="AI1911">
        <v>3</v>
      </c>
      <c r="AT1911" t="s">
        <v>318</v>
      </c>
      <c r="AV1911" t="s">
        <v>88</v>
      </c>
      <c r="AW1911">
        <v>129</v>
      </c>
      <c r="BA1911">
        <v>5.1522883443830496</v>
      </c>
    </row>
    <row r="1912" spans="1:53" hidden="1" x14ac:dyDescent="0.3">
      <c r="A1912" t="s">
        <v>550</v>
      </c>
      <c r="C1912" t="s">
        <v>251</v>
      </c>
      <c r="D1912" t="s">
        <v>81</v>
      </c>
      <c r="E1912">
        <v>10000000</v>
      </c>
      <c r="H1912">
        <v>929</v>
      </c>
      <c r="I1912" t="s">
        <v>56</v>
      </c>
      <c r="J1912">
        <v>9.290000000000001E-2</v>
      </c>
      <c r="K1912" t="s">
        <v>57</v>
      </c>
      <c r="N1912" t="s">
        <v>558</v>
      </c>
      <c r="O1912">
        <v>129</v>
      </c>
      <c r="P1912" t="s">
        <v>277</v>
      </c>
      <c r="S1912">
        <v>4</v>
      </c>
      <c r="T1912">
        <v>28.8</v>
      </c>
      <c r="U1912" t="s">
        <v>120</v>
      </c>
      <c r="V1912">
        <v>74.7</v>
      </c>
      <c r="W1912" t="s">
        <v>564</v>
      </c>
      <c r="X1912" t="s">
        <v>280</v>
      </c>
      <c r="Y1912">
        <v>480</v>
      </c>
      <c r="AB1912">
        <v>2.0492180226701802</v>
      </c>
      <c r="AC1912" t="s">
        <v>62</v>
      </c>
      <c r="AH1912">
        <v>5.4132997640812501</v>
      </c>
      <c r="AI1912">
        <v>3</v>
      </c>
      <c r="AT1912" t="s">
        <v>73</v>
      </c>
      <c r="AV1912" t="s">
        <v>88</v>
      </c>
      <c r="AW1912">
        <v>129</v>
      </c>
      <c r="BA1912">
        <v>5.4132997640812501</v>
      </c>
    </row>
    <row r="1913" spans="1:53" hidden="1" x14ac:dyDescent="0.3">
      <c r="A1913" t="s">
        <v>550</v>
      </c>
      <c r="C1913" t="s">
        <v>251</v>
      </c>
      <c r="D1913" t="s">
        <v>81</v>
      </c>
      <c r="E1913">
        <v>10000000</v>
      </c>
      <c r="H1913">
        <v>929</v>
      </c>
      <c r="I1913" t="s">
        <v>56</v>
      </c>
      <c r="J1913">
        <v>9.290000000000001E-2</v>
      </c>
      <c r="K1913" t="s">
        <v>57</v>
      </c>
      <c r="N1913" t="s">
        <v>558</v>
      </c>
      <c r="O1913">
        <v>129</v>
      </c>
      <c r="P1913" t="s">
        <v>277</v>
      </c>
      <c r="S1913">
        <v>4</v>
      </c>
      <c r="T1913">
        <v>28.8</v>
      </c>
      <c r="U1913" t="s">
        <v>120</v>
      </c>
      <c r="V1913">
        <v>74.7</v>
      </c>
      <c r="W1913" t="s">
        <v>565</v>
      </c>
      <c r="X1913" t="s">
        <v>280</v>
      </c>
      <c r="Y1913">
        <v>480</v>
      </c>
      <c r="AB1913">
        <v>2.90848501887865</v>
      </c>
      <c r="AC1913" t="s">
        <v>62</v>
      </c>
      <c r="AH1913">
        <v>6.4927603890268299</v>
      </c>
      <c r="AI1913">
        <v>2</v>
      </c>
      <c r="AV1913" t="s">
        <v>88</v>
      </c>
      <c r="AW1913">
        <v>129</v>
      </c>
      <c r="BA1913">
        <v>6.4927603890268299</v>
      </c>
    </row>
    <row r="1914" spans="1:53" hidden="1" x14ac:dyDescent="0.3">
      <c r="A1914" t="s">
        <v>550</v>
      </c>
      <c r="C1914" t="s">
        <v>251</v>
      </c>
      <c r="D1914" t="s">
        <v>81</v>
      </c>
      <c r="E1914">
        <v>10000000</v>
      </c>
      <c r="H1914">
        <v>929</v>
      </c>
      <c r="I1914" t="s">
        <v>56</v>
      </c>
      <c r="J1914">
        <v>9.290000000000001E-2</v>
      </c>
      <c r="K1914" t="s">
        <v>57</v>
      </c>
      <c r="N1914" t="s">
        <v>558</v>
      </c>
      <c r="O1914">
        <v>129</v>
      </c>
      <c r="P1914" t="s">
        <v>277</v>
      </c>
      <c r="S1914">
        <v>4</v>
      </c>
      <c r="T1914">
        <v>28.8</v>
      </c>
      <c r="U1914" t="s">
        <v>120</v>
      </c>
      <c r="V1914">
        <v>74.7</v>
      </c>
      <c r="W1914" t="s">
        <v>566</v>
      </c>
      <c r="X1914" t="s">
        <v>280</v>
      </c>
      <c r="Y1914">
        <v>480</v>
      </c>
      <c r="AB1914">
        <v>0</v>
      </c>
      <c r="AC1914" t="s">
        <v>62</v>
      </c>
      <c r="AH1914">
        <v>5.8847953639489798</v>
      </c>
      <c r="AI1914">
        <v>5</v>
      </c>
      <c r="AT1914" t="s">
        <v>79</v>
      </c>
      <c r="AV1914" t="s">
        <v>88</v>
      </c>
      <c r="AW1914">
        <v>129</v>
      </c>
      <c r="BA1914">
        <v>5.8847953639489798</v>
      </c>
    </row>
    <row r="1915" spans="1:53" hidden="1" x14ac:dyDescent="0.3">
      <c r="A1915" t="s">
        <v>550</v>
      </c>
      <c r="C1915" t="s">
        <v>251</v>
      </c>
      <c r="D1915" t="s">
        <v>81</v>
      </c>
      <c r="E1915">
        <v>10000000</v>
      </c>
      <c r="H1915">
        <v>1022</v>
      </c>
      <c r="I1915" t="s">
        <v>56</v>
      </c>
      <c r="J1915">
        <v>0.1022</v>
      </c>
      <c r="K1915" t="s">
        <v>57</v>
      </c>
      <c r="N1915" t="s">
        <v>558</v>
      </c>
      <c r="O1915">
        <v>129</v>
      </c>
      <c r="P1915" t="s">
        <v>277</v>
      </c>
      <c r="S1915">
        <v>4</v>
      </c>
      <c r="T1915">
        <v>28.8</v>
      </c>
      <c r="U1915" t="s">
        <v>120</v>
      </c>
      <c r="V1915">
        <v>74.7</v>
      </c>
      <c r="W1915" t="s">
        <v>567</v>
      </c>
      <c r="X1915" t="s">
        <v>280</v>
      </c>
      <c r="Y1915">
        <v>480</v>
      </c>
      <c r="AB1915">
        <v>0</v>
      </c>
      <c r="AC1915" t="s">
        <v>62</v>
      </c>
      <c r="AH1915">
        <v>6.3944516808262097</v>
      </c>
      <c r="AI1915">
        <v>1</v>
      </c>
      <c r="AV1915" t="s">
        <v>88</v>
      </c>
      <c r="AW1915">
        <v>129</v>
      </c>
      <c r="BA1915">
        <v>6.3944516808262097</v>
      </c>
    </row>
    <row r="1916" spans="1:53" hidden="1" x14ac:dyDescent="0.3">
      <c r="A1916" t="s">
        <v>550</v>
      </c>
      <c r="C1916" t="s">
        <v>251</v>
      </c>
      <c r="D1916" t="s">
        <v>81</v>
      </c>
      <c r="E1916">
        <v>10000000</v>
      </c>
      <c r="H1916">
        <v>929</v>
      </c>
      <c r="I1916" t="s">
        <v>56</v>
      </c>
      <c r="J1916">
        <v>9.290000000000001E-2</v>
      </c>
      <c r="K1916" t="s">
        <v>57</v>
      </c>
      <c r="N1916" t="s">
        <v>558</v>
      </c>
      <c r="O1916">
        <v>129</v>
      </c>
      <c r="P1916" t="s">
        <v>277</v>
      </c>
      <c r="S1916">
        <v>4</v>
      </c>
      <c r="T1916">
        <v>28.8</v>
      </c>
      <c r="U1916" t="s">
        <v>120</v>
      </c>
      <c r="V1916">
        <v>74.7</v>
      </c>
      <c r="W1916" t="s">
        <v>568</v>
      </c>
      <c r="X1916" t="s">
        <v>280</v>
      </c>
      <c r="Y1916">
        <v>480</v>
      </c>
      <c r="AB1916">
        <v>-2.0154726866561998</v>
      </c>
      <c r="AC1916" t="s">
        <v>62</v>
      </c>
      <c r="AH1916">
        <v>0.41329976408125102</v>
      </c>
      <c r="AI1916">
        <v>5</v>
      </c>
      <c r="AV1916" t="s">
        <v>88</v>
      </c>
      <c r="AW1916">
        <v>129</v>
      </c>
      <c r="BA1916">
        <v>0.41329976408125102</v>
      </c>
    </row>
    <row r="1917" spans="1:53" hidden="1" x14ac:dyDescent="0.3">
      <c r="A1917" t="s">
        <v>550</v>
      </c>
      <c r="C1917" t="s">
        <v>251</v>
      </c>
      <c r="D1917" t="s">
        <v>81</v>
      </c>
      <c r="E1917">
        <v>10000000</v>
      </c>
      <c r="H1917">
        <v>97</v>
      </c>
      <c r="I1917" t="s">
        <v>56</v>
      </c>
      <c r="J1917">
        <v>9.7000000000000003E-3</v>
      </c>
      <c r="K1917" t="s">
        <v>57</v>
      </c>
      <c r="N1917" t="s">
        <v>569</v>
      </c>
      <c r="O1917">
        <v>166</v>
      </c>
      <c r="P1917" t="s">
        <v>277</v>
      </c>
      <c r="S1917">
        <v>4</v>
      </c>
      <c r="T1917">
        <v>22.9</v>
      </c>
      <c r="U1917" t="s">
        <v>120</v>
      </c>
      <c r="V1917">
        <v>75.2</v>
      </c>
      <c r="W1917" t="s">
        <v>559</v>
      </c>
      <c r="X1917" t="s">
        <v>280</v>
      </c>
      <c r="Y1917">
        <v>720</v>
      </c>
      <c r="AB1917">
        <v>0.77815125038364297</v>
      </c>
      <c r="AC1917" t="s">
        <v>62</v>
      </c>
      <c r="AH1917">
        <v>5.3404441148401096</v>
      </c>
      <c r="AI1917">
        <v>1</v>
      </c>
      <c r="AT1917" t="s">
        <v>382</v>
      </c>
      <c r="AV1917" t="s">
        <v>88</v>
      </c>
      <c r="AW1917">
        <v>166</v>
      </c>
      <c r="BA1917">
        <v>5.3404441148401096</v>
      </c>
    </row>
    <row r="1918" spans="1:53" hidden="1" x14ac:dyDescent="0.3">
      <c r="A1918" t="s">
        <v>550</v>
      </c>
      <c r="C1918" t="s">
        <v>251</v>
      </c>
      <c r="D1918" t="s">
        <v>81</v>
      </c>
      <c r="E1918">
        <v>10000000</v>
      </c>
      <c r="H1918">
        <v>564</v>
      </c>
      <c r="I1918" t="s">
        <v>56</v>
      </c>
      <c r="J1918">
        <v>5.6400000000000013E-2</v>
      </c>
      <c r="K1918" t="s">
        <v>57</v>
      </c>
      <c r="N1918" t="s">
        <v>569</v>
      </c>
      <c r="O1918">
        <v>166</v>
      </c>
      <c r="P1918" t="s">
        <v>277</v>
      </c>
      <c r="S1918">
        <v>4</v>
      </c>
      <c r="T1918">
        <v>22.9</v>
      </c>
      <c r="U1918" t="s">
        <v>120</v>
      </c>
      <c r="V1918">
        <v>75.2</v>
      </c>
      <c r="W1918" t="s">
        <v>560</v>
      </c>
      <c r="X1918" t="s">
        <v>280</v>
      </c>
      <c r="Y1918">
        <v>720</v>
      </c>
      <c r="AB1918">
        <v>2.89762709129044</v>
      </c>
      <c r="AC1918" t="s">
        <v>62</v>
      </c>
      <c r="AH1918">
        <v>6.9047155452786804</v>
      </c>
      <c r="AI1918">
        <v>1</v>
      </c>
      <c r="AV1918" t="s">
        <v>88</v>
      </c>
      <c r="AW1918">
        <v>166</v>
      </c>
      <c r="BA1918">
        <v>6.9047155452786804</v>
      </c>
    </row>
    <row r="1919" spans="1:53" hidden="1" x14ac:dyDescent="0.3">
      <c r="A1919" t="s">
        <v>550</v>
      </c>
      <c r="C1919" t="s">
        <v>251</v>
      </c>
      <c r="D1919" t="s">
        <v>81</v>
      </c>
      <c r="E1919">
        <v>10000000</v>
      </c>
      <c r="H1919">
        <v>465</v>
      </c>
      <c r="I1919" t="s">
        <v>56</v>
      </c>
      <c r="J1919">
        <v>4.65E-2</v>
      </c>
      <c r="K1919" t="s">
        <v>57</v>
      </c>
      <c r="N1919" t="s">
        <v>569</v>
      </c>
      <c r="O1919">
        <v>166</v>
      </c>
      <c r="P1919" t="s">
        <v>277</v>
      </c>
      <c r="S1919">
        <v>4</v>
      </c>
      <c r="T1919">
        <v>22.9</v>
      </c>
      <c r="U1919" t="s">
        <v>120</v>
      </c>
      <c r="V1919">
        <v>75.2</v>
      </c>
      <c r="W1919" t="s">
        <v>561</v>
      </c>
      <c r="X1919" t="s">
        <v>280</v>
      </c>
      <c r="Y1919">
        <v>720</v>
      </c>
      <c r="AB1919">
        <v>2.5010592622177499</v>
      </c>
      <c r="AC1919" t="s">
        <v>62</v>
      </c>
      <c r="AH1919">
        <v>5.0334237554869397</v>
      </c>
      <c r="AI1919">
        <v>2</v>
      </c>
      <c r="AV1919" t="s">
        <v>88</v>
      </c>
      <c r="AW1919">
        <v>166</v>
      </c>
      <c r="BA1919">
        <v>5.0334237554869397</v>
      </c>
    </row>
    <row r="1920" spans="1:53" hidden="1" x14ac:dyDescent="0.3">
      <c r="A1920" t="s">
        <v>550</v>
      </c>
      <c r="C1920" t="s">
        <v>251</v>
      </c>
      <c r="D1920" t="s">
        <v>81</v>
      </c>
      <c r="E1920">
        <v>10000000</v>
      </c>
      <c r="H1920">
        <v>465</v>
      </c>
      <c r="I1920" t="s">
        <v>56</v>
      </c>
      <c r="J1920">
        <v>4.65E-2</v>
      </c>
      <c r="K1920" t="s">
        <v>57</v>
      </c>
      <c r="N1920" t="s">
        <v>569</v>
      </c>
      <c r="O1920">
        <v>166</v>
      </c>
      <c r="P1920" t="s">
        <v>277</v>
      </c>
      <c r="S1920">
        <v>4</v>
      </c>
      <c r="T1920">
        <v>22.9</v>
      </c>
      <c r="U1920" t="s">
        <v>120</v>
      </c>
      <c r="V1920">
        <v>75.2</v>
      </c>
      <c r="W1920" t="s">
        <v>562</v>
      </c>
      <c r="X1920" t="s">
        <v>280</v>
      </c>
      <c r="Y1920">
        <v>720</v>
      </c>
      <c r="AB1920">
        <v>3.2227164711475802</v>
      </c>
      <c r="AC1920" t="s">
        <v>62</v>
      </c>
      <c r="AH1920">
        <v>6.5943925503754199</v>
      </c>
      <c r="AI1920">
        <v>2</v>
      </c>
      <c r="AV1920" t="s">
        <v>88</v>
      </c>
      <c r="AW1920">
        <v>166</v>
      </c>
      <c r="BA1920">
        <v>6.5943925503754199</v>
      </c>
    </row>
    <row r="1921" spans="1:53" hidden="1" x14ac:dyDescent="0.3">
      <c r="A1921" t="s">
        <v>550</v>
      </c>
      <c r="C1921" t="s">
        <v>251</v>
      </c>
      <c r="D1921" t="s">
        <v>81</v>
      </c>
      <c r="E1921">
        <v>10000000</v>
      </c>
      <c r="H1921">
        <v>929</v>
      </c>
      <c r="I1921" t="s">
        <v>56</v>
      </c>
      <c r="J1921">
        <v>9.290000000000001E-2</v>
      </c>
      <c r="K1921" t="s">
        <v>57</v>
      </c>
      <c r="N1921" t="s">
        <v>569</v>
      </c>
      <c r="O1921">
        <v>166</v>
      </c>
      <c r="P1921" t="s">
        <v>277</v>
      </c>
      <c r="S1921">
        <v>4</v>
      </c>
      <c r="T1921">
        <v>22.9</v>
      </c>
      <c r="U1921" t="s">
        <v>120</v>
      </c>
      <c r="V1921">
        <v>75.2</v>
      </c>
      <c r="W1921" t="s">
        <v>563</v>
      </c>
      <c r="X1921" t="s">
        <v>280</v>
      </c>
      <c r="Y1921">
        <v>720</v>
      </c>
      <c r="AB1921">
        <v>0.95712819767681301</v>
      </c>
      <c r="AC1921" t="s">
        <v>62</v>
      </c>
      <c r="AH1921">
        <v>6.8920946026904799</v>
      </c>
      <c r="AI1921">
        <v>3</v>
      </c>
      <c r="AT1921" t="s">
        <v>382</v>
      </c>
      <c r="AV1921" t="s">
        <v>88</v>
      </c>
      <c r="AW1921">
        <v>166</v>
      </c>
      <c r="BA1921">
        <v>6.8920946026904799</v>
      </c>
    </row>
    <row r="1922" spans="1:53" hidden="1" x14ac:dyDescent="0.3">
      <c r="A1922" t="s">
        <v>550</v>
      </c>
      <c r="C1922" t="s">
        <v>251</v>
      </c>
      <c r="D1922" t="s">
        <v>81</v>
      </c>
      <c r="E1922">
        <v>10000000</v>
      </c>
      <c r="H1922">
        <v>929</v>
      </c>
      <c r="I1922" t="s">
        <v>56</v>
      </c>
      <c r="J1922">
        <v>9.290000000000001E-2</v>
      </c>
      <c r="K1922" t="s">
        <v>57</v>
      </c>
      <c r="N1922" t="s">
        <v>569</v>
      </c>
      <c r="O1922">
        <v>166</v>
      </c>
      <c r="P1922" t="s">
        <v>277</v>
      </c>
      <c r="S1922">
        <v>4</v>
      </c>
      <c r="T1922">
        <v>22.9</v>
      </c>
      <c r="U1922" t="s">
        <v>120</v>
      </c>
      <c r="V1922">
        <v>75.2</v>
      </c>
      <c r="W1922" t="s">
        <v>318</v>
      </c>
      <c r="X1922" t="s">
        <v>280</v>
      </c>
      <c r="Y1922">
        <v>720</v>
      </c>
      <c r="AB1922">
        <v>0.161368002234974</v>
      </c>
      <c r="AC1922" t="s">
        <v>62</v>
      </c>
      <c r="AH1922">
        <v>5.8965262174895496</v>
      </c>
      <c r="AI1922">
        <v>3</v>
      </c>
      <c r="AT1922" t="s">
        <v>318</v>
      </c>
      <c r="AV1922" t="s">
        <v>88</v>
      </c>
      <c r="AW1922">
        <v>166</v>
      </c>
      <c r="BA1922">
        <v>5.8965262174895496</v>
      </c>
    </row>
    <row r="1923" spans="1:53" hidden="1" x14ac:dyDescent="0.3">
      <c r="A1923" t="s">
        <v>550</v>
      </c>
      <c r="C1923" t="s">
        <v>251</v>
      </c>
      <c r="D1923" t="s">
        <v>81</v>
      </c>
      <c r="E1923">
        <v>10000000</v>
      </c>
      <c r="H1923">
        <v>929</v>
      </c>
      <c r="I1923" t="s">
        <v>56</v>
      </c>
      <c r="J1923">
        <v>9.290000000000001E-2</v>
      </c>
      <c r="K1923" t="s">
        <v>57</v>
      </c>
      <c r="N1923" t="s">
        <v>569</v>
      </c>
      <c r="O1923">
        <v>166</v>
      </c>
      <c r="P1923" t="s">
        <v>277</v>
      </c>
      <c r="S1923">
        <v>4</v>
      </c>
      <c r="T1923">
        <v>22.9</v>
      </c>
      <c r="U1923" t="s">
        <v>120</v>
      </c>
      <c r="V1923">
        <v>75.2</v>
      </c>
      <c r="W1923" t="s">
        <v>564</v>
      </c>
      <c r="X1923" t="s">
        <v>280</v>
      </c>
      <c r="Y1923">
        <v>720</v>
      </c>
      <c r="AB1923">
        <v>3.1931245983544598</v>
      </c>
      <c r="AC1923" t="s">
        <v>62</v>
      </c>
      <c r="AH1923">
        <v>6.4727564493172096</v>
      </c>
      <c r="AI1923">
        <v>5</v>
      </c>
      <c r="AT1923" t="s">
        <v>73</v>
      </c>
      <c r="AV1923" t="s">
        <v>88</v>
      </c>
      <c r="AW1923">
        <v>166</v>
      </c>
      <c r="BA1923">
        <v>6.4727564493172096</v>
      </c>
    </row>
    <row r="1924" spans="1:53" hidden="1" x14ac:dyDescent="0.3">
      <c r="A1924" t="s">
        <v>550</v>
      </c>
      <c r="C1924" t="s">
        <v>251</v>
      </c>
      <c r="D1924" t="s">
        <v>81</v>
      </c>
      <c r="E1924">
        <v>10000000</v>
      </c>
      <c r="H1924">
        <v>929</v>
      </c>
      <c r="I1924" t="s">
        <v>56</v>
      </c>
      <c r="J1924">
        <v>9.290000000000001E-2</v>
      </c>
      <c r="K1924" t="s">
        <v>57</v>
      </c>
      <c r="N1924" t="s">
        <v>569</v>
      </c>
      <c r="O1924">
        <v>166</v>
      </c>
      <c r="P1924" t="s">
        <v>277</v>
      </c>
      <c r="S1924">
        <v>4</v>
      </c>
      <c r="T1924">
        <v>22.9</v>
      </c>
      <c r="U1924" t="s">
        <v>120</v>
      </c>
      <c r="V1924">
        <v>75.2</v>
      </c>
      <c r="W1924" t="s">
        <v>565</v>
      </c>
      <c r="X1924" t="s">
        <v>280</v>
      </c>
      <c r="Y1924">
        <v>720</v>
      </c>
      <c r="AB1924">
        <v>4.0253058652647704</v>
      </c>
      <c r="AC1924" t="s">
        <v>62</v>
      </c>
      <c r="AH1924">
        <v>7.2253092817258597</v>
      </c>
      <c r="AI1924">
        <v>2</v>
      </c>
      <c r="AV1924" t="s">
        <v>88</v>
      </c>
      <c r="AW1924">
        <v>166</v>
      </c>
      <c r="BA1924">
        <v>7.2253092817258588</v>
      </c>
    </row>
    <row r="1925" spans="1:53" hidden="1" x14ac:dyDescent="0.3">
      <c r="A1925" t="s">
        <v>550</v>
      </c>
      <c r="C1925" t="s">
        <v>251</v>
      </c>
      <c r="D1925" t="s">
        <v>81</v>
      </c>
      <c r="E1925">
        <v>10000000</v>
      </c>
      <c r="H1925">
        <v>929</v>
      </c>
      <c r="I1925" t="s">
        <v>56</v>
      </c>
      <c r="J1925">
        <v>9.290000000000001E-2</v>
      </c>
      <c r="K1925" t="s">
        <v>57</v>
      </c>
      <c r="N1925" t="s">
        <v>569</v>
      </c>
      <c r="O1925">
        <v>166</v>
      </c>
      <c r="P1925" t="s">
        <v>277</v>
      </c>
      <c r="S1925">
        <v>4</v>
      </c>
      <c r="T1925">
        <v>22.9</v>
      </c>
      <c r="U1925" t="s">
        <v>120</v>
      </c>
      <c r="V1925">
        <v>75.2</v>
      </c>
      <c r="W1925" t="s">
        <v>566</v>
      </c>
      <c r="X1925" t="s">
        <v>280</v>
      </c>
      <c r="Y1925">
        <v>720</v>
      </c>
      <c r="AB1925">
        <v>1.68574173860226</v>
      </c>
      <c r="AC1925" t="s">
        <v>62</v>
      </c>
      <c r="AH1925">
        <v>6.4132997640812501</v>
      </c>
      <c r="AI1925">
        <v>5</v>
      </c>
      <c r="AT1925" t="s">
        <v>79</v>
      </c>
      <c r="AV1925" t="s">
        <v>88</v>
      </c>
      <c r="AW1925">
        <v>166</v>
      </c>
      <c r="BA1925">
        <v>6.4132997640812501</v>
      </c>
    </row>
    <row r="1926" spans="1:53" hidden="1" x14ac:dyDescent="0.3">
      <c r="A1926" t="s">
        <v>550</v>
      </c>
      <c r="C1926" t="s">
        <v>251</v>
      </c>
      <c r="D1926" t="s">
        <v>81</v>
      </c>
      <c r="E1926">
        <v>10000000</v>
      </c>
      <c r="H1926">
        <v>1022</v>
      </c>
      <c r="I1926" t="s">
        <v>56</v>
      </c>
      <c r="J1926">
        <v>0.1022</v>
      </c>
      <c r="K1926" t="s">
        <v>57</v>
      </c>
      <c r="N1926" t="s">
        <v>569</v>
      </c>
      <c r="O1926">
        <v>166</v>
      </c>
      <c r="P1926" t="s">
        <v>277</v>
      </c>
      <c r="S1926">
        <v>4</v>
      </c>
      <c r="T1926">
        <v>22.9</v>
      </c>
      <c r="U1926" t="s">
        <v>120</v>
      </c>
      <c r="V1926">
        <v>75.2</v>
      </c>
      <c r="W1926" t="s">
        <v>567</v>
      </c>
      <c r="X1926" t="s">
        <v>280</v>
      </c>
      <c r="Y1926">
        <v>720</v>
      </c>
      <c r="AB1926">
        <v>3</v>
      </c>
      <c r="AC1926" t="s">
        <v>62</v>
      </c>
      <c r="AH1926">
        <v>7.1303337684950003</v>
      </c>
      <c r="AI1926">
        <v>1</v>
      </c>
      <c r="AV1926" t="s">
        <v>88</v>
      </c>
      <c r="AW1926">
        <v>166</v>
      </c>
      <c r="BA1926">
        <v>7.1303337684950003</v>
      </c>
    </row>
    <row r="1927" spans="1:53" hidden="1" x14ac:dyDescent="0.3">
      <c r="A1927" t="s">
        <v>550</v>
      </c>
      <c r="C1927" t="s">
        <v>251</v>
      </c>
      <c r="D1927" t="s">
        <v>81</v>
      </c>
      <c r="E1927">
        <v>10000000</v>
      </c>
      <c r="H1927">
        <v>929</v>
      </c>
      <c r="I1927" t="s">
        <v>56</v>
      </c>
      <c r="J1927">
        <v>9.290000000000001E-2</v>
      </c>
      <c r="K1927" t="s">
        <v>57</v>
      </c>
      <c r="N1927" t="s">
        <v>569</v>
      </c>
      <c r="O1927">
        <v>166</v>
      </c>
      <c r="P1927" t="s">
        <v>277</v>
      </c>
      <c r="S1927">
        <v>4</v>
      </c>
      <c r="T1927">
        <v>22.9</v>
      </c>
      <c r="U1927" t="s">
        <v>120</v>
      </c>
      <c r="V1927">
        <v>75.2</v>
      </c>
      <c r="W1927" t="s">
        <v>568</v>
      </c>
      <c r="X1927" t="s">
        <v>280</v>
      </c>
      <c r="Y1927">
        <v>720</v>
      </c>
      <c r="AB1927">
        <v>-1.09691001300805</v>
      </c>
      <c r="AC1927" t="s">
        <v>62</v>
      </c>
      <c r="AH1927">
        <v>1.3710678622717301</v>
      </c>
      <c r="AI1927">
        <v>5</v>
      </c>
      <c r="AV1927" t="s">
        <v>88</v>
      </c>
      <c r="AW1927">
        <v>166</v>
      </c>
      <c r="BA1927">
        <v>1.3710678622717301</v>
      </c>
    </row>
    <row r="1928" spans="1:53" hidden="1" x14ac:dyDescent="0.3">
      <c r="A1928" t="s">
        <v>550</v>
      </c>
      <c r="C1928" t="s">
        <v>251</v>
      </c>
      <c r="D1928" t="s">
        <v>81</v>
      </c>
      <c r="E1928">
        <v>10000000</v>
      </c>
      <c r="H1928">
        <v>97</v>
      </c>
      <c r="I1928" t="s">
        <v>56</v>
      </c>
      <c r="J1928">
        <v>9.7000000000000003E-3</v>
      </c>
      <c r="K1928" t="s">
        <v>57</v>
      </c>
      <c r="N1928" t="s">
        <v>570</v>
      </c>
      <c r="O1928">
        <v>228</v>
      </c>
      <c r="P1928" t="s">
        <v>277</v>
      </c>
      <c r="S1928">
        <v>4</v>
      </c>
      <c r="T1928">
        <v>29</v>
      </c>
      <c r="U1928" t="s">
        <v>120</v>
      </c>
      <c r="V1928">
        <v>75.7</v>
      </c>
      <c r="W1928" t="s">
        <v>559</v>
      </c>
      <c r="X1928" t="s">
        <v>280</v>
      </c>
      <c r="Y1928">
        <v>240</v>
      </c>
      <c r="AB1928">
        <v>0.77815125038364297</v>
      </c>
      <c r="AC1928" t="s">
        <v>62</v>
      </c>
      <c r="AH1928">
        <v>4.7909884750888097</v>
      </c>
      <c r="AI1928">
        <v>1</v>
      </c>
      <c r="AT1928" t="s">
        <v>382</v>
      </c>
      <c r="AV1928" t="s">
        <v>88</v>
      </c>
      <c r="AW1928">
        <v>228</v>
      </c>
      <c r="BA1928">
        <v>4.7909884750888097</v>
      </c>
    </row>
    <row r="1929" spans="1:53" hidden="1" x14ac:dyDescent="0.3">
      <c r="A1929" t="s">
        <v>550</v>
      </c>
      <c r="C1929" t="s">
        <v>251</v>
      </c>
      <c r="D1929" t="s">
        <v>81</v>
      </c>
      <c r="E1929">
        <v>10000000</v>
      </c>
      <c r="H1929">
        <v>564</v>
      </c>
      <c r="I1929" t="s">
        <v>56</v>
      </c>
      <c r="J1929">
        <v>5.6400000000000013E-2</v>
      </c>
      <c r="K1929" t="s">
        <v>57</v>
      </c>
      <c r="N1929" t="s">
        <v>570</v>
      </c>
      <c r="O1929">
        <v>228</v>
      </c>
      <c r="P1929" t="s">
        <v>277</v>
      </c>
      <c r="S1929">
        <v>4</v>
      </c>
      <c r="T1929">
        <v>29</v>
      </c>
      <c r="U1929" t="s">
        <v>120</v>
      </c>
      <c r="V1929">
        <v>75.7</v>
      </c>
      <c r="W1929" t="s">
        <v>560</v>
      </c>
      <c r="X1929" t="s">
        <v>280</v>
      </c>
      <c r="Y1929">
        <v>240</v>
      </c>
      <c r="AB1929">
        <v>-2.6872146400301299E-2</v>
      </c>
      <c r="AC1929" t="s">
        <v>62</v>
      </c>
      <c r="AH1929">
        <v>6.4248816366310599</v>
      </c>
      <c r="AI1929">
        <v>1</v>
      </c>
      <c r="AV1929" t="s">
        <v>88</v>
      </c>
      <c r="AW1929">
        <v>228</v>
      </c>
      <c r="BA1929">
        <v>6.4248816366310599</v>
      </c>
    </row>
    <row r="1930" spans="1:53" hidden="1" x14ac:dyDescent="0.3">
      <c r="A1930" t="s">
        <v>550</v>
      </c>
      <c r="C1930" t="s">
        <v>251</v>
      </c>
      <c r="D1930" t="s">
        <v>81</v>
      </c>
      <c r="E1930">
        <v>10000000</v>
      </c>
      <c r="H1930">
        <v>465</v>
      </c>
      <c r="I1930" t="s">
        <v>56</v>
      </c>
      <c r="J1930">
        <v>4.65E-2</v>
      </c>
      <c r="K1930" t="s">
        <v>57</v>
      </c>
      <c r="N1930" t="s">
        <v>570</v>
      </c>
      <c r="O1930">
        <v>228</v>
      </c>
      <c r="P1930" t="s">
        <v>277</v>
      </c>
      <c r="S1930">
        <v>4</v>
      </c>
      <c r="T1930">
        <v>29</v>
      </c>
      <c r="U1930" t="s">
        <v>120</v>
      </c>
      <c r="V1930">
        <v>75.7</v>
      </c>
      <c r="W1930" t="s">
        <v>561</v>
      </c>
      <c r="X1930" t="s">
        <v>280</v>
      </c>
      <c r="Y1930">
        <v>240</v>
      </c>
      <c r="AB1930">
        <v>0.492760389026837</v>
      </c>
      <c r="AC1930" t="s">
        <v>62</v>
      </c>
      <c r="AH1930">
        <v>5.5502283530550898</v>
      </c>
      <c r="AI1930">
        <v>2</v>
      </c>
      <c r="AV1930" t="s">
        <v>88</v>
      </c>
      <c r="AW1930">
        <v>228</v>
      </c>
      <c r="BA1930">
        <v>5.5502283530550898</v>
      </c>
    </row>
    <row r="1931" spans="1:53" hidden="1" x14ac:dyDescent="0.3">
      <c r="A1931" t="s">
        <v>550</v>
      </c>
      <c r="C1931" t="s">
        <v>251</v>
      </c>
      <c r="D1931" t="s">
        <v>81</v>
      </c>
      <c r="E1931">
        <v>10000000</v>
      </c>
      <c r="H1931">
        <v>465</v>
      </c>
      <c r="I1931" t="s">
        <v>56</v>
      </c>
      <c r="J1931">
        <v>4.65E-2</v>
      </c>
      <c r="K1931" t="s">
        <v>57</v>
      </c>
      <c r="N1931" t="s">
        <v>570</v>
      </c>
      <c r="O1931">
        <v>228</v>
      </c>
      <c r="P1931" t="s">
        <v>277</v>
      </c>
      <c r="S1931">
        <v>4</v>
      </c>
      <c r="T1931">
        <v>29</v>
      </c>
      <c r="U1931" t="s">
        <v>120</v>
      </c>
      <c r="V1931">
        <v>75.7</v>
      </c>
      <c r="W1931" t="s">
        <v>562</v>
      </c>
      <c r="X1931" t="s">
        <v>280</v>
      </c>
      <c r="Y1931">
        <v>240</v>
      </c>
      <c r="AB1931">
        <v>8.2785370316450002E-2</v>
      </c>
      <c r="AC1931" t="s">
        <v>62</v>
      </c>
      <c r="AH1931">
        <v>6.2380461031287897</v>
      </c>
      <c r="AI1931">
        <v>2</v>
      </c>
      <c r="AV1931" t="s">
        <v>88</v>
      </c>
      <c r="AW1931">
        <v>228</v>
      </c>
      <c r="BA1931">
        <v>6.2380461031287897</v>
      </c>
    </row>
    <row r="1932" spans="1:53" hidden="1" x14ac:dyDescent="0.3">
      <c r="A1932" t="s">
        <v>550</v>
      </c>
      <c r="C1932" t="s">
        <v>251</v>
      </c>
      <c r="D1932" t="s">
        <v>81</v>
      </c>
      <c r="E1932">
        <v>10000000</v>
      </c>
      <c r="H1932">
        <v>929</v>
      </c>
      <c r="I1932" t="s">
        <v>56</v>
      </c>
      <c r="J1932">
        <v>9.290000000000001E-2</v>
      </c>
      <c r="K1932" t="s">
        <v>57</v>
      </c>
      <c r="N1932" t="s">
        <v>570</v>
      </c>
      <c r="O1932">
        <v>228</v>
      </c>
      <c r="P1932" t="s">
        <v>277</v>
      </c>
      <c r="S1932">
        <v>4</v>
      </c>
      <c r="T1932">
        <v>29</v>
      </c>
      <c r="U1932" t="s">
        <v>120</v>
      </c>
      <c r="V1932">
        <v>75.7</v>
      </c>
      <c r="W1932" t="s">
        <v>563</v>
      </c>
      <c r="X1932" t="s">
        <v>280</v>
      </c>
      <c r="Y1932">
        <v>240</v>
      </c>
      <c r="AB1932">
        <v>-0.199282921717614</v>
      </c>
      <c r="AC1932" t="s">
        <v>62</v>
      </c>
      <c r="AH1932">
        <v>4.9542425094393199</v>
      </c>
      <c r="AI1932">
        <v>3</v>
      </c>
      <c r="AT1932" t="s">
        <v>382</v>
      </c>
      <c r="AV1932" t="s">
        <v>88</v>
      </c>
      <c r="AW1932">
        <v>228</v>
      </c>
      <c r="BA1932">
        <v>4.9542425094393199</v>
      </c>
    </row>
    <row r="1933" spans="1:53" hidden="1" x14ac:dyDescent="0.3">
      <c r="A1933" t="s">
        <v>550</v>
      </c>
      <c r="C1933" t="s">
        <v>251</v>
      </c>
      <c r="D1933" t="s">
        <v>81</v>
      </c>
      <c r="E1933">
        <v>10000000</v>
      </c>
      <c r="H1933">
        <v>929</v>
      </c>
      <c r="I1933" t="s">
        <v>56</v>
      </c>
      <c r="J1933">
        <v>9.290000000000001E-2</v>
      </c>
      <c r="K1933" t="s">
        <v>57</v>
      </c>
      <c r="N1933" t="s">
        <v>570</v>
      </c>
      <c r="O1933">
        <v>228</v>
      </c>
      <c r="P1933" t="s">
        <v>277</v>
      </c>
      <c r="S1933">
        <v>4</v>
      </c>
      <c r="T1933">
        <v>29</v>
      </c>
      <c r="U1933" t="s">
        <v>120</v>
      </c>
      <c r="V1933">
        <v>75.7</v>
      </c>
      <c r="W1933" t="s">
        <v>318</v>
      </c>
      <c r="X1933" t="s">
        <v>280</v>
      </c>
      <c r="Y1933">
        <v>240</v>
      </c>
      <c r="AB1933">
        <v>-0.21324857785443799</v>
      </c>
      <c r="AC1933" t="s">
        <v>62</v>
      </c>
      <c r="AH1933">
        <v>4.9758911364017901</v>
      </c>
      <c r="AI1933">
        <v>3</v>
      </c>
      <c r="AT1933" t="s">
        <v>318</v>
      </c>
      <c r="AV1933" t="s">
        <v>88</v>
      </c>
      <c r="AW1933">
        <v>228</v>
      </c>
      <c r="BA1933">
        <v>4.9758911364017901</v>
      </c>
    </row>
    <row r="1934" spans="1:53" hidden="1" x14ac:dyDescent="0.3">
      <c r="A1934" t="s">
        <v>550</v>
      </c>
      <c r="C1934" t="s">
        <v>251</v>
      </c>
      <c r="D1934" t="s">
        <v>81</v>
      </c>
      <c r="E1934">
        <v>10000000</v>
      </c>
      <c r="H1934">
        <v>929</v>
      </c>
      <c r="I1934" t="s">
        <v>56</v>
      </c>
      <c r="J1934">
        <v>9.290000000000001E-2</v>
      </c>
      <c r="K1934" t="s">
        <v>57</v>
      </c>
      <c r="N1934" t="s">
        <v>570</v>
      </c>
      <c r="O1934">
        <v>228</v>
      </c>
      <c r="P1934" t="s">
        <v>277</v>
      </c>
      <c r="S1934">
        <v>4</v>
      </c>
      <c r="T1934">
        <v>29</v>
      </c>
      <c r="U1934" t="s">
        <v>120</v>
      </c>
      <c r="V1934">
        <v>75.7</v>
      </c>
      <c r="W1934" t="s">
        <v>564</v>
      </c>
      <c r="X1934" t="s">
        <v>280</v>
      </c>
      <c r="Y1934">
        <v>240</v>
      </c>
      <c r="AB1934">
        <v>-0.20690839982341899</v>
      </c>
      <c r="AC1934" t="s">
        <v>62</v>
      </c>
      <c r="AH1934">
        <v>5.4048337166199296</v>
      </c>
      <c r="AI1934">
        <v>5</v>
      </c>
      <c r="AT1934" t="s">
        <v>73</v>
      </c>
      <c r="AV1934" t="s">
        <v>88</v>
      </c>
      <c r="AW1934">
        <v>228</v>
      </c>
      <c r="BA1934">
        <v>5.4048337166199296</v>
      </c>
    </row>
    <row r="1935" spans="1:53" hidden="1" x14ac:dyDescent="0.3">
      <c r="A1935" t="s">
        <v>550</v>
      </c>
      <c r="C1935" t="s">
        <v>251</v>
      </c>
      <c r="D1935" t="s">
        <v>81</v>
      </c>
      <c r="E1935">
        <v>10000000</v>
      </c>
      <c r="H1935">
        <v>929</v>
      </c>
      <c r="I1935" t="s">
        <v>56</v>
      </c>
      <c r="J1935">
        <v>9.290000000000001E-2</v>
      </c>
      <c r="K1935" t="s">
        <v>57</v>
      </c>
      <c r="N1935" t="s">
        <v>570</v>
      </c>
      <c r="O1935">
        <v>228</v>
      </c>
      <c r="P1935" t="s">
        <v>277</v>
      </c>
      <c r="S1935">
        <v>4</v>
      </c>
      <c r="T1935">
        <v>29</v>
      </c>
      <c r="U1935" t="s">
        <v>120</v>
      </c>
      <c r="V1935">
        <v>75.7</v>
      </c>
      <c r="W1935" t="s">
        <v>565</v>
      </c>
      <c r="X1935" t="s">
        <v>280</v>
      </c>
      <c r="Y1935">
        <v>240</v>
      </c>
      <c r="AB1935">
        <v>-0.235823867609669</v>
      </c>
      <c r="AC1935" t="s">
        <v>62</v>
      </c>
      <c r="AH1935">
        <v>6.0211892990699303</v>
      </c>
      <c r="AI1935">
        <v>2</v>
      </c>
      <c r="AV1935" t="s">
        <v>88</v>
      </c>
      <c r="AW1935">
        <v>228</v>
      </c>
      <c r="BA1935">
        <v>6.0211892990699303</v>
      </c>
    </row>
    <row r="1936" spans="1:53" hidden="1" x14ac:dyDescent="0.3">
      <c r="A1936" t="s">
        <v>550</v>
      </c>
      <c r="C1936" t="s">
        <v>251</v>
      </c>
      <c r="D1936" t="s">
        <v>81</v>
      </c>
      <c r="E1936">
        <v>10000000</v>
      </c>
      <c r="H1936">
        <v>929</v>
      </c>
      <c r="I1936" t="s">
        <v>56</v>
      </c>
      <c r="J1936">
        <v>9.290000000000001E-2</v>
      </c>
      <c r="K1936" t="s">
        <v>57</v>
      </c>
      <c r="N1936" t="s">
        <v>570</v>
      </c>
      <c r="O1936">
        <v>228</v>
      </c>
      <c r="P1936" t="s">
        <v>277</v>
      </c>
      <c r="S1936">
        <v>4</v>
      </c>
      <c r="T1936">
        <v>29</v>
      </c>
      <c r="U1936" t="s">
        <v>120</v>
      </c>
      <c r="V1936">
        <v>75.7</v>
      </c>
      <c r="W1936" t="s">
        <v>566</v>
      </c>
      <c r="X1936" t="s">
        <v>280</v>
      </c>
      <c r="Y1936">
        <v>240</v>
      </c>
      <c r="AB1936">
        <v>-0.235077015350111</v>
      </c>
      <c r="AC1936" t="s">
        <v>62</v>
      </c>
      <c r="AH1936">
        <v>4.8808135922807896</v>
      </c>
      <c r="AI1936">
        <v>5</v>
      </c>
      <c r="AT1936" t="s">
        <v>79</v>
      </c>
      <c r="AV1936" t="s">
        <v>88</v>
      </c>
      <c r="AW1936">
        <v>228</v>
      </c>
      <c r="BA1936">
        <v>4.8808135922807896</v>
      </c>
    </row>
    <row r="1937" spans="1:53" hidden="1" x14ac:dyDescent="0.3">
      <c r="A1937" t="s">
        <v>550</v>
      </c>
      <c r="C1937" t="s">
        <v>251</v>
      </c>
      <c r="D1937" t="s">
        <v>81</v>
      </c>
      <c r="E1937">
        <v>10000000</v>
      </c>
      <c r="H1937">
        <v>1022</v>
      </c>
      <c r="I1937" t="s">
        <v>56</v>
      </c>
      <c r="J1937">
        <v>0.1022</v>
      </c>
      <c r="K1937" t="s">
        <v>57</v>
      </c>
      <c r="N1937" t="s">
        <v>570</v>
      </c>
      <c r="O1937">
        <v>228</v>
      </c>
      <c r="P1937" t="s">
        <v>277</v>
      </c>
      <c r="S1937">
        <v>4</v>
      </c>
      <c r="T1937">
        <v>29</v>
      </c>
      <c r="U1937" t="s">
        <v>120</v>
      </c>
      <c r="V1937">
        <v>75.7</v>
      </c>
      <c r="W1937" t="s">
        <v>567</v>
      </c>
      <c r="X1937" t="s">
        <v>280</v>
      </c>
      <c r="Y1937">
        <v>240</v>
      </c>
      <c r="AB1937">
        <v>-0.30016227413275398</v>
      </c>
      <c r="AC1937" t="s">
        <v>62</v>
      </c>
      <c r="AH1937">
        <v>4.2944662261615898</v>
      </c>
      <c r="AI1937">
        <v>1</v>
      </c>
      <c r="AV1937" t="s">
        <v>88</v>
      </c>
      <c r="AW1937">
        <v>228</v>
      </c>
      <c r="BA1937">
        <v>4.2944662261615898</v>
      </c>
    </row>
    <row r="1938" spans="1:53" hidden="1" x14ac:dyDescent="0.3">
      <c r="A1938" t="s">
        <v>550</v>
      </c>
      <c r="C1938" t="s">
        <v>251</v>
      </c>
      <c r="D1938" t="s">
        <v>81</v>
      </c>
      <c r="E1938">
        <v>10000000</v>
      </c>
      <c r="H1938">
        <v>929</v>
      </c>
      <c r="I1938" t="s">
        <v>56</v>
      </c>
      <c r="J1938">
        <v>9.290000000000001E-2</v>
      </c>
      <c r="K1938" t="s">
        <v>57</v>
      </c>
      <c r="N1938" t="s">
        <v>570</v>
      </c>
      <c r="O1938">
        <v>228</v>
      </c>
      <c r="P1938" t="s">
        <v>277</v>
      </c>
      <c r="S1938">
        <v>4</v>
      </c>
      <c r="T1938">
        <v>29</v>
      </c>
      <c r="U1938" t="s">
        <v>120</v>
      </c>
      <c r="V1938">
        <v>75.7</v>
      </c>
      <c r="W1938" t="s">
        <v>568</v>
      </c>
      <c r="X1938" t="s">
        <v>280</v>
      </c>
      <c r="Y1938">
        <v>240</v>
      </c>
      <c r="AB1938">
        <v>-1.66354026615147</v>
      </c>
      <c r="AC1938" t="s">
        <v>62</v>
      </c>
      <c r="AH1938">
        <v>-0.61439372640168699</v>
      </c>
      <c r="AI1938">
        <v>5</v>
      </c>
      <c r="AV1938" t="s">
        <v>88</v>
      </c>
      <c r="AW1938">
        <v>228</v>
      </c>
      <c r="BA1938">
        <v>-0.61439372640168699</v>
      </c>
    </row>
    <row r="1939" spans="1:53" hidden="1" x14ac:dyDescent="0.3">
      <c r="A1939" t="s">
        <v>550</v>
      </c>
      <c r="C1939" t="s">
        <v>251</v>
      </c>
      <c r="D1939" t="s">
        <v>81</v>
      </c>
      <c r="E1939">
        <v>10000000</v>
      </c>
      <c r="H1939">
        <v>97</v>
      </c>
      <c r="I1939" t="s">
        <v>56</v>
      </c>
      <c r="J1939">
        <v>9.7000000000000003E-3</v>
      </c>
      <c r="K1939" t="s">
        <v>57</v>
      </c>
      <c r="N1939" t="s">
        <v>571</v>
      </c>
      <c r="O1939">
        <v>214</v>
      </c>
      <c r="P1939" t="s">
        <v>277</v>
      </c>
      <c r="S1939">
        <v>4</v>
      </c>
      <c r="T1939">
        <v>27.7</v>
      </c>
      <c r="U1939" t="s">
        <v>120</v>
      </c>
      <c r="V1939">
        <v>74.5</v>
      </c>
      <c r="W1939" t="s">
        <v>559</v>
      </c>
      <c r="X1939" t="s">
        <v>280</v>
      </c>
      <c r="Y1939">
        <v>360</v>
      </c>
      <c r="AB1939">
        <v>0.76192783842052902</v>
      </c>
      <c r="AC1939" t="s">
        <v>62</v>
      </c>
      <c r="AH1939">
        <v>3.7604224834232101</v>
      </c>
      <c r="AI1939">
        <v>1</v>
      </c>
      <c r="AT1939" t="s">
        <v>382</v>
      </c>
      <c r="AV1939" t="s">
        <v>88</v>
      </c>
      <c r="AW1939">
        <v>214</v>
      </c>
      <c r="BA1939">
        <v>3.7604224834232109</v>
      </c>
    </row>
    <row r="1940" spans="1:53" hidden="1" x14ac:dyDescent="0.3">
      <c r="A1940" t="s">
        <v>550</v>
      </c>
      <c r="C1940" t="s">
        <v>251</v>
      </c>
      <c r="D1940" t="s">
        <v>81</v>
      </c>
      <c r="E1940">
        <v>10000000</v>
      </c>
      <c r="H1940">
        <v>564</v>
      </c>
      <c r="I1940" t="s">
        <v>56</v>
      </c>
      <c r="J1940">
        <v>5.6400000000000013E-2</v>
      </c>
      <c r="K1940" t="s">
        <v>57</v>
      </c>
      <c r="N1940" t="s">
        <v>571</v>
      </c>
      <c r="O1940">
        <v>214</v>
      </c>
      <c r="P1940" t="s">
        <v>277</v>
      </c>
      <c r="S1940">
        <v>4</v>
      </c>
      <c r="T1940">
        <v>27.7</v>
      </c>
      <c r="U1940" t="s">
        <v>120</v>
      </c>
      <c r="V1940">
        <v>74.5</v>
      </c>
      <c r="W1940" t="s">
        <v>560</v>
      </c>
      <c r="X1940" t="s">
        <v>280</v>
      </c>
      <c r="Y1940">
        <v>360</v>
      </c>
      <c r="AB1940">
        <v>-8.7739243075051505E-3</v>
      </c>
      <c r="AC1940" t="s">
        <v>62</v>
      </c>
      <c r="AH1940">
        <v>5.1846914308175904</v>
      </c>
      <c r="AI1940">
        <v>1</v>
      </c>
      <c r="AV1940" t="s">
        <v>88</v>
      </c>
      <c r="AW1940">
        <v>214</v>
      </c>
      <c r="BA1940">
        <v>5.1846914308175904</v>
      </c>
    </row>
    <row r="1941" spans="1:53" hidden="1" x14ac:dyDescent="0.3">
      <c r="A1941" t="s">
        <v>550</v>
      </c>
      <c r="C1941" t="s">
        <v>251</v>
      </c>
      <c r="D1941" t="s">
        <v>81</v>
      </c>
      <c r="E1941">
        <v>10000000</v>
      </c>
      <c r="H1941">
        <v>465</v>
      </c>
      <c r="I1941" t="s">
        <v>56</v>
      </c>
      <c r="J1941">
        <v>4.65E-2</v>
      </c>
      <c r="K1941" t="s">
        <v>57</v>
      </c>
      <c r="N1941" t="s">
        <v>571</v>
      </c>
      <c r="O1941">
        <v>214</v>
      </c>
      <c r="P1941" t="s">
        <v>277</v>
      </c>
      <c r="S1941">
        <v>4</v>
      </c>
      <c r="T1941">
        <v>27.7</v>
      </c>
      <c r="U1941" t="s">
        <v>120</v>
      </c>
      <c r="V1941">
        <v>74.5</v>
      </c>
      <c r="W1941" t="s">
        <v>561</v>
      </c>
      <c r="X1941" t="s">
        <v>280</v>
      </c>
      <c r="Y1941">
        <v>360</v>
      </c>
      <c r="AB1941">
        <v>8.2785370316450002E-2</v>
      </c>
      <c r="AC1941" t="s">
        <v>62</v>
      </c>
      <c r="AH1941">
        <v>4.1105897102992399</v>
      </c>
      <c r="AI1941">
        <v>2</v>
      </c>
      <c r="AV1941" t="s">
        <v>88</v>
      </c>
      <c r="AW1941">
        <v>214</v>
      </c>
      <c r="BA1941">
        <v>4.1105897102992399</v>
      </c>
    </row>
    <row r="1942" spans="1:53" hidden="1" x14ac:dyDescent="0.3">
      <c r="A1942" t="s">
        <v>550</v>
      </c>
      <c r="C1942" t="s">
        <v>251</v>
      </c>
      <c r="D1942" t="s">
        <v>81</v>
      </c>
      <c r="E1942">
        <v>10000000</v>
      </c>
      <c r="H1942">
        <v>465</v>
      </c>
      <c r="I1942" t="s">
        <v>56</v>
      </c>
      <c r="J1942">
        <v>4.65E-2</v>
      </c>
      <c r="K1942" t="s">
        <v>57</v>
      </c>
      <c r="N1942" t="s">
        <v>571</v>
      </c>
      <c r="O1942">
        <v>214</v>
      </c>
      <c r="P1942" t="s">
        <v>277</v>
      </c>
      <c r="S1942">
        <v>4</v>
      </c>
      <c r="T1942">
        <v>27.7</v>
      </c>
      <c r="U1942" t="s">
        <v>120</v>
      </c>
      <c r="V1942">
        <v>74.5</v>
      </c>
      <c r="W1942" t="s">
        <v>562</v>
      </c>
      <c r="X1942" t="s">
        <v>280</v>
      </c>
      <c r="Y1942">
        <v>360</v>
      </c>
      <c r="AB1942">
        <v>8.2785370316450002E-2</v>
      </c>
      <c r="AC1942" t="s">
        <v>62</v>
      </c>
      <c r="AH1942">
        <v>5.6748611407378098</v>
      </c>
      <c r="AI1942">
        <v>2</v>
      </c>
      <c r="AV1942" t="s">
        <v>88</v>
      </c>
      <c r="AW1942">
        <v>214</v>
      </c>
      <c r="BA1942">
        <v>5.6748611407378098</v>
      </c>
    </row>
    <row r="1943" spans="1:53" hidden="1" x14ac:dyDescent="0.3">
      <c r="A1943" t="s">
        <v>550</v>
      </c>
      <c r="C1943" t="s">
        <v>251</v>
      </c>
      <c r="D1943" t="s">
        <v>81</v>
      </c>
      <c r="E1943">
        <v>10000000</v>
      </c>
      <c r="H1943">
        <v>929</v>
      </c>
      <c r="I1943" t="s">
        <v>56</v>
      </c>
      <c r="J1943">
        <v>9.290000000000001E-2</v>
      </c>
      <c r="K1943" t="s">
        <v>57</v>
      </c>
      <c r="N1943" t="s">
        <v>571</v>
      </c>
      <c r="O1943">
        <v>214</v>
      </c>
      <c r="P1943" t="s">
        <v>277</v>
      </c>
      <c r="S1943">
        <v>4</v>
      </c>
      <c r="T1943">
        <v>27.7</v>
      </c>
      <c r="U1943" t="s">
        <v>120</v>
      </c>
      <c r="V1943">
        <v>74.5</v>
      </c>
      <c r="W1943" t="s">
        <v>563</v>
      </c>
      <c r="X1943" t="s">
        <v>280</v>
      </c>
      <c r="Y1943">
        <v>360</v>
      </c>
      <c r="AB1943">
        <v>-0.21752737583371301</v>
      </c>
      <c r="AC1943" t="s">
        <v>62</v>
      </c>
      <c r="AH1943">
        <v>5.4099331233312897</v>
      </c>
      <c r="AI1943">
        <v>3</v>
      </c>
      <c r="AT1943" t="s">
        <v>382</v>
      </c>
      <c r="AV1943" t="s">
        <v>88</v>
      </c>
      <c r="AW1943">
        <v>214</v>
      </c>
      <c r="BA1943">
        <v>5.4099331233312897</v>
      </c>
    </row>
    <row r="1944" spans="1:53" hidden="1" x14ac:dyDescent="0.3">
      <c r="A1944" t="s">
        <v>550</v>
      </c>
      <c r="C1944" t="s">
        <v>251</v>
      </c>
      <c r="D1944" t="s">
        <v>81</v>
      </c>
      <c r="E1944">
        <v>10000000</v>
      </c>
      <c r="H1944">
        <v>929</v>
      </c>
      <c r="I1944" t="s">
        <v>56</v>
      </c>
      <c r="J1944">
        <v>9.290000000000001E-2</v>
      </c>
      <c r="K1944" t="s">
        <v>57</v>
      </c>
      <c r="N1944" t="s">
        <v>571</v>
      </c>
      <c r="O1944">
        <v>214</v>
      </c>
      <c r="P1944" t="s">
        <v>277</v>
      </c>
      <c r="S1944">
        <v>4</v>
      </c>
      <c r="T1944">
        <v>27.7</v>
      </c>
      <c r="U1944" t="s">
        <v>120</v>
      </c>
      <c r="V1944">
        <v>74.5</v>
      </c>
      <c r="W1944" t="s">
        <v>318</v>
      </c>
      <c r="X1944" t="s">
        <v>280</v>
      </c>
      <c r="Y1944">
        <v>360</v>
      </c>
      <c r="AB1944">
        <v>8.6001717619175605E-3</v>
      </c>
      <c r="AC1944" t="s">
        <v>62</v>
      </c>
      <c r="AH1944">
        <v>3.9350031514536501</v>
      </c>
      <c r="AI1944">
        <v>3</v>
      </c>
      <c r="AT1944" t="s">
        <v>318</v>
      </c>
      <c r="AV1944" t="s">
        <v>88</v>
      </c>
      <c r="AW1944">
        <v>214</v>
      </c>
      <c r="BA1944">
        <v>3.935003151453651</v>
      </c>
    </row>
    <row r="1945" spans="1:53" hidden="1" x14ac:dyDescent="0.3">
      <c r="A1945" t="s">
        <v>550</v>
      </c>
      <c r="C1945" t="s">
        <v>251</v>
      </c>
      <c r="D1945" t="s">
        <v>81</v>
      </c>
      <c r="E1945">
        <v>10000000</v>
      </c>
      <c r="H1945">
        <v>929</v>
      </c>
      <c r="I1945" t="s">
        <v>56</v>
      </c>
      <c r="J1945">
        <v>9.290000000000001E-2</v>
      </c>
      <c r="K1945" t="s">
        <v>57</v>
      </c>
      <c r="N1945" t="s">
        <v>571</v>
      </c>
      <c r="O1945">
        <v>214</v>
      </c>
      <c r="P1945" t="s">
        <v>277</v>
      </c>
      <c r="S1945">
        <v>4</v>
      </c>
      <c r="T1945">
        <v>27.7</v>
      </c>
      <c r="U1945" t="s">
        <v>120</v>
      </c>
      <c r="V1945">
        <v>74.5</v>
      </c>
      <c r="W1945" t="s">
        <v>564</v>
      </c>
      <c r="X1945" t="s">
        <v>280</v>
      </c>
      <c r="Y1945">
        <v>360</v>
      </c>
      <c r="AB1945">
        <v>-0.133122185662501</v>
      </c>
      <c r="AC1945" t="s">
        <v>62</v>
      </c>
      <c r="AH1945">
        <v>4.5682017240669897</v>
      </c>
      <c r="AI1945">
        <v>5</v>
      </c>
      <c r="AT1945" t="s">
        <v>73</v>
      </c>
      <c r="AV1945" t="s">
        <v>88</v>
      </c>
      <c r="AW1945">
        <v>214</v>
      </c>
      <c r="BA1945">
        <v>4.5682017240669897</v>
      </c>
    </row>
    <row r="1946" spans="1:53" hidden="1" x14ac:dyDescent="0.3">
      <c r="A1946" t="s">
        <v>550</v>
      </c>
      <c r="C1946" t="s">
        <v>251</v>
      </c>
      <c r="D1946" t="s">
        <v>81</v>
      </c>
      <c r="E1946">
        <v>10000000</v>
      </c>
      <c r="H1946">
        <v>929</v>
      </c>
      <c r="I1946" t="s">
        <v>56</v>
      </c>
      <c r="J1946">
        <v>9.290000000000001E-2</v>
      </c>
      <c r="K1946" t="s">
        <v>57</v>
      </c>
      <c r="N1946" t="s">
        <v>571</v>
      </c>
      <c r="O1946">
        <v>214</v>
      </c>
      <c r="P1946" t="s">
        <v>277</v>
      </c>
      <c r="S1946">
        <v>4</v>
      </c>
      <c r="T1946">
        <v>27.7</v>
      </c>
      <c r="U1946" t="s">
        <v>120</v>
      </c>
      <c r="V1946">
        <v>74.5</v>
      </c>
      <c r="W1946" t="s">
        <v>565</v>
      </c>
      <c r="X1946" t="s">
        <v>280</v>
      </c>
      <c r="Y1946">
        <v>360</v>
      </c>
      <c r="AB1946">
        <v>1.16435285578443</v>
      </c>
      <c r="AC1946" t="s">
        <v>62</v>
      </c>
      <c r="AH1946">
        <v>5.6294095991027104</v>
      </c>
      <c r="AI1946">
        <v>2</v>
      </c>
      <c r="AV1946" t="s">
        <v>88</v>
      </c>
      <c r="AW1946">
        <v>214</v>
      </c>
      <c r="BA1946">
        <v>5.6294095991027104</v>
      </c>
    </row>
    <row r="1947" spans="1:53" hidden="1" x14ac:dyDescent="0.3">
      <c r="A1947" t="s">
        <v>550</v>
      </c>
      <c r="C1947" t="s">
        <v>251</v>
      </c>
      <c r="D1947" t="s">
        <v>81</v>
      </c>
      <c r="E1947">
        <v>10000000</v>
      </c>
      <c r="H1947">
        <v>929</v>
      </c>
      <c r="I1947" t="s">
        <v>56</v>
      </c>
      <c r="J1947">
        <v>9.290000000000001E-2</v>
      </c>
      <c r="K1947" t="s">
        <v>57</v>
      </c>
      <c r="N1947" t="s">
        <v>571</v>
      </c>
      <c r="O1947">
        <v>214</v>
      </c>
      <c r="P1947" t="s">
        <v>277</v>
      </c>
      <c r="S1947">
        <v>4</v>
      </c>
      <c r="T1947">
        <v>27.7</v>
      </c>
      <c r="U1947" t="s">
        <v>120</v>
      </c>
      <c r="V1947">
        <v>74.5</v>
      </c>
      <c r="W1947" t="s">
        <v>566</v>
      </c>
      <c r="X1947" t="s">
        <v>280</v>
      </c>
      <c r="Y1947">
        <v>360</v>
      </c>
      <c r="AB1947">
        <v>-0.183096160624339</v>
      </c>
      <c r="AC1947" t="s">
        <v>62</v>
      </c>
      <c r="AH1947">
        <v>5.1271047983648002</v>
      </c>
      <c r="AI1947">
        <v>5</v>
      </c>
      <c r="AT1947" t="s">
        <v>79</v>
      </c>
      <c r="AV1947" t="s">
        <v>88</v>
      </c>
      <c r="AW1947">
        <v>214</v>
      </c>
      <c r="BA1947">
        <v>5.1271047983648002</v>
      </c>
    </row>
    <row r="1948" spans="1:53" hidden="1" x14ac:dyDescent="0.3">
      <c r="A1948" t="s">
        <v>550</v>
      </c>
      <c r="C1948" t="s">
        <v>251</v>
      </c>
      <c r="D1948" t="s">
        <v>81</v>
      </c>
      <c r="E1948">
        <v>10000000</v>
      </c>
      <c r="H1948">
        <v>1022</v>
      </c>
      <c r="I1948" t="s">
        <v>56</v>
      </c>
      <c r="J1948">
        <v>0.1022</v>
      </c>
      <c r="K1948" t="s">
        <v>57</v>
      </c>
      <c r="N1948" t="s">
        <v>571</v>
      </c>
      <c r="O1948">
        <v>214</v>
      </c>
      <c r="P1948" t="s">
        <v>277</v>
      </c>
      <c r="S1948">
        <v>4</v>
      </c>
      <c r="T1948">
        <v>27.7</v>
      </c>
      <c r="U1948" t="s">
        <v>120</v>
      </c>
      <c r="V1948">
        <v>74.5</v>
      </c>
      <c r="W1948" t="s">
        <v>567</v>
      </c>
      <c r="X1948" t="s">
        <v>280</v>
      </c>
      <c r="Y1948">
        <v>360</v>
      </c>
      <c r="AB1948">
        <v>-0.20273245916928301</v>
      </c>
      <c r="AC1948" t="s">
        <v>62</v>
      </c>
      <c r="AH1948">
        <v>5.5301996982030799</v>
      </c>
      <c r="AI1948">
        <v>1</v>
      </c>
      <c r="AV1948" t="s">
        <v>88</v>
      </c>
      <c r="AW1948">
        <v>214</v>
      </c>
      <c r="BA1948">
        <v>5.5301996982030799</v>
      </c>
    </row>
    <row r="1949" spans="1:53" hidden="1" x14ac:dyDescent="0.3">
      <c r="A1949" t="s">
        <v>550</v>
      </c>
      <c r="C1949" t="s">
        <v>251</v>
      </c>
      <c r="D1949" t="s">
        <v>81</v>
      </c>
      <c r="E1949">
        <v>10000000</v>
      </c>
      <c r="H1949">
        <v>929</v>
      </c>
      <c r="I1949" t="s">
        <v>56</v>
      </c>
      <c r="J1949">
        <v>9.290000000000001E-2</v>
      </c>
      <c r="K1949" t="s">
        <v>57</v>
      </c>
      <c r="N1949" t="s">
        <v>571</v>
      </c>
      <c r="O1949">
        <v>214</v>
      </c>
      <c r="P1949" t="s">
        <v>277</v>
      </c>
      <c r="S1949">
        <v>4</v>
      </c>
      <c r="T1949">
        <v>27.7</v>
      </c>
      <c r="U1949" t="s">
        <v>120</v>
      </c>
      <c r="V1949">
        <v>74.5</v>
      </c>
      <c r="W1949" t="s">
        <v>568</v>
      </c>
      <c r="X1949" t="s">
        <v>280</v>
      </c>
      <c r="Y1949">
        <v>360</v>
      </c>
      <c r="AB1949">
        <v>-2.2448877336049202</v>
      </c>
      <c r="AC1949" t="s">
        <v>62</v>
      </c>
      <c r="AH1949">
        <v>0.58658730467175402</v>
      </c>
      <c r="AI1949">
        <v>5</v>
      </c>
      <c r="AV1949" t="s">
        <v>88</v>
      </c>
      <c r="AW1949">
        <v>214</v>
      </c>
      <c r="BA1949">
        <v>0.58658730467175402</v>
      </c>
    </row>
    <row r="1950" spans="1:53" hidden="1" x14ac:dyDescent="0.3">
      <c r="A1950" t="s">
        <v>550</v>
      </c>
      <c r="C1950" t="s">
        <v>251</v>
      </c>
      <c r="D1950" t="s">
        <v>81</v>
      </c>
      <c r="E1950">
        <v>10000000</v>
      </c>
      <c r="H1950">
        <v>97</v>
      </c>
      <c r="I1950" t="s">
        <v>56</v>
      </c>
      <c r="J1950">
        <v>9.7000000000000003E-3</v>
      </c>
      <c r="K1950" t="s">
        <v>57</v>
      </c>
      <c r="N1950" t="s">
        <v>572</v>
      </c>
      <c r="O1950">
        <v>215</v>
      </c>
      <c r="P1950" t="s">
        <v>277</v>
      </c>
      <c r="S1950">
        <v>4</v>
      </c>
      <c r="T1950">
        <v>23.8</v>
      </c>
      <c r="U1950" t="s">
        <v>120</v>
      </c>
      <c r="V1950">
        <v>75.2</v>
      </c>
      <c r="W1950" t="s">
        <v>559</v>
      </c>
      <c r="X1950" t="s">
        <v>280</v>
      </c>
      <c r="Y1950">
        <v>480</v>
      </c>
      <c r="AB1950">
        <v>1.3692158574101401</v>
      </c>
      <c r="AC1950" t="s">
        <v>62</v>
      </c>
      <c r="AH1950">
        <v>6.1271047983648002</v>
      </c>
      <c r="AI1950">
        <v>1</v>
      </c>
      <c r="AT1950" t="s">
        <v>382</v>
      </c>
      <c r="AV1950" t="s">
        <v>88</v>
      </c>
      <c r="AW1950">
        <v>215</v>
      </c>
      <c r="BA1950">
        <v>6.1271047983648002</v>
      </c>
    </row>
    <row r="1951" spans="1:53" hidden="1" x14ac:dyDescent="0.3">
      <c r="A1951" t="s">
        <v>550</v>
      </c>
      <c r="C1951" t="s">
        <v>251</v>
      </c>
      <c r="D1951" t="s">
        <v>81</v>
      </c>
      <c r="E1951">
        <v>10000000</v>
      </c>
      <c r="H1951">
        <v>564</v>
      </c>
      <c r="I1951" t="s">
        <v>56</v>
      </c>
      <c r="J1951">
        <v>5.6400000000000013E-2</v>
      </c>
      <c r="K1951" t="s">
        <v>57</v>
      </c>
      <c r="N1951" t="s">
        <v>572</v>
      </c>
      <c r="O1951">
        <v>215</v>
      </c>
      <c r="P1951" t="s">
        <v>277</v>
      </c>
      <c r="S1951">
        <v>4</v>
      </c>
      <c r="T1951">
        <v>23.8</v>
      </c>
      <c r="U1951" t="s">
        <v>120</v>
      </c>
      <c r="V1951">
        <v>75.2</v>
      </c>
      <c r="W1951" t="s">
        <v>560</v>
      </c>
      <c r="X1951" t="s">
        <v>280</v>
      </c>
      <c r="Y1951">
        <v>480</v>
      </c>
      <c r="AB1951">
        <v>2.2304489213782701</v>
      </c>
      <c r="AC1951" t="s">
        <v>62</v>
      </c>
      <c r="AH1951">
        <v>7.5987905067631099</v>
      </c>
      <c r="AI1951">
        <v>1</v>
      </c>
      <c r="AV1951" t="s">
        <v>88</v>
      </c>
      <c r="AW1951">
        <v>215</v>
      </c>
      <c r="BA1951">
        <v>7.5987905067631107</v>
      </c>
    </row>
    <row r="1952" spans="1:53" hidden="1" x14ac:dyDescent="0.3">
      <c r="A1952" t="s">
        <v>550</v>
      </c>
      <c r="C1952" t="s">
        <v>251</v>
      </c>
      <c r="D1952" t="s">
        <v>81</v>
      </c>
      <c r="E1952">
        <v>10000000</v>
      </c>
      <c r="H1952">
        <v>465</v>
      </c>
      <c r="I1952" t="s">
        <v>56</v>
      </c>
      <c r="J1952">
        <v>4.65E-2</v>
      </c>
      <c r="K1952" t="s">
        <v>57</v>
      </c>
      <c r="N1952" t="s">
        <v>572</v>
      </c>
      <c r="O1952">
        <v>215</v>
      </c>
      <c r="P1952" t="s">
        <v>277</v>
      </c>
      <c r="S1952">
        <v>4</v>
      </c>
      <c r="T1952">
        <v>23.8</v>
      </c>
      <c r="U1952" t="s">
        <v>120</v>
      </c>
      <c r="V1952">
        <v>75.2</v>
      </c>
      <c r="W1952" t="s">
        <v>561</v>
      </c>
      <c r="X1952" t="s">
        <v>280</v>
      </c>
      <c r="Y1952">
        <v>480</v>
      </c>
      <c r="AB1952">
        <v>1.3010299956639799</v>
      </c>
      <c r="AC1952" t="s">
        <v>62</v>
      </c>
      <c r="AH1952">
        <v>6.5910646070264898</v>
      </c>
      <c r="AI1952">
        <v>2</v>
      </c>
      <c r="AV1952" t="s">
        <v>88</v>
      </c>
      <c r="AW1952">
        <v>215</v>
      </c>
      <c r="BA1952">
        <v>6.5910646070264898</v>
      </c>
    </row>
    <row r="1953" spans="1:53" hidden="1" x14ac:dyDescent="0.3">
      <c r="A1953" t="s">
        <v>550</v>
      </c>
      <c r="C1953" t="s">
        <v>251</v>
      </c>
      <c r="D1953" t="s">
        <v>81</v>
      </c>
      <c r="E1953">
        <v>10000000</v>
      </c>
      <c r="H1953">
        <v>465</v>
      </c>
      <c r="I1953" t="s">
        <v>56</v>
      </c>
      <c r="J1953">
        <v>4.65E-2</v>
      </c>
      <c r="K1953" t="s">
        <v>57</v>
      </c>
      <c r="N1953" t="s">
        <v>572</v>
      </c>
      <c r="O1953">
        <v>215</v>
      </c>
      <c r="P1953" t="s">
        <v>277</v>
      </c>
      <c r="S1953">
        <v>4</v>
      </c>
      <c r="T1953">
        <v>23.8</v>
      </c>
      <c r="U1953" t="s">
        <v>120</v>
      </c>
      <c r="V1953">
        <v>75.2</v>
      </c>
      <c r="W1953" t="s">
        <v>562</v>
      </c>
      <c r="X1953" t="s">
        <v>280</v>
      </c>
      <c r="Y1953">
        <v>480</v>
      </c>
      <c r="AB1953">
        <v>1.84509804001425</v>
      </c>
      <c r="AC1953" t="s">
        <v>62</v>
      </c>
      <c r="AH1953">
        <v>6.64246452024212</v>
      </c>
      <c r="AI1953">
        <v>2</v>
      </c>
      <c r="AV1953" t="s">
        <v>88</v>
      </c>
      <c r="AW1953">
        <v>215</v>
      </c>
      <c r="BA1953">
        <v>6.64246452024212</v>
      </c>
    </row>
    <row r="1954" spans="1:53" hidden="1" x14ac:dyDescent="0.3">
      <c r="A1954" t="s">
        <v>550</v>
      </c>
      <c r="C1954" t="s">
        <v>251</v>
      </c>
      <c r="D1954" t="s">
        <v>81</v>
      </c>
      <c r="E1954">
        <v>10000000</v>
      </c>
      <c r="H1954">
        <v>929</v>
      </c>
      <c r="I1954" t="s">
        <v>56</v>
      </c>
      <c r="J1954">
        <v>9.290000000000001E-2</v>
      </c>
      <c r="K1954" t="s">
        <v>57</v>
      </c>
      <c r="N1954" t="s">
        <v>572</v>
      </c>
      <c r="O1954">
        <v>215</v>
      </c>
      <c r="P1954" t="s">
        <v>277</v>
      </c>
      <c r="S1954">
        <v>4</v>
      </c>
      <c r="T1954">
        <v>23.8</v>
      </c>
      <c r="U1954" t="s">
        <v>120</v>
      </c>
      <c r="V1954">
        <v>75.2</v>
      </c>
      <c r="W1954" t="s">
        <v>563</v>
      </c>
      <c r="X1954" t="s">
        <v>280</v>
      </c>
      <c r="Y1954">
        <v>480</v>
      </c>
      <c r="AB1954">
        <v>1</v>
      </c>
      <c r="AC1954" t="s">
        <v>62</v>
      </c>
      <c r="AH1954">
        <v>7</v>
      </c>
      <c r="AI1954">
        <v>3</v>
      </c>
      <c r="AT1954" t="s">
        <v>382</v>
      </c>
      <c r="AV1954" t="s">
        <v>88</v>
      </c>
      <c r="AW1954">
        <v>215</v>
      </c>
      <c r="BA1954">
        <v>7</v>
      </c>
    </row>
    <row r="1955" spans="1:53" hidden="1" x14ac:dyDescent="0.3">
      <c r="A1955" t="s">
        <v>550</v>
      </c>
      <c r="C1955" t="s">
        <v>251</v>
      </c>
      <c r="D1955" t="s">
        <v>81</v>
      </c>
      <c r="E1955">
        <v>10000000</v>
      </c>
      <c r="H1955">
        <v>929</v>
      </c>
      <c r="I1955" t="s">
        <v>56</v>
      </c>
      <c r="J1955">
        <v>9.290000000000001E-2</v>
      </c>
      <c r="K1955" t="s">
        <v>57</v>
      </c>
      <c r="N1955" t="s">
        <v>572</v>
      </c>
      <c r="O1955">
        <v>215</v>
      </c>
      <c r="P1955" t="s">
        <v>277</v>
      </c>
      <c r="S1955">
        <v>4</v>
      </c>
      <c r="T1955">
        <v>23.8</v>
      </c>
      <c r="U1955" t="s">
        <v>120</v>
      </c>
      <c r="V1955">
        <v>75.2</v>
      </c>
      <c r="W1955" t="s">
        <v>318</v>
      </c>
      <c r="X1955" t="s">
        <v>280</v>
      </c>
      <c r="Y1955">
        <v>480</v>
      </c>
      <c r="AB1955">
        <v>1.63648789635336</v>
      </c>
      <c r="AC1955" t="s">
        <v>62</v>
      </c>
      <c r="AH1955">
        <v>6.2695129442179098</v>
      </c>
      <c r="AI1955">
        <v>3</v>
      </c>
      <c r="AT1955" t="s">
        <v>318</v>
      </c>
      <c r="AV1955" t="s">
        <v>88</v>
      </c>
      <c r="AW1955">
        <v>215</v>
      </c>
      <c r="BA1955">
        <v>6.2695129442179098</v>
      </c>
    </row>
    <row r="1956" spans="1:53" hidden="1" x14ac:dyDescent="0.3">
      <c r="A1956" t="s">
        <v>550</v>
      </c>
      <c r="C1956" t="s">
        <v>251</v>
      </c>
      <c r="D1956" t="s">
        <v>81</v>
      </c>
      <c r="E1956">
        <v>10000000</v>
      </c>
      <c r="H1956">
        <v>929</v>
      </c>
      <c r="I1956" t="s">
        <v>56</v>
      </c>
      <c r="J1956">
        <v>9.290000000000001E-2</v>
      </c>
      <c r="K1956" t="s">
        <v>57</v>
      </c>
      <c r="N1956" t="s">
        <v>572</v>
      </c>
      <c r="O1956">
        <v>215</v>
      </c>
      <c r="P1956" t="s">
        <v>277</v>
      </c>
      <c r="S1956">
        <v>4</v>
      </c>
      <c r="T1956">
        <v>23.8</v>
      </c>
      <c r="U1956" t="s">
        <v>120</v>
      </c>
      <c r="V1956">
        <v>75.2</v>
      </c>
      <c r="W1956" t="s">
        <v>564</v>
      </c>
      <c r="X1956" t="s">
        <v>280</v>
      </c>
      <c r="Y1956">
        <v>480</v>
      </c>
      <c r="AB1956">
        <v>2.4578818967339902</v>
      </c>
      <c r="AC1956" t="s">
        <v>62</v>
      </c>
      <c r="AH1956">
        <v>7.1583624920952396</v>
      </c>
      <c r="AI1956">
        <v>5</v>
      </c>
      <c r="AT1956" t="s">
        <v>73</v>
      </c>
      <c r="AV1956" t="s">
        <v>88</v>
      </c>
      <c r="AW1956">
        <v>215</v>
      </c>
      <c r="BA1956">
        <v>7.1583624920952396</v>
      </c>
    </row>
    <row r="1957" spans="1:53" hidden="1" x14ac:dyDescent="0.3">
      <c r="A1957" t="s">
        <v>550</v>
      </c>
      <c r="C1957" t="s">
        <v>251</v>
      </c>
      <c r="D1957" t="s">
        <v>81</v>
      </c>
      <c r="E1957">
        <v>10000000</v>
      </c>
      <c r="H1957">
        <v>929</v>
      </c>
      <c r="I1957" t="s">
        <v>56</v>
      </c>
      <c r="J1957">
        <v>9.290000000000001E-2</v>
      </c>
      <c r="K1957" t="s">
        <v>57</v>
      </c>
      <c r="N1957" t="s">
        <v>572</v>
      </c>
      <c r="O1957">
        <v>215</v>
      </c>
      <c r="P1957" t="s">
        <v>277</v>
      </c>
      <c r="S1957">
        <v>4</v>
      </c>
      <c r="T1957">
        <v>23.8</v>
      </c>
      <c r="U1957" t="s">
        <v>120</v>
      </c>
      <c r="V1957">
        <v>75.2</v>
      </c>
      <c r="W1957" t="s">
        <v>565</v>
      </c>
      <c r="X1957" t="s">
        <v>280</v>
      </c>
      <c r="Y1957">
        <v>480</v>
      </c>
      <c r="AB1957">
        <v>2.6683859166900001</v>
      </c>
      <c r="AC1957" t="s">
        <v>62</v>
      </c>
      <c r="AH1957">
        <v>7.98587535730839</v>
      </c>
      <c r="AI1957">
        <v>2</v>
      </c>
      <c r="AV1957" t="s">
        <v>88</v>
      </c>
      <c r="AW1957">
        <v>215</v>
      </c>
      <c r="BA1957">
        <v>7.98587535730839</v>
      </c>
    </row>
    <row r="1958" spans="1:53" hidden="1" x14ac:dyDescent="0.3">
      <c r="A1958" t="s">
        <v>550</v>
      </c>
      <c r="C1958" t="s">
        <v>251</v>
      </c>
      <c r="D1958" t="s">
        <v>81</v>
      </c>
      <c r="E1958">
        <v>10000000</v>
      </c>
      <c r="H1958">
        <v>929</v>
      </c>
      <c r="I1958" t="s">
        <v>56</v>
      </c>
      <c r="J1958">
        <v>9.290000000000001E-2</v>
      </c>
      <c r="K1958" t="s">
        <v>57</v>
      </c>
      <c r="N1958" t="s">
        <v>572</v>
      </c>
      <c r="O1958">
        <v>215</v>
      </c>
      <c r="P1958" t="s">
        <v>277</v>
      </c>
      <c r="S1958">
        <v>4</v>
      </c>
      <c r="T1958">
        <v>23.8</v>
      </c>
      <c r="U1958" t="s">
        <v>120</v>
      </c>
      <c r="V1958">
        <v>75.2</v>
      </c>
      <c r="W1958" t="s">
        <v>566</v>
      </c>
      <c r="X1958" t="s">
        <v>280</v>
      </c>
      <c r="Y1958">
        <v>480</v>
      </c>
      <c r="AB1958">
        <v>0.25527250510330601</v>
      </c>
      <c r="AC1958" t="s">
        <v>62</v>
      </c>
      <c r="AH1958">
        <v>7.1105897102992399</v>
      </c>
      <c r="AI1958">
        <v>5</v>
      </c>
      <c r="AT1958" t="s">
        <v>79</v>
      </c>
      <c r="AV1958" t="s">
        <v>88</v>
      </c>
      <c r="AW1958">
        <v>215</v>
      </c>
      <c r="BA1958">
        <v>7.1105897102992399</v>
      </c>
    </row>
    <row r="1959" spans="1:53" hidden="1" x14ac:dyDescent="0.3">
      <c r="A1959" t="s">
        <v>550</v>
      </c>
      <c r="C1959" t="s">
        <v>251</v>
      </c>
      <c r="D1959" t="s">
        <v>81</v>
      </c>
      <c r="E1959">
        <v>10000000</v>
      </c>
      <c r="H1959">
        <v>1022</v>
      </c>
      <c r="I1959" t="s">
        <v>56</v>
      </c>
      <c r="J1959">
        <v>0.1022</v>
      </c>
      <c r="K1959" t="s">
        <v>57</v>
      </c>
      <c r="N1959" t="s">
        <v>572</v>
      </c>
      <c r="O1959">
        <v>215</v>
      </c>
      <c r="P1959" t="s">
        <v>277</v>
      </c>
      <c r="S1959">
        <v>4</v>
      </c>
      <c r="T1959">
        <v>23.8</v>
      </c>
      <c r="U1959" t="s">
        <v>120</v>
      </c>
      <c r="V1959">
        <v>75.2</v>
      </c>
      <c r="W1959" t="s">
        <v>567</v>
      </c>
      <c r="X1959" t="s">
        <v>280</v>
      </c>
      <c r="Y1959">
        <v>480</v>
      </c>
      <c r="AB1959">
        <v>0.71180722904119098</v>
      </c>
      <c r="AC1959" t="s">
        <v>62</v>
      </c>
      <c r="AH1959">
        <v>7.6009728956867404</v>
      </c>
      <c r="AI1959">
        <v>1</v>
      </c>
      <c r="AV1959" t="s">
        <v>88</v>
      </c>
      <c r="AW1959">
        <v>215</v>
      </c>
      <c r="BA1959">
        <v>7.6009728956867404</v>
      </c>
    </row>
    <row r="1960" spans="1:53" hidden="1" x14ac:dyDescent="0.3">
      <c r="A1960" t="s">
        <v>550</v>
      </c>
      <c r="C1960" t="s">
        <v>251</v>
      </c>
      <c r="D1960" t="s">
        <v>81</v>
      </c>
      <c r="E1960">
        <v>10000000</v>
      </c>
      <c r="H1960">
        <v>929</v>
      </c>
      <c r="I1960" t="s">
        <v>56</v>
      </c>
      <c r="J1960">
        <v>9.290000000000001E-2</v>
      </c>
      <c r="K1960" t="s">
        <v>57</v>
      </c>
      <c r="N1960" t="s">
        <v>572</v>
      </c>
      <c r="O1960">
        <v>215</v>
      </c>
      <c r="P1960" t="s">
        <v>277</v>
      </c>
      <c r="S1960">
        <v>4</v>
      </c>
      <c r="T1960">
        <v>23.8</v>
      </c>
      <c r="U1960" t="s">
        <v>120</v>
      </c>
      <c r="V1960">
        <v>75.2</v>
      </c>
      <c r="W1960" t="s">
        <v>568</v>
      </c>
      <c r="X1960" t="s">
        <v>280</v>
      </c>
      <c r="Y1960">
        <v>480</v>
      </c>
      <c r="AB1960">
        <v>-1.2041199826559199</v>
      </c>
      <c r="AC1960" t="s">
        <v>62</v>
      </c>
      <c r="AH1960">
        <v>1.29666519026153</v>
      </c>
      <c r="AI1960">
        <v>5</v>
      </c>
      <c r="AV1960" t="s">
        <v>88</v>
      </c>
      <c r="AW1960">
        <v>215</v>
      </c>
      <c r="BA1960">
        <v>1.29666519026153</v>
      </c>
    </row>
    <row r="1961" spans="1:53" hidden="1" x14ac:dyDescent="0.3">
      <c r="A1961" t="s">
        <v>550</v>
      </c>
      <c r="C1961" t="s">
        <v>251</v>
      </c>
      <c r="D1961" t="s">
        <v>81</v>
      </c>
      <c r="E1961">
        <v>10000000</v>
      </c>
      <c r="H1961">
        <v>97</v>
      </c>
      <c r="I1961" t="s">
        <v>56</v>
      </c>
      <c r="J1961">
        <v>9.7000000000000003E-3</v>
      </c>
      <c r="K1961" t="s">
        <v>57</v>
      </c>
      <c r="N1961" t="s">
        <v>558</v>
      </c>
      <c r="O1961">
        <v>326</v>
      </c>
      <c r="P1961" t="s">
        <v>277</v>
      </c>
      <c r="S1961">
        <v>4</v>
      </c>
      <c r="T1961">
        <v>29.9</v>
      </c>
      <c r="U1961" t="s">
        <v>120</v>
      </c>
      <c r="V1961">
        <v>76.599999999999895</v>
      </c>
      <c r="W1961" t="s">
        <v>559</v>
      </c>
      <c r="X1961" t="s">
        <v>280</v>
      </c>
      <c r="Y1961">
        <v>240</v>
      </c>
      <c r="AB1961">
        <v>1.0569048513364701</v>
      </c>
      <c r="AC1961" t="s">
        <v>62</v>
      </c>
      <c r="AH1961">
        <v>5.1205739312058398</v>
      </c>
      <c r="AI1961">
        <v>1</v>
      </c>
      <c r="AT1961" t="s">
        <v>382</v>
      </c>
      <c r="AV1961" t="s">
        <v>88</v>
      </c>
      <c r="AW1961">
        <v>326</v>
      </c>
      <c r="BA1961">
        <v>5.1205739312058398</v>
      </c>
    </row>
    <row r="1962" spans="1:53" hidden="1" x14ac:dyDescent="0.3">
      <c r="A1962" t="s">
        <v>550</v>
      </c>
      <c r="C1962" t="s">
        <v>251</v>
      </c>
      <c r="D1962" t="s">
        <v>81</v>
      </c>
      <c r="E1962">
        <v>10000000</v>
      </c>
      <c r="H1962">
        <v>564</v>
      </c>
      <c r="I1962" t="s">
        <v>56</v>
      </c>
      <c r="J1962">
        <v>5.6400000000000013E-2</v>
      </c>
      <c r="K1962" t="s">
        <v>57</v>
      </c>
      <c r="N1962" t="s">
        <v>558</v>
      </c>
      <c r="O1962">
        <v>326</v>
      </c>
      <c r="P1962" t="s">
        <v>277</v>
      </c>
      <c r="S1962">
        <v>4</v>
      </c>
      <c r="T1962">
        <v>29.9</v>
      </c>
      <c r="U1962" t="s">
        <v>120</v>
      </c>
      <c r="V1962">
        <v>76.599999999999895</v>
      </c>
      <c r="W1962" t="s">
        <v>560</v>
      </c>
      <c r="X1962" t="s">
        <v>280</v>
      </c>
      <c r="Y1962">
        <v>240</v>
      </c>
      <c r="AB1962">
        <v>0.91539983521226898</v>
      </c>
      <c r="AC1962" t="s">
        <v>62</v>
      </c>
      <c r="AH1962">
        <v>6.4623979978989503</v>
      </c>
      <c r="AI1962">
        <v>1</v>
      </c>
      <c r="AV1962" t="s">
        <v>88</v>
      </c>
      <c r="AW1962">
        <v>326</v>
      </c>
      <c r="BA1962">
        <v>6.4623979978989503</v>
      </c>
    </row>
    <row r="1963" spans="1:53" hidden="1" x14ac:dyDescent="0.3">
      <c r="A1963" t="s">
        <v>550</v>
      </c>
      <c r="C1963" t="s">
        <v>251</v>
      </c>
      <c r="D1963" t="s">
        <v>81</v>
      </c>
      <c r="E1963">
        <v>10000000</v>
      </c>
      <c r="H1963">
        <v>465</v>
      </c>
      <c r="I1963" t="s">
        <v>56</v>
      </c>
      <c r="J1963">
        <v>4.65E-2</v>
      </c>
      <c r="K1963" t="s">
        <v>57</v>
      </c>
      <c r="N1963" t="s">
        <v>558</v>
      </c>
      <c r="O1963">
        <v>326</v>
      </c>
      <c r="P1963" t="s">
        <v>277</v>
      </c>
      <c r="S1963">
        <v>4</v>
      </c>
      <c r="T1963">
        <v>29.9</v>
      </c>
      <c r="U1963" t="s">
        <v>120</v>
      </c>
      <c r="V1963">
        <v>76.599999999999895</v>
      </c>
      <c r="W1963" t="s">
        <v>561</v>
      </c>
      <c r="X1963" t="s">
        <v>280</v>
      </c>
      <c r="Y1963">
        <v>240</v>
      </c>
      <c r="AB1963">
        <v>0.71850168886727395</v>
      </c>
      <c r="AC1963" t="s">
        <v>62</v>
      </c>
      <c r="AH1963">
        <v>4.7092699609758304</v>
      </c>
      <c r="AI1963">
        <v>2</v>
      </c>
      <c r="AV1963" t="s">
        <v>88</v>
      </c>
      <c r="AW1963">
        <v>326</v>
      </c>
      <c r="BA1963">
        <v>4.7092699609758304</v>
      </c>
    </row>
    <row r="1964" spans="1:53" hidden="1" x14ac:dyDescent="0.3">
      <c r="A1964" t="s">
        <v>550</v>
      </c>
      <c r="C1964" t="s">
        <v>251</v>
      </c>
      <c r="D1964" t="s">
        <v>81</v>
      </c>
      <c r="E1964">
        <v>10000000</v>
      </c>
      <c r="H1964">
        <v>465</v>
      </c>
      <c r="I1964" t="s">
        <v>56</v>
      </c>
      <c r="J1964">
        <v>4.65E-2</v>
      </c>
      <c r="K1964" t="s">
        <v>57</v>
      </c>
      <c r="N1964" t="s">
        <v>558</v>
      </c>
      <c r="O1964">
        <v>326</v>
      </c>
      <c r="P1964" t="s">
        <v>277</v>
      </c>
      <c r="S1964">
        <v>4</v>
      </c>
      <c r="T1964">
        <v>29.9</v>
      </c>
      <c r="U1964" t="s">
        <v>120</v>
      </c>
      <c r="V1964">
        <v>76.599999999999895</v>
      </c>
      <c r="W1964" t="s">
        <v>562</v>
      </c>
      <c r="X1964" t="s">
        <v>280</v>
      </c>
      <c r="Y1964">
        <v>240</v>
      </c>
      <c r="AB1964">
        <v>1.1003705451175601</v>
      </c>
      <c r="AC1964" t="s">
        <v>62</v>
      </c>
      <c r="AH1964">
        <v>6.2671717284030102</v>
      </c>
      <c r="AI1964">
        <v>2</v>
      </c>
      <c r="AV1964" t="s">
        <v>88</v>
      </c>
      <c r="AW1964">
        <v>326</v>
      </c>
      <c r="BA1964">
        <v>6.2671717284030102</v>
      </c>
    </row>
    <row r="1965" spans="1:53" hidden="1" x14ac:dyDescent="0.3">
      <c r="A1965" t="s">
        <v>550</v>
      </c>
      <c r="C1965" t="s">
        <v>251</v>
      </c>
      <c r="D1965" t="s">
        <v>81</v>
      </c>
      <c r="E1965">
        <v>10000000</v>
      </c>
      <c r="H1965">
        <v>929</v>
      </c>
      <c r="I1965" t="s">
        <v>56</v>
      </c>
      <c r="J1965">
        <v>9.290000000000001E-2</v>
      </c>
      <c r="K1965" t="s">
        <v>57</v>
      </c>
      <c r="N1965" t="s">
        <v>558</v>
      </c>
      <c r="O1965">
        <v>326</v>
      </c>
      <c r="P1965" t="s">
        <v>277</v>
      </c>
      <c r="S1965">
        <v>4</v>
      </c>
      <c r="T1965">
        <v>29.9</v>
      </c>
      <c r="U1965" t="s">
        <v>120</v>
      </c>
      <c r="V1965">
        <v>76.599999999999895</v>
      </c>
      <c r="W1965" t="s">
        <v>563</v>
      </c>
      <c r="X1965" t="s">
        <v>280</v>
      </c>
      <c r="Y1965">
        <v>240</v>
      </c>
      <c r="AB1965">
        <v>0.65513843481138201</v>
      </c>
      <c r="AC1965" t="s">
        <v>62</v>
      </c>
      <c r="AH1965">
        <v>6.1303337684950003</v>
      </c>
      <c r="AI1965">
        <v>3</v>
      </c>
      <c r="AT1965" t="s">
        <v>382</v>
      </c>
      <c r="AV1965" t="s">
        <v>88</v>
      </c>
      <c r="AW1965">
        <v>326</v>
      </c>
      <c r="BA1965">
        <v>6.1303337684950003</v>
      </c>
    </row>
    <row r="1966" spans="1:53" hidden="1" x14ac:dyDescent="0.3">
      <c r="A1966" t="s">
        <v>550</v>
      </c>
      <c r="C1966" t="s">
        <v>251</v>
      </c>
      <c r="D1966" t="s">
        <v>81</v>
      </c>
      <c r="E1966">
        <v>10000000</v>
      </c>
      <c r="H1966">
        <v>929</v>
      </c>
      <c r="I1966" t="s">
        <v>56</v>
      </c>
      <c r="J1966">
        <v>9.290000000000001E-2</v>
      </c>
      <c r="K1966" t="s">
        <v>57</v>
      </c>
      <c r="N1966" t="s">
        <v>558</v>
      </c>
      <c r="O1966">
        <v>326</v>
      </c>
      <c r="P1966" t="s">
        <v>277</v>
      </c>
      <c r="S1966">
        <v>4</v>
      </c>
      <c r="T1966">
        <v>29.9</v>
      </c>
      <c r="U1966" t="s">
        <v>120</v>
      </c>
      <c r="V1966">
        <v>76.599999999999895</v>
      </c>
      <c r="W1966" t="s">
        <v>318</v>
      </c>
      <c r="X1966" t="s">
        <v>280</v>
      </c>
      <c r="Y1966">
        <v>240</v>
      </c>
      <c r="AB1966">
        <v>-0.23062267392386099</v>
      </c>
      <c r="AC1966" t="s">
        <v>62</v>
      </c>
      <c r="AH1966">
        <v>5.6020599913279598</v>
      </c>
      <c r="AI1966">
        <v>3</v>
      </c>
      <c r="AT1966" t="s">
        <v>318</v>
      </c>
      <c r="AV1966" t="s">
        <v>88</v>
      </c>
      <c r="AW1966">
        <v>326</v>
      </c>
      <c r="BA1966">
        <v>5.6020599913279598</v>
      </c>
    </row>
    <row r="1967" spans="1:53" hidden="1" x14ac:dyDescent="0.3">
      <c r="A1967" t="s">
        <v>550</v>
      </c>
      <c r="C1967" t="s">
        <v>251</v>
      </c>
      <c r="D1967" t="s">
        <v>81</v>
      </c>
      <c r="E1967">
        <v>10000000</v>
      </c>
      <c r="H1967">
        <v>929</v>
      </c>
      <c r="I1967" t="s">
        <v>56</v>
      </c>
      <c r="J1967">
        <v>9.290000000000001E-2</v>
      </c>
      <c r="K1967" t="s">
        <v>57</v>
      </c>
      <c r="N1967" t="s">
        <v>558</v>
      </c>
      <c r="O1967">
        <v>326</v>
      </c>
      <c r="P1967" t="s">
        <v>277</v>
      </c>
      <c r="S1967">
        <v>4</v>
      </c>
      <c r="T1967">
        <v>29.9</v>
      </c>
      <c r="U1967" t="s">
        <v>120</v>
      </c>
      <c r="V1967">
        <v>76.599999999999895</v>
      </c>
      <c r="W1967" t="s">
        <v>564</v>
      </c>
      <c r="X1967" t="s">
        <v>280</v>
      </c>
      <c r="Y1967">
        <v>240</v>
      </c>
      <c r="AB1967">
        <v>1.2648178230095299</v>
      </c>
      <c r="AC1967" t="s">
        <v>62</v>
      </c>
      <c r="AH1967">
        <v>5.6454222693490896</v>
      </c>
      <c r="AI1967">
        <v>5</v>
      </c>
      <c r="AT1967" t="s">
        <v>73</v>
      </c>
      <c r="AV1967" t="s">
        <v>88</v>
      </c>
      <c r="AW1967">
        <v>326</v>
      </c>
      <c r="BA1967">
        <v>5.6454222693490896</v>
      </c>
    </row>
    <row r="1968" spans="1:53" hidden="1" x14ac:dyDescent="0.3">
      <c r="A1968" t="s">
        <v>550</v>
      </c>
      <c r="C1968" t="s">
        <v>251</v>
      </c>
      <c r="D1968" t="s">
        <v>81</v>
      </c>
      <c r="E1968">
        <v>10000000</v>
      </c>
      <c r="H1968">
        <v>929</v>
      </c>
      <c r="I1968" t="s">
        <v>56</v>
      </c>
      <c r="J1968">
        <v>9.290000000000001E-2</v>
      </c>
      <c r="K1968" t="s">
        <v>57</v>
      </c>
      <c r="N1968" t="s">
        <v>558</v>
      </c>
      <c r="O1968">
        <v>326</v>
      </c>
      <c r="P1968" t="s">
        <v>277</v>
      </c>
      <c r="S1968">
        <v>4</v>
      </c>
      <c r="T1968">
        <v>29.9</v>
      </c>
      <c r="U1968" t="s">
        <v>120</v>
      </c>
      <c r="V1968">
        <v>76.599999999999895</v>
      </c>
      <c r="W1968" t="s">
        <v>565</v>
      </c>
      <c r="X1968" t="s">
        <v>280</v>
      </c>
      <c r="Y1968">
        <v>240</v>
      </c>
      <c r="AB1968">
        <v>1.12385164096708</v>
      </c>
      <c r="AC1968" t="s">
        <v>62</v>
      </c>
      <c r="AH1968">
        <v>6.6589648426644299</v>
      </c>
      <c r="AI1968">
        <v>2</v>
      </c>
      <c r="AV1968" t="s">
        <v>88</v>
      </c>
      <c r="AW1968">
        <v>326</v>
      </c>
      <c r="BA1968">
        <v>6.6589648426644299</v>
      </c>
    </row>
    <row r="1969" spans="1:53" hidden="1" x14ac:dyDescent="0.3">
      <c r="A1969" t="s">
        <v>550</v>
      </c>
      <c r="C1969" t="s">
        <v>251</v>
      </c>
      <c r="D1969" t="s">
        <v>81</v>
      </c>
      <c r="E1969">
        <v>10000000</v>
      </c>
      <c r="H1969">
        <v>929</v>
      </c>
      <c r="I1969" t="s">
        <v>56</v>
      </c>
      <c r="J1969">
        <v>9.290000000000001E-2</v>
      </c>
      <c r="K1969" t="s">
        <v>57</v>
      </c>
      <c r="N1969" t="s">
        <v>558</v>
      </c>
      <c r="O1969">
        <v>326</v>
      </c>
      <c r="P1969" t="s">
        <v>277</v>
      </c>
      <c r="S1969">
        <v>4</v>
      </c>
      <c r="T1969">
        <v>29.9</v>
      </c>
      <c r="U1969" t="s">
        <v>120</v>
      </c>
      <c r="V1969">
        <v>76.599999999999895</v>
      </c>
      <c r="W1969" t="s">
        <v>566</v>
      </c>
      <c r="X1969" t="s">
        <v>280</v>
      </c>
      <c r="Y1969">
        <v>240</v>
      </c>
      <c r="AB1969">
        <v>-0.19111413264018701</v>
      </c>
      <c r="AC1969" t="s">
        <v>62</v>
      </c>
      <c r="AH1969">
        <v>5.9164539485499201</v>
      </c>
      <c r="AI1969">
        <v>5</v>
      </c>
      <c r="AT1969" t="s">
        <v>79</v>
      </c>
      <c r="AV1969" t="s">
        <v>88</v>
      </c>
      <c r="AW1969">
        <v>326</v>
      </c>
      <c r="BA1969">
        <v>5.9164539485499201</v>
      </c>
    </row>
    <row r="1970" spans="1:53" hidden="1" x14ac:dyDescent="0.3">
      <c r="A1970" t="s">
        <v>550</v>
      </c>
      <c r="C1970" t="s">
        <v>251</v>
      </c>
      <c r="D1970" t="s">
        <v>81</v>
      </c>
      <c r="E1970">
        <v>10000000</v>
      </c>
      <c r="H1970">
        <v>1022</v>
      </c>
      <c r="I1970" t="s">
        <v>56</v>
      </c>
      <c r="J1970">
        <v>0.1022</v>
      </c>
      <c r="K1970" t="s">
        <v>57</v>
      </c>
      <c r="N1970" t="s">
        <v>558</v>
      </c>
      <c r="O1970">
        <v>326</v>
      </c>
      <c r="P1970" t="s">
        <v>277</v>
      </c>
      <c r="S1970">
        <v>4</v>
      </c>
      <c r="T1970">
        <v>29.9</v>
      </c>
      <c r="U1970" t="s">
        <v>120</v>
      </c>
      <c r="V1970">
        <v>76.599999999999895</v>
      </c>
      <c r="W1970" t="s">
        <v>567</v>
      </c>
      <c r="X1970" t="s">
        <v>280</v>
      </c>
      <c r="Y1970">
        <v>240</v>
      </c>
      <c r="AB1970">
        <v>-0.20901152491118399</v>
      </c>
      <c r="AC1970" t="s">
        <v>62</v>
      </c>
      <c r="AH1970">
        <v>6.4183012913197404</v>
      </c>
      <c r="AI1970">
        <v>1</v>
      </c>
      <c r="AV1970" t="s">
        <v>88</v>
      </c>
      <c r="AW1970">
        <v>326</v>
      </c>
      <c r="BA1970">
        <v>6.4183012913197404</v>
      </c>
    </row>
    <row r="1971" spans="1:53" hidden="1" x14ac:dyDescent="0.3">
      <c r="A1971" t="s">
        <v>550</v>
      </c>
      <c r="C1971" t="s">
        <v>251</v>
      </c>
      <c r="D1971" t="s">
        <v>81</v>
      </c>
      <c r="E1971">
        <v>10000000</v>
      </c>
      <c r="H1971">
        <v>929</v>
      </c>
      <c r="I1971" t="s">
        <v>56</v>
      </c>
      <c r="J1971">
        <v>9.290000000000001E-2</v>
      </c>
      <c r="K1971" t="s">
        <v>57</v>
      </c>
      <c r="N1971" t="s">
        <v>558</v>
      </c>
      <c r="O1971">
        <v>326</v>
      </c>
      <c r="P1971" t="s">
        <v>277</v>
      </c>
      <c r="S1971">
        <v>4</v>
      </c>
      <c r="T1971">
        <v>29.9</v>
      </c>
      <c r="U1971" t="s">
        <v>120</v>
      </c>
      <c r="V1971">
        <v>76.599999999999895</v>
      </c>
      <c r="W1971" t="s">
        <v>568</v>
      </c>
      <c r="X1971" t="s">
        <v>280</v>
      </c>
      <c r="Y1971">
        <v>240</v>
      </c>
      <c r="AB1971">
        <v>-1.97881070093006</v>
      </c>
      <c r="AC1971" t="s">
        <v>62</v>
      </c>
      <c r="AH1971">
        <v>0.222716471147583</v>
      </c>
      <c r="AI1971">
        <v>5</v>
      </c>
      <c r="AV1971" t="s">
        <v>88</v>
      </c>
      <c r="AW1971">
        <v>326</v>
      </c>
      <c r="BA1971">
        <v>0.222716471147583</v>
      </c>
    </row>
    <row r="1972" spans="1:53" hidden="1" x14ac:dyDescent="0.3">
      <c r="A1972" t="s">
        <v>550</v>
      </c>
      <c r="C1972" t="s">
        <v>251</v>
      </c>
      <c r="D1972" t="s">
        <v>81</v>
      </c>
      <c r="E1972">
        <v>10000000</v>
      </c>
      <c r="H1972">
        <v>97</v>
      </c>
      <c r="I1972" t="s">
        <v>56</v>
      </c>
      <c r="J1972">
        <v>9.7000000000000003E-3</v>
      </c>
      <c r="K1972" t="s">
        <v>57</v>
      </c>
      <c r="N1972" t="s">
        <v>573</v>
      </c>
      <c r="O1972">
        <v>327</v>
      </c>
      <c r="P1972" t="s">
        <v>277</v>
      </c>
      <c r="S1972">
        <v>4</v>
      </c>
      <c r="T1972">
        <v>25.6</v>
      </c>
      <c r="U1972" t="s">
        <v>120</v>
      </c>
      <c r="V1972">
        <v>75.3</v>
      </c>
      <c r="W1972" t="s">
        <v>559</v>
      </c>
      <c r="X1972" t="s">
        <v>280</v>
      </c>
      <c r="Y1972">
        <v>1440</v>
      </c>
      <c r="AB1972">
        <v>0.76492298464988795</v>
      </c>
      <c r="AC1972" t="s">
        <v>62</v>
      </c>
      <c r="AH1972">
        <v>5.9867717342662399</v>
      </c>
      <c r="AI1972">
        <v>1</v>
      </c>
      <c r="AT1972" t="s">
        <v>382</v>
      </c>
      <c r="AV1972" t="s">
        <v>88</v>
      </c>
      <c r="AW1972">
        <v>327</v>
      </c>
      <c r="BA1972">
        <v>5.9867717342662399</v>
      </c>
    </row>
    <row r="1973" spans="1:53" hidden="1" x14ac:dyDescent="0.3">
      <c r="A1973" t="s">
        <v>550</v>
      </c>
      <c r="C1973" t="s">
        <v>251</v>
      </c>
      <c r="D1973" t="s">
        <v>81</v>
      </c>
      <c r="E1973">
        <v>10000000</v>
      </c>
      <c r="H1973">
        <v>564</v>
      </c>
      <c r="I1973" t="s">
        <v>56</v>
      </c>
      <c r="J1973">
        <v>5.6400000000000013E-2</v>
      </c>
      <c r="K1973" t="s">
        <v>57</v>
      </c>
      <c r="N1973" t="s">
        <v>573</v>
      </c>
      <c r="O1973">
        <v>327</v>
      </c>
      <c r="P1973" t="s">
        <v>277</v>
      </c>
      <c r="S1973">
        <v>4</v>
      </c>
      <c r="T1973">
        <v>25.6</v>
      </c>
      <c r="U1973" t="s">
        <v>120</v>
      </c>
      <c r="V1973">
        <v>75.3</v>
      </c>
      <c r="W1973" t="s">
        <v>560</v>
      </c>
      <c r="X1973" t="s">
        <v>280</v>
      </c>
      <c r="Y1973">
        <v>1440</v>
      </c>
      <c r="AB1973">
        <v>2.1702617153949499</v>
      </c>
      <c r="AC1973" t="s">
        <v>62</v>
      </c>
      <c r="AH1973">
        <v>6.1461280356782302</v>
      </c>
      <c r="AI1973">
        <v>1</v>
      </c>
      <c r="AV1973" t="s">
        <v>88</v>
      </c>
      <c r="AW1973">
        <v>327</v>
      </c>
      <c r="BA1973">
        <v>6.1461280356782302</v>
      </c>
    </row>
    <row r="1974" spans="1:53" hidden="1" x14ac:dyDescent="0.3">
      <c r="A1974" t="s">
        <v>550</v>
      </c>
      <c r="C1974" t="s">
        <v>251</v>
      </c>
      <c r="D1974" t="s">
        <v>81</v>
      </c>
      <c r="E1974">
        <v>10000000</v>
      </c>
      <c r="H1974">
        <v>465</v>
      </c>
      <c r="I1974" t="s">
        <v>56</v>
      </c>
      <c r="J1974">
        <v>4.65E-2</v>
      </c>
      <c r="K1974" t="s">
        <v>57</v>
      </c>
      <c r="N1974" t="s">
        <v>573</v>
      </c>
      <c r="O1974">
        <v>327</v>
      </c>
      <c r="P1974" t="s">
        <v>277</v>
      </c>
      <c r="S1974">
        <v>4</v>
      </c>
      <c r="T1974">
        <v>25.6</v>
      </c>
      <c r="U1974" t="s">
        <v>120</v>
      </c>
      <c r="V1974">
        <v>75.3</v>
      </c>
      <c r="W1974" t="s">
        <v>561</v>
      </c>
      <c r="X1974" t="s">
        <v>280</v>
      </c>
      <c r="Y1974">
        <v>1440</v>
      </c>
      <c r="AB1974">
        <v>0.66558099101795298</v>
      </c>
      <c r="AC1974" t="s">
        <v>62</v>
      </c>
      <c r="AH1974">
        <v>6.3802112417116001</v>
      </c>
      <c r="AI1974">
        <v>2</v>
      </c>
      <c r="AV1974" t="s">
        <v>88</v>
      </c>
      <c r="AW1974">
        <v>327</v>
      </c>
      <c r="BA1974">
        <v>6.3802112417116001</v>
      </c>
    </row>
    <row r="1975" spans="1:53" hidden="1" x14ac:dyDescent="0.3">
      <c r="A1975" t="s">
        <v>550</v>
      </c>
      <c r="C1975" t="s">
        <v>251</v>
      </c>
      <c r="D1975" t="s">
        <v>81</v>
      </c>
      <c r="E1975">
        <v>10000000</v>
      </c>
      <c r="H1975">
        <v>465</v>
      </c>
      <c r="I1975" t="s">
        <v>56</v>
      </c>
      <c r="J1975">
        <v>4.65E-2</v>
      </c>
      <c r="K1975" t="s">
        <v>57</v>
      </c>
      <c r="N1975" t="s">
        <v>573</v>
      </c>
      <c r="O1975">
        <v>327</v>
      </c>
      <c r="P1975" t="s">
        <v>277</v>
      </c>
      <c r="S1975">
        <v>4</v>
      </c>
      <c r="T1975">
        <v>25.6</v>
      </c>
      <c r="U1975" t="s">
        <v>120</v>
      </c>
      <c r="V1975">
        <v>75.3</v>
      </c>
      <c r="W1975" t="s">
        <v>562</v>
      </c>
      <c r="X1975" t="s">
        <v>280</v>
      </c>
      <c r="Y1975">
        <v>1440</v>
      </c>
      <c r="AB1975">
        <v>0.91009054559406799</v>
      </c>
      <c r="AC1975" t="s">
        <v>62</v>
      </c>
      <c r="AH1975">
        <v>6.9122220565324097</v>
      </c>
      <c r="AI1975">
        <v>2</v>
      </c>
      <c r="AV1975" t="s">
        <v>88</v>
      </c>
      <c r="AW1975">
        <v>327</v>
      </c>
      <c r="BA1975">
        <v>6.9122220565324097</v>
      </c>
    </row>
    <row r="1976" spans="1:53" hidden="1" x14ac:dyDescent="0.3">
      <c r="A1976" t="s">
        <v>550</v>
      </c>
      <c r="C1976" t="s">
        <v>251</v>
      </c>
      <c r="D1976" t="s">
        <v>81</v>
      </c>
      <c r="E1976">
        <v>10000000</v>
      </c>
      <c r="H1976">
        <v>929</v>
      </c>
      <c r="I1976" t="s">
        <v>56</v>
      </c>
      <c r="J1976">
        <v>9.290000000000001E-2</v>
      </c>
      <c r="K1976" t="s">
        <v>57</v>
      </c>
      <c r="N1976" t="s">
        <v>573</v>
      </c>
      <c r="O1976">
        <v>327</v>
      </c>
      <c r="P1976" t="s">
        <v>277</v>
      </c>
      <c r="S1976">
        <v>4</v>
      </c>
      <c r="T1976">
        <v>25.6</v>
      </c>
      <c r="U1976" t="s">
        <v>120</v>
      </c>
      <c r="V1976">
        <v>75.3</v>
      </c>
      <c r="W1976" t="s">
        <v>563</v>
      </c>
      <c r="X1976" t="s">
        <v>280</v>
      </c>
      <c r="Y1976">
        <v>1440</v>
      </c>
      <c r="AB1976">
        <v>-0.21752737583371301</v>
      </c>
      <c r="AC1976" t="s">
        <v>62</v>
      </c>
      <c r="AH1976">
        <v>6.5037906830571801</v>
      </c>
      <c r="AI1976">
        <v>3</v>
      </c>
      <c r="AT1976" t="s">
        <v>382</v>
      </c>
      <c r="AV1976" t="s">
        <v>88</v>
      </c>
      <c r="AW1976">
        <v>327</v>
      </c>
      <c r="BA1976">
        <v>6.5037906830571801</v>
      </c>
    </row>
    <row r="1977" spans="1:53" hidden="1" x14ac:dyDescent="0.3">
      <c r="A1977" t="s">
        <v>550</v>
      </c>
      <c r="C1977" t="s">
        <v>251</v>
      </c>
      <c r="D1977" t="s">
        <v>81</v>
      </c>
      <c r="E1977">
        <v>10000000</v>
      </c>
      <c r="H1977">
        <v>929</v>
      </c>
      <c r="I1977" t="s">
        <v>56</v>
      </c>
      <c r="J1977">
        <v>9.290000000000001E-2</v>
      </c>
      <c r="K1977" t="s">
        <v>57</v>
      </c>
      <c r="N1977" t="s">
        <v>573</v>
      </c>
      <c r="O1977">
        <v>327</v>
      </c>
      <c r="P1977" t="s">
        <v>277</v>
      </c>
      <c r="S1977">
        <v>4</v>
      </c>
      <c r="T1977">
        <v>25.6</v>
      </c>
      <c r="U1977" t="s">
        <v>120</v>
      </c>
      <c r="V1977">
        <v>75.3</v>
      </c>
      <c r="W1977" t="s">
        <v>318</v>
      </c>
      <c r="X1977" t="s">
        <v>280</v>
      </c>
      <c r="Y1977">
        <v>1440</v>
      </c>
      <c r="AB1977">
        <v>0.57287160220047995</v>
      </c>
      <c r="AC1977" t="s">
        <v>62</v>
      </c>
      <c r="AH1977">
        <v>5.3344537511509298</v>
      </c>
      <c r="AI1977">
        <v>3</v>
      </c>
      <c r="AT1977" t="s">
        <v>318</v>
      </c>
      <c r="AV1977" t="s">
        <v>88</v>
      </c>
      <c r="AW1977">
        <v>327</v>
      </c>
      <c r="BA1977">
        <v>5.3344537511509298</v>
      </c>
    </row>
    <row r="1978" spans="1:53" hidden="1" x14ac:dyDescent="0.3">
      <c r="A1978" t="s">
        <v>550</v>
      </c>
      <c r="C1978" t="s">
        <v>251</v>
      </c>
      <c r="D1978" t="s">
        <v>81</v>
      </c>
      <c r="E1978">
        <v>10000000</v>
      </c>
      <c r="H1978">
        <v>929</v>
      </c>
      <c r="I1978" t="s">
        <v>56</v>
      </c>
      <c r="J1978">
        <v>9.290000000000001E-2</v>
      </c>
      <c r="K1978" t="s">
        <v>57</v>
      </c>
      <c r="N1978" t="s">
        <v>573</v>
      </c>
      <c r="O1978">
        <v>327</v>
      </c>
      <c r="P1978" t="s">
        <v>277</v>
      </c>
      <c r="S1978">
        <v>4</v>
      </c>
      <c r="T1978">
        <v>25.6</v>
      </c>
      <c r="U1978" t="s">
        <v>120</v>
      </c>
      <c r="V1978">
        <v>75.3</v>
      </c>
      <c r="W1978" t="s">
        <v>564</v>
      </c>
      <c r="X1978" t="s">
        <v>280</v>
      </c>
      <c r="Y1978">
        <v>1440</v>
      </c>
      <c r="AB1978">
        <v>2.6374897295125099</v>
      </c>
      <c r="AC1978" t="s">
        <v>62</v>
      </c>
      <c r="AH1978">
        <v>6.7944880466591604</v>
      </c>
      <c r="AI1978">
        <v>5</v>
      </c>
      <c r="AT1978" t="s">
        <v>73</v>
      </c>
      <c r="AV1978" t="s">
        <v>88</v>
      </c>
      <c r="AW1978">
        <v>327</v>
      </c>
      <c r="BA1978">
        <v>6.7944880466591604</v>
      </c>
    </row>
    <row r="1979" spans="1:53" hidden="1" x14ac:dyDescent="0.3">
      <c r="A1979" t="s">
        <v>550</v>
      </c>
      <c r="C1979" t="s">
        <v>251</v>
      </c>
      <c r="D1979" t="s">
        <v>81</v>
      </c>
      <c r="E1979">
        <v>10000000</v>
      </c>
      <c r="H1979">
        <v>929</v>
      </c>
      <c r="I1979" t="s">
        <v>56</v>
      </c>
      <c r="J1979">
        <v>9.290000000000001E-2</v>
      </c>
      <c r="K1979" t="s">
        <v>57</v>
      </c>
      <c r="N1979" t="s">
        <v>573</v>
      </c>
      <c r="O1979">
        <v>327</v>
      </c>
      <c r="P1979" t="s">
        <v>277</v>
      </c>
      <c r="S1979">
        <v>4</v>
      </c>
      <c r="T1979">
        <v>25.6</v>
      </c>
      <c r="U1979" t="s">
        <v>120</v>
      </c>
      <c r="V1979">
        <v>75.3</v>
      </c>
      <c r="W1979" t="s">
        <v>565</v>
      </c>
      <c r="X1979" t="s">
        <v>280</v>
      </c>
      <c r="Y1979">
        <v>1440</v>
      </c>
      <c r="AB1979">
        <v>3.0492180226701802</v>
      </c>
      <c r="AC1979" t="s">
        <v>62</v>
      </c>
      <c r="AH1979">
        <v>7.4742162640762499</v>
      </c>
      <c r="AI1979">
        <v>2</v>
      </c>
      <c r="AV1979" t="s">
        <v>88</v>
      </c>
      <c r="AW1979">
        <v>327</v>
      </c>
      <c r="BA1979">
        <v>7.4742162640762499</v>
      </c>
    </row>
    <row r="1980" spans="1:53" hidden="1" x14ac:dyDescent="0.3">
      <c r="A1980" t="s">
        <v>550</v>
      </c>
      <c r="C1980" t="s">
        <v>251</v>
      </c>
      <c r="D1980" t="s">
        <v>81</v>
      </c>
      <c r="E1980">
        <v>10000000</v>
      </c>
      <c r="H1980">
        <v>929</v>
      </c>
      <c r="I1980" t="s">
        <v>56</v>
      </c>
      <c r="J1980">
        <v>9.290000000000001E-2</v>
      </c>
      <c r="K1980" t="s">
        <v>57</v>
      </c>
      <c r="N1980" t="s">
        <v>573</v>
      </c>
      <c r="O1980">
        <v>327</v>
      </c>
      <c r="P1980" t="s">
        <v>277</v>
      </c>
      <c r="S1980">
        <v>4</v>
      </c>
      <c r="T1980">
        <v>25.6</v>
      </c>
      <c r="U1980" t="s">
        <v>120</v>
      </c>
      <c r="V1980">
        <v>75.3</v>
      </c>
      <c r="W1980" t="s">
        <v>566</v>
      </c>
      <c r="X1980" t="s">
        <v>280</v>
      </c>
      <c r="Y1980">
        <v>1440</v>
      </c>
      <c r="AB1980">
        <v>-0.224753740259763</v>
      </c>
      <c r="AC1980" t="s">
        <v>62</v>
      </c>
      <c r="AH1980">
        <v>7.1038037209559501</v>
      </c>
      <c r="AI1980">
        <v>5</v>
      </c>
      <c r="AT1980" t="s">
        <v>79</v>
      </c>
      <c r="AV1980" t="s">
        <v>88</v>
      </c>
      <c r="AW1980">
        <v>327</v>
      </c>
      <c r="BA1980">
        <v>7.1038037209559501</v>
      </c>
    </row>
    <row r="1981" spans="1:53" hidden="1" x14ac:dyDescent="0.3">
      <c r="A1981" t="s">
        <v>550</v>
      </c>
      <c r="C1981" t="s">
        <v>251</v>
      </c>
      <c r="D1981" t="s">
        <v>81</v>
      </c>
      <c r="E1981">
        <v>10000000</v>
      </c>
      <c r="H1981">
        <v>1022</v>
      </c>
      <c r="I1981" t="s">
        <v>56</v>
      </c>
      <c r="J1981">
        <v>0.1022</v>
      </c>
      <c r="K1981" t="s">
        <v>57</v>
      </c>
      <c r="N1981" t="s">
        <v>573</v>
      </c>
      <c r="O1981">
        <v>327</v>
      </c>
      <c r="P1981" t="s">
        <v>277</v>
      </c>
      <c r="S1981">
        <v>4</v>
      </c>
      <c r="T1981">
        <v>25.6</v>
      </c>
      <c r="U1981" t="s">
        <v>120</v>
      </c>
      <c r="V1981">
        <v>75.3</v>
      </c>
      <c r="W1981" t="s">
        <v>567</v>
      </c>
      <c r="X1981" t="s">
        <v>280</v>
      </c>
      <c r="Y1981">
        <v>1440</v>
      </c>
      <c r="AB1981">
        <v>2.9020028913507199</v>
      </c>
      <c r="AC1981" t="s">
        <v>62</v>
      </c>
      <c r="AH1981">
        <v>7.6794278966121103</v>
      </c>
      <c r="AI1981">
        <v>1</v>
      </c>
      <c r="AV1981" t="s">
        <v>88</v>
      </c>
      <c r="AW1981">
        <v>327</v>
      </c>
      <c r="BA1981">
        <v>7.6794278966121103</v>
      </c>
    </row>
    <row r="1982" spans="1:53" hidden="1" x14ac:dyDescent="0.3">
      <c r="A1982" t="s">
        <v>550</v>
      </c>
      <c r="C1982" t="s">
        <v>251</v>
      </c>
      <c r="D1982" t="s">
        <v>81</v>
      </c>
      <c r="E1982">
        <v>10000000</v>
      </c>
      <c r="H1982">
        <v>929</v>
      </c>
      <c r="I1982" t="s">
        <v>56</v>
      </c>
      <c r="J1982">
        <v>9.290000000000001E-2</v>
      </c>
      <c r="K1982" t="s">
        <v>57</v>
      </c>
      <c r="N1982" t="s">
        <v>573</v>
      </c>
      <c r="O1982">
        <v>327</v>
      </c>
      <c r="P1982" t="s">
        <v>277</v>
      </c>
      <c r="S1982">
        <v>4</v>
      </c>
      <c r="T1982">
        <v>25.6</v>
      </c>
      <c r="U1982" t="s">
        <v>120</v>
      </c>
      <c r="V1982">
        <v>75.3</v>
      </c>
      <c r="W1982" t="s">
        <v>568</v>
      </c>
      <c r="X1982" t="s">
        <v>280</v>
      </c>
      <c r="Y1982">
        <v>1440</v>
      </c>
      <c r="AB1982">
        <v>-1.5301779840218299</v>
      </c>
      <c r="AC1982" t="s">
        <v>62</v>
      </c>
      <c r="AH1982">
        <v>1.7788744720027301</v>
      </c>
      <c r="AI1982">
        <v>5</v>
      </c>
      <c r="AV1982" t="s">
        <v>88</v>
      </c>
      <c r="AW1982">
        <v>327</v>
      </c>
      <c r="BA1982">
        <v>1.7788744720027301</v>
      </c>
    </row>
    <row r="1983" spans="1:53" hidden="1" x14ac:dyDescent="0.3">
      <c r="A1983" t="s">
        <v>550</v>
      </c>
      <c r="C1983" t="s">
        <v>251</v>
      </c>
      <c r="D1983" t="s">
        <v>81</v>
      </c>
      <c r="E1983">
        <v>10000000</v>
      </c>
      <c r="H1983">
        <v>97</v>
      </c>
      <c r="I1983" t="s">
        <v>56</v>
      </c>
      <c r="J1983">
        <v>9.7000000000000003E-3</v>
      </c>
      <c r="K1983" t="s">
        <v>57</v>
      </c>
      <c r="N1983" t="s">
        <v>574</v>
      </c>
      <c r="O1983">
        <v>703</v>
      </c>
      <c r="P1983" t="s">
        <v>277</v>
      </c>
      <c r="S1983">
        <v>4</v>
      </c>
      <c r="T1983">
        <v>25.2</v>
      </c>
      <c r="U1983" t="s">
        <v>120</v>
      </c>
      <c r="V1983">
        <v>75.7</v>
      </c>
      <c r="W1983" t="s">
        <v>559</v>
      </c>
      <c r="X1983" t="s">
        <v>280</v>
      </c>
      <c r="Y1983">
        <v>720</v>
      </c>
      <c r="AB1983">
        <v>1.0644579892269099</v>
      </c>
      <c r="AC1983" t="s">
        <v>62</v>
      </c>
      <c r="AH1983">
        <v>6.7649229846498802</v>
      </c>
      <c r="AI1983">
        <v>1</v>
      </c>
      <c r="AT1983" t="s">
        <v>382</v>
      </c>
      <c r="AV1983" t="s">
        <v>88</v>
      </c>
      <c r="AW1983">
        <v>703</v>
      </c>
      <c r="BA1983">
        <v>6.7649229846498802</v>
      </c>
    </row>
    <row r="1984" spans="1:53" hidden="1" x14ac:dyDescent="0.3">
      <c r="A1984" t="s">
        <v>550</v>
      </c>
      <c r="C1984" t="s">
        <v>251</v>
      </c>
      <c r="D1984" t="s">
        <v>81</v>
      </c>
      <c r="E1984">
        <v>10000000</v>
      </c>
      <c r="H1984">
        <v>564</v>
      </c>
      <c r="I1984" t="s">
        <v>56</v>
      </c>
      <c r="J1984">
        <v>5.6400000000000013E-2</v>
      </c>
      <c r="K1984" t="s">
        <v>57</v>
      </c>
      <c r="N1984" t="s">
        <v>574</v>
      </c>
      <c r="O1984">
        <v>703</v>
      </c>
      <c r="P1984" t="s">
        <v>277</v>
      </c>
      <c r="S1984">
        <v>4</v>
      </c>
      <c r="T1984">
        <v>25.2</v>
      </c>
      <c r="U1984" t="s">
        <v>120</v>
      </c>
      <c r="V1984">
        <v>75.7</v>
      </c>
      <c r="W1984" t="s">
        <v>560</v>
      </c>
      <c r="X1984" t="s">
        <v>280</v>
      </c>
      <c r="Y1984">
        <v>720</v>
      </c>
      <c r="AB1984">
        <v>1.28780172993022</v>
      </c>
      <c r="AC1984" t="s">
        <v>62</v>
      </c>
      <c r="AH1984">
        <v>6.5865873046717498</v>
      </c>
      <c r="AI1984">
        <v>1</v>
      </c>
      <c r="AV1984" t="s">
        <v>88</v>
      </c>
      <c r="AW1984">
        <v>703</v>
      </c>
      <c r="BA1984">
        <v>6.5865873046717498</v>
      </c>
    </row>
    <row r="1985" spans="1:53" hidden="1" x14ac:dyDescent="0.3">
      <c r="A1985" t="s">
        <v>550</v>
      </c>
      <c r="C1985" t="s">
        <v>251</v>
      </c>
      <c r="D1985" t="s">
        <v>81</v>
      </c>
      <c r="E1985">
        <v>10000000</v>
      </c>
      <c r="H1985">
        <v>465</v>
      </c>
      <c r="I1985" t="s">
        <v>56</v>
      </c>
      <c r="J1985">
        <v>4.65E-2</v>
      </c>
      <c r="K1985" t="s">
        <v>57</v>
      </c>
      <c r="N1985" t="s">
        <v>574</v>
      </c>
      <c r="O1985">
        <v>703</v>
      </c>
      <c r="P1985" t="s">
        <v>277</v>
      </c>
      <c r="S1985">
        <v>4</v>
      </c>
      <c r="T1985">
        <v>25.2</v>
      </c>
      <c r="U1985" t="s">
        <v>120</v>
      </c>
      <c r="V1985">
        <v>75.7</v>
      </c>
      <c r="W1985" t="s">
        <v>561</v>
      </c>
      <c r="X1985" t="s">
        <v>280</v>
      </c>
      <c r="Y1985">
        <v>720</v>
      </c>
      <c r="AB1985">
        <v>0.36548798489089901</v>
      </c>
      <c r="AC1985" t="s">
        <v>62</v>
      </c>
      <c r="AH1985">
        <v>6.06069784035361</v>
      </c>
      <c r="AI1985">
        <v>2</v>
      </c>
      <c r="AV1985" t="s">
        <v>88</v>
      </c>
      <c r="AW1985">
        <v>703</v>
      </c>
      <c r="BA1985">
        <v>6.06069784035361</v>
      </c>
    </row>
    <row r="1986" spans="1:53" hidden="1" x14ac:dyDescent="0.3">
      <c r="A1986" t="s">
        <v>550</v>
      </c>
      <c r="C1986" t="s">
        <v>251</v>
      </c>
      <c r="D1986" t="s">
        <v>81</v>
      </c>
      <c r="E1986">
        <v>10000000</v>
      </c>
      <c r="H1986">
        <v>465</v>
      </c>
      <c r="I1986" t="s">
        <v>56</v>
      </c>
      <c r="J1986">
        <v>4.65E-2</v>
      </c>
      <c r="K1986" t="s">
        <v>57</v>
      </c>
      <c r="N1986" t="s">
        <v>574</v>
      </c>
      <c r="O1986">
        <v>703</v>
      </c>
      <c r="P1986" t="s">
        <v>277</v>
      </c>
      <c r="S1986">
        <v>4</v>
      </c>
      <c r="T1986">
        <v>25.2</v>
      </c>
      <c r="U1986" t="s">
        <v>120</v>
      </c>
      <c r="V1986">
        <v>75.7</v>
      </c>
      <c r="W1986" t="s">
        <v>562</v>
      </c>
      <c r="X1986" t="s">
        <v>280</v>
      </c>
      <c r="Y1986">
        <v>720</v>
      </c>
      <c r="AB1986">
        <v>0.46389298898590697</v>
      </c>
      <c r="AC1986" t="s">
        <v>62</v>
      </c>
      <c r="AH1986">
        <v>6.8202014594856397</v>
      </c>
      <c r="AI1986">
        <v>2</v>
      </c>
      <c r="AV1986" t="s">
        <v>88</v>
      </c>
      <c r="AW1986">
        <v>703</v>
      </c>
      <c r="BA1986">
        <v>6.8202014594856397</v>
      </c>
    </row>
    <row r="1987" spans="1:53" hidden="1" x14ac:dyDescent="0.3">
      <c r="A1987" t="s">
        <v>550</v>
      </c>
      <c r="C1987" t="s">
        <v>251</v>
      </c>
      <c r="D1987" t="s">
        <v>81</v>
      </c>
      <c r="E1987">
        <v>10000000</v>
      </c>
      <c r="H1987">
        <v>929</v>
      </c>
      <c r="I1987" t="s">
        <v>56</v>
      </c>
      <c r="J1987">
        <v>9.290000000000001E-2</v>
      </c>
      <c r="K1987" t="s">
        <v>57</v>
      </c>
      <c r="N1987" t="s">
        <v>574</v>
      </c>
      <c r="O1987">
        <v>703</v>
      </c>
      <c r="P1987" t="s">
        <v>277</v>
      </c>
      <c r="S1987">
        <v>4</v>
      </c>
      <c r="T1987">
        <v>25.2</v>
      </c>
      <c r="U1987" t="s">
        <v>120</v>
      </c>
      <c r="V1987">
        <v>75.7</v>
      </c>
      <c r="W1987" t="s">
        <v>563</v>
      </c>
      <c r="X1987" t="s">
        <v>280</v>
      </c>
      <c r="Y1987">
        <v>720</v>
      </c>
      <c r="AB1987">
        <v>-0.22914798835785499</v>
      </c>
      <c r="AC1987" t="s">
        <v>62</v>
      </c>
      <c r="AH1987">
        <v>6.4216039268698299</v>
      </c>
      <c r="AI1987">
        <v>3</v>
      </c>
      <c r="AT1987" t="s">
        <v>382</v>
      </c>
      <c r="AV1987" t="s">
        <v>88</v>
      </c>
      <c r="AW1987">
        <v>703</v>
      </c>
      <c r="BA1987">
        <v>6.4216039268698299</v>
      </c>
    </row>
    <row r="1988" spans="1:53" hidden="1" x14ac:dyDescent="0.3">
      <c r="A1988" t="s">
        <v>550</v>
      </c>
      <c r="C1988" t="s">
        <v>251</v>
      </c>
      <c r="D1988" t="s">
        <v>81</v>
      </c>
      <c r="E1988">
        <v>10000000</v>
      </c>
      <c r="H1988">
        <v>929</v>
      </c>
      <c r="I1988" t="s">
        <v>56</v>
      </c>
      <c r="J1988">
        <v>9.290000000000001E-2</v>
      </c>
      <c r="K1988" t="s">
        <v>57</v>
      </c>
      <c r="N1988" t="s">
        <v>574</v>
      </c>
      <c r="O1988">
        <v>703</v>
      </c>
      <c r="P1988" t="s">
        <v>277</v>
      </c>
      <c r="S1988">
        <v>4</v>
      </c>
      <c r="T1988">
        <v>25.2</v>
      </c>
      <c r="U1988" t="s">
        <v>120</v>
      </c>
      <c r="V1988">
        <v>75.7</v>
      </c>
      <c r="W1988" t="s">
        <v>318</v>
      </c>
      <c r="X1988" t="s">
        <v>280</v>
      </c>
      <c r="Y1988">
        <v>720</v>
      </c>
      <c r="AB1988">
        <v>0.152288344383056</v>
      </c>
      <c r="AC1988" t="s">
        <v>62</v>
      </c>
      <c r="AH1988">
        <v>5.51851393987788</v>
      </c>
      <c r="AI1988">
        <v>3</v>
      </c>
      <c r="AT1988" t="s">
        <v>318</v>
      </c>
      <c r="AV1988" t="s">
        <v>88</v>
      </c>
      <c r="AW1988">
        <v>703</v>
      </c>
      <c r="BA1988">
        <v>5.51851393987788</v>
      </c>
    </row>
    <row r="1989" spans="1:53" hidden="1" x14ac:dyDescent="0.3">
      <c r="A1989" t="s">
        <v>550</v>
      </c>
      <c r="C1989" t="s">
        <v>251</v>
      </c>
      <c r="D1989" t="s">
        <v>81</v>
      </c>
      <c r="E1989">
        <v>10000000</v>
      </c>
      <c r="H1989">
        <v>929</v>
      </c>
      <c r="I1989" t="s">
        <v>56</v>
      </c>
      <c r="J1989">
        <v>9.290000000000001E-2</v>
      </c>
      <c r="K1989" t="s">
        <v>57</v>
      </c>
      <c r="N1989" t="s">
        <v>574</v>
      </c>
      <c r="O1989">
        <v>703</v>
      </c>
      <c r="P1989" t="s">
        <v>277</v>
      </c>
      <c r="S1989">
        <v>4</v>
      </c>
      <c r="T1989">
        <v>25.2</v>
      </c>
      <c r="U1989" t="s">
        <v>120</v>
      </c>
      <c r="V1989">
        <v>75.7</v>
      </c>
      <c r="W1989" t="s">
        <v>564</v>
      </c>
      <c r="X1989" t="s">
        <v>280</v>
      </c>
      <c r="Y1989">
        <v>720</v>
      </c>
      <c r="AB1989">
        <v>1.34635297445063</v>
      </c>
      <c r="AC1989" t="s">
        <v>62</v>
      </c>
      <c r="AH1989">
        <v>7.0128372247051702</v>
      </c>
      <c r="AI1989">
        <v>5</v>
      </c>
      <c r="AT1989" t="s">
        <v>73</v>
      </c>
      <c r="AV1989" t="s">
        <v>88</v>
      </c>
      <c r="AW1989">
        <v>703</v>
      </c>
      <c r="BA1989">
        <v>7.0128372247051702</v>
      </c>
    </row>
    <row r="1990" spans="1:53" hidden="1" x14ac:dyDescent="0.3">
      <c r="A1990" t="s">
        <v>550</v>
      </c>
      <c r="C1990" t="s">
        <v>251</v>
      </c>
      <c r="D1990" t="s">
        <v>81</v>
      </c>
      <c r="E1990">
        <v>10000000</v>
      </c>
      <c r="H1990">
        <v>929</v>
      </c>
      <c r="I1990" t="s">
        <v>56</v>
      </c>
      <c r="J1990">
        <v>9.290000000000001E-2</v>
      </c>
      <c r="K1990" t="s">
        <v>57</v>
      </c>
      <c r="N1990" t="s">
        <v>574</v>
      </c>
      <c r="O1990">
        <v>703</v>
      </c>
      <c r="P1990" t="s">
        <v>277</v>
      </c>
      <c r="S1990">
        <v>4</v>
      </c>
      <c r="T1990">
        <v>25.2</v>
      </c>
      <c r="U1990" t="s">
        <v>120</v>
      </c>
      <c r="V1990">
        <v>75.7</v>
      </c>
      <c r="W1990" t="s">
        <v>565</v>
      </c>
      <c r="X1990" t="s">
        <v>280</v>
      </c>
      <c r="Y1990">
        <v>720</v>
      </c>
      <c r="AB1990">
        <v>1.6901960800285101</v>
      </c>
      <c r="AC1990" t="s">
        <v>62</v>
      </c>
      <c r="AH1990">
        <v>7.4377505628203799</v>
      </c>
      <c r="AI1990">
        <v>2</v>
      </c>
      <c r="AV1990" t="s">
        <v>88</v>
      </c>
      <c r="AW1990">
        <v>703</v>
      </c>
      <c r="BA1990">
        <v>7.4377505628203791</v>
      </c>
    </row>
    <row r="1991" spans="1:53" hidden="1" x14ac:dyDescent="0.3">
      <c r="A1991" t="s">
        <v>550</v>
      </c>
      <c r="C1991" t="s">
        <v>251</v>
      </c>
      <c r="D1991" t="s">
        <v>81</v>
      </c>
      <c r="E1991">
        <v>10000000</v>
      </c>
      <c r="H1991">
        <v>929</v>
      </c>
      <c r="I1991" t="s">
        <v>56</v>
      </c>
      <c r="J1991">
        <v>9.290000000000001E-2</v>
      </c>
      <c r="K1991" t="s">
        <v>57</v>
      </c>
      <c r="N1991" t="s">
        <v>574</v>
      </c>
      <c r="O1991">
        <v>703</v>
      </c>
      <c r="P1991" t="s">
        <v>277</v>
      </c>
      <c r="S1991">
        <v>4</v>
      </c>
      <c r="T1991">
        <v>25.2</v>
      </c>
      <c r="U1991" t="s">
        <v>120</v>
      </c>
      <c r="V1991">
        <v>75.7</v>
      </c>
      <c r="W1991" t="s">
        <v>566</v>
      </c>
      <c r="X1991" t="s">
        <v>280</v>
      </c>
      <c r="Y1991">
        <v>720</v>
      </c>
      <c r="AB1991">
        <v>-0.20065945054641801</v>
      </c>
      <c r="AC1991" t="s">
        <v>62</v>
      </c>
      <c r="AH1991">
        <v>6.1931245983544603</v>
      </c>
      <c r="AI1991">
        <v>5</v>
      </c>
      <c r="AT1991" t="s">
        <v>79</v>
      </c>
      <c r="AV1991" t="s">
        <v>88</v>
      </c>
      <c r="AW1991">
        <v>703</v>
      </c>
      <c r="BA1991">
        <v>6.1931245983544603</v>
      </c>
    </row>
    <row r="1992" spans="1:53" hidden="1" x14ac:dyDescent="0.3">
      <c r="A1992" t="s">
        <v>550</v>
      </c>
      <c r="C1992" t="s">
        <v>251</v>
      </c>
      <c r="D1992" t="s">
        <v>81</v>
      </c>
      <c r="E1992">
        <v>10000000</v>
      </c>
      <c r="H1992">
        <v>1022</v>
      </c>
      <c r="I1992" t="s">
        <v>56</v>
      </c>
      <c r="J1992">
        <v>0.1022</v>
      </c>
      <c r="K1992" t="s">
        <v>57</v>
      </c>
      <c r="N1992" t="s">
        <v>574</v>
      </c>
      <c r="O1992">
        <v>703</v>
      </c>
      <c r="P1992" t="s">
        <v>277</v>
      </c>
      <c r="S1992">
        <v>4</v>
      </c>
      <c r="T1992">
        <v>25.2</v>
      </c>
      <c r="U1992" t="s">
        <v>120</v>
      </c>
      <c r="V1992">
        <v>75.7</v>
      </c>
      <c r="W1992" t="s">
        <v>567</v>
      </c>
      <c r="X1992" t="s">
        <v>280</v>
      </c>
      <c r="Y1992">
        <v>720</v>
      </c>
      <c r="AB1992">
        <v>0.66651798055487999</v>
      </c>
      <c r="AC1992" t="s">
        <v>62</v>
      </c>
      <c r="AH1992">
        <v>7.2600713879850698</v>
      </c>
      <c r="AI1992">
        <v>1</v>
      </c>
      <c r="AV1992" t="s">
        <v>88</v>
      </c>
      <c r="AW1992">
        <v>703</v>
      </c>
      <c r="BA1992">
        <v>7.2600713879850707</v>
      </c>
    </row>
    <row r="1993" spans="1:53" hidden="1" x14ac:dyDescent="0.3">
      <c r="A1993" t="s">
        <v>550</v>
      </c>
      <c r="C1993" t="s">
        <v>251</v>
      </c>
      <c r="D1993" t="s">
        <v>81</v>
      </c>
      <c r="E1993">
        <v>10000000</v>
      </c>
      <c r="H1993">
        <v>929</v>
      </c>
      <c r="I1993" t="s">
        <v>56</v>
      </c>
      <c r="J1993">
        <v>9.290000000000001E-2</v>
      </c>
      <c r="K1993" t="s">
        <v>57</v>
      </c>
      <c r="N1993" t="s">
        <v>574</v>
      </c>
      <c r="O1993">
        <v>703</v>
      </c>
      <c r="P1993" t="s">
        <v>277</v>
      </c>
      <c r="S1993">
        <v>4</v>
      </c>
      <c r="T1993">
        <v>25.2</v>
      </c>
      <c r="U1993" t="s">
        <v>120</v>
      </c>
      <c r="V1993">
        <v>75.7</v>
      </c>
      <c r="W1993" t="s">
        <v>568</v>
      </c>
      <c r="X1993" t="s">
        <v>280</v>
      </c>
      <c r="Y1993">
        <v>720</v>
      </c>
      <c r="AB1993">
        <v>-1.96257350205937</v>
      </c>
      <c r="AC1993" t="s">
        <v>62</v>
      </c>
      <c r="AH1993">
        <v>1.16435285578443</v>
      </c>
      <c r="AI1993">
        <v>5</v>
      </c>
      <c r="AV1993" t="s">
        <v>88</v>
      </c>
      <c r="AW1993">
        <v>703</v>
      </c>
      <c r="BA1993">
        <v>1.16435285578443</v>
      </c>
    </row>
    <row r="1994" spans="1:53" hidden="1" x14ac:dyDescent="0.3">
      <c r="A1994" t="s">
        <v>550</v>
      </c>
      <c r="C1994" t="s">
        <v>251</v>
      </c>
      <c r="D1994" t="s">
        <v>81</v>
      </c>
      <c r="E1994">
        <v>10000000</v>
      </c>
      <c r="H1994">
        <v>97</v>
      </c>
      <c r="I1994" t="s">
        <v>56</v>
      </c>
      <c r="J1994">
        <v>9.7000000000000003E-3</v>
      </c>
      <c r="K1994" t="s">
        <v>57</v>
      </c>
      <c r="N1994" t="s">
        <v>575</v>
      </c>
      <c r="O1994">
        <v>943</v>
      </c>
      <c r="P1994" t="s">
        <v>277</v>
      </c>
      <c r="S1994">
        <v>4</v>
      </c>
      <c r="T1994">
        <v>23.8</v>
      </c>
      <c r="U1994" t="s">
        <v>120</v>
      </c>
      <c r="V1994">
        <v>78.2</v>
      </c>
      <c r="W1994" t="s">
        <v>559</v>
      </c>
      <c r="X1994" t="s">
        <v>280</v>
      </c>
      <c r="Y1994">
        <v>540</v>
      </c>
      <c r="AB1994">
        <v>2.15836249209524</v>
      </c>
      <c r="AC1994" t="s">
        <v>62</v>
      </c>
      <c r="AH1994">
        <v>6.4955443375464403</v>
      </c>
      <c r="AI1994">
        <v>1</v>
      </c>
      <c r="AT1994" t="s">
        <v>382</v>
      </c>
      <c r="AV1994" t="s">
        <v>88</v>
      </c>
      <c r="AW1994">
        <v>943</v>
      </c>
      <c r="BA1994">
        <v>6.4955443375464403</v>
      </c>
    </row>
    <row r="1995" spans="1:53" hidden="1" x14ac:dyDescent="0.3">
      <c r="A1995" t="s">
        <v>550</v>
      </c>
      <c r="C1995" t="s">
        <v>251</v>
      </c>
      <c r="D1995" t="s">
        <v>81</v>
      </c>
      <c r="E1995">
        <v>10000000</v>
      </c>
      <c r="H1995">
        <v>564</v>
      </c>
      <c r="I1995" t="s">
        <v>56</v>
      </c>
      <c r="J1995">
        <v>5.6400000000000013E-2</v>
      </c>
      <c r="K1995" t="s">
        <v>57</v>
      </c>
      <c r="N1995" t="s">
        <v>575</v>
      </c>
      <c r="O1995">
        <v>943</v>
      </c>
      <c r="P1995" t="s">
        <v>277</v>
      </c>
      <c r="S1995">
        <v>4</v>
      </c>
      <c r="T1995">
        <v>23.8</v>
      </c>
      <c r="U1995" t="s">
        <v>120</v>
      </c>
      <c r="V1995">
        <v>78.2</v>
      </c>
      <c r="W1995" t="s">
        <v>560</v>
      </c>
      <c r="X1995" t="s">
        <v>280</v>
      </c>
      <c r="Y1995">
        <v>540</v>
      </c>
      <c r="AB1995">
        <v>1.51719589794997</v>
      </c>
      <c r="AC1995" t="s">
        <v>62</v>
      </c>
      <c r="AH1995">
        <v>7.3579348470004504</v>
      </c>
      <c r="AI1995">
        <v>1</v>
      </c>
      <c r="AV1995" t="s">
        <v>88</v>
      </c>
      <c r="AW1995">
        <v>943</v>
      </c>
      <c r="BA1995">
        <v>7.3579348470004513</v>
      </c>
    </row>
    <row r="1996" spans="1:53" hidden="1" x14ac:dyDescent="0.3">
      <c r="A1996" t="s">
        <v>550</v>
      </c>
      <c r="C1996" t="s">
        <v>251</v>
      </c>
      <c r="D1996" t="s">
        <v>81</v>
      </c>
      <c r="E1996">
        <v>10000000</v>
      </c>
      <c r="H1996">
        <v>465</v>
      </c>
      <c r="I1996" t="s">
        <v>56</v>
      </c>
      <c r="J1996">
        <v>4.65E-2</v>
      </c>
      <c r="K1996" t="s">
        <v>57</v>
      </c>
      <c r="N1996" t="s">
        <v>575</v>
      </c>
      <c r="O1996">
        <v>943</v>
      </c>
      <c r="P1996" t="s">
        <v>277</v>
      </c>
      <c r="S1996">
        <v>4</v>
      </c>
      <c r="T1996">
        <v>23.8</v>
      </c>
      <c r="U1996" t="s">
        <v>120</v>
      </c>
      <c r="V1996">
        <v>78.2</v>
      </c>
      <c r="W1996" t="s">
        <v>561</v>
      </c>
      <c r="X1996" t="s">
        <v>280</v>
      </c>
      <c r="Y1996">
        <v>540</v>
      </c>
      <c r="AB1996">
        <v>1.3010299956639799</v>
      </c>
      <c r="AC1996" t="s">
        <v>62</v>
      </c>
      <c r="AH1996">
        <v>6.9786369483844704</v>
      </c>
      <c r="AI1996">
        <v>2</v>
      </c>
      <c r="AV1996" t="s">
        <v>88</v>
      </c>
      <c r="AW1996">
        <v>943</v>
      </c>
      <c r="BA1996">
        <v>6.9786369483844704</v>
      </c>
    </row>
    <row r="1997" spans="1:53" hidden="1" x14ac:dyDescent="0.3">
      <c r="A1997" t="s">
        <v>550</v>
      </c>
      <c r="C1997" t="s">
        <v>251</v>
      </c>
      <c r="D1997" t="s">
        <v>81</v>
      </c>
      <c r="E1997">
        <v>10000000</v>
      </c>
      <c r="H1997">
        <v>465</v>
      </c>
      <c r="I1997" t="s">
        <v>56</v>
      </c>
      <c r="J1997">
        <v>4.65E-2</v>
      </c>
      <c r="K1997" t="s">
        <v>57</v>
      </c>
      <c r="N1997" t="s">
        <v>575</v>
      </c>
      <c r="O1997">
        <v>943</v>
      </c>
      <c r="P1997" t="s">
        <v>277</v>
      </c>
      <c r="S1997">
        <v>4</v>
      </c>
      <c r="T1997">
        <v>23.8</v>
      </c>
      <c r="U1997" t="s">
        <v>120</v>
      </c>
      <c r="V1997">
        <v>78.2</v>
      </c>
      <c r="W1997" t="s">
        <v>562</v>
      </c>
      <c r="X1997" t="s">
        <v>280</v>
      </c>
      <c r="Y1997">
        <v>540</v>
      </c>
      <c r="AB1997">
        <v>1.90308998699194</v>
      </c>
      <c r="AC1997" t="s">
        <v>62</v>
      </c>
      <c r="AH1997">
        <v>7.5563025007672797</v>
      </c>
      <c r="AI1997">
        <v>2</v>
      </c>
      <c r="AV1997" t="s">
        <v>88</v>
      </c>
      <c r="AW1997">
        <v>943</v>
      </c>
      <c r="BA1997">
        <v>7.5563025007672797</v>
      </c>
    </row>
    <row r="1998" spans="1:53" hidden="1" x14ac:dyDescent="0.3">
      <c r="A1998" t="s">
        <v>550</v>
      </c>
      <c r="C1998" t="s">
        <v>251</v>
      </c>
      <c r="D1998" t="s">
        <v>81</v>
      </c>
      <c r="E1998">
        <v>10000000</v>
      </c>
      <c r="H1998">
        <v>929</v>
      </c>
      <c r="I1998" t="s">
        <v>56</v>
      </c>
      <c r="J1998">
        <v>9.290000000000001E-2</v>
      </c>
      <c r="K1998" t="s">
        <v>57</v>
      </c>
      <c r="N1998" t="s">
        <v>575</v>
      </c>
      <c r="O1998">
        <v>943</v>
      </c>
      <c r="P1998" t="s">
        <v>277</v>
      </c>
      <c r="S1998">
        <v>4</v>
      </c>
      <c r="T1998">
        <v>23.8</v>
      </c>
      <c r="U1998" t="s">
        <v>120</v>
      </c>
      <c r="V1998">
        <v>78.2</v>
      </c>
      <c r="W1998" t="s">
        <v>563</v>
      </c>
      <c r="X1998" t="s">
        <v>280</v>
      </c>
      <c r="Y1998">
        <v>540</v>
      </c>
      <c r="AB1998">
        <v>1</v>
      </c>
      <c r="AC1998" t="s">
        <v>62</v>
      </c>
      <c r="AH1998">
        <v>7.2278867046136703</v>
      </c>
      <c r="AI1998">
        <v>3</v>
      </c>
      <c r="AT1998" t="s">
        <v>382</v>
      </c>
      <c r="AV1998" t="s">
        <v>88</v>
      </c>
      <c r="AW1998">
        <v>943</v>
      </c>
      <c r="BA1998">
        <v>7.2278867046136703</v>
      </c>
    </row>
    <row r="1999" spans="1:53" hidden="1" x14ac:dyDescent="0.3">
      <c r="A1999" t="s">
        <v>550</v>
      </c>
      <c r="C1999" t="s">
        <v>251</v>
      </c>
      <c r="D1999" t="s">
        <v>81</v>
      </c>
      <c r="E1999">
        <v>10000000</v>
      </c>
      <c r="H1999">
        <v>929</v>
      </c>
      <c r="I1999" t="s">
        <v>56</v>
      </c>
      <c r="J1999">
        <v>9.290000000000001E-2</v>
      </c>
      <c r="K1999" t="s">
        <v>57</v>
      </c>
      <c r="N1999" t="s">
        <v>575</v>
      </c>
      <c r="O1999">
        <v>943</v>
      </c>
      <c r="P1999" t="s">
        <v>277</v>
      </c>
      <c r="S1999">
        <v>4</v>
      </c>
      <c r="T1999">
        <v>23.8</v>
      </c>
      <c r="U1999" t="s">
        <v>120</v>
      </c>
      <c r="V1999">
        <v>78.2</v>
      </c>
      <c r="W1999" t="s">
        <v>318</v>
      </c>
      <c r="X1999" t="s">
        <v>280</v>
      </c>
      <c r="Y1999">
        <v>540</v>
      </c>
      <c r="AB1999">
        <v>1</v>
      </c>
      <c r="AC1999" t="s">
        <v>62</v>
      </c>
      <c r="AH1999">
        <v>6.6117233080073401</v>
      </c>
      <c r="AI1999">
        <v>3</v>
      </c>
      <c r="AT1999" t="s">
        <v>318</v>
      </c>
      <c r="AV1999" t="s">
        <v>88</v>
      </c>
      <c r="AW1999">
        <v>943</v>
      </c>
      <c r="BA1999">
        <v>6.6117233080073401</v>
      </c>
    </row>
    <row r="2000" spans="1:53" hidden="1" x14ac:dyDescent="0.3">
      <c r="A2000" t="s">
        <v>550</v>
      </c>
      <c r="C2000" t="s">
        <v>251</v>
      </c>
      <c r="D2000" t="s">
        <v>81</v>
      </c>
      <c r="E2000">
        <v>10000000</v>
      </c>
      <c r="H2000">
        <v>929</v>
      </c>
      <c r="I2000" t="s">
        <v>56</v>
      </c>
      <c r="J2000">
        <v>9.290000000000001E-2</v>
      </c>
      <c r="K2000" t="s">
        <v>57</v>
      </c>
      <c r="N2000" t="s">
        <v>575</v>
      </c>
      <c r="O2000">
        <v>943</v>
      </c>
      <c r="P2000" t="s">
        <v>277</v>
      </c>
      <c r="S2000">
        <v>4</v>
      </c>
      <c r="T2000">
        <v>23.8</v>
      </c>
      <c r="U2000" t="s">
        <v>120</v>
      </c>
      <c r="V2000">
        <v>78.2</v>
      </c>
      <c r="W2000" t="s">
        <v>564</v>
      </c>
      <c r="X2000" t="s">
        <v>280</v>
      </c>
      <c r="Y2000">
        <v>540</v>
      </c>
      <c r="AB2000">
        <v>1.6989700043360101</v>
      </c>
      <c r="AC2000" t="s">
        <v>62</v>
      </c>
      <c r="AH2000">
        <v>7.5010592622177503</v>
      </c>
      <c r="AI2000">
        <v>5</v>
      </c>
      <c r="AT2000" t="s">
        <v>73</v>
      </c>
      <c r="AV2000" t="s">
        <v>88</v>
      </c>
      <c r="AW2000">
        <v>943</v>
      </c>
      <c r="BA2000">
        <v>7.5010592622177503</v>
      </c>
    </row>
    <row r="2001" spans="1:53" hidden="1" x14ac:dyDescent="0.3">
      <c r="A2001" t="s">
        <v>550</v>
      </c>
      <c r="C2001" t="s">
        <v>251</v>
      </c>
      <c r="D2001" t="s">
        <v>81</v>
      </c>
      <c r="E2001">
        <v>10000000</v>
      </c>
      <c r="H2001">
        <v>929</v>
      </c>
      <c r="I2001" t="s">
        <v>56</v>
      </c>
      <c r="J2001">
        <v>9.290000000000001E-2</v>
      </c>
      <c r="K2001" t="s">
        <v>57</v>
      </c>
      <c r="N2001" t="s">
        <v>575</v>
      </c>
      <c r="O2001">
        <v>943</v>
      </c>
      <c r="P2001" t="s">
        <v>277</v>
      </c>
      <c r="S2001">
        <v>4</v>
      </c>
      <c r="T2001">
        <v>23.8</v>
      </c>
      <c r="U2001" t="s">
        <v>120</v>
      </c>
      <c r="V2001">
        <v>78.2</v>
      </c>
      <c r="W2001" t="s">
        <v>565</v>
      </c>
      <c r="X2001" t="s">
        <v>280</v>
      </c>
      <c r="Y2001">
        <v>540</v>
      </c>
      <c r="AB2001">
        <v>1.73479982958884</v>
      </c>
      <c r="AC2001" t="s">
        <v>62</v>
      </c>
      <c r="AH2001">
        <v>7.6434526764861799</v>
      </c>
      <c r="AI2001">
        <v>2</v>
      </c>
      <c r="AV2001" t="s">
        <v>88</v>
      </c>
      <c r="AW2001">
        <v>943</v>
      </c>
      <c r="BA2001">
        <v>7.643452676486179</v>
      </c>
    </row>
    <row r="2002" spans="1:53" hidden="1" x14ac:dyDescent="0.3">
      <c r="A2002" t="s">
        <v>550</v>
      </c>
      <c r="C2002" t="s">
        <v>251</v>
      </c>
      <c r="D2002" t="s">
        <v>81</v>
      </c>
      <c r="E2002">
        <v>10000000</v>
      </c>
      <c r="H2002">
        <v>929</v>
      </c>
      <c r="I2002" t="s">
        <v>56</v>
      </c>
      <c r="J2002">
        <v>9.290000000000001E-2</v>
      </c>
      <c r="K2002" t="s">
        <v>57</v>
      </c>
      <c r="N2002" t="s">
        <v>575</v>
      </c>
      <c r="O2002">
        <v>943</v>
      </c>
      <c r="P2002" t="s">
        <v>277</v>
      </c>
      <c r="S2002">
        <v>4</v>
      </c>
      <c r="T2002">
        <v>23.8</v>
      </c>
      <c r="U2002" t="s">
        <v>120</v>
      </c>
      <c r="V2002">
        <v>78.2</v>
      </c>
      <c r="W2002" t="s">
        <v>566</v>
      </c>
      <c r="X2002" t="s">
        <v>280</v>
      </c>
      <c r="Y2002">
        <v>540</v>
      </c>
      <c r="AB2002">
        <v>-0.14996674231022999</v>
      </c>
      <c r="AC2002" t="s">
        <v>62</v>
      </c>
      <c r="AH2002">
        <v>7.2121876044039501</v>
      </c>
      <c r="AI2002">
        <v>5</v>
      </c>
      <c r="AT2002" t="s">
        <v>79</v>
      </c>
      <c r="AV2002" t="s">
        <v>88</v>
      </c>
      <c r="AW2002">
        <v>943</v>
      </c>
      <c r="BA2002">
        <v>7.2121876044039501</v>
      </c>
    </row>
    <row r="2003" spans="1:53" hidden="1" x14ac:dyDescent="0.3">
      <c r="A2003" t="s">
        <v>550</v>
      </c>
      <c r="C2003" t="s">
        <v>251</v>
      </c>
      <c r="D2003" t="s">
        <v>81</v>
      </c>
      <c r="E2003">
        <v>10000000</v>
      </c>
      <c r="H2003">
        <v>1022</v>
      </c>
      <c r="I2003" t="s">
        <v>56</v>
      </c>
      <c r="J2003">
        <v>0.1022</v>
      </c>
      <c r="K2003" t="s">
        <v>57</v>
      </c>
      <c r="N2003" t="s">
        <v>575</v>
      </c>
      <c r="O2003">
        <v>943</v>
      </c>
      <c r="P2003" t="s">
        <v>277</v>
      </c>
      <c r="S2003">
        <v>4</v>
      </c>
      <c r="T2003">
        <v>23.8</v>
      </c>
      <c r="U2003" t="s">
        <v>120</v>
      </c>
      <c r="V2003">
        <v>78.2</v>
      </c>
      <c r="W2003" t="s">
        <v>567</v>
      </c>
      <c r="X2003" t="s">
        <v>280</v>
      </c>
      <c r="Y2003">
        <v>540</v>
      </c>
      <c r="AB2003">
        <v>1.09342168516223</v>
      </c>
      <c r="AC2003" t="s">
        <v>62</v>
      </c>
      <c r="AH2003">
        <v>7.5078558716958304</v>
      </c>
      <c r="AI2003">
        <v>1</v>
      </c>
      <c r="AV2003" t="s">
        <v>88</v>
      </c>
      <c r="AW2003">
        <v>943</v>
      </c>
      <c r="BA2003">
        <v>7.5078558716958304</v>
      </c>
    </row>
    <row r="2004" spans="1:53" hidden="1" x14ac:dyDescent="0.3">
      <c r="A2004" t="s">
        <v>550</v>
      </c>
      <c r="C2004" t="s">
        <v>251</v>
      </c>
      <c r="D2004" t="s">
        <v>81</v>
      </c>
      <c r="E2004">
        <v>10000000</v>
      </c>
      <c r="H2004">
        <v>929</v>
      </c>
      <c r="I2004" t="s">
        <v>56</v>
      </c>
      <c r="J2004">
        <v>9.290000000000001E-2</v>
      </c>
      <c r="K2004" t="s">
        <v>57</v>
      </c>
      <c r="N2004" t="s">
        <v>575</v>
      </c>
      <c r="O2004">
        <v>943</v>
      </c>
      <c r="P2004" t="s">
        <v>277</v>
      </c>
      <c r="S2004">
        <v>4</v>
      </c>
      <c r="T2004">
        <v>23.8</v>
      </c>
      <c r="U2004" t="s">
        <v>120</v>
      </c>
      <c r="V2004">
        <v>78.2</v>
      </c>
      <c r="W2004" t="s">
        <v>568</v>
      </c>
      <c r="X2004" t="s">
        <v>280</v>
      </c>
      <c r="Y2004">
        <v>540</v>
      </c>
      <c r="AB2004">
        <v>-1.3625102704874801</v>
      </c>
      <c r="AC2004" t="s">
        <v>62</v>
      </c>
      <c r="AH2004">
        <v>1.5786392099680699</v>
      </c>
      <c r="AI2004">
        <v>5</v>
      </c>
      <c r="AV2004" t="s">
        <v>88</v>
      </c>
      <c r="AW2004">
        <v>943</v>
      </c>
      <c r="BA2004">
        <v>1.5786392099680699</v>
      </c>
    </row>
    <row r="2005" spans="1:53" hidden="1" x14ac:dyDescent="0.3">
      <c r="A2005" t="s">
        <v>550</v>
      </c>
      <c r="C2005" t="s">
        <v>251</v>
      </c>
      <c r="D2005" t="s">
        <v>81</v>
      </c>
      <c r="E2005">
        <v>10000000</v>
      </c>
      <c r="H2005">
        <v>97</v>
      </c>
      <c r="I2005" t="s">
        <v>56</v>
      </c>
      <c r="J2005">
        <v>9.7000000000000003E-3</v>
      </c>
      <c r="K2005" t="s">
        <v>57</v>
      </c>
      <c r="N2005" t="s">
        <v>576</v>
      </c>
      <c r="O2005">
        <v>1021</v>
      </c>
      <c r="P2005" t="s">
        <v>277</v>
      </c>
      <c r="S2005">
        <v>4</v>
      </c>
      <c r="T2005">
        <v>23.3</v>
      </c>
      <c r="U2005" t="s">
        <v>120</v>
      </c>
      <c r="V2005">
        <v>75.2</v>
      </c>
      <c r="W2005" t="s">
        <v>559</v>
      </c>
      <c r="X2005" t="s">
        <v>280</v>
      </c>
      <c r="Y2005">
        <v>720</v>
      </c>
      <c r="AB2005">
        <v>2.2648178230095302</v>
      </c>
      <c r="AC2005" t="s">
        <v>62</v>
      </c>
      <c r="AH2005">
        <v>6.5563025007672797</v>
      </c>
      <c r="AI2005">
        <v>1</v>
      </c>
      <c r="AT2005" t="s">
        <v>382</v>
      </c>
      <c r="AV2005" t="s">
        <v>88</v>
      </c>
      <c r="AW2005">
        <v>1021</v>
      </c>
      <c r="BA2005">
        <v>6.5563025007672797</v>
      </c>
    </row>
    <row r="2006" spans="1:53" hidden="1" x14ac:dyDescent="0.3">
      <c r="A2006" t="s">
        <v>550</v>
      </c>
      <c r="C2006" t="s">
        <v>251</v>
      </c>
      <c r="D2006" t="s">
        <v>81</v>
      </c>
      <c r="E2006">
        <v>10000000</v>
      </c>
      <c r="H2006">
        <v>564</v>
      </c>
      <c r="I2006" t="s">
        <v>56</v>
      </c>
      <c r="J2006">
        <v>5.6400000000000013E-2</v>
      </c>
      <c r="K2006" t="s">
        <v>57</v>
      </c>
      <c r="N2006" t="s">
        <v>576</v>
      </c>
      <c r="O2006">
        <v>1021</v>
      </c>
      <c r="P2006" t="s">
        <v>277</v>
      </c>
      <c r="S2006">
        <v>4</v>
      </c>
      <c r="T2006">
        <v>23.3</v>
      </c>
      <c r="U2006" t="s">
        <v>120</v>
      </c>
      <c r="V2006">
        <v>75.2</v>
      </c>
      <c r="W2006" t="s">
        <v>560</v>
      </c>
      <c r="X2006" t="s">
        <v>280</v>
      </c>
      <c r="Y2006">
        <v>720</v>
      </c>
      <c r="AB2006">
        <v>0.303196057420488</v>
      </c>
      <c r="AC2006" t="s">
        <v>62</v>
      </c>
      <c r="AH2006">
        <v>6.0211892990699303</v>
      </c>
      <c r="AI2006">
        <v>1</v>
      </c>
      <c r="AV2006" t="s">
        <v>88</v>
      </c>
      <c r="AW2006">
        <v>1021</v>
      </c>
      <c r="BA2006">
        <v>6.0211892990699303</v>
      </c>
    </row>
    <row r="2007" spans="1:53" hidden="1" x14ac:dyDescent="0.3">
      <c r="A2007" t="s">
        <v>550</v>
      </c>
      <c r="C2007" t="s">
        <v>251</v>
      </c>
      <c r="D2007" t="s">
        <v>81</v>
      </c>
      <c r="E2007">
        <v>10000000</v>
      </c>
      <c r="H2007">
        <v>465</v>
      </c>
      <c r="I2007" t="s">
        <v>56</v>
      </c>
      <c r="J2007">
        <v>4.65E-2</v>
      </c>
      <c r="K2007" t="s">
        <v>57</v>
      </c>
      <c r="N2007" t="s">
        <v>576</v>
      </c>
      <c r="O2007">
        <v>1021</v>
      </c>
      <c r="P2007" t="s">
        <v>277</v>
      </c>
      <c r="S2007">
        <v>4</v>
      </c>
      <c r="T2007">
        <v>23.3</v>
      </c>
      <c r="U2007" t="s">
        <v>120</v>
      </c>
      <c r="V2007">
        <v>75.2</v>
      </c>
      <c r="W2007" t="s">
        <v>561</v>
      </c>
      <c r="X2007" t="s">
        <v>280</v>
      </c>
      <c r="Y2007">
        <v>720</v>
      </c>
      <c r="AB2007">
        <v>8.63598306747482E-2</v>
      </c>
      <c r="AC2007" t="s">
        <v>62</v>
      </c>
      <c r="AH2007">
        <v>6.4593924877592297</v>
      </c>
      <c r="AI2007">
        <v>2</v>
      </c>
      <c r="AV2007" t="s">
        <v>88</v>
      </c>
      <c r="AW2007">
        <v>1021</v>
      </c>
      <c r="BA2007">
        <v>6.4593924877592297</v>
      </c>
    </row>
    <row r="2008" spans="1:53" hidden="1" x14ac:dyDescent="0.3">
      <c r="A2008" t="s">
        <v>550</v>
      </c>
      <c r="C2008" t="s">
        <v>251</v>
      </c>
      <c r="D2008" t="s">
        <v>81</v>
      </c>
      <c r="E2008">
        <v>10000000</v>
      </c>
      <c r="H2008">
        <v>465</v>
      </c>
      <c r="I2008" t="s">
        <v>56</v>
      </c>
      <c r="J2008">
        <v>4.65E-2</v>
      </c>
      <c r="K2008" t="s">
        <v>57</v>
      </c>
      <c r="N2008" t="s">
        <v>576</v>
      </c>
      <c r="O2008">
        <v>1021</v>
      </c>
      <c r="P2008" t="s">
        <v>277</v>
      </c>
      <c r="S2008">
        <v>4</v>
      </c>
      <c r="T2008">
        <v>23.3</v>
      </c>
      <c r="U2008" t="s">
        <v>120</v>
      </c>
      <c r="V2008">
        <v>75.2</v>
      </c>
      <c r="W2008" t="s">
        <v>562</v>
      </c>
      <c r="X2008" t="s">
        <v>280</v>
      </c>
      <c r="Y2008">
        <v>720</v>
      </c>
      <c r="AB2008">
        <v>8.63598306747482E-2</v>
      </c>
      <c r="AC2008" t="s">
        <v>62</v>
      </c>
      <c r="AH2008">
        <v>6.3483048630481598</v>
      </c>
      <c r="AI2008">
        <v>2</v>
      </c>
      <c r="AV2008" t="s">
        <v>88</v>
      </c>
      <c r="AW2008">
        <v>1021</v>
      </c>
      <c r="BA2008">
        <v>6.3483048630481598</v>
      </c>
    </row>
    <row r="2009" spans="1:53" hidden="1" x14ac:dyDescent="0.3">
      <c r="A2009" t="s">
        <v>550</v>
      </c>
      <c r="C2009" t="s">
        <v>251</v>
      </c>
      <c r="D2009" t="s">
        <v>81</v>
      </c>
      <c r="E2009">
        <v>10000000</v>
      </c>
      <c r="H2009">
        <v>929</v>
      </c>
      <c r="I2009" t="s">
        <v>56</v>
      </c>
      <c r="J2009">
        <v>9.290000000000001E-2</v>
      </c>
      <c r="K2009" t="s">
        <v>57</v>
      </c>
      <c r="N2009" t="s">
        <v>576</v>
      </c>
      <c r="O2009">
        <v>1021</v>
      </c>
      <c r="P2009" t="s">
        <v>277</v>
      </c>
      <c r="S2009">
        <v>4</v>
      </c>
      <c r="T2009">
        <v>23.3</v>
      </c>
      <c r="U2009" t="s">
        <v>120</v>
      </c>
      <c r="V2009">
        <v>75.2</v>
      </c>
      <c r="W2009" t="s">
        <v>563</v>
      </c>
      <c r="X2009" t="s">
        <v>280</v>
      </c>
      <c r="Y2009">
        <v>720</v>
      </c>
      <c r="AB2009">
        <v>-8.1969663215119795E-2</v>
      </c>
      <c r="AC2009" t="s">
        <v>62</v>
      </c>
      <c r="AH2009">
        <v>6.3384564936045997</v>
      </c>
      <c r="AI2009">
        <v>3</v>
      </c>
      <c r="AT2009" t="s">
        <v>382</v>
      </c>
      <c r="AV2009" t="s">
        <v>88</v>
      </c>
      <c r="AW2009">
        <v>1021</v>
      </c>
      <c r="BA2009">
        <v>6.3384564936045997</v>
      </c>
    </row>
    <row r="2010" spans="1:53" hidden="1" x14ac:dyDescent="0.3">
      <c r="A2010" t="s">
        <v>550</v>
      </c>
      <c r="C2010" t="s">
        <v>251</v>
      </c>
      <c r="D2010" t="s">
        <v>81</v>
      </c>
      <c r="E2010">
        <v>10000000</v>
      </c>
      <c r="H2010">
        <v>929</v>
      </c>
      <c r="I2010" t="s">
        <v>56</v>
      </c>
      <c r="J2010">
        <v>9.290000000000001E-2</v>
      </c>
      <c r="K2010" t="s">
        <v>57</v>
      </c>
      <c r="N2010" t="s">
        <v>576</v>
      </c>
      <c r="O2010">
        <v>1021</v>
      </c>
      <c r="P2010" t="s">
        <v>277</v>
      </c>
      <c r="S2010">
        <v>4</v>
      </c>
      <c r="T2010">
        <v>23.3</v>
      </c>
      <c r="U2010" t="s">
        <v>120</v>
      </c>
      <c r="V2010">
        <v>75.2</v>
      </c>
      <c r="W2010" t="s">
        <v>318</v>
      </c>
      <c r="X2010" t="s">
        <v>280</v>
      </c>
      <c r="Y2010">
        <v>720</v>
      </c>
      <c r="AB2010">
        <v>1</v>
      </c>
      <c r="AC2010" t="s">
        <v>62</v>
      </c>
      <c r="AH2010">
        <v>6</v>
      </c>
      <c r="AI2010">
        <v>3</v>
      </c>
      <c r="AT2010" t="s">
        <v>318</v>
      </c>
      <c r="AV2010" t="s">
        <v>88</v>
      </c>
      <c r="AW2010">
        <v>1021</v>
      </c>
      <c r="BA2010">
        <v>6</v>
      </c>
    </row>
    <row r="2011" spans="1:53" hidden="1" x14ac:dyDescent="0.3">
      <c r="A2011" t="s">
        <v>550</v>
      </c>
      <c r="C2011" t="s">
        <v>251</v>
      </c>
      <c r="D2011" t="s">
        <v>81</v>
      </c>
      <c r="E2011">
        <v>10000000</v>
      </c>
      <c r="H2011">
        <v>929</v>
      </c>
      <c r="I2011" t="s">
        <v>56</v>
      </c>
      <c r="J2011">
        <v>9.290000000000001E-2</v>
      </c>
      <c r="K2011" t="s">
        <v>57</v>
      </c>
      <c r="N2011" t="s">
        <v>576</v>
      </c>
      <c r="O2011">
        <v>1021</v>
      </c>
      <c r="P2011" t="s">
        <v>277</v>
      </c>
      <c r="S2011">
        <v>4</v>
      </c>
      <c r="T2011">
        <v>23.3</v>
      </c>
      <c r="U2011" t="s">
        <v>120</v>
      </c>
      <c r="V2011">
        <v>75.2</v>
      </c>
      <c r="W2011" t="s">
        <v>564</v>
      </c>
      <c r="X2011" t="s">
        <v>280</v>
      </c>
      <c r="Y2011">
        <v>720</v>
      </c>
      <c r="AB2011">
        <v>1</v>
      </c>
      <c r="AC2011" t="s">
        <v>62</v>
      </c>
      <c r="AH2011">
        <v>6.8715729355458697</v>
      </c>
      <c r="AI2011">
        <v>5</v>
      </c>
      <c r="AT2011" t="s">
        <v>73</v>
      </c>
      <c r="AV2011" t="s">
        <v>88</v>
      </c>
      <c r="AW2011">
        <v>1021</v>
      </c>
      <c r="BA2011">
        <v>6.8715729355458697</v>
      </c>
    </row>
    <row r="2012" spans="1:53" hidden="1" x14ac:dyDescent="0.3">
      <c r="A2012" t="s">
        <v>550</v>
      </c>
      <c r="C2012" t="s">
        <v>251</v>
      </c>
      <c r="D2012" t="s">
        <v>81</v>
      </c>
      <c r="E2012">
        <v>10000000</v>
      </c>
      <c r="H2012">
        <v>929</v>
      </c>
      <c r="I2012" t="s">
        <v>56</v>
      </c>
      <c r="J2012">
        <v>9.290000000000001E-2</v>
      </c>
      <c r="K2012" t="s">
        <v>57</v>
      </c>
      <c r="N2012" t="s">
        <v>576</v>
      </c>
      <c r="O2012">
        <v>1021</v>
      </c>
      <c r="P2012" t="s">
        <v>277</v>
      </c>
      <c r="S2012">
        <v>4</v>
      </c>
      <c r="T2012">
        <v>23.3</v>
      </c>
      <c r="U2012" t="s">
        <v>120</v>
      </c>
      <c r="V2012">
        <v>75.2</v>
      </c>
      <c r="W2012" t="s">
        <v>565</v>
      </c>
      <c r="X2012" t="s">
        <v>280</v>
      </c>
      <c r="Y2012">
        <v>720</v>
      </c>
      <c r="AB2012">
        <v>1.8149131812750701</v>
      </c>
      <c r="AC2012" t="s">
        <v>62</v>
      </c>
      <c r="AH2012">
        <v>7.5622928644564702</v>
      </c>
      <c r="AI2012">
        <v>2</v>
      </c>
      <c r="AV2012" t="s">
        <v>88</v>
      </c>
      <c r="AW2012">
        <v>1021</v>
      </c>
      <c r="BA2012">
        <v>7.5622928644564702</v>
      </c>
    </row>
    <row r="2013" spans="1:53" hidden="1" x14ac:dyDescent="0.3">
      <c r="A2013" t="s">
        <v>550</v>
      </c>
      <c r="C2013" t="s">
        <v>251</v>
      </c>
      <c r="D2013" t="s">
        <v>81</v>
      </c>
      <c r="E2013">
        <v>10000000</v>
      </c>
      <c r="H2013">
        <v>929</v>
      </c>
      <c r="I2013" t="s">
        <v>56</v>
      </c>
      <c r="J2013">
        <v>9.290000000000001E-2</v>
      </c>
      <c r="K2013" t="s">
        <v>57</v>
      </c>
      <c r="N2013" t="s">
        <v>576</v>
      </c>
      <c r="O2013">
        <v>1021</v>
      </c>
      <c r="P2013" t="s">
        <v>277</v>
      </c>
      <c r="S2013">
        <v>4</v>
      </c>
      <c r="T2013">
        <v>23.3</v>
      </c>
      <c r="U2013" t="s">
        <v>120</v>
      </c>
      <c r="V2013">
        <v>75.2</v>
      </c>
      <c r="W2013" t="s">
        <v>566</v>
      </c>
      <c r="X2013" t="s">
        <v>280</v>
      </c>
      <c r="Y2013">
        <v>720</v>
      </c>
      <c r="AB2013">
        <v>-0.25026368443093799</v>
      </c>
      <c r="AC2013" t="s">
        <v>62</v>
      </c>
      <c r="AH2013">
        <v>6.41995574848975</v>
      </c>
      <c r="AI2013">
        <v>5</v>
      </c>
      <c r="AT2013" t="s">
        <v>79</v>
      </c>
      <c r="AV2013" t="s">
        <v>88</v>
      </c>
      <c r="AW2013">
        <v>1021</v>
      </c>
      <c r="BA2013">
        <v>6.41995574848975</v>
      </c>
    </row>
    <row r="2014" spans="1:53" hidden="1" x14ac:dyDescent="0.3">
      <c r="A2014" t="s">
        <v>550</v>
      </c>
      <c r="C2014" t="s">
        <v>251</v>
      </c>
      <c r="D2014" t="s">
        <v>81</v>
      </c>
      <c r="E2014">
        <v>10000000</v>
      </c>
      <c r="H2014">
        <v>1022</v>
      </c>
      <c r="I2014" t="s">
        <v>56</v>
      </c>
      <c r="J2014">
        <v>0.1022</v>
      </c>
      <c r="K2014" t="s">
        <v>57</v>
      </c>
      <c r="N2014" t="s">
        <v>576</v>
      </c>
      <c r="O2014">
        <v>1021</v>
      </c>
      <c r="P2014" t="s">
        <v>277</v>
      </c>
      <c r="S2014">
        <v>4</v>
      </c>
      <c r="T2014">
        <v>23.3</v>
      </c>
      <c r="U2014" t="s">
        <v>120</v>
      </c>
      <c r="V2014">
        <v>75.2</v>
      </c>
      <c r="W2014" t="s">
        <v>567</v>
      </c>
      <c r="X2014" t="s">
        <v>280</v>
      </c>
      <c r="Y2014">
        <v>720</v>
      </c>
      <c r="AB2014">
        <v>0.79098847508881498</v>
      </c>
      <c r="AC2014" t="s">
        <v>62</v>
      </c>
      <c r="AH2014">
        <v>7.2600713879850698</v>
      </c>
      <c r="AI2014">
        <v>1</v>
      </c>
      <c r="AV2014" t="s">
        <v>88</v>
      </c>
      <c r="AW2014">
        <v>1021</v>
      </c>
      <c r="BA2014">
        <v>7.2600713879850707</v>
      </c>
    </row>
    <row r="2015" spans="1:53" hidden="1" x14ac:dyDescent="0.3">
      <c r="A2015" t="s">
        <v>550</v>
      </c>
      <c r="C2015" t="s">
        <v>251</v>
      </c>
      <c r="D2015" t="s">
        <v>81</v>
      </c>
      <c r="E2015">
        <v>10000000</v>
      </c>
      <c r="H2015">
        <v>929</v>
      </c>
      <c r="I2015" t="s">
        <v>56</v>
      </c>
      <c r="J2015">
        <v>9.290000000000001E-2</v>
      </c>
      <c r="K2015" t="s">
        <v>57</v>
      </c>
      <c r="N2015" t="s">
        <v>576</v>
      </c>
      <c r="O2015">
        <v>1021</v>
      </c>
      <c r="P2015" t="s">
        <v>277</v>
      </c>
      <c r="S2015">
        <v>4</v>
      </c>
      <c r="T2015">
        <v>23.3</v>
      </c>
      <c r="U2015" t="s">
        <v>120</v>
      </c>
      <c r="V2015">
        <v>75.2</v>
      </c>
      <c r="W2015" t="s">
        <v>568</v>
      </c>
      <c r="X2015" t="s">
        <v>280</v>
      </c>
      <c r="Y2015">
        <v>720</v>
      </c>
      <c r="AB2015">
        <v>-2.8416375079047498</v>
      </c>
      <c r="AC2015" t="s">
        <v>62</v>
      </c>
      <c r="AH2015">
        <v>1.3404441148401101</v>
      </c>
      <c r="AI2015">
        <v>5</v>
      </c>
      <c r="AV2015" t="s">
        <v>88</v>
      </c>
      <c r="AW2015">
        <v>1021</v>
      </c>
      <c r="BA2015">
        <v>1.3404441148401101</v>
      </c>
    </row>
    <row r="2016" spans="1:53" hidden="1" x14ac:dyDescent="0.3">
      <c r="A2016" t="s">
        <v>550</v>
      </c>
      <c r="C2016" t="s">
        <v>251</v>
      </c>
      <c r="D2016" t="s">
        <v>81</v>
      </c>
      <c r="E2016">
        <v>10000000</v>
      </c>
      <c r="H2016">
        <v>97</v>
      </c>
      <c r="I2016" t="s">
        <v>56</v>
      </c>
      <c r="J2016">
        <v>9.7000000000000003E-3</v>
      </c>
      <c r="K2016" t="s">
        <v>57</v>
      </c>
      <c r="N2016" t="s">
        <v>577</v>
      </c>
      <c r="O2016">
        <v>956</v>
      </c>
      <c r="P2016" t="s">
        <v>277</v>
      </c>
      <c r="S2016">
        <v>4</v>
      </c>
      <c r="T2016">
        <v>28.7</v>
      </c>
      <c r="U2016" t="s">
        <v>120</v>
      </c>
      <c r="V2016">
        <v>87.8</v>
      </c>
      <c r="W2016" t="s">
        <v>559</v>
      </c>
      <c r="X2016" t="s">
        <v>280</v>
      </c>
      <c r="Y2016">
        <v>360</v>
      </c>
      <c r="Z2016">
        <v>1</v>
      </c>
      <c r="AB2016">
        <v>2.2380461031287902</v>
      </c>
      <c r="AC2016" t="s">
        <v>62</v>
      </c>
      <c r="AH2016">
        <v>6.63346845557958</v>
      </c>
      <c r="AI2016">
        <v>1</v>
      </c>
      <c r="AT2016" t="s">
        <v>382</v>
      </c>
      <c r="AV2016" t="s">
        <v>88</v>
      </c>
      <c r="AW2016">
        <v>956</v>
      </c>
      <c r="BA2016">
        <v>6.63346845557958</v>
      </c>
    </row>
    <row r="2017" spans="1:53" hidden="1" x14ac:dyDescent="0.3">
      <c r="A2017" t="s">
        <v>550</v>
      </c>
      <c r="C2017" t="s">
        <v>251</v>
      </c>
      <c r="D2017" t="s">
        <v>81</v>
      </c>
      <c r="E2017">
        <v>10000000</v>
      </c>
      <c r="H2017">
        <v>564</v>
      </c>
      <c r="I2017" t="s">
        <v>56</v>
      </c>
      <c r="J2017">
        <v>5.6400000000000013E-2</v>
      </c>
      <c r="K2017" t="s">
        <v>57</v>
      </c>
      <c r="N2017" t="s">
        <v>577</v>
      </c>
      <c r="O2017">
        <v>956</v>
      </c>
      <c r="P2017" t="s">
        <v>277</v>
      </c>
      <c r="S2017">
        <v>4</v>
      </c>
      <c r="T2017">
        <v>28.7</v>
      </c>
      <c r="U2017" t="s">
        <v>120</v>
      </c>
      <c r="V2017">
        <v>87.8</v>
      </c>
      <c r="W2017" t="s">
        <v>560</v>
      </c>
      <c r="X2017" t="s">
        <v>280</v>
      </c>
      <c r="Y2017">
        <v>360</v>
      </c>
      <c r="Z2017">
        <v>1</v>
      </c>
      <c r="AB2017">
        <v>0.29225607135647602</v>
      </c>
      <c r="AC2017" t="s">
        <v>62</v>
      </c>
      <c r="AH2017">
        <v>6.5888317255941997</v>
      </c>
      <c r="AI2017">
        <v>1</v>
      </c>
      <c r="AV2017" t="s">
        <v>88</v>
      </c>
      <c r="AW2017">
        <v>956</v>
      </c>
      <c r="BA2017">
        <v>6.5888317255941997</v>
      </c>
    </row>
    <row r="2018" spans="1:53" hidden="1" x14ac:dyDescent="0.3">
      <c r="A2018" t="s">
        <v>550</v>
      </c>
      <c r="C2018" t="s">
        <v>251</v>
      </c>
      <c r="D2018" t="s">
        <v>81</v>
      </c>
      <c r="E2018">
        <v>10000000</v>
      </c>
      <c r="H2018">
        <v>465</v>
      </c>
      <c r="I2018" t="s">
        <v>56</v>
      </c>
      <c r="J2018">
        <v>4.65E-2</v>
      </c>
      <c r="K2018" t="s">
        <v>57</v>
      </c>
      <c r="N2018" t="s">
        <v>577</v>
      </c>
      <c r="O2018">
        <v>956</v>
      </c>
      <c r="P2018" t="s">
        <v>277</v>
      </c>
      <c r="S2018">
        <v>4</v>
      </c>
      <c r="T2018">
        <v>28.7</v>
      </c>
      <c r="U2018" t="s">
        <v>120</v>
      </c>
      <c r="V2018">
        <v>87.8</v>
      </c>
      <c r="W2018" t="s">
        <v>561</v>
      </c>
      <c r="X2018" t="s">
        <v>280</v>
      </c>
      <c r="Y2018">
        <v>360</v>
      </c>
      <c r="Z2018">
        <v>1</v>
      </c>
      <c r="AB2018">
        <v>1.3010299956639799</v>
      </c>
      <c r="AC2018" t="s">
        <v>62</v>
      </c>
      <c r="AH2018">
        <v>6.6304278750250196</v>
      </c>
      <c r="AI2018">
        <v>2</v>
      </c>
      <c r="AV2018" t="s">
        <v>88</v>
      </c>
      <c r="AW2018">
        <v>956</v>
      </c>
      <c r="BA2018">
        <v>6.6304278750250196</v>
      </c>
    </row>
    <row r="2019" spans="1:53" hidden="1" x14ac:dyDescent="0.3">
      <c r="A2019" t="s">
        <v>550</v>
      </c>
      <c r="C2019" t="s">
        <v>251</v>
      </c>
      <c r="D2019" t="s">
        <v>81</v>
      </c>
      <c r="E2019">
        <v>10000000</v>
      </c>
      <c r="H2019">
        <v>465</v>
      </c>
      <c r="I2019" t="s">
        <v>56</v>
      </c>
      <c r="J2019">
        <v>4.65E-2</v>
      </c>
      <c r="K2019" t="s">
        <v>57</v>
      </c>
      <c r="N2019" t="s">
        <v>577</v>
      </c>
      <c r="O2019">
        <v>956</v>
      </c>
      <c r="P2019" t="s">
        <v>277</v>
      </c>
      <c r="S2019">
        <v>4</v>
      </c>
      <c r="T2019">
        <v>28.7</v>
      </c>
      <c r="U2019" t="s">
        <v>120</v>
      </c>
      <c r="V2019">
        <v>87.8</v>
      </c>
      <c r="W2019" t="s">
        <v>562</v>
      </c>
      <c r="X2019" t="s">
        <v>280</v>
      </c>
      <c r="Y2019">
        <v>360</v>
      </c>
      <c r="Z2019">
        <v>1</v>
      </c>
      <c r="AB2019">
        <v>1.3010299956639799</v>
      </c>
      <c r="AC2019" t="s">
        <v>62</v>
      </c>
      <c r="AH2019">
        <v>7.3324384599155996</v>
      </c>
      <c r="AI2019">
        <v>2</v>
      </c>
      <c r="AV2019" t="s">
        <v>88</v>
      </c>
      <c r="AW2019">
        <v>956</v>
      </c>
      <c r="BA2019">
        <v>7.3324384599155996</v>
      </c>
    </row>
    <row r="2020" spans="1:53" hidden="1" x14ac:dyDescent="0.3">
      <c r="A2020" t="s">
        <v>550</v>
      </c>
      <c r="C2020" t="s">
        <v>251</v>
      </c>
      <c r="D2020" t="s">
        <v>81</v>
      </c>
      <c r="E2020">
        <v>10000000</v>
      </c>
      <c r="H2020">
        <v>929</v>
      </c>
      <c r="I2020" t="s">
        <v>56</v>
      </c>
      <c r="J2020">
        <v>9.290000000000001E-2</v>
      </c>
      <c r="K2020" t="s">
        <v>57</v>
      </c>
      <c r="N2020" t="s">
        <v>577</v>
      </c>
      <c r="O2020">
        <v>956</v>
      </c>
      <c r="P2020" t="s">
        <v>277</v>
      </c>
      <c r="S2020">
        <v>4</v>
      </c>
      <c r="T2020">
        <v>28.7</v>
      </c>
      <c r="U2020" t="s">
        <v>120</v>
      </c>
      <c r="V2020">
        <v>87.8</v>
      </c>
      <c r="W2020" t="s">
        <v>563</v>
      </c>
      <c r="X2020" t="s">
        <v>280</v>
      </c>
      <c r="Y2020">
        <v>360</v>
      </c>
      <c r="Z2020">
        <v>1</v>
      </c>
      <c r="AB2020">
        <v>1</v>
      </c>
      <c r="AC2020" t="s">
        <v>62</v>
      </c>
      <c r="AH2020">
        <v>6.9800033715837397</v>
      </c>
      <c r="AI2020">
        <v>3</v>
      </c>
      <c r="AT2020" t="s">
        <v>382</v>
      </c>
      <c r="AV2020" t="s">
        <v>88</v>
      </c>
      <c r="AW2020">
        <v>956</v>
      </c>
      <c r="BA2020">
        <v>6.9800033715837397</v>
      </c>
    </row>
    <row r="2021" spans="1:53" hidden="1" x14ac:dyDescent="0.3">
      <c r="A2021" t="s">
        <v>550</v>
      </c>
      <c r="C2021" t="s">
        <v>251</v>
      </c>
      <c r="D2021" t="s">
        <v>81</v>
      </c>
      <c r="E2021">
        <v>10000000</v>
      </c>
      <c r="H2021">
        <v>929</v>
      </c>
      <c r="I2021" t="s">
        <v>56</v>
      </c>
      <c r="J2021">
        <v>9.290000000000001E-2</v>
      </c>
      <c r="K2021" t="s">
        <v>57</v>
      </c>
      <c r="N2021" t="s">
        <v>577</v>
      </c>
      <c r="O2021">
        <v>956</v>
      </c>
      <c r="P2021" t="s">
        <v>277</v>
      </c>
      <c r="S2021">
        <v>4</v>
      </c>
      <c r="T2021">
        <v>28.7</v>
      </c>
      <c r="U2021" t="s">
        <v>120</v>
      </c>
      <c r="V2021">
        <v>87.8</v>
      </c>
      <c r="W2021" t="s">
        <v>318</v>
      </c>
      <c r="X2021" t="s">
        <v>280</v>
      </c>
      <c r="Y2021">
        <v>360</v>
      </c>
      <c r="Z2021">
        <v>1</v>
      </c>
      <c r="AB2021">
        <v>1</v>
      </c>
      <c r="AC2021" t="s">
        <v>62</v>
      </c>
      <c r="AH2021">
        <v>6.29666519026153</v>
      </c>
      <c r="AI2021">
        <v>3</v>
      </c>
      <c r="AT2021" t="s">
        <v>318</v>
      </c>
      <c r="AV2021" t="s">
        <v>88</v>
      </c>
      <c r="AW2021">
        <v>956</v>
      </c>
      <c r="BA2021">
        <v>6.29666519026153</v>
      </c>
    </row>
    <row r="2022" spans="1:53" hidden="1" x14ac:dyDescent="0.3">
      <c r="A2022" t="s">
        <v>550</v>
      </c>
      <c r="C2022" t="s">
        <v>251</v>
      </c>
      <c r="D2022" t="s">
        <v>81</v>
      </c>
      <c r="E2022">
        <v>10000000</v>
      </c>
      <c r="H2022">
        <v>929</v>
      </c>
      <c r="I2022" t="s">
        <v>56</v>
      </c>
      <c r="J2022">
        <v>9.290000000000001E-2</v>
      </c>
      <c r="K2022" t="s">
        <v>57</v>
      </c>
      <c r="N2022" t="s">
        <v>577</v>
      </c>
      <c r="O2022">
        <v>956</v>
      </c>
      <c r="P2022" t="s">
        <v>277</v>
      </c>
      <c r="S2022">
        <v>4</v>
      </c>
      <c r="T2022">
        <v>28.7</v>
      </c>
      <c r="U2022" t="s">
        <v>120</v>
      </c>
      <c r="V2022">
        <v>87.8</v>
      </c>
      <c r="W2022" t="s">
        <v>564</v>
      </c>
      <c r="X2022" t="s">
        <v>280</v>
      </c>
      <c r="Y2022">
        <v>360</v>
      </c>
      <c r="Z2022">
        <v>1</v>
      </c>
      <c r="AB2022">
        <v>1.2041199826559199</v>
      </c>
      <c r="AC2022" t="s">
        <v>62</v>
      </c>
      <c r="AH2022">
        <v>7.0293837776852</v>
      </c>
      <c r="AI2022">
        <v>5</v>
      </c>
      <c r="AT2022" t="s">
        <v>73</v>
      </c>
      <c r="AV2022" t="s">
        <v>88</v>
      </c>
      <c r="AW2022">
        <v>956</v>
      </c>
      <c r="BA2022">
        <v>7.0293837776852</v>
      </c>
    </row>
    <row r="2023" spans="1:53" hidden="1" x14ac:dyDescent="0.3">
      <c r="A2023" t="s">
        <v>550</v>
      </c>
      <c r="C2023" t="s">
        <v>251</v>
      </c>
      <c r="D2023" t="s">
        <v>81</v>
      </c>
      <c r="E2023">
        <v>10000000</v>
      </c>
      <c r="H2023">
        <v>929</v>
      </c>
      <c r="I2023" t="s">
        <v>56</v>
      </c>
      <c r="J2023">
        <v>9.290000000000001E-2</v>
      </c>
      <c r="K2023" t="s">
        <v>57</v>
      </c>
      <c r="N2023" t="s">
        <v>577</v>
      </c>
      <c r="O2023">
        <v>956</v>
      </c>
      <c r="P2023" t="s">
        <v>277</v>
      </c>
      <c r="S2023">
        <v>4</v>
      </c>
      <c r="T2023">
        <v>28.7</v>
      </c>
      <c r="U2023" t="s">
        <v>120</v>
      </c>
      <c r="V2023">
        <v>87.8</v>
      </c>
      <c r="W2023" t="s">
        <v>565</v>
      </c>
      <c r="X2023" t="s">
        <v>280</v>
      </c>
      <c r="Y2023">
        <v>360</v>
      </c>
      <c r="Z2023">
        <v>1</v>
      </c>
      <c r="AB2023">
        <v>2.3074960379132099</v>
      </c>
      <c r="AC2023" t="s">
        <v>62</v>
      </c>
      <c r="AH2023">
        <v>7.92272545799326</v>
      </c>
      <c r="AI2023">
        <v>2</v>
      </c>
      <c r="AV2023" t="s">
        <v>88</v>
      </c>
      <c r="AW2023">
        <v>956</v>
      </c>
      <c r="BA2023">
        <v>7.92272545799326</v>
      </c>
    </row>
    <row r="2024" spans="1:53" hidden="1" x14ac:dyDescent="0.3">
      <c r="A2024" t="s">
        <v>550</v>
      </c>
      <c r="C2024" t="s">
        <v>251</v>
      </c>
      <c r="D2024" t="s">
        <v>81</v>
      </c>
      <c r="E2024">
        <v>10000000</v>
      </c>
      <c r="H2024">
        <v>929</v>
      </c>
      <c r="I2024" t="s">
        <v>56</v>
      </c>
      <c r="J2024">
        <v>9.290000000000001E-2</v>
      </c>
      <c r="K2024" t="s">
        <v>57</v>
      </c>
      <c r="N2024" t="s">
        <v>577</v>
      </c>
      <c r="O2024">
        <v>956</v>
      </c>
      <c r="P2024" t="s">
        <v>277</v>
      </c>
      <c r="S2024">
        <v>4</v>
      </c>
      <c r="T2024">
        <v>28.7</v>
      </c>
      <c r="U2024" t="s">
        <v>120</v>
      </c>
      <c r="V2024">
        <v>87.8</v>
      </c>
      <c r="W2024" t="s">
        <v>566</v>
      </c>
      <c r="X2024" t="s">
        <v>280</v>
      </c>
      <c r="Y2024">
        <v>360</v>
      </c>
      <c r="Z2024">
        <v>1</v>
      </c>
      <c r="AB2024">
        <v>-0.166215625343521</v>
      </c>
      <c r="AC2024" t="s">
        <v>62</v>
      </c>
      <c r="AH2024">
        <v>6.9749719942980599</v>
      </c>
      <c r="AI2024">
        <v>5</v>
      </c>
      <c r="AT2024" t="s">
        <v>79</v>
      </c>
      <c r="AV2024" t="s">
        <v>88</v>
      </c>
      <c r="AW2024">
        <v>956</v>
      </c>
      <c r="BA2024">
        <v>6.9749719942980599</v>
      </c>
    </row>
    <row r="2025" spans="1:53" hidden="1" x14ac:dyDescent="0.3">
      <c r="A2025" t="s">
        <v>550</v>
      </c>
      <c r="C2025" t="s">
        <v>251</v>
      </c>
      <c r="D2025" t="s">
        <v>81</v>
      </c>
      <c r="E2025">
        <v>10000000</v>
      </c>
      <c r="H2025">
        <v>1022</v>
      </c>
      <c r="I2025" t="s">
        <v>56</v>
      </c>
      <c r="J2025">
        <v>0.1022</v>
      </c>
      <c r="K2025" t="s">
        <v>57</v>
      </c>
      <c r="N2025" t="s">
        <v>577</v>
      </c>
      <c r="O2025">
        <v>956</v>
      </c>
      <c r="P2025" t="s">
        <v>277</v>
      </c>
      <c r="S2025">
        <v>4</v>
      </c>
      <c r="T2025">
        <v>28.7</v>
      </c>
      <c r="U2025" t="s">
        <v>120</v>
      </c>
      <c r="V2025">
        <v>87.8</v>
      </c>
      <c r="W2025" t="s">
        <v>567</v>
      </c>
      <c r="X2025" t="s">
        <v>280</v>
      </c>
      <c r="Y2025">
        <v>360</v>
      </c>
      <c r="Z2025">
        <v>1</v>
      </c>
      <c r="AB2025">
        <v>-0.28819277095880802</v>
      </c>
      <c r="AC2025" t="s">
        <v>62</v>
      </c>
      <c r="AH2025">
        <v>7.6839471307515099</v>
      </c>
      <c r="AI2025">
        <v>1</v>
      </c>
      <c r="AV2025" t="s">
        <v>88</v>
      </c>
      <c r="AW2025">
        <v>956</v>
      </c>
      <c r="BA2025">
        <v>7.6839471307515108</v>
      </c>
    </row>
    <row r="2026" spans="1:53" hidden="1" x14ac:dyDescent="0.3">
      <c r="A2026" t="s">
        <v>550</v>
      </c>
      <c r="C2026" t="s">
        <v>251</v>
      </c>
      <c r="D2026" t="s">
        <v>81</v>
      </c>
      <c r="E2026">
        <v>10000000</v>
      </c>
      <c r="H2026">
        <v>929</v>
      </c>
      <c r="I2026" t="s">
        <v>56</v>
      </c>
      <c r="J2026">
        <v>9.290000000000001E-2</v>
      </c>
      <c r="K2026" t="s">
        <v>57</v>
      </c>
      <c r="N2026" t="s">
        <v>577</v>
      </c>
      <c r="O2026">
        <v>956</v>
      </c>
      <c r="P2026" t="s">
        <v>277</v>
      </c>
      <c r="S2026">
        <v>4</v>
      </c>
      <c r="T2026">
        <v>28.7</v>
      </c>
      <c r="U2026" t="s">
        <v>120</v>
      </c>
      <c r="V2026">
        <v>87.8</v>
      </c>
      <c r="W2026" t="s">
        <v>568</v>
      </c>
      <c r="X2026" t="s">
        <v>280</v>
      </c>
      <c r="Y2026">
        <v>360</v>
      </c>
      <c r="Z2026">
        <v>1</v>
      </c>
      <c r="AB2026">
        <v>-1.97881070093006</v>
      </c>
      <c r="AC2026" t="s">
        <v>62</v>
      </c>
      <c r="AH2026">
        <v>1.55022835305509</v>
      </c>
      <c r="AI2026">
        <v>5</v>
      </c>
      <c r="AV2026" t="s">
        <v>88</v>
      </c>
      <c r="AW2026">
        <v>956</v>
      </c>
      <c r="BA2026">
        <v>1.55022835305509</v>
      </c>
    </row>
    <row r="2027" spans="1:53" hidden="1" x14ac:dyDescent="0.3">
      <c r="A2027" t="s">
        <v>550</v>
      </c>
      <c r="C2027" t="s">
        <v>251</v>
      </c>
      <c r="D2027" t="s">
        <v>81</v>
      </c>
      <c r="E2027">
        <v>10000000</v>
      </c>
      <c r="H2027">
        <v>97</v>
      </c>
      <c r="I2027" t="s">
        <v>56</v>
      </c>
      <c r="J2027">
        <v>9.7000000000000003E-3</v>
      </c>
      <c r="K2027" t="s">
        <v>57</v>
      </c>
      <c r="N2027" t="s">
        <v>578</v>
      </c>
      <c r="O2027">
        <v>2567</v>
      </c>
      <c r="P2027" t="s">
        <v>277</v>
      </c>
      <c r="S2027">
        <v>4</v>
      </c>
      <c r="T2027">
        <v>24.2</v>
      </c>
      <c r="U2027" t="s">
        <v>120</v>
      </c>
      <c r="V2027">
        <v>75.400000000000006</v>
      </c>
      <c r="W2027" t="s">
        <v>559</v>
      </c>
      <c r="X2027" t="s">
        <v>280</v>
      </c>
      <c r="Y2027">
        <v>720</v>
      </c>
      <c r="Z2027">
        <v>1</v>
      </c>
      <c r="AB2027">
        <v>2.2833012287035399</v>
      </c>
      <c r="AC2027" t="s">
        <v>62</v>
      </c>
      <c r="AH2027">
        <v>6.5987905067631099</v>
      </c>
      <c r="AI2027">
        <v>1</v>
      </c>
      <c r="AT2027" t="s">
        <v>382</v>
      </c>
      <c r="AV2027" t="s">
        <v>88</v>
      </c>
      <c r="AW2027">
        <v>2567</v>
      </c>
      <c r="BA2027">
        <v>6.5987905067631099</v>
      </c>
    </row>
    <row r="2028" spans="1:53" hidden="1" x14ac:dyDescent="0.3">
      <c r="A2028" t="s">
        <v>550</v>
      </c>
      <c r="C2028" t="s">
        <v>251</v>
      </c>
      <c r="D2028" t="s">
        <v>81</v>
      </c>
      <c r="E2028">
        <v>10000000</v>
      </c>
      <c r="H2028">
        <v>564</v>
      </c>
      <c r="I2028" t="s">
        <v>56</v>
      </c>
      <c r="J2028">
        <v>5.6400000000000013E-2</v>
      </c>
      <c r="K2028" t="s">
        <v>57</v>
      </c>
      <c r="N2028" t="s">
        <v>578</v>
      </c>
      <c r="O2028">
        <v>2567</v>
      </c>
      <c r="P2028" t="s">
        <v>277</v>
      </c>
      <c r="S2028">
        <v>4</v>
      </c>
      <c r="T2028">
        <v>24.2</v>
      </c>
      <c r="U2028" t="s">
        <v>120</v>
      </c>
      <c r="V2028">
        <v>75.400000000000006</v>
      </c>
      <c r="W2028" t="s">
        <v>560</v>
      </c>
      <c r="X2028" t="s">
        <v>280</v>
      </c>
      <c r="Y2028">
        <v>720</v>
      </c>
      <c r="Z2028">
        <v>1</v>
      </c>
      <c r="AB2028">
        <v>1.2174839442139</v>
      </c>
      <c r="AC2028" t="s">
        <v>62</v>
      </c>
      <c r="AH2028">
        <v>6.8920946026904799</v>
      </c>
      <c r="AI2028">
        <v>1</v>
      </c>
      <c r="AV2028" t="s">
        <v>88</v>
      </c>
      <c r="AW2028">
        <v>2567</v>
      </c>
      <c r="BA2028">
        <v>6.8920946026904799</v>
      </c>
    </row>
    <row r="2029" spans="1:53" hidden="1" x14ac:dyDescent="0.3">
      <c r="A2029" t="s">
        <v>550</v>
      </c>
      <c r="C2029" t="s">
        <v>251</v>
      </c>
      <c r="D2029" t="s">
        <v>81</v>
      </c>
      <c r="E2029">
        <v>10000000</v>
      </c>
      <c r="H2029">
        <v>465</v>
      </c>
      <c r="I2029" t="s">
        <v>56</v>
      </c>
      <c r="J2029">
        <v>4.65E-2</v>
      </c>
      <c r="K2029" t="s">
        <v>57</v>
      </c>
      <c r="N2029" t="s">
        <v>578</v>
      </c>
      <c r="O2029">
        <v>2567</v>
      </c>
      <c r="P2029" t="s">
        <v>277</v>
      </c>
      <c r="S2029">
        <v>4</v>
      </c>
      <c r="T2029">
        <v>24.2</v>
      </c>
      <c r="U2029" t="s">
        <v>120</v>
      </c>
      <c r="V2029">
        <v>75.400000000000006</v>
      </c>
      <c r="W2029" t="s">
        <v>561</v>
      </c>
      <c r="X2029" t="s">
        <v>280</v>
      </c>
      <c r="Y2029">
        <v>720</v>
      </c>
      <c r="Z2029">
        <v>1</v>
      </c>
      <c r="AB2029">
        <v>1.3010299956639799</v>
      </c>
      <c r="AC2029" t="s">
        <v>62</v>
      </c>
      <c r="AH2029">
        <v>6.9020028913507199</v>
      </c>
      <c r="AI2029">
        <v>2</v>
      </c>
      <c r="AV2029" t="s">
        <v>88</v>
      </c>
      <c r="AW2029">
        <v>2567</v>
      </c>
      <c r="BA2029">
        <v>6.9020028913507199</v>
      </c>
    </row>
    <row r="2030" spans="1:53" hidden="1" x14ac:dyDescent="0.3">
      <c r="A2030" t="s">
        <v>550</v>
      </c>
      <c r="C2030" t="s">
        <v>251</v>
      </c>
      <c r="D2030" t="s">
        <v>81</v>
      </c>
      <c r="E2030">
        <v>10000000</v>
      </c>
      <c r="H2030">
        <v>465</v>
      </c>
      <c r="I2030" t="s">
        <v>56</v>
      </c>
      <c r="J2030">
        <v>4.65E-2</v>
      </c>
      <c r="K2030" t="s">
        <v>57</v>
      </c>
      <c r="N2030" t="s">
        <v>578</v>
      </c>
      <c r="O2030">
        <v>2567</v>
      </c>
      <c r="P2030" t="s">
        <v>277</v>
      </c>
      <c r="S2030">
        <v>4</v>
      </c>
      <c r="T2030">
        <v>24.2</v>
      </c>
      <c r="U2030" t="s">
        <v>120</v>
      </c>
      <c r="V2030">
        <v>75.400000000000006</v>
      </c>
      <c r="W2030" t="s">
        <v>562</v>
      </c>
      <c r="X2030" t="s">
        <v>280</v>
      </c>
      <c r="Y2030">
        <v>720</v>
      </c>
      <c r="Z2030">
        <v>1</v>
      </c>
      <c r="AB2030">
        <v>1.3010299956639799</v>
      </c>
      <c r="AC2030" t="s">
        <v>62</v>
      </c>
      <c r="AH2030">
        <v>6.5502283530550898</v>
      </c>
      <c r="AI2030">
        <v>2</v>
      </c>
      <c r="AV2030" t="s">
        <v>88</v>
      </c>
      <c r="AW2030">
        <v>2567</v>
      </c>
      <c r="BA2030">
        <v>6.5502283530550898</v>
      </c>
    </row>
    <row r="2031" spans="1:53" hidden="1" x14ac:dyDescent="0.3">
      <c r="A2031" t="s">
        <v>550</v>
      </c>
      <c r="C2031" t="s">
        <v>251</v>
      </c>
      <c r="D2031" t="s">
        <v>81</v>
      </c>
      <c r="E2031">
        <v>10000000</v>
      </c>
      <c r="H2031">
        <v>929</v>
      </c>
      <c r="I2031" t="s">
        <v>56</v>
      </c>
      <c r="J2031">
        <v>9.290000000000001E-2</v>
      </c>
      <c r="K2031" t="s">
        <v>57</v>
      </c>
      <c r="N2031" t="s">
        <v>578</v>
      </c>
      <c r="O2031">
        <v>2567</v>
      </c>
      <c r="P2031" t="s">
        <v>277</v>
      </c>
      <c r="S2031">
        <v>4</v>
      </c>
      <c r="T2031">
        <v>24.2</v>
      </c>
      <c r="U2031" t="s">
        <v>120</v>
      </c>
      <c r="V2031">
        <v>75.400000000000006</v>
      </c>
      <c r="W2031" t="s">
        <v>563</v>
      </c>
      <c r="X2031" t="s">
        <v>280</v>
      </c>
      <c r="Y2031">
        <v>720</v>
      </c>
      <c r="Z2031">
        <v>1</v>
      </c>
      <c r="AB2031">
        <v>1</v>
      </c>
      <c r="AC2031" t="s">
        <v>62</v>
      </c>
      <c r="AH2031">
        <v>6.73078227566638</v>
      </c>
      <c r="AI2031">
        <v>3</v>
      </c>
      <c r="AT2031" t="s">
        <v>382</v>
      </c>
      <c r="AV2031" t="s">
        <v>88</v>
      </c>
      <c r="AW2031">
        <v>2567</v>
      </c>
      <c r="BA2031">
        <v>6.73078227566638</v>
      </c>
    </row>
    <row r="2032" spans="1:53" hidden="1" x14ac:dyDescent="0.3">
      <c r="A2032" t="s">
        <v>550</v>
      </c>
      <c r="C2032" t="s">
        <v>251</v>
      </c>
      <c r="D2032" t="s">
        <v>81</v>
      </c>
      <c r="E2032">
        <v>10000000</v>
      </c>
      <c r="H2032">
        <v>929</v>
      </c>
      <c r="I2032" t="s">
        <v>56</v>
      </c>
      <c r="J2032">
        <v>9.290000000000001E-2</v>
      </c>
      <c r="K2032" t="s">
        <v>57</v>
      </c>
      <c r="N2032" t="s">
        <v>578</v>
      </c>
      <c r="O2032">
        <v>2567</v>
      </c>
      <c r="P2032" t="s">
        <v>277</v>
      </c>
      <c r="S2032">
        <v>4</v>
      </c>
      <c r="T2032">
        <v>24.2</v>
      </c>
      <c r="U2032" t="s">
        <v>120</v>
      </c>
      <c r="V2032">
        <v>75.400000000000006</v>
      </c>
      <c r="W2032" t="s">
        <v>318</v>
      </c>
      <c r="X2032" t="s">
        <v>280</v>
      </c>
      <c r="Y2032">
        <v>720</v>
      </c>
      <c r="Z2032">
        <v>1</v>
      </c>
      <c r="AB2032">
        <v>1</v>
      </c>
      <c r="AC2032" t="s">
        <v>62</v>
      </c>
      <c r="AH2032">
        <v>5.9934362304976103</v>
      </c>
      <c r="AI2032">
        <v>3</v>
      </c>
      <c r="AT2032" t="s">
        <v>318</v>
      </c>
      <c r="AV2032" t="s">
        <v>88</v>
      </c>
      <c r="AW2032">
        <v>2567</v>
      </c>
      <c r="BA2032">
        <v>5.9934362304976103</v>
      </c>
    </row>
    <row r="2033" spans="1:53" hidden="1" x14ac:dyDescent="0.3">
      <c r="A2033" t="s">
        <v>550</v>
      </c>
      <c r="C2033" t="s">
        <v>251</v>
      </c>
      <c r="D2033" t="s">
        <v>81</v>
      </c>
      <c r="E2033">
        <v>10000000</v>
      </c>
      <c r="H2033">
        <v>929</v>
      </c>
      <c r="I2033" t="s">
        <v>56</v>
      </c>
      <c r="J2033">
        <v>9.290000000000001E-2</v>
      </c>
      <c r="K2033" t="s">
        <v>57</v>
      </c>
      <c r="N2033" t="s">
        <v>578</v>
      </c>
      <c r="O2033">
        <v>2567</v>
      </c>
      <c r="P2033" t="s">
        <v>277</v>
      </c>
      <c r="S2033">
        <v>4</v>
      </c>
      <c r="T2033">
        <v>24.2</v>
      </c>
      <c r="U2033" t="s">
        <v>120</v>
      </c>
      <c r="V2033">
        <v>75.400000000000006</v>
      </c>
      <c r="W2033" t="s">
        <v>564</v>
      </c>
      <c r="X2033" t="s">
        <v>280</v>
      </c>
      <c r="Y2033">
        <v>720</v>
      </c>
      <c r="Z2033">
        <v>1</v>
      </c>
      <c r="AB2033">
        <v>1</v>
      </c>
      <c r="AC2033" t="s">
        <v>62</v>
      </c>
      <c r="AH2033">
        <v>7.0934216851622303</v>
      </c>
      <c r="AI2033">
        <v>5</v>
      </c>
      <c r="AT2033" t="s">
        <v>73</v>
      </c>
      <c r="AV2033" t="s">
        <v>88</v>
      </c>
      <c r="AW2033">
        <v>2567</v>
      </c>
      <c r="BA2033">
        <v>7.0934216851622303</v>
      </c>
    </row>
    <row r="2034" spans="1:53" hidden="1" x14ac:dyDescent="0.3">
      <c r="A2034" t="s">
        <v>550</v>
      </c>
      <c r="C2034" t="s">
        <v>251</v>
      </c>
      <c r="D2034" t="s">
        <v>81</v>
      </c>
      <c r="E2034">
        <v>10000000</v>
      </c>
      <c r="H2034">
        <v>929</v>
      </c>
      <c r="I2034" t="s">
        <v>56</v>
      </c>
      <c r="J2034">
        <v>9.290000000000001E-2</v>
      </c>
      <c r="K2034" t="s">
        <v>57</v>
      </c>
      <c r="N2034" t="s">
        <v>578</v>
      </c>
      <c r="O2034">
        <v>2567</v>
      </c>
      <c r="P2034" t="s">
        <v>277</v>
      </c>
      <c r="S2034">
        <v>4</v>
      </c>
      <c r="T2034">
        <v>24.2</v>
      </c>
      <c r="U2034" t="s">
        <v>120</v>
      </c>
      <c r="V2034">
        <v>75.400000000000006</v>
      </c>
      <c r="W2034" t="s">
        <v>565</v>
      </c>
      <c r="X2034" t="s">
        <v>280</v>
      </c>
      <c r="Y2034">
        <v>720</v>
      </c>
      <c r="Z2034">
        <v>1</v>
      </c>
      <c r="AB2034">
        <v>1</v>
      </c>
      <c r="AC2034" t="s">
        <v>62</v>
      </c>
      <c r="AH2034">
        <v>8.04139268515822</v>
      </c>
      <c r="AI2034">
        <v>2</v>
      </c>
      <c r="AV2034" t="s">
        <v>88</v>
      </c>
      <c r="AW2034">
        <v>2567</v>
      </c>
      <c r="BA2034">
        <v>8.04139268515822</v>
      </c>
    </row>
    <row r="2035" spans="1:53" hidden="1" x14ac:dyDescent="0.3">
      <c r="A2035" t="s">
        <v>550</v>
      </c>
      <c r="C2035" t="s">
        <v>251</v>
      </c>
      <c r="D2035" t="s">
        <v>81</v>
      </c>
      <c r="E2035">
        <v>10000000</v>
      </c>
      <c r="H2035">
        <v>929</v>
      </c>
      <c r="I2035" t="s">
        <v>56</v>
      </c>
      <c r="J2035">
        <v>9.290000000000001E-2</v>
      </c>
      <c r="K2035" t="s">
        <v>57</v>
      </c>
      <c r="N2035" t="s">
        <v>578</v>
      </c>
      <c r="O2035">
        <v>2567</v>
      </c>
      <c r="P2035" t="s">
        <v>277</v>
      </c>
      <c r="S2035">
        <v>4</v>
      </c>
      <c r="T2035">
        <v>24.2</v>
      </c>
      <c r="U2035" t="s">
        <v>120</v>
      </c>
      <c r="V2035">
        <v>75.400000000000006</v>
      </c>
      <c r="W2035" t="s">
        <v>566</v>
      </c>
      <c r="X2035" t="s">
        <v>280</v>
      </c>
      <c r="Y2035">
        <v>720</v>
      </c>
      <c r="Z2035">
        <v>1</v>
      </c>
      <c r="AB2035">
        <v>1</v>
      </c>
      <c r="AC2035" t="s">
        <v>62</v>
      </c>
      <c r="AH2035">
        <v>7.1673173347481702</v>
      </c>
      <c r="AI2035">
        <v>5</v>
      </c>
      <c r="AT2035" t="s">
        <v>79</v>
      </c>
      <c r="AV2035" t="s">
        <v>88</v>
      </c>
      <c r="AW2035">
        <v>2567</v>
      </c>
      <c r="BA2035">
        <v>7.1673173347481702</v>
      </c>
    </row>
    <row r="2036" spans="1:53" hidden="1" x14ac:dyDescent="0.3">
      <c r="A2036" t="s">
        <v>550</v>
      </c>
      <c r="C2036" t="s">
        <v>251</v>
      </c>
      <c r="D2036" t="s">
        <v>81</v>
      </c>
      <c r="E2036">
        <v>10000000</v>
      </c>
      <c r="H2036">
        <v>1022</v>
      </c>
      <c r="I2036" t="s">
        <v>56</v>
      </c>
      <c r="J2036">
        <v>0.1022</v>
      </c>
      <c r="K2036" t="s">
        <v>57</v>
      </c>
      <c r="N2036" t="s">
        <v>578</v>
      </c>
      <c r="O2036">
        <v>2567</v>
      </c>
      <c r="P2036" t="s">
        <v>277</v>
      </c>
      <c r="S2036">
        <v>4</v>
      </c>
      <c r="T2036">
        <v>24.2</v>
      </c>
      <c r="U2036" t="s">
        <v>120</v>
      </c>
      <c r="V2036">
        <v>75.400000000000006</v>
      </c>
      <c r="W2036" t="s">
        <v>567</v>
      </c>
      <c r="X2036" t="s">
        <v>280</v>
      </c>
      <c r="Y2036">
        <v>720</v>
      </c>
      <c r="Z2036">
        <v>1</v>
      </c>
      <c r="AB2036">
        <v>0.96754797621886202</v>
      </c>
      <c r="AC2036" t="s">
        <v>62</v>
      </c>
      <c r="AH2036">
        <v>6.2405492482825897</v>
      </c>
      <c r="AI2036">
        <v>1</v>
      </c>
      <c r="AV2036" t="s">
        <v>88</v>
      </c>
      <c r="AW2036">
        <v>2567</v>
      </c>
      <c r="BA2036">
        <v>6.2405492482825897</v>
      </c>
    </row>
    <row r="2037" spans="1:53" hidden="1" x14ac:dyDescent="0.3">
      <c r="A2037" t="s">
        <v>550</v>
      </c>
      <c r="C2037" t="s">
        <v>251</v>
      </c>
      <c r="D2037" t="s">
        <v>81</v>
      </c>
      <c r="E2037">
        <v>10000000</v>
      </c>
      <c r="H2037">
        <v>929</v>
      </c>
      <c r="I2037" t="s">
        <v>56</v>
      </c>
      <c r="J2037">
        <v>9.290000000000001E-2</v>
      </c>
      <c r="K2037" t="s">
        <v>57</v>
      </c>
      <c r="N2037" t="s">
        <v>578</v>
      </c>
      <c r="O2037">
        <v>2567</v>
      </c>
      <c r="P2037" t="s">
        <v>277</v>
      </c>
      <c r="S2037">
        <v>4</v>
      </c>
      <c r="T2037">
        <v>24.2</v>
      </c>
      <c r="U2037" t="s">
        <v>120</v>
      </c>
      <c r="V2037">
        <v>75.400000000000006</v>
      </c>
      <c r="W2037" t="s">
        <v>568</v>
      </c>
      <c r="X2037" t="s">
        <v>280</v>
      </c>
      <c r="Y2037">
        <v>720</v>
      </c>
      <c r="Z2037">
        <v>1</v>
      </c>
      <c r="AB2037">
        <v>-2.2306226739238602</v>
      </c>
      <c r="AC2037" t="s">
        <v>62</v>
      </c>
      <c r="AH2037">
        <v>1.4329692908744001</v>
      </c>
      <c r="AI2037">
        <v>5</v>
      </c>
      <c r="AV2037" t="s">
        <v>88</v>
      </c>
      <c r="AW2037">
        <v>2567</v>
      </c>
      <c r="BA2037">
        <v>1.4329692908744001</v>
      </c>
    </row>
    <row r="2038" spans="1:53" hidden="1" x14ac:dyDescent="0.3">
      <c r="A2038" t="s">
        <v>550</v>
      </c>
      <c r="C2038" t="s">
        <v>251</v>
      </c>
      <c r="D2038" t="s">
        <v>81</v>
      </c>
      <c r="E2038">
        <v>10000000</v>
      </c>
      <c r="H2038">
        <v>97</v>
      </c>
      <c r="I2038" t="s">
        <v>56</v>
      </c>
      <c r="J2038">
        <v>9.7000000000000003E-3</v>
      </c>
      <c r="K2038" t="s">
        <v>57</v>
      </c>
      <c r="N2038" t="s">
        <v>579</v>
      </c>
      <c r="O2038">
        <v>198</v>
      </c>
      <c r="P2038" t="s">
        <v>277</v>
      </c>
      <c r="S2038">
        <v>4</v>
      </c>
      <c r="T2038">
        <v>21.5</v>
      </c>
      <c r="U2038" t="s">
        <v>120</v>
      </c>
      <c r="V2038">
        <v>76.7</v>
      </c>
      <c r="W2038" t="s">
        <v>559</v>
      </c>
      <c r="X2038" t="s">
        <v>280</v>
      </c>
      <c r="Y2038">
        <v>720</v>
      </c>
      <c r="Z2038">
        <v>1</v>
      </c>
      <c r="AB2038">
        <v>1.05307844348341</v>
      </c>
      <c r="AC2038" t="s">
        <v>62</v>
      </c>
      <c r="AH2038">
        <v>5.8959747323590603</v>
      </c>
      <c r="AI2038">
        <v>1</v>
      </c>
      <c r="AT2038" t="s">
        <v>382</v>
      </c>
      <c r="AV2038" t="s">
        <v>88</v>
      </c>
      <c r="AW2038">
        <v>198</v>
      </c>
      <c r="BA2038">
        <v>5.8959747323590603</v>
      </c>
    </row>
    <row r="2039" spans="1:53" hidden="1" x14ac:dyDescent="0.3">
      <c r="A2039" t="s">
        <v>550</v>
      </c>
      <c r="C2039" t="s">
        <v>251</v>
      </c>
      <c r="D2039" t="s">
        <v>81</v>
      </c>
      <c r="E2039">
        <v>10000000</v>
      </c>
      <c r="H2039">
        <v>564</v>
      </c>
      <c r="I2039" t="s">
        <v>56</v>
      </c>
      <c r="J2039">
        <v>5.6400000000000013E-2</v>
      </c>
      <c r="K2039" t="s">
        <v>57</v>
      </c>
      <c r="N2039" t="s">
        <v>579</v>
      </c>
      <c r="O2039">
        <v>198</v>
      </c>
      <c r="P2039" t="s">
        <v>277</v>
      </c>
      <c r="S2039">
        <v>4</v>
      </c>
      <c r="T2039">
        <v>21.5</v>
      </c>
      <c r="U2039" t="s">
        <v>120</v>
      </c>
      <c r="V2039">
        <v>76.7</v>
      </c>
      <c r="W2039" t="s">
        <v>560</v>
      </c>
      <c r="X2039" t="s">
        <v>280</v>
      </c>
      <c r="Y2039">
        <v>720</v>
      </c>
      <c r="Z2039">
        <v>1</v>
      </c>
      <c r="AB2039">
        <v>-1.30484168834428E-3</v>
      </c>
      <c r="AC2039" t="s">
        <v>62</v>
      </c>
      <c r="AH2039">
        <v>6.3138672203691497</v>
      </c>
      <c r="AI2039">
        <v>1</v>
      </c>
      <c r="AV2039" t="s">
        <v>88</v>
      </c>
      <c r="AW2039">
        <v>198</v>
      </c>
      <c r="BA2039">
        <v>6.3138672203691497</v>
      </c>
    </row>
    <row r="2040" spans="1:53" hidden="1" x14ac:dyDescent="0.3">
      <c r="A2040" t="s">
        <v>550</v>
      </c>
      <c r="C2040" t="s">
        <v>251</v>
      </c>
      <c r="D2040" t="s">
        <v>81</v>
      </c>
      <c r="E2040">
        <v>10000000</v>
      </c>
      <c r="H2040">
        <v>465</v>
      </c>
      <c r="I2040" t="s">
        <v>56</v>
      </c>
      <c r="J2040">
        <v>4.65E-2</v>
      </c>
      <c r="K2040" t="s">
        <v>57</v>
      </c>
      <c r="N2040" t="s">
        <v>579</v>
      </c>
      <c r="O2040">
        <v>198</v>
      </c>
      <c r="P2040" t="s">
        <v>277</v>
      </c>
      <c r="S2040">
        <v>4</v>
      </c>
      <c r="T2040">
        <v>21.5</v>
      </c>
      <c r="U2040" t="s">
        <v>120</v>
      </c>
      <c r="V2040">
        <v>76.7</v>
      </c>
      <c r="W2040" t="s">
        <v>561</v>
      </c>
      <c r="X2040" t="s">
        <v>280</v>
      </c>
      <c r="Y2040">
        <v>720</v>
      </c>
      <c r="Z2040">
        <v>1</v>
      </c>
      <c r="AB2040">
        <v>0.17609125905568099</v>
      </c>
      <c r="AC2040" t="s">
        <v>62</v>
      </c>
      <c r="AH2040">
        <v>5.2380461031287897</v>
      </c>
      <c r="AI2040">
        <v>2</v>
      </c>
      <c r="AV2040" t="s">
        <v>88</v>
      </c>
      <c r="AW2040">
        <v>198</v>
      </c>
      <c r="BA2040">
        <v>5.2380461031287897</v>
      </c>
    </row>
    <row r="2041" spans="1:53" hidden="1" x14ac:dyDescent="0.3">
      <c r="A2041" t="s">
        <v>550</v>
      </c>
      <c r="C2041" t="s">
        <v>251</v>
      </c>
      <c r="D2041" t="s">
        <v>81</v>
      </c>
      <c r="E2041">
        <v>10000000</v>
      </c>
      <c r="H2041">
        <v>465</v>
      </c>
      <c r="I2041" t="s">
        <v>56</v>
      </c>
      <c r="J2041">
        <v>4.65E-2</v>
      </c>
      <c r="K2041" t="s">
        <v>57</v>
      </c>
      <c r="N2041" t="s">
        <v>579</v>
      </c>
      <c r="O2041">
        <v>198</v>
      </c>
      <c r="P2041" t="s">
        <v>277</v>
      </c>
      <c r="S2041">
        <v>4</v>
      </c>
      <c r="T2041">
        <v>21.5</v>
      </c>
      <c r="U2041" t="s">
        <v>120</v>
      </c>
      <c r="V2041">
        <v>76.7</v>
      </c>
      <c r="W2041" t="s">
        <v>562</v>
      </c>
      <c r="X2041" t="s">
        <v>280</v>
      </c>
      <c r="Y2041">
        <v>720</v>
      </c>
      <c r="Z2041">
        <v>1</v>
      </c>
      <c r="AB2041">
        <v>0.12710479836480701</v>
      </c>
      <c r="AC2041" t="s">
        <v>62</v>
      </c>
      <c r="AH2041">
        <v>5.8020892578817298</v>
      </c>
      <c r="AI2041">
        <v>2</v>
      </c>
      <c r="AV2041" t="s">
        <v>88</v>
      </c>
      <c r="AW2041">
        <v>198</v>
      </c>
      <c r="BA2041">
        <v>5.8020892578817298</v>
      </c>
    </row>
    <row r="2042" spans="1:53" hidden="1" x14ac:dyDescent="0.3">
      <c r="A2042" t="s">
        <v>550</v>
      </c>
      <c r="C2042" t="s">
        <v>251</v>
      </c>
      <c r="D2042" t="s">
        <v>81</v>
      </c>
      <c r="E2042">
        <v>10000000</v>
      </c>
      <c r="H2042">
        <v>929</v>
      </c>
      <c r="I2042" t="s">
        <v>56</v>
      </c>
      <c r="J2042">
        <v>9.290000000000001E-2</v>
      </c>
      <c r="K2042" t="s">
        <v>57</v>
      </c>
      <c r="N2042" t="s">
        <v>579</v>
      </c>
      <c r="O2042">
        <v>198</v>
      </c>
      <c r="P2042" t="s">
        <v>277</v>
      </c>
      <c r="S2042">
        <v>4</v>
      </c>
      <c r="T2042">
        <v>21.5</v>
      </c>
      <c r="U2042" t="s">
        <v>120</v>
      </c>
      <c r="V2042">
        <v>76.7</v>
      </c>
      <c r="W2042" t="s">
        <v>563</v>
      </c>
      <c r="X2042" t="s">
        <v>280</v>
      </c>
      <c r="Y2042">
        <v>720</v>
      </c>
      <c r="Z2042">
        <v>1</v>
      </c>
      <c r="AB2042">
        <v>8.9905111439397903E-2</v>
      </c>
      <c r="AC2042" t="s">
        <v>62</v>
      </c>
      <c r="AH2042">
        <v>5.77378644498119</v>
      </c>
      <c r="AI2042">
        <v>3</v>
      </c>
      <c r="AT2042" t="s">
        <v>382</v>
      </c>
      <c r="AV2042" t="s">
        <v>88</v>
      </c>
      <c r="AW2042">
        <v>198</v>
      </c>
      <c r="BA2042">
        <v>5.77378644498119</v>
      </c>
    </row>
    <row r="2043" spans="1:53" hidden="1" x14ac:dyDescent="0.3">
      <c r="A2043" t="s">
        <v>550</v>
      </c>
      <c r="C2043" t="s">
        <v>251</v>
      </c>
      <c r="D2043" t="s">
        <v>81</v>
      </c>
      <c r="E2043">
        <v>10000000</v>
      </c>
      <c r="H2043">
        <v>929</v>
      </c>
      <c r="I2043" t="s">
        <v>56</v>
      </c>
      <c r="J2043">
        <v>9.290000000000001E-2</v>
      </c>
      <c r="K2043" t="s">
        <v>57</v>
      </c>
      <c r="N2043" t="s">
        <v>579</v>
      </c>
      <c r="O2043">
        <v>198</v>
      </c>
      <c r="P2043" t="s">
        <v>277</v>
      </c>
      <c r="S2043">
        <v>4</v>
      </c>
      <c r="T2043">
        <v>21.5</v>
      </c>
      <c r="U2043" t="s">
        <v>120</v>
      </c>
      <c r="V2043">
        <v>76.7</v>
      </c>
      <c r="W2043" t="s">
        <v>318</v>
      </c>
      <c r="X2043" t="s">
        <v>280</v>
      </c>
      <c r="Y2043">
        <v>720</v>
      </c>
      <c r="Z2043">
        <v>1</v>
      </c>
      <c r="AB2043">
        <v>-0.22184874961635601</v>
      </c>
      <c r="AC2043" t="s">
        <v>62</v>
      </c>
      <c r="AH2043">
        <v>4.1105897102992399</v>
      </c>
      <c r="AI2043">
        <v>3</v>
      </c>
      <c r="AT2043" t="s">
        <v>318</v>
      </c>
      <c r="AV2043" t="s">
        <v>88</v>
      </c>
      <c r="AW2043">
        <v>198</v>
      </c>
      <c r="BA2043">
        <v>4.1105897102992399</v>
      </c>
    </row>
    <row r="2044" spans="1:53" hidden="1" x14ac:dyDescent="0.3">
      <c r="A2044" t="s">
        <v>550</v>
      </c>
      <c r="C2044" t="s">
        <v>251</v>
      </c>
      <c r="D2044" t="s">
        <v>81</v>
      </c>
      <c r="E2044">
        <v>10000000</v>
      </c>
      <c r="H2044">
        <v>929</v>
      </c>
      <c r="I2044" t="s">
        <v>56</v>
      </c>
      <c r="J2044">
        <v>9.290000000000001E-2</v>
      </c>
      <c r="K2044" t="s">
        <v>57</v>
      </c>
      <c r="N2044" t="s">
        <v>579</v>
      </c>
      <c r="O2044">
        <v>198</v>
      </c>
      <c r="P2044" t="s">
        <v>277</v>
      </c>
      <c r="S2044">
        <v>4</v>
      </c>
      <c r="T2044">
        <v>21.5</v>
      </c>
      <c r="U2044" t="s">
        <v>120</v>
      </c>
      <c r="V2044">
        <v>76.7</v>
      </c>
      <c r="W2044" t="s">
        <v>564</v>
      </c>
      <c r="X2044" t="s">
        <v>280</v>
      </c>
      <c r="Y2044">
        <v>720</v>
      </c>
      <c r="Z2044">
        <v>1</v>
      </c>
      <c r="AB2044">
        <v>-0.211124884224583</v>
      </c>
      <c r="AC2044" t="s">
        <v>62</v>
      </c>
      <c r="AH2044">
        <v>5.2922560713564701</v>
      </c>
      <c r="AI2044">
        <v>5</v>
      </c>
      <c r="AT2044" t="s">
        <v>73</v>
      </c>
      <c r="AV2044" t="s">
        <v>88</v>
      </c>
      <c r="AW2044">
        <v>198</v>
      </c>
      <c r="BA2044">
        <v>5.2922560713564701</v>
      </c>
    </row>
    <row r="2045" spans="1:53" hidden="1" x14ac:dyDescent="0.3">
      <c r="A2045" t="s">
        <v>550</v>
      </c>
      <c r="C2045" t="s">
        <v>251</v>
      </c>
      <c r="D2045" t="s">
        <v>81</v>
      </c>
      <c r="E2045">
        <v>10000000</v>
      </c>
      <c r="H2045">
        <v>929</v>
      </c>
      <c r="I2045" t="s">
        <v>56</v>
      </c>
      <c r="J2045">
        <v>9.290000000000001E-2</v>
      </c>
      <c r="K2045" t="s">
        <v>57</v>
      </c>
      <c r="N2045" t="s">
        <v>579</v>
      </c>
      <c r="O2045">
        <v>198</v>
      </c>
      <c r="P2045" t="s">
        <v>277</v>
      </c>
      <c r="S2045">
        <v>4</v>
      </c>
      <c r="T2045">
        <v>21.5</v>
      </c>
      <c r="U2045" t="s">
        <v>120</v>
      </c>
      <c r="V2045">
        <v>76.7</v>
      </c>
      <c r="W2045" t="s">
        <v>565</v>
      </c>
      <c r="X2045" t="s">
        <v>280</v>
      </c>
      <c r="Y2045">
        <v>720</v>
      </c>
      <c r="Z2045">
        <v>1</v>
      </c>
      <c r="AB2045">
        <v>1.04139268515822</v>
      </c>
      <c r="AC2045" t="s">
        <v>62</v>
      </c>
      <c r="AH2045">
        <v>6.6646419755561199</v>
      </c>
      <c r="AI2045">
        <v>2</v>
      </c>
      <c r="AV2045" t="s">
        <v>88</v>
      </c>
      <c r="AW2045">
        <v>198</v>
      </c>
      <c r="BA2045">
        <v>6.6646419755561199</v>
      </c>
    </row>
    <row r="2046" spans="1:53" hidden="1" x14ac:dyDescent="0.3">
      <c r="A2046" t="s">
        <v>550</v>
      </c>
      <c r="C2046" t="s">
        <v>251</v>
      </c>
      <c r="D2046" t="s">
        <v>81</v>
      </c>
      <c r="E2046">
        <v>10000000</v>
      </c>
      <c r="H2046">
        <v>929</v>
      </c>
      <c r="I2046" t="s">
        <v>56</v>
      </c>
      <c r="J2046">
        <v>9.290000000000001E-2</v>
      </c>
      <c r="K2046" t="s">
        <v>57</v>
      </c>
      <c r="N2046" t="s">
        <v>579</v>
      </c>
      <c r="O2046">
        <v>198</v>
      </c>
      <c r="P2046" t="s">
        <v>277</v>
      </c>
      <c r="S2046">
        <v>4</v>
      </c>
      <c r="T2046">
        <v>21.5</v>
      </c>
      <c r="U2046" t="s">
        <v>120</v>
      </c>
      <c r="V2046">
        <v>76.7</v>
      </c>
      <c r="W2046" t="s">
        <v>566</v>
      </c>
      <c r="X2046" t="s">
        <v>280</v>
      </c>
      <c r="Y2046">
        <v>720</v>
      </c>
      <c r="Z2046">
        <v>1</v>
      </c>
      <c r="AB2046">
        <v>-0.14508697769214399</v>
      </c>
      <c r="AC2046" t="s">
        <v>62</v>
      </c>
      <c r="AH2046">
        <v>5.84385542262316</v>
      </c>
      <c r="AI2046">
        <v>5</v>
      </c>
      <c r="AT2046" t="s">
        <v>79</v>
      </c>
      <c r="AV2046" t="s">
        <v>88</v>
      </c>
      <c r="AW2046">
        <v>198</v>
      </c>
      <c r="BA2046">
        <v>5.84385542262316</v>
      </c>
    </row>
    <row r="2047" spans="1:53" hidden="1" x14ac:dyDescent="0.3">
      <c r="A2047" t="s">
        <v>550</v>
      </c>
      <c r="C2047" t="s">
        <v>251</v>
      </c>
      <c r="D2047" t="s">
        <v>81</v>
      </c>
      <c r="E2047">
        <v>10000000</v>
      </c>
      <c r="H2047">
        <v>1022</v>
      </c>
      <c r="I2047" t="s">
        <v>56</v>
      </c>
      <c r="J2047">
        <v>0.1022</v>
      </c>
      <c r="K2047" t="s">
        <v>57</v>
      </c>
      <c r="N2047" t="s">
        <v>579</v>
      </c>
      <c r="O2047">
        <v>198</v>
      </c>
      <c r="P2047" t="s">
        <v>277</v>
      </c>
      <c r="S2047">
        <v>4</v>
      </c>
      <c r="T2047">
        <v>21.5</v>
      </c>
      <c r="U2047" t="s">
        <v>120</v>
      </c>
      <c r="V2047">
        <v>76.7</v>
      </c>
      <c r="W2047" t="s">
        <v>567</v>
      </c>
      <c r="X2047" t="s">
        <v>280</v>
      </c>
      <c r="Y2047">
        <v>720</v>
      </c>
      <c r="Z2047">
        <v>1</v>
      </c>
      <c r="AB2047">
        <v>-0.19382002601611201</v>
      </c>
      <c r="AC2047" t="s">
        <v>62</v>
      </c>
      <c r="AH2047">
        <v>6.3654879848908896</v>
      </c>
      <c r="AI2047">
        <v>1</v>
      </c>
      <c r="AV2047" t="s">
        <v>88</v>
      </c>
      <c r="AW2047">
        <v>198</v>
      </c>
      <c r="BA2047">
        <v>6.3654879848908896</v>
      </c>
    </row>
    <row r="2048" spans="1:53" hidden="1" x14ac:dyDescent="0.3">
      <c r="A2048" t="s">
        <v>550</v>
      </c>
      <c r="C2048" t="s">
        <v>251</v>
      </c>
      <c r="D2048" t="s">
        <v>81</v>
      </c>
      <c r="E2048">
        <v>10000000</v>
      </c>
      <c r="H2048">
        <v>929</v>
      </c>
      <c r="I2048" t="s">
        <v>56</v>
      </c>
      <c r="J2048">
        <v>9.290000000000001E-2</v>
      </c>
      <c r="K2048" t="s">
        <v>57</v>
      </c>
      <c r="N2048" t="s">
        <v>579</v>
      </c>
      <c r="O2048">
        <v>198</v>
      </c>
      <c r="P2048" t="s">
        <v>277</v>
      </c>
      <c r="S2048">
        <v>4</v>
      </c>
      <c r="T2048">
        <v>21.5</v>
      </c>
      <c r="U2048" t="s">
        <v>120</v>
      </c>
      <c r="V2048">
        <v>76.7</v>
      </c>
      <c r="W2048" t="s">
        <v>568</v>
      </c>
      <c r="X2048" t="s">
        <v>280</v>
      </c>
      <c r="Y2048">
        <v>720</v>
      </c>
      <c r="Z2048">
        <v>1</v>
      </c>
      <c r="AB2048">
        <v>-2.6695862266508001</v>
      </c>
      <c r="AC2048" t="s">
        <v>62</v>
      </c>
      <c r="AH2048">
        <v>0.58319877396862196</v>
      </c>
      <c r="AI2048">
        <v>5</v>
      </c>
      <c r="AV2048" t="s">
        <v>88</v>
      </c>
      <c r="AW2048">
        <v>198</v>
      </c>
      <c r="BA2048">
        <v>0.58319877396862196</v>
      </c>
    </row>
    <row r="2049" spans="1:53" hidden="1" x14ac:dyDescent="0.3">
      <c r="A2049" t="s">
        <v>80</v>
      </c>
      <c r="C2049" t="s">
        <v>251</v>
      </c>
      <c r="D2049" t="s">
        <v>81</v>
      </c>
      <c r="E2049">
        <v>10000000</v>
      </c>
      <c r="H2049">
        <v>2.5449999999999999</v>
      </c>
      <c r="I2049" t="s">
        <v>56</v>
      </c>
      <c r="J2049">
        <v>2.5450000000000001E-4</v>
      </c>
      <c r="K2049" t="s">
        <v>57</v>
      </c>
      <c r="N2049" t="s">
        <v>580</v>
      </c>
      <c r="O2049">
        <v>200</v>
      </c>
      <c r="P2049" t="s">
        <v>277</v>
      </c>
      <c r="T2049">
        <v>25</v>
      </c>
      <c r="U2049" t="s">
        <v>581</v>
      </c>
      <c r="V2049">
        <v>75</v>
      </c>
      <c r="W2049" t="s">
        <v>83</v>
      </c>
      <c r="X2049" t="s">
        <v>280</v>
      </c>
      <c r="Y2049">
        <v>240</v>
      </c>
      <c r="Z2049">
        <v>1</v>
      </c>
      <c r="AB2049">
        <v>5.57</v>
      </c>
      <c r="AC2049" t="s">
        <v>85</v>
      </c>
      <c r="AD2049" t="s">
        <v>507</v>
      </c>
      <c r="AE2049" t="s">
        <v>63</v>
      </c>
      <c r="AI2049">
        <v>4</v>
      </c>
      <c r="AJ2049" t="s">
        <v>87</v>
      </c>
      <c r="AT2049" t="s">
        <v>65</v>
      </c>
      <c r="AV2049" t="s">
        <v>88</v>
      </c>
      <c r="AW2049">
        <v>200</v>
      </c>
    </row>
    <row r="2050" spans="1:53" hidden="1" x14ac:dyDescent="0.3">
      <c r="A2050" t="s">
        <v>80</v>
      </c>
      <c r="C2050" t="s">
        <v>251</v>
      </c>
      <c r="D2050" t="s">
        <v>81</v>
      </c>
      <c r="E2050">
        <v>10000000</v>
      </c>
      <c r="H2050">
        <v>2.5459999999999998</v>
      </c>
      <c r="I2050" t="s">
        <v>56</v>
      </c>
      <c r="J2050">
        <v>2.5460000000000001E-4</v>
      </c>
      <c r="K2050" t="s">
        <v>57</v>
      </c>
      <c r="N2050" t="s">
        <v>580</v>
      </c>
      <c r="O2050">
        <v>200</v>
      </c>
      <c r="P2050" t="s">
        <v>277</v>
      </c>
      <c r="T2050">
        <v>25</v>
      </c>
      <c r="U2050" t="s">
        <v>581</v>
      </c>
      <c r="V2050">
        <v>75</v>
      </c>
      <c r="W2050" t="s">
        <v>89</v>
      </c>
      <c r="X2050" t="s">
        <v>280</v>
      </c>
      <c r="Y2050">
        <v>240</v>
      </c>
      <c r="Z2050">
        <v>1</v>
      </c>
      <c r="AB2050">
        <v>5.79</v>
      </c>
      <c r="AC2050" t="s">
        <v>85</v>
      </c>
      <c r="AD2050" t="s">
        <v>238</v>
      </c>
      <c r="AE2050" t="s">
        <v>63</v>
      </c>
      <c r="AI2050">
        <v>4</v>
      </c>
      <c r="AJ2050" t="s">
        <v>87</v>
      </c>
      <c r="AT2050" t="s">
        <v>65</v>
      </c>
      <c r="AV2050" t="s">
        <v>88</v>
      </c>
      <c r="AW2050">
        <v>200</v>
      </c>
    </row>
    <row r="2051" spans="1:53" hidden="1" x14ac:dyDescent="0.3">
      <c r="A2051" t="s">
        <v>80</v>
      </c>
      <c r="C2051" t="s">
        <v>251</v>
      </c>
      <c r="D2051" t="s">
        <v>81</v>
      </c>
      <c r="E2051">
        <v>10000000</v>
      </c>
      <c r="H2051">
        <v>2.5470000000000002</v>
      </c>
      <c r="I2051" t="s">
        <v>56</v>
      </c>
      <c r="J2051">
        <v>2.5470000000000001E-4</v>
      </c>
      <c r="K2051" t="s">
        <v>57</v>
      </c>
      <c r="N2051" t="s">
        <v>580</v>
      </c>
      <c r="O2051">
        <v>200</v>
      </c>
      <c r="P2051" t="s">
        <v>277</v>
      </c>
      <c r="T2051">
        <v>25</v>
      </c>
      <c r="U2051" t="s">
        <v>581</v>
      </c>
      <c r="V2051">
        <v>75</v>
      </c>
      <c r="W2051" t="s">
        <v>91</v>
      </c>
      <c r="X2051" t="s">
        <v>280</v>
      </c>
      <c r="Y2051">
        <v>240</v>
      </c>
      <c r="Z2051">
        <v>1</v>
      </c>
      <c r="AB2051">
        <v>5.7</v>
      </c>
      <c r="AC2051" t="s">
        <v>85</v>
      </c>
      <c r="AD2051" t="s">
        <v>321</v>
      </c>
      <c r="AE2051" t="s">
        <v>63</v>
      </c>
      <c r="AI2051">
        <v>4</v>
      </c>
      <c r="AJ2051" t="s">
        <v>87</v>
      </c>
      <c r="AT2051" t="s">
        <v>65</v>
      </c>
      <c r="AV2051" t="s">
        <v>88</v>
      </c>
      <c r="AW2051">
        <v>200</v>
      </c>
    </row>
    <row r="2052" spans="1:53" hidden="1" x14ac:dyDescent="0.3">
      <c r="A2052" t="s">
        <v>80</v>
      </c>
      <c r="C2052" t="s">
        <v>251</v>
      </c>
      <c r="D2052" t="s">
        <v>81</v>
      </c>
      <c r="E2052">
        <v>10000000</v>
      </c>
      <c r="H2052">
        <v>2.548</v>
      </c>
      <c r="I2052" t="s">
        <v>56</v>
      </c>
      <c r="J2052">
        <v>2.5480000000000001E-4</v>
      </c>
      <c r="K2052" t="s">
        <v>57</v>
      </c>
      <c r="N2052" t="s">
        <v>580</v>
      </c>
      <c r="O2052">
        <v>200</v>
      </c>
      <c r="P2052" t="s">
        <v>277</v>
      </c>
      <c r="T2052">
        <v>25</v>
      </c>
      <c r="U2052" t="s">
        <v>581</v>
      </c>
      <c r="V2052">
        <v>75</v>
      </c>
      <c r="W2052" t="s">
        <v>93</v>
      </c>
      <c r="X2052" t="s">
        <v>280</v>
      </c>
      <c r="Y2052">
        <v>240</v>
      </c>
      <c r="Z2052">
        <v>1</v>
      </c>
      <c r="AB2052">
        <v>5.14</v>
      </c>
      <c r="AC2052" t="s">
        <v>85</v>
      </c>
      <c r="AD2052" t="s">
        <v>582</v>
      </c>
      <c r="AE2052" t="s">
        <v>63</v>
      </c>
      <c r="AI2052">
        <v>4</v>
      </c>
      <c r="AJ2052" t="s">
        <v>87</v>
      </c>
      <c r="AT2052" t="s">
        <v>65</v>
      </c>
      <c r="AV2052" t="s">
        <v>88</v>
      </c>
      <c r="AW2052">
        <v>200</v>
      </c>
    </row>
    <row r="2053" spans="1:53" hidden="1" x14ac:dyDescent="0.3">
      <c r="A2053" t="s">
        <v>80</v>
      </c>
      <c r="C2053" t="s">
        <v>251</v>
      </c>
      <c r="D2053" t="s">
        <v>81</v>
      </c>
      <c r="E2053">
        <v>10000000</v>
      </c>
      <c r="H2053">
        <v>2.5489999999999999</v>
      </c>
      <c r="I2053" t="s">
        <v>56</v>
      </c>
      <c r="J2053">
        <v>2.5490000000000002E-4</v>
      </c>
      <c r="K2053" t="s">
        <v>57</v>
      </c>
      <c r="N2053" t="s">
        <v>580</v>
      </c>
      <c r="O2053">
        <v>200</v>
      </c>
      <c r="P2053" t="s">
        <v>277</v>
      </c>
      <c r="T2053">
        <v>25</v>
      </c>
      <c r="U2053" t="s">
        <v>581</v>
      </c>
      <c r="V2053">
        <v>75</v>
      </c>
      <c r="W2053" t="s">
        <v>95</v>
      </c>
      <c r="X2053" t="s">
        <v>280</v>
      </c>
      <c r="Y2053">
        <v>240</v>
      </c>
      <c r="Z2053">
        <v>1</v>
      </c>
      <c r="AA2053" t="s">
        <v>94</v>
      </c>
      <c r="AB2053">
        <v>5.88</v>
      </c>
      <c r="AC2053" t="s">
        <v>85</v>
      </c>
      <c r="AI2053">
        <v>4</v>
      </c>
      <c r="AJ2053" t="s">
        <v>87</v>
      </c>
      <c r="AT2053" t="s">
        <v>65</v>
      </c>
      <c r="AV2053" t="s">
        <v>88</v>
      </c>
      <c r="AW2053">
        <v>200</v>
      </c>
      <c r="AZ2053">
        <v>0</v>
      </c>
      <c r="BA2053">
        <v>5.88</v>
      </c>
    </row>
    <row r="2054" spans="1:53" hidden="1" x14ac:dyDescent="0.3">
      <c r="A2054" t="s">
        <v>80</v>
      </c>
      <c r="C2054" t="s">
        <v>251</v>
      </c>
      <c r="D2054" t="s">
        <v>81</v>
      </c>
      <c r="E2054">
        <v>10000000</v>
      </c>
      <c r="H2054">
        <v>2.5499999999999998</v>
      </c>
      <c r="I2054" t="s">
        <v>56</v>
      </c>
      <c r="J2054">
        <v>2.5500000000000002E-4</v>
      </c>
      <c r="K2054" t="s">
        <v>57</v>
      </c>
      <c r="N2054" t="s">
        <v>580</v>
      </c>
      <c r="O2054">
        <v>200</v>
      </c>
      <c r="P2054" t="s">
        <v>277</v>
      </c>
      <c r="T2054">
        <v>25</v>
      </c>
      <c r="U2054" t="s">
        <v>581</v>
      </c>
      <c r="V2054">
        <v>75</v>
      </c>
      <c r="W2054" t="s">
        <v>97</v>
      </c>
      <c r="X2054" t="s">
        <v>280</v>
      </c>
      <c r="Y2054">
        <v>240</v>
      </c>
      <c r="Z2054">
        <v>1</v>
      </c>
      <c r="AA2054" t="s">
        <v>94</v>
      </c>
      <c r="AB2054">
        <v>5.88</v>
      </c>
      <c r="AC2054" t="s">
        <v>85</v>
      </c>
      <c r="AI2054">
        <v>4</v>
      </c>
      <c r="AJ2054" t="s">
        <v>87</v>
      </c>
      <c r="AT2054" t="s">
        <v>65</v>
      </c>
      <c r="AV2054" t="s">
        <v>88</v>
      </c>
      <c r="AW2054">
        <v>200</v>
      </c>
      <c r="AZ2054">
        <v>0</v>
      </c>
      <c r="BA2054">
        <v>5.88</v>
      </c>
    </row>
    <row r="2055" spans="1:53" hidden="1" x14ac:dyDescent="0.3">
      <c r="A2055" t="s">
        <v>80</v>
      </c>
      <c r="C2055" t="s">
        <v>251</v>
      </c>
      <c r="D2055" t="s">
        <v>81</v>
      </c>
      <c r="E2055">
        <v>10000000</v>
      </c>
      <c r="H2055">
        <v>2.5510000000000002</v>
      </c>
      <c r="I2055" t="s">
        <v>56</v>
      </c>
      <c r="J2055">
        <v>2.5510000000000002E-4</v>
      </c>
      <c r="K2055" t="s">
        <v>57</v>
      </c>
      <c r="N2055" t="s">
        <v>580</v>
      </c>
      <c r="O2055">
        <v>200</v>
      </c>
      <c r="P2055" t="s">
        <v>277</v>
      </c>
      <c r="T2055">
        <v>25</v>
      </c>
      <c r="U2055" t="s">
        <v>581</v>
      </c>
      <c r="V2055">
        <v>75</v>
      </c>
      <c r="W2055" t="s">
        <v>99</v>
      </c>
      <c r="X2055" t="s">
        <v>280</v>
      </c>
      <c r="Y2055">
        <v>240</v>
      </c>
      <c r="Z2055">
        <v>1</v>
      </c>
      <c r="AA2055" t="s">
        <v>94</v>
      </c>
      <c r="AB2055">
        <v>5.88</v>
      </c>
      <c r="AC2055" t="s">
        <v>85</v>
      </c>
      <c r="AI2055">
        <v>4</v>
      </c>
      <c r="AJ2055" t="s">
        <v>87</v>
      </c>
      <c r="AT2055" t="s">
        <v>65</v>
      </c>
      <c r="AV2055" t="s">
        <v>88</v>
      </c>
      <c r="AW2055">
        <v>200</v>
      </c>
      <c r="AZ2055">
        <v>0</v>
      </c>
      <c r="BA2055">
        <v>5.88</v>
      </c>
    </row>
    <row r="2056" spans="1:53" hidden="1" x14ac:dyDescent="0.3">
      <c r="A2056" t="s">
        <v>80</v>
      </c>
      <c r="C2056" t="s">
        <v>251</v>
      </c>
      <c r="D2056" t="s">
        <v>81</v>
      </c>
      <c r="E2056">
        <v>10000000</v>
      </c>
      <c r="H2056">
        <v>2.552</v>
      </c>
      <c r="I2056" t="s">
        <v>56</v>
      </c>
      <c r="J2056">
        <v>2.5520000000000002E-4</v>
      </c>
      <c r="K2056" t="s">
        <v>57</v>
      </c>
      <c r="N2056" t="s">
        <v>580</v>
      </c>
      <c r="O2056">
        <v>200</v>
      </c>
      <c r="P2056" t="s">
        <v>277</v>
      </c>
      <c r="T2056">
        <v>25</v>
      </c>
      <c r="U2056" t="s">
        <v>581</v>
      </c>
      <c r="V2056">
        <v>75</v>
      </c>
      <c r="W2056" t="s">
        <v>101</v>
      </c>
      <c r="X2056" t="s">
        <v>280</v>
      </c>
      <c r="Y2056">
        <v>240</v>
      </c>
      <c r="Z2056">
        <v>1</v>
      </c>
      <c r="AA2056" t="s">
        <v>94</v>
      </c>
      <c r="AB2056">
        <v>5.88</v>
      </c>
      <c r="AC2056" t="s">
        <v>85</v>
      </c>
      <c r="AI2056">
        <v>4</v>
      </c>
      <c r="AJ2056" t="s">
        <v>87</v>
      </c>
      <c r="AT2056" t="s">
        <v>65</v>
      </c>
      <c r="AV2056" t="s">
        <v>88</v>
      </c>
      <c r="AW2056">
        <v>200</v>
      </c>
      <c r="AZ2056">
        <v>0</v>
      </c>
      <c r="BA2056">
        <v>5.88</v>
      </c>
    </row>
    <row r="2057" spans="1:53" hidden="1" x14ac:dyDescent="0.3">
      <c r="A2057" t="s">
        <v>80</v>
      </c>
      <c r="C2057" t="s">
        <v>251</v>
      </c>
      <c r="D2057" t="s">
        <v>81</v>
      </c>
      <c r="E2057">
        <v>10000000</v>
      </c>
      <c r="H2057">
        <v>2.5529999999999999</v>
      </c>
      <c r="I2057" t="s">
        <v>56</v>
      </c>
      <c r="J2057">
        <v>2.5530000000000003E-4</v>
      </c>
      <c r="K2057" t="s">
        <v>57</v>
      </c>
      <c r="N2057" t="s">
        <v>583</v>
      </c>
      <c r="O2057">
        <v>200</v>
      </c>
      <c r="P2057" t="s">
        <v>277</v>
      </c>
      <c r="T2057">
        <v>25</v>
      </c>
      <c r="U2057" t="s">
        <v>584</v>
      </c>
      <c r="V2057">
        <v>75</v>
      </c>
      <c r="W2057" t="s">
        <v>83</v>
      </c>
      <c r="X2057" t="s">
        <v>280</v>
      </c>
      <c r="Y2057">
        <v>480</v>
      </c>
      <c r="Z2057">
        <v>1</v>
      </c>
      <c r="AA2057" t="s">
        <v>94</v>
      </c>
      <c r="AB2057">
        <v>7.39</v>
      </c>
      <c r="AC2057" t="s">
        <v>85</v>
      </c>
      <c r="AI2057">
        <v>4</v>
      </c>
      <c r="AJ2057" t="s">
        <v>87</v>
      </c>
      <c r="AT2057" t="s">
        <v>65</v>
      </c>
      <c r="AV2057" t="s">
        <v>88</v>
      </c>
      <c r="AW2057">
        <v>200</v>
      </c>
      <c r="AZ2057">
        <v>0</v>
      </c>
      <c r="BA2057">
        <v>7.39</v>
      </c>
    </row>
    <row r="2058" spans="1:53" hidden="1" x14ac:dyDescent="0.3">
      <c r="A2058" t="s">
        <v>80</v>
      </c>
      <c r="C2058" t="s">
        <v>251</v>
      </c>
      <c r="D2058" t="s">
        <v>81</v>
      </c>
      <c r="E2058">
        <v>10000000</v>
      </c>
      <c r="H2058">
        <v>2.5539999999999998</v>
      </c>
      <c r="I2058" t="s">
        <v>56</v>
      </c>
      <c r="J2058">
        <v>2.5539999999999997E-4</v>
      </c>
      <c r="K2058" t="s">
        <v>57</v>
      </c>
      <c r="N2058" t="s">
        <v>583</v>
      </c>
      <c r="O2058">
        <v>200</v>
      </c>
      <c r="P2058" t="s">
        <v>277</v>
      </c>
      <c r="T2058">
        <v>25</v>
      </c>
      <c r="U2058" t="s">
        <v>584</v>
      </c>
      <c r="V2058">
        <v>75</v>
      </c>
      <c r="W2058" t="s">
        <v>89</v>
      </c>
      <c r="X2058" t="s">
        <v>280</v>
      </c>
      <c r="Y2058">
        <v>480</v>
      </c>
      <c r="Z2058">
        <v>1</v>
      </c>
      <c r="AA2058" t="s">
        <v>94</v>
      </c>
      <c r="AB2058">
        <v>7.4</v>
      </c>
      <c r="AC2058" t="s">
        <v>85</v>
      </c>
      <c r="AI2058">
        <v>4</v>
      </c>
      <c r="AJ2058" t="s">
        <v>87</v>
      </c>
      <c r="AT2058" t="s">
        <v>65</v>
      </c>
      <c r="AV2058" t="s">
        <v>88</v>
      </c>
      <c r="AW2058">
        <v>200</v>
      </c>
      <c r="AZ2058">
        <v>0</v>
      </c>
      <c r="BA2058">
        <v>7.4</v>
      </c>
    </row>
    <row r="2059" spans="1:53" hidden="1" x14ac:dyDescent="0.3">
      <c r="A2059" t="s">
        <v>80</v>
      </c>
      <c r="C2059" t="s">
        <v>251</v>
      </c>
      <c r="D2059" t="s">
        <v>81</v>
      </c>
      <c r="E2059">
        <v>10000000</v>
      </c>
      <c r="H2059">
        <v>2.5550000000000002</v>
      </c>
      <c r="I2059" t="s">
        <v>56</v>
      </c>
      <c r="J2059">
        <v>2.5549999999999998E-4</v>
      </c>
      <c r="K2059" t="s">
        <v>57</v>
      </c>
      <c r="N2059" t="s">
        <v>583</v>
      </c>
      <c r="O2059">
        <v>200</v>
      </c>
      <c r="P2059" t="s">
        <v>277</v>
      </c>
      <c r="T2059">
        <v>25</v>
      </c>
      <c r="U2059" t="s">
        <v>584</v>
      </c>
      <c r="V2059">
        <v>75</v>
      </c>
      <c r="W2059" t="s">
        <v>91</v>
      </c>
      <c r="X2059" t="s">
        <v>280</v>
      </c>
      <c r="Y2059">
        <v>480</v>
      </c>
      <c r="Z2059">
        <v>1</v>
      </c>
      <c r="AB2059">
        <v>7.02</v>
      </c>
      <c r="AC2059" t="s">
        <v>85</v>
      </c>
      <c r="AD2059" t="s">
        <v>585</v>
      </c>
      <c r="AE2059" t="s">
        <v>63</v>
      </c>
      <c r="AI2059">
        <v>4</v>
      </c>
      <c r="AJ2059" t="s">
        <v>87</v>
      </c>
      <c r="AT2059" t="s">
        <v>65</v>
      </c>
      <c r="AV2059" t="s">
        <v>88</v>
      </c>
      <c r="AW2059">
        <v>200</v>
      </c>
    </row>
    <row r="2060" spans="1:53" hidden="1" x14ac:dyDescent="0.3">
      <c r="A2060" t="s">
        <v>80</v>
      </c>
      <c r="C2060" t="s">
        <v>251</v>
      </c>
      <c r="D2060" t="s">
        <v>81</v>
      </c>
      <c r="E2060">
        <v>10000000</v>
      </c>
      <c r="H2060">
        <v>2.556</v>
      </c>
      <c r="I2060" t="s">
        <v>56</v>
      </c>
      <c r="J2060">
        <v>2.5559999999999998E-4</v>
      </c>
      <c r="K2060" t="s">
        <v>57</v>
      </c>
      <c r="N2060" t="s">
        <v>583</v>
      </c>
      <c r="O2060">
        <v>200</v>
      </c>
      <c r="P2060" t="s">
        <v>277</v>
      </c>
      <c r="T2060">
        <v>25</v>
      </c>
      <c r="U2060" t="s">
        <v>584</v>
      </c>
      <c r="V2060">
        <v>75</v>
      </c>
      <c r="W2060" t="s">
        <v>93</v>
      </c>
      <c r="X2060" t="s">
        <v>280</v>
      </c>
      <c r="Y2060">
        <v>480</v>
      </c>
      <c r="Z2060">
        <v>1</v>
      </c>
      <c r="AA2060" t="s">
        <v>94</v>
      </c>
      <c r="AB2060">
        <v>7.4</v>
      </c>
      <c r="AC2060" t="s">
        <v>85</v>
      </c>
      <c r="AI2060">
        <v>4</v>
      </c>
      <c r="AJ2060" t="s">
        <v>87</v>
      </c>
      <c r="AT2060" t="s">
        <v>65</v>
      </c>
      <c r="AV2060" t="s">
        <v>88</v>
      </c>
      <c r="AW2060">
        <v>200</v>
      </c>
      <c r="AZ2060">
        <v>0</v>
      </c>
      <c r="BA2060">
        <v>7.4</v>
      </c>
    </row>
    <row r="2061" spans="1:53" hidden="1" x14ac:dyDescent="0.3">
      <c r="A2061" t="s">
        <v>80</v>
      </c>
      <c r="C2061" t="s">
        <v>251</v>
      </c>
      <c r="D2061" t="s">
        <v>81</v>
      </c>
      <c r="E2061">
        <v>10000000</v>
      </c>
      <c r="H2061">
        <v>2.5569999999999999</v>
      </c>
      <c r="I2061" t="s">
        <v>56</v>
      </c>
      <c r="J2061">
        <v>2.5569999999999998E-4</v>
      </c>
      <c r="K2061" t="s">
        <v>57</v>
      </c>
      <c r="N2061" t="s">
        <v>583</v>
      </c>
      <c r="O2061">
        <v>200</v>
      </c>
      <c r="P2061" t="s">
        <v>277</v>
      </c>
      <c r="T2061">
        <v>25</v>
      </c>
      <c r="U2061" t="s">
        <v>584</v>
      </c>
      <c r="V2061">
        <v>75</v>
      </c>
      <c r="W2061" t="s">
        <v>95</v>
      </c>
      <c r="X2061" t="s">
        <v>280</v>
      </c>
      <c r="Y2061">
        <v>480</v>
      </c>
      <c r="Z2061">
        <v>1</v>
      </c>
      <c r="AA2061" t="s">
        <v>94</v>
      </c>
      <c r="AB2061">
        <v>7.4</v>
      </c>
      <c r="AC2061" t="s">
        <v>85</v>
      </c>
      <c r="AI2061">
        <v>4</v>
      </c>
      <c r="AJ2061" t="s">
        <v>87</v>
      </c>
      <c r="AT2061" t="s">
        <v>65</v>
      </c>
      <c r="AV2061" t="s">
        <v>88</v>
      </c>
      <c r="AW2061">
        <v>200</v>
      </c>
      <c r="AZ2061">
        <v>0</v>
      </c>
      <c r="BA2061">
        <v>7.4</v>
      </c>
    </row>
    <row r="2062" spans="1:53" hidden="1" x14ac:dyDescent="0.3">
      <c r="A2062" t="s">
        <v>80</v>
      </c>
      <c r="C2062" t="s">
        <v>251</v>
      </c>
      <c r="D2062" t="s">
        <v>81</v>
      </c>
      <c r="E2062">
        <v>10000000</v>
      </c>
      <c r="H2062">
        <v>2.5579999999999998</v>
      </c>
      <c r="I2062" t="s">
        <v>56</v>
      </c>
      <c r="J2062">
        <v>2.5579999999999998E-4</v>
      </c>
      <c r="K2062" t="s">
        <v>57</v>
      </c>
      <c r="N2062" t="s">
        <v>583</v>
      </c>
      <c r="O2062">
        <v>200</v>
      </c>
      <c r="P2062" t="s">
        <v>277</v>
      </c>
      <c r="T2062">
        <v>25</v>
      </c>
      <c r="U2062" t="s">
        <v>584</v>
      </c>
      <c r="V2062">
        <v>75</v>
      </c>
      <c r="W2062" t="s">
        <v>97</v>
      </c>
      <c r="X2062" t="s">
        <v>280</v>
      </c>
      <c r="Y2062">
        <v>480</v>
      </c>
      <c r="Z2062">
        <v>1</v>
      </c>
      <c r="AA2062" t="s">
        <v>94</v>
      </c>
      <c r="AB2062">
        <v>7.39</v>
      </c>
      <c r="AC2062" t="s">
        <v>85</v>
      </c>
      <c r="AI2062">
        <v>4</v>
      </c>
      <c r="AJ2062" t="s">
        <v>87</v>
      </c>
      <c r="AT2062" t="s">
        <v>65</v>
      </c>
      <c r="AV2062" t="s">
        <v>88</v>
      </c>
      <c r="AW2062">
        <v>200</v>
      </c>
      <c r="AZ2062">
        <v>0</v>
      </c>
      <c r="BA2062">
        <v>7.39</v>
      </c>
    </row>
    <row r="2063" spans="1:53" hidden="1" x14ac:dyDescent="0.3">
      <c r="A2063" t="s">
        <v>80</v>
      </c>
      <c r="C2063" t="s">
        <v>251</v>
      </c>
      <c r="D2063" t="s">
        <v>81</v>
      </c>
      <c r="E2063">
        <v>10000000</v>
      </c>
      <c r="H2063">
        <v>2.5590000000000002</v>
      </c>
      <c r="I2063" t="s">
        <v>56</v>
      </c>
      <c r="J2063">
        <v>2.5589999999999999E-4</v>
      </c>
      <c r="K2063" t="s">
        <v>57</v>
      </c>
      <c r="N2063" t="s">
        <v>583</v>
      </c>
      <c r="O2063">
        <v>200</v>
      </c>
      <c r="P2063" t="s">
        <v>277</v>
      </c>
      <c r="T2063">
        <v>25</v>
      </c>
      <c r="U2063" t="s">
        <v>584</v>
      </c>
      <c r="V2063">
        <v>75</v>
      </c>
      <c r="W2063" t="s">
        <v>99</v>
      </c>
      <c r="X2063" t="s">
        <v>280</v>
      </c>
      <c r="Y2063">
        <v>480</v>
      </c>
      <c r="Z2063">
        <v>1</v>
      </c>
      <c r="AB2063">
        <v>7.04</v>
      </c>
      <c r="AC2063" t="s">
        <v>85</v>
      </c>
      <c r="AD2063" t="s">
        <v>519</v>
      </c>
      <c r="AE2063" t="s">
        <v>63</v>
      </c>
      <c r="AI2063">
        <v>4</v>
      </c>
      <c r="AJ2063" t="s">
        <v>87</v>
      </c>
      <c r="AT2063" t="s">
        <v>65</v>
      </c>
      <c r="AV2063" t="s">
        <v>88</v>
      </c>
      <c r="AW2063">
        <v>200</v>
      </c>
    </row>
    <row r="2064" spans="1:53" hidden="1" x14ac:dyDescent="0.3">
      <c r="A2064" t="s">
        <v>80</v>
      </c>
      <c r="C2064" t="s">
        <v>251</v>
      </c>
      <c r="D2064" t="s">
        <v>81</v>
      </c>
      <c r="E2064">
        <v>10000000</v>
      </c>
      <c r="H2064">
        <v>2.56</v>
      </c>
      <c r="I2064" t="s">
        <v>56</v>
      </c>
      <c r="J2064">
        <v>2.5599999999999999E-4</v>
      </c>
      <c r="K2064" t="s">
        <v>57</v>
      </c>
      <c r="N2064" t="s">
        <v>583</v>
      </c>
      <c r="O2064">
        <v>200</v>
      </c>
      <c r="P2064" t="s">
        <v>277</v>
      </c>
      <c r="T2064">
        <v>25</v>
      </c>
      <c r="U2064" t="s">
        <v>584</v>
      </c>
      <c r="V2064">
        <v>75</v>
      </c>
      <c r="W2064" t="s">
        <v>101</v>
      </c>
      <c r="X2064" t="s">
        <v>280</v>
      </c>
      <c r="Y2064">
        <v>480</v>
      </c>
      <c r="Z2064">
        <v>1</v>
      </c>
      <c r="AB2064">
        <v>7.03</v>
      </c>
      <c r="AC2064" t="s">
        <v>85</v>
      </c>
      <c r="AD2064" t="s">
        <v>586</v>
      </c>
      <c r="AE2064" t="s">
        <v>63</v>
      </c>
      <c r="AI2064">
        <v>4</v>
      </c>
      <c r="AJ2064" t="s">
        <v>87</v>
      </c>
      <c r="AT2064" t="s">
        <v>65</v>
      </c>
      <c r="AV2064" t="s">
        <v>88</v>
      </c>
      <c r="AW2064">
        <v>200</v>
      </c>
    </row>
    <row r="2065" spans="1:53" hidden="1" x14ac:dyDescent="0.3">
      <c r="A2065" t="s">
        <v>80</v>
      </c>
      <c r="C2065" t="s">
        <v>251</v>
      </c>
      <c r="D2065" t="s">
        <v>81</v>
      </c>
      <c r="E2065">
        <v>10000000</v>
      </c>
      <c r="H2065">
        <v>2.5609999999999999</v>
      </c>
      <c r="I2065" t="s">
        <v>56</v>
      </c>
      <c r="J2065">
        <v>2.5609999999999999E-4</v>
      </c>
      <c r="K2065" t="s">
        <v>57</v>
      </c>
      <c r="N2065" t="s">
        <v>587</v>
      </c>
      <c r="O2065">
        <v>3000</v>
      </c>
      <c r="P2065" t="s">
        <v>277</v>
      </c>
      <c r="T2065">
        <v>25</v>
      </c>
      <c r="U2065" t="s">
        <v>588</v>
      </c>
      <c r="V2065">
        <v>75</v>
      </c>
      <c r="W2065" t="s">
        <v>83</v>
      </c>
      <c r="X2065" t="s">
        <v>280</v>
      </c>
      <c r="Y2065">
        <v>180</v>
      </c>
      <c r="Z2065">
        <v>1</v>
      </c>
      <c r="AA2065" t="s">
        <v>94</v>
      </c>
      <c r="AB2065">
        <v>7.35</v>
      </c>
      <c r="AC2065" t="s">
        <v>85</v>
      </c>
      <c r="AI2065">
        <v>4</v>
      </c>
      <c r="AJ2065" t="s">
        <v>589</v>
      </c>
      <c r="AT2065" t="s">
        <v>65</v>
      </c>
      <c r="AV2065" t="s">
        <v>88</v>
      </c>
      <c r="AW2065">
        <v>3000</v>
      </c>
      <c r="AZ2065">
        <v>0</v>
      </c>
      <c r="BA2065">
        <v>7.35</v>
      </c>
    </row>
    <row r="2066" spans="1:53" hidden="1" x14ac:dyDescent="0.3">
      <c r="A2066" t="s">
        <v>80</v>
      </c>
      <c r="C2066" t="s">
        <v>251</v>
      </c>
      <c r="D2066" t="s">
        <v>81</v>
      </c>
      <c r="E2066">
        <v>10000000</v>
      </c>
      <c r="H2066">
        <v>2.5619999999999998</v>
      </c>
      <c r="I2066" t="s">
        <v>56</v>
      </c>
      <c r="J2066">
        <v>2.5619999999999999E-4</v>
      </c>
      <c r="K2066" t="s">
        <v>57</v>
      </c>
      <c r="N2066" t="s">
        <v>587</v>
      </c>
      <c r="O2066">
        <v>3000</v>
      </c>
      <c r="P2066" t="s">
        <v>277</v>
      </c>
      <c r="T2066">
        <v>25</v>
      </c>
      <c r="U2066" t="s">
        <v>588</v>
      </c>
      <c r="V2066">
        <v>75</v>
      </c>
      <c r="W2066" t="s">
        <v>89</v>
      </c>
      <c r="X2066" t="s">
        <v>280</v>
      </c>
      <c r="Y2066">
        <v>180</v>
      </c>
      <c r="Z2066">
        <v>1</v>
      </c>
      <c r="AA2066" t="s">
        <v>94</v>
      </c>
      <c r="AB2066">
        <v>7.35</v>
      </c>
      <c r="AC2066" t="s">
        <v>85</v>
      </c>
      <c r="AI2066">
        <v>4</v>
      </c>
      <c r="AJ2066" t="s">
        <v>589</v>
      </c>
      <c r="AT2066" t="s">
        <v>65</v>
      </c>
      <c r="AV2066" t="s">
        <v>88</v>
      </c>
      <c r="AW2066">
        <v>3000</v>
      </c>
      <c r="AZ2066">
        <v>0</v>
      </c>
      <c r="BA2066">
        <v>7.35</v>
      </c>
    </row>
    <row r="2067" spans="1:53" hidden="1" x14ac:dyDescent="0.3">
      <c r="A2067" t="s">
        <v>80</v>
      </c>
      <c r="C2067" t="s">
        <v>251</v>
      </c>
      <c r="D2067" t="s">
        <v>81</v>
      </c>
      <c r="E2067">
        <v>10000000</v>
      </c>
      <c r="H2067">
        <v>2.5630000000000002</v>
      </c>
      <c r="I2067" t="s">
        <v>56</v>
      </c>
      <c r="J2067">
        <v>2.563E-4</v>
      </c>
      <c r="K2067" t="s">
        <v>57</v>
      </c>
      <c r="N2067" t="s">
        <v>587</v>
      </c>
      <c r="O2067">
        <v>3000</v>
      </c>
      <c r="P2067" t="s">
        <v>277</v>
      </c>
      <c r="T2067">
        <v>25</v>
      </c>
      <c r="U2067" t="s">
        <v>588</v>
      </c>
      <c r="V2067">
        <v>75</v>
      </c>
      <c r="W2067" t="s">
        <v>91</v>
      </c>
      <c r="X2067" t="s">
        <v>280</v>
      </c>
      <c r="Y2067">
        <v>180</v>
      </c>
      <c r="Z2067">
        <v>1</v>
      </c>
      <c r="AB2067">
        <v>7.11</v>
      </c>
      <c r="AC2067" t="s">
        <v>85</v>
      </c>
      <c r="AD2067" t="s">
        <v>590</v>
      </c>
      <c r="AE2067" t="s">
        <v>63</v>
      </c>
      <c r="AI2067">
        <v>4</v>
      </c>
      <c r="AJ2067" t="s">
        <v>589</v>
      </c>
      <c r="AT2067" t="s">
        <v>65</v>
      </c>
      <c r="AV2067" t="s">
        <v>88</v>
      </c>
      <c r="AW2067">
        <v>3000</v>
      </c>
    </row>
    <row r="2068" spans="1:53" hidden="1" x14ac:dyDescent="0.3">
      <c r="A2068" t="s">
        <v>80</v>
      </c>
      <c r="C2068" t="s">
        <v>251</v>
      </c>
      <c r="D2068" t="s">
        <v>81</v>
      </c>
      <c r="E2068">
        <v>10000000</v>
      </c>
      <c r="H2068">
        <v>2.5640000000000001</v>
      </c>
      <c r="I2068" t="s">
        <v>56</v>
      </c>
      <c r="J2068">
        <v>2.564E-4</v>
      </c>
      <c r="K2068" t="s">
        <v>57</v>
      </c>
      <c r="N2068" t="s">
        <v>587</v>
      </c>
      <c r="O2068">
        <v>3000</v>
      </c>
      <c r="P2068" t="s">
        <v>277</v>
      </c>
      <c r="T2068">
        <v>25</v>
      </c>
      <c r="U2068" t="s">
        <v>588</v>
      </c>
      <c r="V2068">
        <v>75</v>
      </c>
      <c r="W2068" t="s">
        <v>93</v>
      </c>
      <c r="X2068" t="s">
        <v>280</v>
      </c>
      <c r="Y2068">
        <v>180</v>
      </c>
      <c r="Z2068">
        <v>1</v>
      </c>
      <c r="AA2068" t="s">
        <v>94</v>
      </c>
      <c r="AB2068">
        <v>7.35</v>
      </c>
      <c r="AC2068" t="s">
        <v>85</v>
      </c>
      <c r="AI2068">
        <v>4</v>
      </c>
      <c r="AJ2068" t="s">
        <v>589</v>
      </c>
      <c r="AT2068" t="s">
        <v>65</v>
      </c>
      <c r="AV2068" t="s">
        <v>88</v>
      </c>
      <c r="AW2068">
        <v>3000</v>
      </c>
      <c r="AZ2068">
        <v>0</v>
      </c>
      <c r="BA2068">
        <v>7.35</v>
      </c>
    </row>
    <row r="2069" spans="1:53" hidden="1" x14ac:dyDescent="0.3">
      <c r="A2069" t="s">
        <v>80</v>
      </c>
      <c r="C2069" t="s">
        <v>251</v>
      </c>
      <c r="D2069" t="s">
        <v>81</v>
      </c>
      <c r="E2069">
        <v>10000000</v>
      </c>
      <c r="H2069">
        <v>2.5649999999999999</v>
      </c>
      <c r="I2069" t="s">
        <v>56</v>
      </c>
      <c r="J2069">
        <v>2.565E-4</v>
      </c>
      <c r="K2069" t="s">
        <v>57</v>
      </c>
      <c r="N2069" t="s">
        <v>587</v>
      </c>
      <c r="O2069">
        <v>3000</v>
      </c>
      <c r="P2069" t="s">
        <v>277</v>
      </c>
      <c r="T2069">
        <v>25</v>
      </c>
      <c r="U2069" t="s">
        <v>588</v>
      </c>
      <c r="V2069">
        <v>75</v>
      </c>
      <c r="W2069" t="s">
        <v>95</v>
      </c>
      <c r="X2069" t="s">
        <v>280</v>
      </c>
      <c r="Y2069">
        <v>180</v>
      </c>
      <c r="Z2069">
        <v>1</v>
      </c>
      <c r="AA2069" t="s">
        <v>94</v>
      </c>
      <c r="AB2069">
        <v>7.35</v>
      </c>
      <c r="AC2069" t="s">
        <v>85</v>
      </c>
      <c r="AI2069">
        <v>4</v>
      </c>
      <c r="AJ2069" t="s">
        <v>589</v>
      </c>
      <c r="AT2069" t="s">
        <v>65</v>
      </c>
      <c r="AV2069" t="s">
        <v>88</v>
      </c>
      <c r="AW2069">
        <v>3000</v>
      </c>
      <c r="AZ2069">
        <v>0</v>
      </c>
      <c r="BA2069">
        <v>7.35</v>
      </c>
    </row>
    <row r="2070" spans="1:53" hidden="1" x14ac:dyDescent="0.3">
      <c r="A2070" t="s">
        <v>80</v>
      </c>
      <c r="C2070" t="s">
        <v>251</v>
      </c>
      <c r="D2070" t="s">
        <v>81</v>
      </c>
      <c r="E2070">
        <v>10000000</v>
      </c>
      <c r="H2070">
        <v>2.5659999999999998</v>
      </c>
      <c r="I2070" t="s">
        <v>56</v>
      </c>
      <c r="J2070">
        <v>2.566E-4</v>
      </c>
      <c r="K2070" t="s">
        <v>57</v>
      </c>
      <c r="N2070" t="s">
        <v>587</v>
      </c>
      <c r="O2070">
        <v>3000</v>
      </c>
      <c r="P2070" t="s">
        <v>277</v>
      </c>
      <c r="T2070">
        <v>25</v>
      </c>
      <c r="U2070" t="s">
        <v>588</v>
      </c>
      <c r="V2070">
        <v>75</v>
      </c>
      <c r="W2070" t="s">
        <v>97</v>
      </c>
      <c r="X2070" t="s">
        <v>280</v>
      </c>
      <c r="Y2070">
        <v>180</v>
      </c>
      <c r="AA2070" t="s">
        <v>94</v>
      </c>
      <c r="AB2070">
        <v>7.35</v>
      </c>
      <c r="AC2070" t="s">
        <v>85</v>
      </c>
      <c r="AI2070">
        <v>4</v>
      </c>
      <c r="AJ2070" t="s">
        <v>589</v>
      </c>
      <c r="AT2070" t="s">
        <v>65</v>
      </c>
      <c r="AV2070" t="s">
        <v>88</v>
      </c>
      <c r="AW2070">
        <v>3000</v>
      </c>
      <c r="AZ2070">
        <v>0</v>
      </c>
      <c r="BA2070">
        <v>7.35</v>
      </c>
    </row>
    <row r="2071" spans="1:53" hidden="1" x14ac:dyDescent="0.3">
      <c r="A2071" t="s">
        <v>80</v>
      </c>
      <c r="C2071" t="s">
        <v>251</v>
      </c>
      <c r="D2071" t="s">
        <v>81</v>
      </c>
      <c r="E2071">
        <v>10000000</v>
      </c>
      <c r="H2071">
        <v>2.5670000000000002</v>
      </c>
      <c r="I2071" t="s">
        <v>56</v>
      </c>
      <c r="J2071">
        <v>2.5670000000000001E-4</v>
      </c>
      <c r="K2071" t="s">
        <v>57</v>
      </c>
      <c r="N2071" t="s">
        <v>587</v>
      </c>
      <c r="O2071">
        <v>3000</v>
      </c>
      <c r="P2071" t="s">
        <v>277</v>
      </c>
      <c r="T2071">
        <v>25</v>
      </c>
      <c r="U2071" t="s">
        <v>588</v>
      </c>
      <c r="V2071">
        <v>75</v>
      </c>
      <c r="W2071" t="s">
        <v>99</v>
      </c>
      <c r="X2071" t="s">
        <v>280</v>
      </c>
      <c r="Y2071">
        <v>180</v>
      </c>
      <c r="AA2071" t="s">
        <v>94</v>
      </c>
      <c r="AB2071">
        <v>7.35</v>
      </c>
      <c r="AC2071" t="s">
        <v>85</v>
      </c>
      <c r="AI2071">
        <v>4</v>
      </c>
      <c r="AJ2071" t="s">
        <v>589</v>
      </c>
      <c r="AT2071" t="s">
        <v>65</v>
      </c>
      <c r="AV2071" t="s">
        <v>88</v>
      </c>
      <c r="AW2071">
        <v>3000</v>
      </c>
      <c r="AZ2071">
        <v>0</v>
      </c>
      <c r="BA2071">
        <v>7.35</v>
      </c>
    </row>
    <row r="2072" spans="1:53" hidden="1" x14ac:dyDescent="0.3">
      <c r="A2072" t="s">
        <v>80</v>
      </c>
      <c r="C2072" t="s">
        <v>251</v>
      </c>
      <c r="D2072" t="s">
        <v>81</v>
      </c>
      <c r="E2072">
        <v>10000000</v>
      </c>
      <c r="H2072">
        <v>2.5680000000000001</v>
      </c>
      <c r="I2072" t="s">
        <v>56</v>
      </c>
      <c r="J2072">
        <v>2.5680000000000001E-4</v>
      </c>
      <c r="K2072" t="s">
        <v>57</v>
      </c>
      <c r="N2072" t="s">
        <v>587</v>
      </c>
      <c r="O2072">
        <v>3000</v>
      </c>
      <c r="P2072" t="s">
        <v>277</v>
      </c>
      <c r="T2072">
        <v>25</v>
      </c>
      <c r="U2072" t="s">
        <v>588</v>
      </c>
      <c r="V2072">
        <v>75</v>
      </c>
      <c r="W2072" t="s">
        <v>101</v>
      </c>
      <c r="X2072" t="s">
        <v>280</v>
      </c>
      <c r="Y2072">
        <v>180</v>
      </c>
      <c r="AA2072" t="s">
        <v>94</v>
      </c>
      <c r="AB2072">
        <v>7.35</v>
      </c>
      <c r="AC2072" t="s">
        <v>85</v>
      </c>
      <c r="AI2072">
        <v>4</v>
      </c>
      <c r="AJ2072" t="s">
        <v>589</v>
      </c>
      <c r="AT2072" t="s">
        <v>65</v>
      </c>
      <c r="AV2072" t="s">
        <v>88</v>
      </c>
      <c r="AW2072">
        <v>3000</v>
      </c>
      <c r="AZ2072">
        <v>0</v>
      </c>
      <c r="BA2072">
        <v>7.35</v>
      </c>
    </row>
    <row r="2073" spans="1:53" hidden="1" x14ac:dyDescent="0.3">
      <c r="A2073" t="s">
        <v>80</v>
      </c>
      <c r="C2073" t="s">
        <v>251</v>
      </c>
      <c r="D2073" t="s">
        <v>81</v>
      </c>
      <c r="E2073">
        <v>10000000</v>
      </c>
      <c r="H2073">
        <v>2.569</v>
      </c>
      <c r="I2073" t="s">
        <v>56</v>
      </c>
      <c r="J2073">
        <v>2.5690000000000001E-4</v>
      </c>
      <c r="K2073" t="s">
        <v>57</v>
      </c>
      <c r="N2073" t="s">
        <v>591</v>
      </c>
      <c r="O2073">
        <v>3000</v>
      </c>
      <c r="P2073" t="s">
        <v>277</v>
      </c>
      <c r="T2073">
        <v>25</v>
      </c>
      <c r="U2073" t="s">
        <v>592</v>
      </c>
      <c r="V2073">
        <v>65</v>
      </c>
      <c r="W2073" t="s">
        <v>83</v>
      </c>
      <c r="X2073" t="s">
        <v>280</v>
      </c>
      <c r="Y2073">
        <v>360</v>
      </c>
      <c r="AA2073" t="s">
        <v>94</v>
      </c>
      <c r="AB2073">
        <v>6.25</v>
      </c>
      <c r="AC2073" t="s">
        <v>85</v>
      </c>
      <c r="AI2073">
        <v>4</v>
      </c>
      <c r="AJ2073" t="s">
        <v>589</v>
      </c>
      <c r="AT2073" t="s">
        <v>65</v>
      </c>
      <c r="AV2073" t="s">
        <v>88</v>
      </c>
      <c r="AW2073">
        <v>3000</v>
      </c>
      <c r="AZ2073">
        <v>0</v>
      </c>
      <c r="BA2073">
        <v>6.25</v>
      </c>
    </row>
    <row r="2074" spans="1:53" hidden="1" x14ac:dyDescent="0.3">
      <c r="A2074" t="s">
        <v>80</v>
      </c>
      <c r="C2074" t="s">
        <v>251</v>
      </c>
      <c r="D2074" t="s">
        <v>81</v>
      </c>
      <c r="E2074">
        <v>10000000</v>
      </c>
      <c r="H2074">
        <v>2.57</v>
      </c>
      <c r="I2074" t="s">
        <v>56</v>
      </c>
      <c r="J2074">
        <v>2.5700000000000001E-4</v>
      </c>
      <c r="K2074" t="s">
        <v>57</v>
      </c>
      <c r="N2074" t="s">
        <v>591</v>
      </c>
      <c r="O2074">
        <v>3000</v>
      </c>
      <c r="P2074" t="s">
        <v>277</v>
      </c>
      <c r="T2074">
        <v>25</v>
      </c>
      <c r="U2074" t="s">
        <v>592</v>
      </c>
      <c r="V2074">
        <v>65</v>
      </c>
      <c r="W2074" t="s">
        <v>89</v>
      </c>
      <c r="X2074" t="s">
        <v>280</v>
      </c>
      <c r="Y2074">
        <v>360</v>
      </c>
      <c r="AA2074" t="s">
        <v>94</v>
      </c>
      <c r="AB2074">
        <v>6.25</v>
      </c>
      <c r="AC2074" t="s">
        <v>85</v>
      </c>
      <c r="AI2074">
        <v>4</v>
      </c>
      <c r="AJ2074" t="s">
        <v>589</v>
      </c>
      <c r="AT2074" t="s">
        <v>65</v>
      </c>
      <c r="AV2074" t="s">
        <v>88</v>
      </c>
      <c r="AW2074">
        <v>3000</v>
      </c>
      <c r="AZ2074">
        <v>0</v>
      </c>
      <c r="BA2074">
        <v>6.25</v>
      </c>
    </row>
    <row r="2075" spans="1:53" hidden="1" x14ac:dyDescent="0.3">
      <c r="A2075" t="s">
        <v>80</v>
      </c>
      <c r="C2075" t="s">
        <v>251</v>
      </c>
      <c r="D2075" t="s">
        <v>81</v>
      </c>
      <c r="E2075">
        <v>10000000</v>
      </c>
      <c r="H2075">
        <v>2.5710000000000002</v>
      </c>
      <c r="I2075" t="s">
        <v>56</v>
      </c>
      <c r="J2075">
        <v>2.5710000000000002E-4</v>
      </c>
      <c r="K2075" t="s">
        <v>57</v>
      </c>
      <c r="N2075" t="s">
        <v>591</v>
      </c>
      <c r="O2075">
        <v>3000</v>
      </c>
      <c r="P2075" t="s">
        <v>277</v>
      </c>
      <c r="T2075">
        <v>25</v>
      </c>
      <c r="U2075" t="s">
        <v>592</v>
      </c>
      <c r="V2075">
        <v>65</v>
      </c>
      <c r="W2075" t="s">
        <v>91</v>
      </c>
      <c r="X2075" t="s">
        <v>280</v>
      </c>
      <c r="Y2075">
        <v>360</v>
      </c>
      <c r="AA2075" t="s">
        <v>94</v>
      </c>
      <c r="AB2075">
        <v>6.25</v>
      </c>
      <c r="AC2075" t="s">
        <v>85</v>
      </c>
      <c r="AI2075">
        <v>4</v>
      </c>
      <c r="AJ2075" t="s">
        <v>589</v>
      </c>
      <c r="AT2075" t="s">
        <v>65</v>
      </c>
      <c r="AV2075" t="s">
        <v>88</v>
      </c>
      <c r="AW2075">
        <v>3000</v>
      </c>
      <c r="AZ2075">
        <v>0</v>
      </c>
      <c r="BA2075">
        <v>6.25</v>
      </c>
    </row>
    <row r="2076" spans="1:53" hidden="1" x14ac:dyDescent="0.3">
      <c r="A2076" t="s">
        <v>80</v>
      </c>
      <c r="C2076" t="s">
        <v>251</v>
      </c>
      <c r="D2076" t="s">
        <v>81</v>
      </c>
      <c r="E2076">
        <v>10000000</v>
      </c>
      <c r="H2076">
        <v>2.5720000000000001</v>
      </c>
      <c r="I2076" t="s">
        <v>56</v>
      </c>
      <c r="J2076">
        <v>2.5720000000000002E-4</v>
      </c>
      <c r="K2076" t="s">
        <v>57</v>
      </c>
      <c r="N2076" t="s">
        <v>591</v>
      </c>
      <c r="O2076">
        <v>3000</v>
      </c>
      <c r="P2076" t="s">
        <v>277</v>
      </c>
      <c r="T2076">
        <v>25</v>
      </c>
      <c r="U2076" t="s">
        <v>592</v>
      </c>
      <c r="V2076">
        <v>65</v>
      </c>
      <c r="W2076" t="s">
        <v>93</v>
      </c>
      <c r="X2076" t="s">
        <v>280</v>
      </c>
      <c r="Y2076">
        <v>360</v>
      </c>
      <c r="AA2076" t="s">
        <v>94</v>
      </c>
      <c r="AB2076">
        <v>6.25</v>
      </c>
      <c r="AC2076" t="s">
        <v>85</v>
      </c>
      <c r="AI2076">
        <v>4</v>
      </c>
      <c r="AJ2076" t="s">
        <v>589</v>
      </c>
      <c r="AT2076" t="s">
        <v>65</v>
      </c>
      <c r="AV2076" t="s">
        <v>88</v>
      </c>
      <c r="AW2076">
        <v>3000</v>
      </c>
      <c r="AZ2076">
        <v>0</v>
      </c>
      <c r="BA2076">
        <v>6.25</v>
      </c>
    </row>
    <row r="2077" spans="1:53" hidden="1" x14ac:dyDescent="0.3">
      <c r="A2077" t="s">
        <v>80</v>
      </c>
      <c r="C2077" t="s">
        <v>251</v>
      </c>
      <c r="D2077" t="s">
        <v>81</v>
      </c>
      <c r="E2077">
        <v>10000000</v>
      </c>
      <c r="H2077">
        <v>2.573</v>
      </c>
      <c r="I2077" t="s">
        <v>56</v>
      </c>
      <c r="J2077">
        <v>2.5730000000000002E-4</v>
      </c>
      <c r="K2077" t="s">
        <v>57</v>
      </c>
      <c r="N2077" t="s">
        <v>591</v>
      </c>
      <c r="O2077">
        <v>3000</v>
      </c>
      <c r="P2077" t="s">
        <v>277</v>
      </c>
      <c r="T2077">
        <v>25</v>
      </c>
      <c r="U2077" t="s">
        <v>592</v>
      </c>
      <c r="V2077">
        <v>65</v>
      </c>
      <c r="W2077" t="s">
        <v>95</v>
      </c>
      <c r="X2077" t="s">
        <v>280</v>
      </c>
      <c r="Y2077">
        <v>360</v>
      </c>
      <c r="AA2077" t="s">
        <v>94</v>
      </c>
      <c r="AB2077">
        <v>6.25</v>
      </c>
      <c r="AC2077" t="s">
        <v>85</v>
      </c>
      <c r="AI2077">
        <v>4</v>
      </c>
      <c r="AJ2077" t="s">
        <v>589</v>
      </c>
      <c r="AT2077" t="s">
        <v>65</v>
      </c>
      <c r="AV2077" t="s">
        <v>88</v>
      </c>
      <c r="AW2077">
        <v>3000</v>
      </c>
      <c r="AZ2077">
        <v>0</v>
      </c>
      <c r="BA2077">
        <v>6.25</v>
      </c>
    </row>
    <row r="2078" spans="1:53" hidden="1" x14ac:dyDescent="0.3">
      <c r="A2078" t="s">
        <v>80</v>
      </c>
      <c r="C2078" t="s">
        <v>251</v>
      </c>
      <c r="D2078" t="s">
        <v>81</v>
      </c>
      <c r="E2078">
        <v>10000000</v>
      </c>
      <c r="H2078">
        <v>2.5739999999999998</v>
      </c>
      <c r="I2078" t="s">
        <v>56</v>
      </c>
      <c r="J2078">
        <v>2.5740000000000002E-4</v>
      </c>
      <c r="K2078" t="s">
        <v>57</v>
      </c>
      <c r="N2078" t="s">
        <v>591</v>
      </c>
      <c r="O2078">
        <v>3000</v>
      </c>
      <c r="P2078" t="s">
        <v>277</v>
      </c>
      <c r="T2078">
        <v>25</v>
      </c>
      <c r="U2078" t="s">
        <v>592</v>
      </c>
      <c r="V2078">
        <v>65</v>
      </c>
      <c r="W2078" t="s">
        <v>97</v>
      </c>
      <c r="X2078" t="s">
        <v>280</v>
      </c>
      <c r="Y2078">
        <v>360</v>
      </c>
      <c r="AA2078" t="s">
        <v>94</v>
      </c>
      <c r="AB2078">
        <v>6.25</v>
      </c>
      <c r="AC2078" t="s">
        <v>85</v>
      </c>
      <c r="AI2078">
        <v>4</v>
      </c>
      <c r="AJ2078" t="s">
        <v>589</v>
      </c>
      <c r="AT2078" t="s">
        <v>65</v>
      </c>
      <c r="AV2078" t="s">
        <v>88</v>
      </c>
      <c r="AW2078">
        <v>3000</v>
      </c>
      <c r="AZ2078">
        <v>0</v>
      </c>
      <c r="BA2078">
        <v>6.25</v>
      </c>
    </row>
    <row r="2079" spans="1:53" hidden="1" x14ac:dyDescent="0.3">
      <c r="A2079" t="s">
        <v>80</v>
      </c>
      <c r="C2079" t="s">
        <v>251</v>
      </c>
      <c r="D2079" t="s">
        <v>81</v>
      </c>
      <c r="E2079">
        <v>10000000</v>
      </c>
      <c r="H2079">
        <v>2.5750000000000002</v>
      </c>
      <c r="I2079" t="s">
        <v>56</v>
      </c>
      <c r="J2079">
        <v>2.5750000000000002E-4</v>
      </c>
      <c r="K2079" t="s">
        <v>57</v>
      </c>
      <c r="N2079" t="s">
        <v>591</v>
      </c>
      <c r="O2079">
        <v>3000</v>
      </c>
      <c r="P2079" t="s">
        <v>277</v>
      </c>
      <c r="T2079">
        <v>25</v>
      </c>
      <c r="U2079" t="s">
        <v>592</v>
      </c>
      <c r="V2079">
        <v>65</v>
      </c>
      <c r="W2079" t="s">
        <v>99</v>
      </c>
      <c r="X2079" t="s">
        <v>280</v>
      </c>
      <c r="Y2079">
        <v>360</v>
      </c>
      <c r="AA2079" t="s">
        <v>94</v>
      </c>
      <c r="AB2079">
        <v>6.25</v>
      </c>
      <c r="AC2079" t="s">
        <v>85</v>
      </c>
      <c r="AI2079">
        <v>4</v>
      </c>
      <c r="AJ2079" t="s">
        <v>589</v>
      </c>
      <c r="AT2079" t="s">
        <v>65</v>
      </c>
      <c r="AV2079" t="s">
        <v>88</v>
      </c>
      <c r="AW2079">
        <v>3000</v>
      </c>
      <c r="AZ2079">
        <v>0</v>
      </c>
      <c r="BA2079">
        <v>6.25</v>
      </c>
    </row>
    <row r="2080" spans="1:53" hidden="1" x14ac:dyDescent="0.3">
      <c r="A2080" t="s">
        <v>80</v>
      </c>
      <c r="C2080" t="s">
        <v>251</v>
      </c>
      <c r="D2080" t="s">
        <v>81</v>
      </c>
      <c r="E2080">
        <v>10000000</v>
      </c>
      <c r="H2080">
        <v>2.5760000000000001</v>
      </c>
      <c r="I2080" t="s">
        <v>56</v>
      </c>
      <c r="J2080">
        <v>2.5759999999999997E-4</v>
      </c>
      <c r="K2080" t="s">
        <v>57</v>
      </c>
      <c r="N2080" t="s">
        <v>591</v>
      </c>
      <c r="O2080">
        <v>3000</v>
      </c>
      <c r="P2080" t="s">
        <v>277</v>
      </c>
      <c r="T2080">
        <v>25</v>
      </c>
      <c r="U2080" t="s">
        <v>592</v>
      </c>
      <c r="V2080">
        <v>65</v>
      </c>
      <c r="W2080" t="s">
        <v>101</v>
      </c>
      <c r="X2080" t="s">
        <v>280</v>
      </c>
      <c r="Y2080">
        <v>360</v>
      </c>
      <c r="AA2080" t="s">
        <v>94</v>
      </c>
      <c r="AB2080">
        <v>6.25</v>
      </c>
      <c r="AC2080" t="s">
        <v>85</v>
      </c>
      <c r="AI2080">
        <v>4</v>
      </c>
      <c r="AJ2080" t="s">
        <v>589</v>
      </c>
      <c r="AT2080" t="s">
        <v>65</v>
      </c>
      <c r="AV2080" t="s">
        <v>88</v>
      </c>
      <c r="AW2080">
        <v>3000</v>
      </c>
      <c r="AZ2080">
        <v>0</v>
      </c>
      <c r="BA2080">
        <v>6.25</v>
      </c>
    </row>
    <row r="2081" spans="1:53" hidden="1" x14ac:dyDescent="0.3">
      <c r="A2081" t="s">
        <v>80</v>
      </c>
      <c r="C2081" t="s">
        <v>251</v>
      </c>
      <c r="D2081" t="s">
        <v>81</v>
      </c>
      <c r="E2081">
        <v>10000000</v>
      </c>
      <c r="H2081">
        <v>2.577</v>
      </c>
      <c r="I2081" t="s">
        <v>56</v>
      </c>
      <c r="J2081">
        <v>2.5769999999999998E-4</v>
      </c>
      <c r="K2081" t="s">
        <v>57</v>
      </c>
      <c r="N2081" t="s">
        <v>593</v>
      </c>
      <c r="O2081">
        <v>200</v>
      </c>
      <c r="P2081" t="s">
        <v>277</v>
      </c>
      <c r="T2081">
        <v>25</v>
      </c>
      <c r="U2081" t="s">
        <v>594</v>
      </c>
      <c r="V2081">
        <v>76</v>
      </c>
      <c r="W2081" t="s">
        <v>83</v>
      </c>
      <c r="X2081" t="s">
        <v>280</v>
      </c>
      <c r="Y2081">
        <v>600</v>
      </c>
      <c r="AA2081" t="s">
        <v>94</v>
      </c>
      <c r="AB2081">
        <v>6.12</v>
      </c>
      <c r="AC2081" t="s">
        <v>85</v>
      </c>
      <c r="AI2081">
        <v>4</v>
      </c>
      <c r="AJ2081" t="s">
        <v>87</v>
      </c>
      <c r="AT2081" t="s">
        <v>65</v>
      </c>
      <c r="AV2081" t="s">
        <v>88</v>
      </c>
      <c r="AW2081">
        <v>200</v>
      </c>
      <c r="AZ2081">
        <v>0</v>
      </c>
      <c r="BA2081">
        <v>6.12</v>
      </c>
    </row>
    <row r="2082" spans="1:53" hidden="1" x14ac:dyDescent="0.3">
      <c r="A2082" t="s">
        <v>80</v>
      </c>
      <c r="C2082" t="s">
        <v>251</v>
      </c>
      <c r="D2082" t="s">
        <v>81</v>
      </c>
      <c r="E2082">
        <v>10000000</v>
      </c>
      <c r="H2082">
        <v>2.5779999999999998</v>
      </c>
      <c r="I2082" t="s">
        <v>56</v>
      </c>
      <c r="J2082">
        <v>2.5779999999999998E-4</v>
      </c>
      <c r="K2082" t="s">
        <v>57</v>
      </c>
      <c r="N2082" t="s">
        <v>593</v>
      </c>
      <c r="O2082">
        <v>200</v>
      </c>
      <c r="P2082" t="s">
        <v>277</v>
      </c>
      <c r="T2082">
        <v>25</v>
      </c>
      <c r="U2082" t="s">
        <v>594</v>
      </c>
      <c r="V2082">
        <v>76</v>
      </c>
      <c r="W2082" t="s">
        <v>89</v>
      </c>
      <c r="X2082" t="s">
        <v>280</v>
      </c>
      <c r="Y2082">
        <v>600</v>
      </c>
      <c r="AB2082">
        <v>6.04</v>
      </c>
      <c r="AC2082" t="s">
        <v>85</v>
      </c>
      <c r="AD2082" t="s">
        <v>103</v>
      </c>
      <c r="AE2082" t="s">
        <v>63</v>
      </c>
      <c r="AI2082">
        <v>4</v>
      </c>
      <c r="AJ2082" t="s">
        <v>87</v>
      </c>
      <c r="AT2082" t="s">
        <v>65</v>
      </c>
      <c r="AV2082" t="s">
        <v>88</v>
      </c>
      <c r="AW2082">
        <v>200</v>
      </c>
    </row>
    <row r="2083" spans="1:53" hidden="1" x14ac:dyDescent="0.3">
      <c r="A2083" t="s">
        <v>80</v>
      </c>
      <c r="C2083" t="s">
        <v>251</v>
      </c>
      <c r="D2083" t="s">
        <v>81</v>
      </c>
      <c r="E2083">
        <v>10000000</v>
      </c>
      <c r="H2083">
        <v>2.5790000000000002</v>
      </c>
      <c r="I2083" t="s">
        <v>56</v>
      </c>
      <c r="J2083">
        <v>2.5789999999999998E-4</v>
      </c>
      <c r="K2083" t="s">
        <v>57</v>
      </c>
      <c r="N2083" t="s">
        <v>593</v>
      </c>
      <c r="O2083">
        <v>200</v>
      </c>
      <c r="P2083" t="s">
        <v>277</v>
      </c>
      <c r="T2083">
        <v>25</v>
      </c>
      <c r="U2083" t="s">
        <v>594</v>
      </c>
      <c r="V2083">
        <v>76</v>
      </c>
      <c r="W2083" t="s">
        <v>91</v>
      </c>
      <c r="X2083" t="s">
        <v>280</v>
      </c>
      <c r="Y2083">
        <v>600</v>
      </c>
      <c r="AA2083" t="s">
        <v>94</v>
      </c>
      <c r="AB2083">
        <v>6.12</v>
      </c>
      <c r="AC2083" t="s">
        <v>85</v>
      </c>
      <c r="AI2083">
        <v>4</v>
      </c>
      <c r="AJ2083" t="s">
        <v>87</v>
      </c>
      <c r="AT2083" t="s">
        <v>65</v>
      </c>
      <c r="AV2083" t="s">
        <v>88</v>
      </c>
      <c r="AW2083">
        <v>200</v>
      </c>
      <c r="AZ2083">
        <v>0</v>
      </c>
      <c r="BA2083">
        <v>6.12</v>
      </c>
    </row>
    <row r="2084" spans="1:53" hidden="1" x14ac:dyDescent="0.3">
      <c r="A2084" t="s">
        <v>80</v>
      </c>
      <c r="C2084" t="s">
        <v>251</v>
      </c>
      <c r="D2084" t="s">
        <v>81</v>
      </c>
      <c r="E2084">
        <v>10000000</v>
      </c>
      <c r="H2084">
        <v>2.58</v>
      </c>
      <c r="I2084" t="s">
        <v>56</v>
      </c>
      <c r="J2084">
        <v>2.5799999999999998E-4</v>
      </c>
      <c r="K2084" t="s">
        <v>57</v>
      </c>
      <c r="N2084" t="s">
        <v>593</v>
      </c>
      <c r="O2084">
        <v>200</v>
      </c>
      <c r="P2084" t="s">
        <v>277</v>
      </c>
      <c r="T2084">
        <v>25</v>
      </c>
      <c r="U2084" t="s">
        <v>594</v>
      </c>
      <c r="V2084">
        <v>76</v>
      </c>
      <c r="W2084" t="s">
        <v>93</v>
      </c>
      <c r="X2084" t="s">
        <v>280</v>
      </c>
      <c r="Y2084">
        <v>600</v>
      </c>
      <c r="AA2084" t="s">
        <v>94</v>
      </c>
      <c r="AB2084">
        <v>6.12</v>
      </c>
      <c r="AC2084" t="s">
        <v>85</v>
      </c>
      <c r="AI2084">
        <v>4</v>
      </c>
      <c r="AJ2084" t="s">
        <v>87</v>
      </c>
      <c r="AT2084" t="s">
        <v>65</v>
      </c>
      <c r="AV2084" t="s">
        <v>88</v>
      </c>
      <c r="AW2084">
        <v>200</v>
      </c>
      <c r="AZ2084">
        <v>0</v>
      </c>
      <c r="BA2084">
        <v>6.12</v>
      </c>
    </row>
    <row r="2085" spans="1:53" hidden="1" x14ac:dyDescent="0.3">
      <c r="A2085" t="s">
        <v>80</v>
      </c>
      <c r="C2085" t="s">
        <v>251</v>
      </c>
      <c r="D2085" t="s">
        <v>81</v>
      </c>
      <c r="E2085">
        <v>10000000</v>
      </c>
      <c r="H2085">
        <v>2.581</v>
      </c>
      <c r="I2085" t="s">
        <v>56</v>
      </c>
      <c r="J2085">
        <v>2.5809999999999999E-4</v>
      </c>
      <c r="K2085" t="s">
        <v>57</v>
      </c>
      <c r="N2085" t="s">
        <v>593</v>
      </c>
      <c r="O2085">
        <v>200</v>
      </c>
      <c r="P2085" t="s">
        <v>277</v>
      </c>
      <c r="T2085">
        <v>25</v>
      </c>
      <c r="U2085" t="s">
        <v>594</v>
      </c>
      <c r="V2085">
        <v>76</v>
      </c>
      <c r="W2085" t="s">
        <v>95</v>
      </c>
      <c r="X2085" t="s">
        <v>280</v>
      </c>
      <c r="Y2085">
        <v>600</v>
      </c>
      <c r="AB2085">
        <v>5.82</v>
      </c>
      <c r="AC2085" t="s">
        <v>85</v>
      </c>
      <c r="AD2085" t="s">
        <v>328</v>
      </c>
      <c r="AE2085" t="s">
        <v>63</v>
      </c>
      <c r="AI2085">
        <v>4</v>
      </c>
      <c r="AJ2085" t="s">
        <v>87</v>
      </c>
      <c r="AT2085" t="s">
        <v>65</v>
      </c>
      <c r="AV2085" t="s">
        <v>88</v>
      </c>
      <c r="AW2085">
        <v>200</v>
      </c>
    </row>
    <row r="2086" spans="1:53" hidden="1" x14ac:dyDescent="0.3">
      <c r="A2086" t="s">
        <v>80</v>
      </c>
      <c r="C2086" t="s">
        <v>251</v>
      </c>
      <c r="D2086" t="s">
        <v>81</v>
      </c>
      <c r="E2086">
        <v>10000000</v>
      </c>
      <c r="H2086">
        <v>2.5819999999999999</v>
      </c>
      <c r="I2086" t="s">
        <v>56</v>
      </c>
      <c r="J2086">
        <v>2.5819999999999999E-4</v>
      </c>
      <c r="K2086" t="s">
        <v>57</v>
      </c>
      <c r="N2086" t="s">
        <v>593</v>
      </c>
      <c r="O2086">
        <v>200</v>
      </c>
      <c r="P2086" t="s">
        <v>277</v>
      </c>
      <c r="T2086">
        <v>25</v>
      </c>
      <c r="U2086" t="s">
        <v>594</v>
      </c>
      <c r="V2086">
        <v>76</v>
      </c>
      <c r="W2086" t="s">
        <v>97</v>
      </c>
      <c r="X2086" t="s">
        <v>280</v>
      </c>
      <c r="Y2086">
        <v>600</v>
      </c>
      <c r="AA2086" t="s">
        <v>94</v>
      </c>
      <c r="AB2086">
        <v>6.12</v>
      </c>
      <c r="AC2086" t="s">
        <v>85</v>
      </c>
      <c r="AI2086">
        <v>4</v>
      </c>
      <c r="AJ2086" t="s">
        <v>87</v>
      </c>
      <c r="AT2086" t="s">
        <v>65</v>
      </c>
      <c r="AV2086" t="s">
        <v>88</v>
      </c>
      <c r="AW2086">
        <v>200</v>
      </c>
      <c r="AZ2086">
        <v>0</v>
      </c>
      <c r="BA2086">
        <v>6.12</v>
      </c>
    </row>
    <row r="2087" spans="1:53" hidden="1" x14ac:dyDescent="0.3">
      <c r="A2087" t="s">
        <v>80</v>
      </c>
      <c r="C2087" t="s">
        <v>251</v>
      </c>
      <c r="D2087" t="s">
        <v>81</v>
      </c>
      <c r="E2087">
        <v>10000000</v>
      </c>
      <c r="H2087">
        <v>2.5830000000000002</v>
      </c>
      <c r="I2087" t="s">
        <v>56</v>
      </c>
      <c r="J2087">
        <v>2.5829999999999999E-4</v>
      </c>
      <c r="K2087" t="s">
        <v>57</v>
      </c>
      <c r="N2087" t="s">
        <v>593</v>
      </c>
      <c r="O2087">
        <v>200</v>
      </c>
      <c r="P2087" t="s">
        <v>277</v>
      </c>
      <c r="T2087">
        <v>25</v>
      </c>
      <c r="U2087" t="s">
        <v>594</v>
      </c>
      <c r="V2087">
        <v>76</v>
      </c>
      <c r="W2087" t="s">
        <v>99</v>
      </c>
      <c r="X2087" t="s">
        <v>280</v>
      </c>
      <c r="Y2087">
        <v>600</v>
      </c>
      <c r="AA2087" t="s">
        <v>94</v>
      </c>
      <c r="AB2087">
        <v>6.12</v>
      </c>
      <c r="AC2087" t="s">
        <v>85</v>
      </c>
      <c r="AI2087">
        <v>4</v>
      </c>
      <c r="AJ2087" t="s">
        <v>87</v>
      </c>
      <c r="AT2087" t="s">
        <v>65</v>
      </c>
      <c r="AV2087" t="s">
        <v>88</v>
      </c>
      <c r="AW2087">
        <v>200</v>
      </c>
      <c r="AZ2087">
        <v>0</v>
      </c>
      <c r="BA2087">
        <v>6.12</v>
      </c>
    </row>
    <row r="2088" spans="1:53" hidden="1" x14ac:dyDescent="0.3">
      <c r="A2088" t="s">
        <v>80</v>
      </c>
      <c r="C2088" t="s">
        <v>251</v>
      </c>
      <c r="D2088" t="s">
        <v>81</v>
      </c>
      <c r="E2088">
        <v>1000000</v>
      </c>
      <c r="H2088">
        <v>2.5840000000000001</v>
      </c>
      <c r="I2088" t="s">
        <v>56</v>
      </c>
      <c r="J2088">
        <v>2.5839999999999999E-4</v>
      </c>
      <c r="K2088" t="s">
        <v>57</v>
      </c>
      <c r="N2088" t="s">
        <v>593</v>
      </c>
      <c r="O2088">
        <v>200</v>
      </c>
      <c r="P2088" t="s">
        <v>277</v>
      </c>
      <c r="T2088">
        <v>25</v>
      </c>
      <c r="U2088" t="s">
        <v>594</v>
      </c>
      <c r="V2088">
        <v>76</v>
      </c>
      <c r="W2088" t="s">
        <v>101</v>
      </c>
      <c r="X2088" t="s">
        <v>280</v>
      </c>
      <c r="Y2088">
        <v>600</v>
      </c>
      <c r="AA2088" t="s">
        <v>94</v>
      </c>
      <c r="AB2088">
        <v>6.12</v>
      </c>
      <c r="AC2088" t="s">
        <v>85</v>
      </c>
      <c r="AI2088">
        <v>4</v>
      </c>
      <c r="AJ2088" t="s">
        <v>87</v>
      </c>
      <c r="AT2088" t="s">
        <v>65</v>
      </c>
      <c r="AV2088" t="s">
        <v>88</v>
      </c>
      <c r="AW2088">
        <v>200</v>
      </c>
      <c r="AZ2088">
        <v>0</v>
      </c>
      <c r="BA2088">
        <v>6.12</v>
      </c>
    </row>
    <row r="2089" spans="1:53" hidden="1" x14ac:dyDescent="0.3">
      <c r="A2089" t="s">
        <v>80</v>
      </c>
      <c r="C2089" t="s">
        <v>251</v>
      </c>
      <c r="D2089" t="s">
        <v>81</v>
      </c>
      <c r="E2089">
        <v>1000000</v>
      </c>
      <c r="H2089">
        <v>2.585</v>
      </c>
      <c r="I2089" t="s">
        <v>56</v>
      </c>
      <c r="J2089">
        <v>2.5849999999999999E-4</v>
      </c>
      <c r="K2089" t="s">
        <v>57</v>
      </c>
      <c r="N2089" t="s">
        <v>595</v>
      </c>
      <c r="O2089">
        <v>3000</v>
      </c>
      <c r="P2089" t="s">
        <v>277</v>
      </c>
      <c r="T2089">
        <v>25</v>
      </c>
      <c r="U2089" t="s">
        <v>596</v>
      </c>
      <c r="V2089">
        <v>47</v>
      </c>
      <c r="W2089" t="s">
        <v>83</v>
      </c>
      <c r="X2089" t="s">
        <v>280</v>
      </c>
      <c r="Y2089">
        <v>360</v>
      </c>
      <c r="AA2089" t="s">
        <v>94</v>
      </c>
      <c r="AB2089">
        <v>6.43</v>
      </c>
      <c r="AC2089" t="s">
        <v>85</v>
      </c>
      <c r="AI2089">
        <v>4</v>
      </c>
      <c r="AJ2089" t="s">
        <v>589</v>
      </c>
      <c r="AT2089" t="s">
        <v>65</v>
      </c>
      <c r="AV2089" t="s">
        <v>88</v>
      </c>
      <c r="AW2089">
        <v>3000</v>
      </c>
      <c r="AZ2089">
        <v>0</v>
      </c>
      <c r="BA2089">
        <v>6.43</v>
      </c>
    </row>
    <row r="2090" spans="1:53" hidden="1" x14ac:dyDescent="0.3">
      <c r="A2090" t="s">
        <v>80</v>
      </c>
      <c r="C2090" t="s">
        <v>251</v>
      </c>
      <c r="D2090" t="s">
        <v>81</v>
      </c>
      <c r="E2090">
        <v>1000000</v>
      </c>
      <c r="H2090">
        <v>2.5859999999999999</v>
      </c>
      <c r="I2090" t="s">
        <v>56</v>
      </c>
      <c r="J2090">
        <v>2.586E-4</v>
      </c>
      <c r="K2090" t="s">
        <v>57</v>
      </c>
      <c r="N2090" t="s">
        <v>595</v>
      </c>
      <c r="O2090">
        <v>3000</v>
      </c>
      <c r="P2090" t="s">
        <v>277</v>
      </c>
      <c r="T2090">
        <v>25</v>
      </c>
      <c r="U2090" t="s">
        <v>596</v>
      </c>
      <c r="V2090">
        <v>47</v>
      </c>
      <c r="W2090" t="s">
        <v>89</v>
      </c>
      <c r="X2090" t="s">
        <v>280</v>
      </c>
      <c r="Y2090">
        <v>360</v>
      </c>
      <c r="AA2090" t="s">
        <v>94</v>
      </c>
      <c r="AB2090">
        <v>6.43</v>
      </c>
      <c r="AC2090" t="s">
        <v>85</v>
      </c>
      <c r="AI2090">
        <v>4</v>
      </c>
      <c r="AJ2090" t="s">
        <v>589</v>
      </c>
      <c r="AT2090" t="s">
        <v>65</v>
      </c>
      <c r="AV2090" t="s">
        <v>88</v>
      </c>
      <c r="AW2090">
        <v>3000</v>
      </c>
      <c r="AZ2090">
        <v>0</v>
      </c>
      <c r="BA2090">
        <v>6.43</v>
      </c>
    </row>
    <row r="2091" spans="1:53" hidden="1" x14ac:dyDescent="0.3">
      <c r="A2091" t="s">
        <v>80</v>
      </c>
      <c r="C2091" t="s">
        <v>251</v>
      </c>
      <c r="D2091" t="s">
        <v>81</v>
      </c>
      <c r="E2091">
        <v>1000000</v>
      </c>
      <c r="H2091">
        <v>2.5870000000000002</v>
      </c>
      <c r="I2091" t="s">
        <v>56</v>
      </c>
      <c r="J2091">
        <v>2.5870000000000011E-4</v>
      </c>
      <c r="K2091" t="s">
        <v>57</v>
      </c>
      <c r="N2091" t="s">
        <v>595</v>
      </c>
      <c r="O2091">
        <v>3000</v>
      </c>
      <c r="P2091" t="s">
        <v>277</v>
      </c>
      <c r="T2091">
        <v>25</v>
      </c>
      <c r="U2091" t="s">
        <v>596</v>
      </c>
      <c r="V2091">
        <v>47</v>
      </c>
      <c r="W2091" t="s">
        <v>91</v>
      </c>
      <c r="X2091" t="s">
        <v>280</v>
      </c>
      <c r="Y2091">
        <v>360</v>
      </c>
      <c r="AA2091" t="s">
        <v>94</v>
      </c>
      <c r="AB2091">
        <v>6.43</v>
      </c>
      <c r="AC2091" t="s">
        <v>85</v>
      </c>
      <c r="AI2091">
        <v>4</v>
      </c>
      <c r="AJ2091" t="s">
        <v>589</v>
      </c>
      <c r="AT2091" t="s">
        <v>65</v>
      </c>
      <c r="AV2091" t="s">
        <v>88</v>
      </c>
      <c r="AW2091">
        <v>3000</v>
      </c>
      <c r="AZ2091">
        <v>0</v>
      </c>
      <c r="BA2091">
        <v>6.43</v>
      </c>
    </row>
    <row r="2092" spans="1:53" hidden="1" x14ac:dyDescent="0.3">
      <c r="A2092" t="s">
        <v>80</v>
      </c>
      <c r="C2092" t="s">
        <v>251</v>
      </c>
      <c r="D2092" t="s">
        <v>81</v>
      </c>
      <c r="E2092">
        <v>1000000</v>
      </c>
      <c r="H2092">
        <v>2.5880000000000001</v>
      </c>
      <c r="I2092" t="s">
        <v>56</v>
      </c>
      <c r="J2092">
        <v>2.588E-4</v>
      </c>
      <c r="K2092" t="s">
        <v>57</v>
      </c>
      <c r="N2092" t="s">
        <v>595</v>
      </c>
      <c r="O2092">
        <v>3000</v>
      </c>
      <c r="P2092" t="s">
        <v>277</v>
      </c>
      <c r="T2092">
        <v>25</v>
      </c>
      <c r="U2092" t="s">
        <v>596</v>
      </c>
      <c r="V2092">
        <v>47</v>
      </c>
      <c r="W2092" t="s">
        <v>93</v>
      </c>
      <c r="X2092" t="s">
        <v>280</v>
      </c>
      <c r="Y2092">
        <v>360</v>
      </c>
      <c r="AA2092" t="s">
        <v>94</v>
      </c>
      <c r="AB2092">
        <v>6.43</v>
      </c>
      <c r="AC2092" t="s">
        <v>85</v>
      </c>
      <c r="AI2092">
        <v>4</v>
      </c>
      <c r="AJ2092" t="s">
        <v>589</v>
      </c>
      <c r="AT2092" t="s">
        <v>65</v>
      </c>
      <c r="AV2092" t="s">
        <v>88</v>
      </c>
      <c r="AW2092">
        <v>3000</v>
      </c>
      <c r="AZ2092">
        <v>0</v>
      </c>
      <c r="BA2092">
        <v>6.43</v>
      </c>
    </row>
    <row r="2093" spans="1:53" hidden="1" x14ac:dyDescent="0.3">
      <c r="A2093" t="s">
        <v>80</v>
      </c>
      <c r="C2093" t="s">
        <v>251</v>
      </c>
      <c r="D2093" t="s">
        <v>81</v>
      </c>
      <c r="E2093">
        <v>1000000</v>
      </c>
      <c r="H2093">
        <v>2.589</v>
      </c>
      <c r="I2093" t="s">
        <v>56</v>
      </c>
      <c r="J2093">
        <v>2.589E-4</v>
      </c>
      <c r="K2093" t="s">
        <v>57</v>
      </c>
      <c r="N2093" t="s">
        <v>595</v>
      </c>
      <c r="O2093">
        <v>3000</v>
      </c>
      <c r="P2093" t="s">
        <v>277</v>
      </c>
      <c r="T2093">
        <v>25</v>
      </c>
      <c r="U2093" t="s">
        <v>596</v>
      </c>
      <c r="V2093">
        <v>47</v>
      </c>
      <c r="W2093" t="s">
        <v>95</v>
      </c>
      <c r="X2093" t="s">
        <v>280</v>
      </c>
      <c r="Y2093">
        <v>360</v>
      </c>
      <c r="AA2093" t="s">
        <v>94</v>
      </c>
      <c r="AB2093">
        <v>6.43</v>
      </c>
      <c r="AC2093" t="s">
        <v>85</v>
      </c>
      <c r="AI2093">
        <v>4</v>
      </c>
      <c r="AJ2093" t="s">
        <v>589</v>
      </c>
      <c r="AT2093" t="s">
        <v>65</v>
      </c>
      <c r="AV2093" t="s">
        <v>88</v>
      </c>
      <c r="AW2093">
        <v>3000</v>
      </c>
      <c r="AZ2093">
        <v>0</v>
      </c>
      <c r="BA2093">
        <v>6.43</v>
      </c>
    </row>
    <row r="2094" spans="1:53" hidden="1" x14ac:dyDescent="0.3">
      <c r="A2094" t="s">
        <v>80</v>
      </c>
      <c r="C2094" t="s">
        <v>251</v>
      </c>
      <c r="D2094" t="s">
        <v>81</v>
      </c>
      <c r="E2094">
        <v>5000000</v>
      </c>
      <c r="H2094">
        <v>2.59</v>
      </c>
      <c r="I2094" t="s">
        <v>56</v>
      </c>
      <c r="J2094">
        <v>2.5900000000000001E-4</v>
      </c>
      <c r="K2094" t="s">
        <v>57</v>
      </c>
      <c r="N2094" t="s">
        <v>595</v>
      </c>
      <c r="O2094">
        <v>3000</v>
      </c>
      <c r="P2094" t="s">
        <v>277</v>
      </c>
      <c r="T2094">
        <v>25</v>
      </c>
      <c r="U2094" t="s">
        <v>596</v>
      </c>
      <c r="V2094">
        <v>47</v>
      </c>
      <c r="W2094" t="s">
        <v>97</v>
      </c>
      <c r="X2094" t="s">
        <v>280</v>
      </c>
      <c r="Y2094">
        <v>360</v>
      </c>
      <c r="AA2094" t="s">
        <v>94</v>
      </c>
      <c r="AB2094">
        <v>6.43</v>
      </c>
      <c r="AC2094" t="s">
        <v>85</v>
      </c>
      <c r="AI2094">
        <v>4</v>
      </c>
      <c r="AJ2094" t="s">
        <v>589</v>
      </c>
      <c r="AT2094" t="s">
        <v>65</v>
      </c>
      <c r="AV2094" t="s">
        <v>88</v>
      </c>
      <c r="AW2094">
        <v>3000</v>
      </c>
      <c r="AZ2094">
        <v>0</v>
      </c>
      <c r="BA2094">
        <v>6.43</v>
      </c>
    </row>
    <row r="2095" spans="1:53" hidden="1" x14ac:dyDescent="0.3">
      <c r="A2095" t="s">
        <v>80</v>
      </c>
      <c r="C2095" t="s">
        <v>251</v>
      </c>
      <c r="D2095" t="s">
        <v>81</v>
      </c>
      <c r="E2095">
        <v>5000000</v>
      </c>
      <c r="H2095">
        <v>2.5910000000000002</v>
      </c>
      <c r="I2095" t="s">
        <v>56</v>
      </c>
      <c r="J2095">
        <v>2.5910000000000001E-4</v>
      </c>
      <c r="K2095" t="s">
        <v>57</v>
      </c>
      <c r="N2095" t="s">
        <v>595</v>
      </c>
      <c r="O2095">
        <v>3000</v>
      </c>
      <c r="P2095" t="s">
        <v>277</v>
      </c>
      <c r="T2095">
        <v>25</v>
      </c>
      <c r="U2095" t="s">
        <v>596</v>
      </c>
      <c r="V2095">
        <v>47</v>
      </c>
      <c r="W2095" t="s">
        <v>99</v>
      </c>
      <c r="X2095" t="s">
        <v>280</v>
      </c>
      <c r="Y2095">
        <v>360</v>
      </c>
      <c r="AA2095" t="s">
        <v>94</v>
      </c>
      <c r="AB2095">
        <v>6.43</v>
      </c>
      <c r="AC2095" t="s">
        <v>85</v>
      </c>
      <c r="AI2095">
        <v>4</v>
      </c>
      <c r="AJ2095" t="s">
        <v>589</v>
      </c>
      <c r="AT2095" t="s">
        <v>65</v>
      </c>
      <c r="AV2095" t="s">
        <v>88</v>
      </c>
      <c r="AW2095">
        <v>3000</v>
      </c>
      <c r="AZ2095">
        <v>0</v>
      </c>
      <c r="BA2095">
        <v>6.43</v>
      </c>
    </row>
    <row r="2096" spans="1:53" hidden="1" x14ac:dyDescent="0.3">
      <c r="A2096" t="s">
        <v>80</v>
      </c>
      <c r="C2096" t="s">
        <v>251</v>
      </c>
      <c r="D2096" t="s">
        <v>81</v>
      </c>
      <c r="E2096">
        <v>5000000</v>
      </c>
      <c r="H2096">
        <v>2.5920000000000001</v>
      </c>
      <c r="I2096" t="s">
        <v>56</v>
      </c>
      <c r="J2096">
        <v>2.5920000000000001E-4</v>
      </c>
      <c r="K2096" t="s">
        <v>57</v>
      </c>
      <c r="N2096" t="s">
        <v>595</v>
      </c>
      <c r="O2096">
        <v>3000</v>
      </c>
      <c r="P2096" t="s">
        <v>277</v>
      </c>
      <c r="T2096">
        <v>25</v>
      </c>
      <c r="U2096" t="s">
        <v>596</v>
      </c>
      <c r="V2096">
        <v>47</v>
      </c>
      <c r="W2096" t="s">
        <v>101</v>
      </c>
      <c r="X2096" t="s">
        <v>280</v>
      </c>
      <c r="Y2096">
        <v>360</v>
      </c>
      <c r="AA2096" t="s">
        <v>94</v>
      </c>
      <c r="AB2096">
        <v>6.43</v>
      </c>
      <c r="AC2096" t="s">
        <v>85</v>
      </c>
      <c r="AI2096">
        <v>4</v>
      </c>
      <c r="AJ2096" t="s">
        <v>589</v>
      </c>
      <c r="AT2096" t="s">
        <v>65</v>
      </c>
      <c r="AV2096" t="s">
        <v>88</v>
      </c>
      <c r="AW2096">
        <v>3000</v>
      </c>
      <c r="AZ2096">
        <v>0</v>
      </c>
      <c r="BA2096">
        <v>6.43</v>
      </c>
    </row>
    <row r="2097" spans="1:53" hidden="1" x14ac:dyDescent="0.3">
      <c r="A2097" t="s">
        <v>80</v>
      </c>
      <c r="C2097" t="s">
        <v>251</v>
      </c>
      <c r="D2097" t="s">
        <v>81</v>
      </c>
      <c r="E2097">
        <v>5000000</v>
      </c>
      <c r="H2097">
        <v>2.593</v>
      </c>
      <c r="I2097" t="s">
        <v>56</v>
      </c>
      <c r="J2097">
        <v>2.5930000000000001E-4</v>
      </c>
      <c r="K2097" t="s">
        <v>57</v>
      </c>
      <c r="N2097" t="s">
        <v>597</v>
      </c>
      <c r="O2097">
        <v>200</v>
      </c>
      <c r="P2097" t="s">
        <v>277</v>
      </c>
      <c r="T2097">
        <v>25</v>
      </c>
      <c r="U2097" t="s">
        <v>598</v>
      </c>
      <c r="V2097">
        <v>65</v>
      </c>
      <c r="W2097" t="s">
        <v>599</v>
      </c>
      <c r="X2097" t="s">
        <v>280</v>
      </c>
      <c r="Y2097">
        <v>240</v>
      </c>
      <c r="AB2097">
        <v>5.64</v>
      </c>
      <c r="AC2097" t="s">
        <v>85</v>
      </c>
      <c r="AD2097" t="s">
        <v>234</v>
      </c>
      <c r="AE2097" t="s">
        <v>63</v>
      </c>
      <c r="AI2097">
        <v>4</v>
      </c>
      <c r="AJ2097" t="s">
        <v>87</v>
      </c>
      <c r="AV2097" t="s">
        <v>88</v>
      </c>
      <c r="AW2097">
        <v>200</v>
      </c>
    </row>
    <row r="2098" spans="1:53" hidden="1" x14ac:dyDescent="0.3">
      <c r="A2098" t="s">
        <v>80</v>
      </c>
      <c r="C2098" t="s">
        <v>251</v>
      </c>
      <c r="D2098" t="s">
        <v>81</v>
      </c>
      <c r="E2098">
        <v>5000000</v>
      </c>
      <c r="H2098">
        <v>2.5939999999999999</v>
      </c>
      <c r="I2098" t="s">
        <v>56</v>
      </c>
      <c r="J2098">
        <v>2.5940000000000002E-4</v>
      </c>
      <c r="K2098" t="s">
        <v>57</v>
      </c>
      <c r="N2098" t="s">
        <v>597</v>
      </c>
      <c r="O2098">
        <v>200</v>
      </c>
      <c r="P2098" t="s">
        <v>277</v>
      </c>
      <c r="T2098">
        <v>25</v>
      </c>
      <c r="U2098" t="s">
        <v>598</v>
      </c>
      <c r="V2098">
        <v>65</v>
      </c>
      <c r="W2098" t="s">
        <v>600</v>
      </c>
      <c r="X2098" t="s">
        <v>280</v>
      </c>
      <c r="Y2098">
        <v>240</v>
      </c>
      <c r="AB2098">
        <v>6.15</v>
      </c>
      <c r="AC2098" t="s">
        <v>85</v>
      </c>
      <c r="AD2098" t="s">
        <v>103</v>
      </c>
      <c r="AE2098" t="s">
        <v>63</v>
      </c>
      <c r="AI2098">
        <v>4</v>
      </c>
      <c r="AJ2098" t="s">
        <v>87</v>
      </c>
      <c r="AV2098" t="s">
        <v>88</v>
      </c>
      <c r="AW2098">
        <v>200</v>
      </c>
    </row>
    <row r="2099" spans="1:53" hidden="1" x14ac:dyDescent="0.3">
      <c r="A2099" t="s">
        <v>80</v>
      </c>
      <c r="C2099" t="s">
        <v>251</v>
      </c>
      <c r="D2099" t="s">
        <v>81</v>
      </c>
      <c r="E2099">
        <v>5000000</v>
      </c>
      <c r="H2099">
        <v>2.5950000000000002</v>
      </c>
      <c r="I2099" t="s">
        <v>56</v>
      </c>
      <c r="J2099">
        <v>2.5950000000000002E-4</v>
      </c>
      <c r="K2099" t="s">
        <v>57</v>
      </c>
      <c r="N2099" t="s">
        <v>597</v>
      </c>
      <c r="O2099">
        <v>200</v>
      </c>
      <c r="P2099" t="s">
        <v>277</v>
      </c>
      <c r="T2099">
        <v>25</v>
      </c>
      <c r="U2099" t="s">
        <v>598</v>
      </c>
      <c r="V2099">
        <v>65</v>
      </c>
      <c r="W2099" t="s">
        <v>601</v>
      </c>
      <c r="X2099" t="s">
        <v>280</v>
      </c>
      <c r="Y2099">
        <v>240</v>
      </c>
      <c r="AB2099">
        <v>6</v>
      </c>
      <c r="AC2099" t="s">
        <v>85</v>
      </c>
      <c r="AD2099" t="s">
        <v>505</v>
      </c>
      <c r="AE2099" t="s">
        <v>63</v>
      </c>
      <c r="AI2099">
        <v>4</v>
      </c>
      <c r="AJ2099" t="s">
        <v>87</v>
      </c>
      <c r="AV2099" t="s">
        <v>88</v>
      </c>
      <c r="AW2099">
        <v>200</v>
      </c>
    </row>
    <row r="2100" spans="1:53" hidden="1" x14ac:dyDescent="0.3">
      <c r="A2100" t="s">
        <v>80</v>
      </c>
      <c r="C2100" t="s">
        <v>251</v>
      </c>
      <c r="D2100" t="s">
        <v>81</v>
      </c>
      <c r="E2100">
        <v>5000000</v>
      </c>
      <c r="H2100">
        <v>2.5960000000000001</v>
      </c>
      <c r="I2100" t="s">
        <v>56</v>
      </c>
      <c r="J2100">
        <v>2.5960000000000002E-4</v>
      </c>
      <c r="K2100" t="s">
        <v>57</v>
      </c>
      <c r="N2100" t="s">
        <v>597</v>
      </c>
      <c r="O2100">
        <v>200</v>
      </c>
      <c r="P2100" t="s">
        <v>277</v>
      </c>
      <c r="T2100">
        <v>25</v>
      </c>
      <c r="U2100" t="s">
        <v>598</v>
      </c>
      <c r="V2100">
        <v>65</v>
      </c>
      <c r="W2100" t="s">
        <v>602</v>
      </c>
      <c r="X2100" t="s">
        <v>280</v>
      </c>
      <c r="Y2100">
        <v>240</v>
      </c>
      <c r="AB2100">
        <v>6</v>
      </c>
      <c r="AC2100" t="s">
        <v>85</v>
      </c>
      <c r="AD2100" t="s">
        <v>103</v>
      </c>
      <c r="AE2100" t="s">
        <v>63</v>
      </c>
      <c r="AI2100">
        <v>4</v>
      </c>
      <c r="AJ2100" t="s">
        <v>87</v>
      </c>
      <c r="AV2100" t="s">
        <v>88</v>
      </c>
      <c r="AW2100">
        <v>200</v>
      </c>
    </row>
    <row r="2101" spans="1:53" hidden="1" x14ac:dyDescent="0.3">
      <c r="A2101" t="s">
        <v>80</v>
      </c>
      <c r="C2101" t="s">
        <v>251</v>
      </c>
      <c r="D2101" t="s">
        <v>81</v>
      </c>
      <c r="E2101">
        <v>5000000</v>
      </c>
      <c r="H2101">
        <v>2.597</v>
      </c>
      <c r="I2101" t="s">
        <v>56</v>
      </c>
      <c r="J2101">
        <v>2.5970000000000002E-4</v>
      </c>
      <c r="K2101" t="s">
        <v>57</v>
      </c>
      <c r="N2101" t="s">
        <v>597</v>
      </c>
      <c r="O2101">
        <v>200</v>
      </c>
      <c r="P2101" t="s">
        <v>277</v>
      </c>
      <c r="T2101">
        <v>25</v>
      </c>
      <c r="U2101" t="s">
        <v>598</v>
      </c>
      <c r="V2101">
        <v>65</v>
      </c>
      <c r="W2101" t="s">
        <v>603</v>
      </c>
      <c r="X2101" t="s">
        <v>280</v>
      </c>
      <c r="Y2101">
        <v>240</v>
      </c>
      <c r="AB2101">
        <v>5.43</v>
      </c>
      <c r="AC2101" t="s">
        <v>85</v>
      </c>
      <c r="AD2101" t="s">
        <v>604</v>
      </c>
      <c r="AE2101" t="s">
        <v>63</v>
      </c>
      <c r="AI2101">
        <v>4</v>
      </c>
      <c r="AJ2101" t="s">
        <v>87</v>
      </c>
      <c r="AV2101" t="s">
        <v>88</v>
      </c>
      <c r="AW2101">
        <v>200</v>
      </c>
    </row>
    <row r="2102" spans="1:53" hidden="1" x14ac:dyDescent="0.3">
      <c r="A2102" t="s">
        <v>80</v>
      </c>
      <c r="C2102" t="s">
        <v>251</v>
      </c>
      <c r="D2102" t="s">
        <v>81</v>
      </c>
      <c r="E2102">
        <v>5000000</v>
      </c>
      <c r="H2102">
        <v>2.5979999999999999</v>
      </c>
      <c r="I2102" t="s">
        <v>56</v>
      </c>
      <c r="J2102">
        <v>2.5980000000000003E-4</v>
      </c>
      <c r="K2102" t="s">
        <v>57</v>
      </c>
      <c r="N2102" t="s">
        <v>597</v>
      </c>
      <c r="O2102">
        <v>200</v>
      </c>
      <c r="P2102" t="s">
        <v>277</v>
      </c>
      <c r="T2102">
        <v>25</v>
      </c>
      <c r="U2102" t="s">
        <v>598</v>
      </c>
      <c r="V2102">
        <v>65</v>
      </c>
      <c r="W2102" t="s">
        <v>605</v>
      </c>
      <c r="X2102" t="s">
        <v>280</v>
      </c>
      <c r="Y2102">
        <v>240</v>
      </c>
      <c r="AB2102">
        <v>6</v>
      </c>
      <c r="AC2102" t="s">
        <v>85</v>
      </c>
      <c r="AD2102" t="s">
        <v>103</v>
      </c>
      <c r="AE2102" t="s">
        <v>63</v>
      </c>
      <c r="AI2102">
        <v>4</v>
      </c>
      <c r="AJ2102" t="s">
        <v>87</v>
      </c>
      <c r="AV2102" t="s">
        <v>88</v>
      </c>
      <c r="AW2102">
        <v>200</v>
      </c>
    </row>
    <row r="2103" spans="1:53" hidden="1" x14ac:dyDescent="0.3">
      <c r="A2103" t="s">
        <v>80</v>
      </c>
      <c r="C2103" t="s">
        <v>251</v>
      </c>
      <c r="D2103" t="s">
        <v>81</v>
      </c>
      <c r="E2103">
        <v>5000000</v>
      </c>
      <c r="H2103">
        <v>2.5990000000000002</v>
      </c>
      <c r="I2103" t="s">
        <v>56</v>
      </c>
      <c r="J2103">
        <v>2.5989999999999997E-4</v>
      </c>
      <c r="K2103" t="s">
        <v>57</v>
      </c>
      <c r="N2103" t="s">
        <v>597</v>
      </c>
      <c r="O2103">
        <v>200</v>
      </c>
      <c r="P2103" t="s">
        <v>277</v>
      </c>
      <c r="T2103">
        <v>25</v>
      </c>
      <c r="U2103" t="s">
        <v>598</v>
      </c>
      <c r="V2103">
        <v>65</v>
      </c>
      <c r="W2103" t="s">
        <v>606</v>
      </c>
      <c r="X2103" t="s">
        <v>280</v>
      </c>
      <c r="Y2103">
        <v>240</v>
      </c>
      <c r="AB2103">
        <v>4.0999999999999899</v>
      </c>
      <c r="AC2103" t="s">
        <v>85</v>
      </c>
      <c r="AD2103" t="s">
        <v>607</v>
      </c>
      <c r="AE2103" t="s">
        <v>63</v>
      </c>
      <c r="AI2103">
        <v>4</v>
      </c>
      <c r="AJ2103" t="s">
        <v>87</v>
      </c>
      <c r="AV2103" t="s">
        <v>88</v>
      </c>
      <c r="AW2103">
        <v>200</v>
      </c>
    </row>
    <row r="2104" spans="1:53" hidden="1" x14ac:dyDescent="0.3">
      <c r="A2104" t="s">
        <v>80</v>
      </c>
      <c r="C2104" t="s">
        <v>251</v>
      </c>
      <c r="D2104" t="s">
        <v>81</v>
      </c>
      <c r="E2104">
        <v>5000000</v>
      </c>
      <c r="H2104">
        <v>2.6</v>
      </c>
      <c r="I2104" t="s">
        <v>56</v>
      </c>
      <c r="J2104">
        <v>2.5999999999999998E-4</v>
      </c>
      <c r="K2104" t="s">
        <v>57</v>
      </c>
      <c r="N2104" t="s">
        <v>597</v>
      </c>
      <c r="O2104">
        <v>200</v>
      </c>
      <c r="P2104" t="s">
        <v>277</v>
      </c>
      <c r="T2104">
        <v>25</v>
      </c>
      <c r="U2104" t="s">
        <v>598</v>
      </c>
      <c r="V2104">
        <v>65</v>
      </c>
      <c r="W2104" t="s">
        <v>608</v>
      </c>
      <c r="X2104" t="s">
        <v>280</v>
      </c>
      <c r="Y2104">
        <v>240</v>
      </c>
      <c r="AB2104">
        <v>5.93</v>
      </c>
      <c r="AC2104" t="s">
        <v>85</v>
      </c>
      <c r="AD2104" t="s">
        <v>104</v>
      </c>
      <c r="AE2104" t="s">
        <v>63</v>
      </c>
      <c r="AI2104">
        <v>4</v>
      </c>
      <c r="AJ2104" t="s">
        <v>87</v>
      </c>
      <c r="AV2104" t="s">
        <v>88</v>
      </c>
      <c r="AW2104">
        <v>200</v>
      </c>
    </row>
    <row r="2105" spans="1:53" hidden="1" x14ac:dyDescent="0.3">
      <c r="A2105" t="s">
        <v>80</v>
      </c>
      <c r="C2105" t="s">
        <v>251</v>
      </c>
      <c r="D2105" t="s">
        <v>81</v>
      </c>
      <c r="E2105">
        <v>5000000</v>
      </c>
      <c r="H2105">
        <v>2.601</v>
      </c>
      <c r="I2105" t="s">
        <v>56</v>
      </c>
      <c r="J2105">
        <v>2.6009999999999998E-4</v>
      </c>
      <c r="K2105" t="s">
        <v>57</v>
      </c>
      <c r="N2105" t="s">
        <v>609</v>
      </c>
      <c r="O2105">
        <v>200</v>
      </c>
      <c r="P2105" t="s">
        <v>277</v>
      </c>
      <c r="T2105">
        <v>25</v>
      </c>
      <c r="U2105" t="s">
        <v>610</v>
      </c>
      <c r="V2105">
        <v>73</v>
      </c>
      <c r="W2105" t="s">
        <v>599</v>
      </c>
      <c r="X2105" t="s">
        <v>280</v>
      </c>
      <c r="Y2105">
        <v>480</v>
      </c>
      <c r="AA2105" t="s">
        <v>94</v>
      </c>
      <c r="AB2105">
        <v>6.26</v>
      </c>
      <c r="AC2105" t="s">
        <v>85</v>
      </c>
      <c r="AI2105">
        <v>4</v>
      </c>
      <c r="AJ2105" t="s">
        <v>87</v>
      </c>
      <c r="AV2105" t="s">
        <v>88</v>
      </c>
      <c r="AW2105">
        <v>200</v>
      </c>
      <c r="AZ2105">
        <v>0</v>
      </c>
      <c r="BA2105">
        <v>6.26</v>
      </c>
    </row>
    <row r="2106" spans="1:53" hidden="1" x14ac:dyDescent="0.3">
      <c r="A2106" t="s">
        <v>80</v>
      </c>
      <c r="C2106" t="s">
        <v>251</v>
      </c>
      <c r="D2106" t="s">
        <v>81</v>
      </c>
      <c r="E2106">
        <v>5000000</v>
      </c>
      <c r="H2106">
        <v>2.6019999999999999</v>
      </c>
      <c r="I2106" t="s">
        <v>56</v>
      </c>
      <c r="J2106">
        <v>2.6019999999999998E-4</v>
      </c>
      <c r="K2106" t="s">
        <v>57</v>
      </c>
      <c r="N2106" t="s">
        <v>609</v>
      </c>
      <c r="O2106">
        <v>200</v>
      </c>
      <c r="P2106" t="s">
        <v>277</v>
      </c>
      <c r="T2106">
        <v>25</v>
      </c>
      <c r="U2106" t="s">
        <v>610</v>
      </c>
      <c r="V2106">
        <v>73</v>
      </c>
      <c r="W2106" t="s">
        <v>600</v>
      </c>
      <c r="X2106" t="s">
        <v>280</v>
      </c>
      <c r="Y2106">
        <v>480</v>
      </c>
      <c r="AA2106" t="s">
        <v>94</v>
      </c>
      <c r="AB2106">
        <v>6.26</v>
      </c>
      <c r="AC2106" t="s">
        <v>85</v>
      </c>
      <c r="AI2106">
        <v>4</v>
      </c>
      <c r="AJ2106" t="s">
        <v>87</v>
      </c>
      <c r="AV2106" t="s">
        <v>88</v>
      </c>
      <c r="AW2106">
        <v>200</v>
      </c>
      <c r="AZ2106">
        <v>0</v>
      </c>
      <c r="BA2106">
        <v>6.26</v>
      </c>
    </row>
    <row r="2107" spans="1:53" hidden="1" x14ac:dyDescent="0.3">
      <c r="A2107" t="s">
        <v>80</v>
      </c>
      <c r="C2107" t="s">
        <v>251</v>
      </c>
      <c r="D2107" t="s">
        <v>81</v>
      </c>
      <c r="E2107">
        <v>5000000</v>
      </c>
      <c r="H2107">
        <v>2.6030000000000002</v>
      </c>
      <c r="I2107" t="s">
        <v>56</v>
      </c>
      <c r="J2107">
        <v>2.6029999999999998E-4</v>
      </c>
      <c r="K2107" t="s">
        <v>57</v>
      </c>
      <c r="N2107" t="s">
        <v>609</v>
      </c>
      <c r="O2107">
        <v>200</v>
      </c>
      <c r="P2107" t="s">
        <v>277</v>
      </c>
      <c r="T2107">
        <v>25</v>
      </c>
      <c r="U2107" t="s">
        <v>610</v>
      </c>
      <c r="V2107">
        <v>73</v>
      </c>
      <c r="W2107" t="s">
        <v>601</v>
      </c>
      <c r="X2107" t="s">
        <v>280</v>
      </c>
      <c r="Y2107">
        <v>480</v>
      </c>
      <c r="AB2107">
        <v>5.63</v>
      </c>
      <c r="AC2107" t="s">
        <v>85</v>
      </c>
      <c r="AD2107" t="s">
        <v>241</v>
      </c>
      <c r="AE2107" t="s">
        <v>63</v>
      </c>
      <c r="AI2107">
        <v>4</v>
      </c>
      <c r="AJ2107" t="s">
        <v>87</v>
      </c>
      <c r="AV2107" t="s">
        <v>88</v>
      </c>
      <c r="AW2107">
        <v>200</v>
      </c>
    </row>
    <row r="2108" spans="1:53" hidden="1" x14ac:dyDescent="0.3">
      <c r="A2108" t="s">
        <v>80</v>
      </c>
      <c r="C2108" t="s">
        <v>251</v>
      </c>
      <c r="D2108" t="s">
        <v>81</v>
      </c>
      <c r="E2108">
        <v>5000000</v>
      </c>
      <c r="H2108">
        <v>2.6040000000000001</v>
      </c>
      <c r="I2108" t="s">
        <v>56</v>
      </c>
      <c r="J2108">
        <v>2.6039999999999999E-4</v>
      </c>
      <c r="K2108" t="s">
        <v>57</v>
      </c>
      <c r="N2108" t="s">
        <v>609</v>
      </c>
      <c r="O2108">
        <v>200</v>
      </c>
      <c r="P2108" t="s">
        <v>277</v>
      </c>
      <c r="T2108">
        <v>25</v>
      </c>
      <c r="U2108" t="s">
        <v>610</v>
      </c>
      <c r="V2108">
        <v>73</v>
      </c>
      <c r="W2108" t="s">
        <v>602</v>
      </c>
      <c r="X2108" t="s">
        <v>280</v>
      </c>
      <c r="Y2108">
        <v>480</v>
      </c>
      <c r="AA2108" t="s">
        <v>94</v>
      </c>
      <c r="AB2108">
        <v>6.26</v>
      </c>
      <c r="AC2108" t="s">
        <v>85</v>
      </c>
      <c r="AI2108">
        <v>4</v>
      </c>
      <c r="AJ2108" t="s">
        <v>87</v>
      </c>
      <c r="AV2108" t="s">
        <v>88</v>
      </c>
      <c r="AW2108">
        <v>200</v>
      </c>
      <c r="AZ2108">
        <v>0</v>
      </c>
      <c r="BA2108">
        <v>6.26</v>
      </c>
    </row>
    <row r="2109" spans="1:53" hidden="1" x14ac:dyDescent="0.3">
      <c r="A2109" t="s">
        <v>80</v>
      </c>
      <c r="C2109" t="s">
        <v>251</v>
      </c>
      <c r="D2109" t="s">
        <v>81</v>
      </c>
      <c r="E2109">
        <v>5000000</v>
      </c>
      <c r="H2109">
        <v>2.605</v>
      </c>
      <c r="I2109" t="s">
        <v>56</v>
      </c>
      <c r="J2109">
        <v>2.6049999999999999E-4</v>
      </c>
      <c r="K2109" t="s">
        <v>57</v>
      </c>
      <c r="N2109" t="s">
        <v>609</v>
      </c>
      <c r="O2109">
        <v>200</v>
      </c>
      <c r="P2109" t="s">
        <v>277</v>
      </c>
      <c r="T2109">
        <v>25</v>
      </c>
      <c r="U2109" t="s">
        <v>610</v>
      </c>
      <c r="V2109">
        <v>73</v>
      </c>
      <c r="W2109" t="s">
        <v>603</v>
      </c>
      <c r="X2109" t="s">
        <v>280</v>
      </c>
      <c r="Y2109">
        <v>480</v>
      </c>
      <c r="AB2109">
        <v>5.5</v>
      </c>
      <c r="AC2109" t="s">
        <v>85</v>
      </c>
      <c r="AD2109" t="s">
        <v>611</v>
      </c>
      <c r="AE2109" t="s">
        <v>63</v>
      </c>
      <c r="AI2109">
        <v>4</v>
      </c>
      <c r="AJ2109" t="s">
        <v>87</v>
      </c>
      <c r="AV2109" t="s">
        <v>88</v>
      </c>
      <c r="AW2109">
        <v>200</v>
      </c>
    </row>
    <row r="2110" spans="1:53" hidden="1" x14ac:dyDescent="0.3">
      <c r="A2110" t="s">
        <v>80</v>
      </c>
      <c r="C2110" t="s">
        <v>251</v>
      </c>
      <c r="D2110" t="s">
        <v>81</v>
      </c>
      <c r="E2110">
        <v>5000000</v>
      </c>
      <c r="H2110">
        <v>2.6059999999999999</v>
      </c>
      <c r="I2110" t="s">
        <v>56</v>
      </c>
      <c r="J2110">
        <v>2.6059999999999999E-4</v>
      </c>
      <c r="K2110" t="s">
        <v>57</v>
      </c>
      <c r="N2110" t="s">
        <v>609</v>
      </c>
      <c r="O2110">
        <v>200</v>
      </c>
      <c r="P2110" t="s">
        <v>277</v>
      </c>
      <c r="T2110">
        <v>25</v>
      </c>
      <c r="U2110" t="s">
        <v>610</v>
      </c>
      <c r="V2110">
        <v>73</v>
      </c>
      <c r="W2110" t="s">
        <v>605</v>
      </c>
      <c r="X2110" t="s">
        <v>280</v>
      </c>
      <c r="Y2110">
        <v>480</v>
      </c>
      <c r="AA2110" t="s">
        <v>94</v>
      </c>
      <c r="AB2110">
        <v>6.26</v>
      </c>
      <c r="AC2110" t="s">
        <v>85</v>
      </c>
      <c r="AI2110">
        <v>4</v>
      </c>
      <c r="AJ2110" t="s">
        <v>87</v>
      </c>
      <c r="AV2110" t="s">
        <v>88</v>
      </c>
      <c r="AW2110">
        <v>200</v>
      </c>
      <c r="AZ2110">
        <v>0</v>
      </c>
      <c r="BA2110">
        <v>6.26</v>
      </c>
    </row>
    <row r="2111" spans="1:53" hidden="1" x14ac:dyDescent="0.3">
      <c r="A2111" t="s">
        <v>80</v>
      </c>
      <c r="C2111" t="s">
        <v>251</v>
      </c>
      <c r="D2111" t="s">
        <v>81</v>
      </c>
      <c r="E2111">
        <v>5000000</v>
      </c>
      <c r="H2111">
        <v>2.6070000000000002</v>
      </c>
      <c r="I2111" t="s">
        <v>56</v>
      </c>
      <c r="J2111">
        <v>2.6069999999999999E-4</v>
      </c>
      <c r="K2111" t="s">
        <v>57</v>
      </c>
      <c r="N2111" t="s">
        <v>609</v>
      </c>
      <c r="O2111">
        <v>200</v>
      </c>
      <c r="P2111" t="s">
        <v>277</v>
      </c>
      <c r="T2111">
        <v>25</v>
      </c>
      <c r="U2111" t="s">
        <v>610</v>
      </c>
      <c r="V2111">
        <v>73</v>
      </c>
      <c r="W2111" t="s">
        <v>606</v>
      </c>
      <c r="X2111" t="s">
        <v>280</v>
      </c>
      <c r="Y2111">
        <v>480</v>
      </c>
      <c r="AB2111">
        <v>6.18</v>
      </c>
      <c r="AC2111" t="s">
        <v>85</v>
      </c>
      <c r="AD2111" t="s">
        <v>103</v>
      </c>
      <c r="AE2111" t="s">
        <v>63</v>
      </c>
      <c r="AI2111">
        <v>4</v>
      </c>
      <c r="AJ2111" t="s">
        <v>87</v>
      </c>
      <c r="AV2111" t="s">
        <v>88</v>
      </c>
      <c r="AW2111">
        <v>200</v>
      </c>
    </row>
    <row r="2112" spans="1:53" hidden="1" x14ac:dyDescent="0.3">
      <c r="A2112" t="s">
        <v>80</v>
      </c>
      <c r="C2112" t="s">
        <v>251</v>
      </c>
      <c r="D2112" t="s">
        <v>81</v>
      </c>
      <c r="E2112">
        <v>5000000</v>
      </c>
      <c r="H2112">
        <v>2.6080000000000001</v>
      </c>
      <c r="I2112" t="s">
        <v>56</v>
      </c>
      <c r="J2112">
        <v>2.608E-4</v>
      </c>
      <c r="K2112" t="s">
        <v>57</v>
      </c>
      <c r="N2112" t="s">
        <v>609</v>
      </c>
      <c r="O2112">
        <v>200</v>
      </c>
      <c r="P2112" t="s">
        <v>277</v>
      </c>
      <c r="T2112">
        <v>25</v>
      </c>
      <c r="U2112" t="s">
        <v>610</v>
      </c>
      <c r="V2112">
        <v>73</v>
      </c>
      <c r="W2112" t="s">
        <v>608</v>
      </c>
      <c r="X2112" t="s">
        <v>280</v>
      </c>
      <c r="Y2112">
        <v>480</v>
      </c>
      <c r="AA2112" t="s">
        <v>94</v>
      </c>
      <c r="AB2112">
        <v>6.26</v>
      </c>
      <c r="AC2112" t="s">
        <v>85</v>
      </c>
      <c r="AI2112">
        <v>4</v>
      </c>
      <c r="AJ2112" t="s">
        <v>87</v>
      </c>
      <c r="AV2112" t="s">
        <v>88</v>
      </c>
      <c r="AW2112">
        <v>200</v>
      </c>
      <c r="AZ2112">
        <v>0</v>
      </c>
      <c r="BA2112">
        <v>6.26</v>
      </c>
    </row>
    <row r="2113" spans="1:53" hidden="1" x14ac:dyDescent="0.3">
      <c r="A2113" t="s">
        <v>80</v>
      </c>
      <c r="C2113" t="s">
        <v>251</v>
      </c>
      <c r="D2113" t="s">
        <v>81</v>
      </c>
      <c r="E2113">
        <v>5000000</v>
      </c>
      <c r="H2113">
        <v>2.609</v>
      </c>
      <c r="I2113" t="s">
        <v>56</v>
      </c>
      <c r="J2113">
        <v>2.609E-4</v>
      </c>
      <c r="K2113" t="s">
        <v>57</v>
      </c>
      <c r="N2113" t="s">
        <v>612</v>
      </c>
      <c r="O2113">
        <v>1585</v>
      </c>
      <c r="P2113" t="s">
        <v>277</v>
      </c>
      <c r="T2113">
        <v>25</v>
      </c>
      <c r="U2113" t="s">
        <v>613</v>
      </c>
      <c r="V2113">
        <v>77</v>
      </c>
      <c r="W2113" t="s">
        <v>599</v>
      </c>
      <c r="X2113" t="s">
        <v>280</v>
      </c>
      <c r="Y2113">
        <v>180</v>
      </c>
      <c r="AA2113" t="s">
        <v>94</v>
      </c>
      <c r="AB2113">
        <v>6.54</v>
      </c>
      <c r="AC2113" t="s">
        <v>85</v>
      </c>
      <c r="AI2113">
        <v>4</v>
      </c>
      <c r="AJ2113" t="s">
        <v>614</v>
      </c>
      <c r="AV2113" t="s">
        <v>88</v>
      </c>
      <c r="AW2113">
        <v>1585</v>
      </c>
      <c r="AZ2113">
        <v>0</v>
      </c>
      <c r="BA2113">
        <v>6.54</v>
      </c>
    </row>
    <row r="2114" spans="1:53" hidden="1" x14ac:dyDescent="0.3">
      <c r="A2114" t="s">
        <v>80</v>
      </c>
      <c r="C2114" t="s">
        <v>251</v>
      </c>
      <c r="D2114" t="s">
        <v>81</v>
      </c>
      <c r="E2114">
        <v>5000000</v>
      </c>
      <c r="H2114">
        <v>2.61</v>
      </c>
      <c r="I2114" t="s">
        <v>56</v>
      </c>
      <c r="J2114">
        <v>2.61E-4</v>
      </c>
      <c r="K2114" t="s">
        <v>57</v>
      </c>
      <c r="N2114" t="s">
        <v>612</v>
      </c>
      <c r="O2114">
        <v>1585</v>
      </c>
      <c r="P2114" t="s">
        <v>277</v>
      </c>
      <c r="T2114">
        <v>25</v>
      </c>
      <c r="U2114" t="s">
        <v>613</v>
      </c>
      <c r="V2114">
        <v>77</v>
      </c>
      <c r="W2114" t="s">
        <v>600</v>
      </c>
      <c r="X2114" t="s">
        <v>280</v>
      </c>
      <c r="Y2114">
        <v>180</v>
      </c>
      <c r="AA2114" t="s">
        <v>94</v>
      </c>
      <c r="AB2114">
        <v>6.54</v>
      </c>
      <c r="AC2114" t="s">
        <v>85</v>
      </c>
      <c r="AI2114">
        <v>4</v>
      </c>
      <c r="AJ2114" t="s">
        <v>614</v>
      </c>
      <c r="AV2114" t="s">
        <v>88</v>
      </c>
      <c r="AW2114">
        <v>1585</v>
      </c>
      <c r="AZ2114">
        <v>0</v>
      </c>
      <c r="BA2114">
        <v>6.54</v>
      </c>
    </row>
    <row r="2115" spans="1:53" hidden="1" x14ac:dyDescent="0.3">
      <c r="A2115" t="s">
        <v>80</v>
      </c>
      <c r="C2115" t="s">
        <v>251</v>
      </c>
      <c r="D2115" t="s">
        <v>81</v>
      </c>
      <c r="E2115">
        <v>5000000</v>
      </c>
      <c r="H2115">
        <v>2.6110000000000002</v>
      </c>
      <c r="I2115" t="s">
        <v>56</v>
      </c>
      <c r="J2115">
        <v>2.6110000000000011E-4</v>
      </c>
      <c r="K2115" t="s">
        <v>57</v>
      </c>
      <c r="N2115" t="s">
        <v>612</v>
      </c>
      <c r="O2115">
        <v>1585</v>
      </c>
      <c r="P2115" t="s">
        <v>277</v>
      </c>
      <c r="T2115">
        <v>25</v>
      </c>
      <c r="U2115" t="s">
        <v>613</v>
      </c>
      <c r="V2115">
        <v>77</v>
      </c>
      <c r="W2115" t="s">
        <v>601</v>
      </c>
      <c r="X2115" t="s">
        <v>280</v>
      </c>
      <c r="Y2115">
        <v>180</v>
      </c>
      <c r="AA2115" t="s">
        <v>94</v>
      </c>
      <c r="AB2115">
        <v>6.54</v>
      </c>
      <c r="AC2115" t="s">
        <v>85</v>
      </c>
      <c r="AI2115">
        <v>4</v>
      </c>
      <c r="AJ2115" t="s">
        <v>614</v>
      </c>
      <c r="AV2115" t="s">
        <v>88</v>
      </c>
      <c r="AW2115">
        <v>1585</v>
      </c>
      <c r="AZ2115">
        <v>0</v>
      </c>
      <c r="BA2115">
        <v>6.54</v>
      </c>
    </row>
    <row r="2116" spans="1:53" hidden="1" x14ac:dyDescent="0.3">
      <c r="A2116" t="s">
        <v>80</v>
      </c>
      <c r="C2116" t="s">
        <v>251</v>
      </c>
      <c r="D2116" t="s">
        <v>81</v>
      </c>
      <c r="E2116">
        <v>5000000</v>
      </c>
      <c r="H2116">
        <v>2.6120000000000001</v>
      </c>
      <c r="I2116" t="s">
        <v>56</v>
      </c>
      <c r="J2116">
        <v>2.6120000000000001E-4</v>
      </c>
      <c r="K2116" t="s">
        <v>57</v>
      </c>
      <c r="N2116" t="s">
        <v>612</v>
      </c>
      <c r="O2116">
        <v>1585</v>
      </c>
      <c r="P2116" t="s">
        <v>277</v>
      </c>
      <c r="T2116">
        <v>25</v>
      </c>
      <c r="U2116" t="s">
        <v>613</v>
      </c>
      <c r="V2116">
        <v>77</v>
      </c>
      <c r="W2116" t="s">
        <v>602</v>
      </c>
      <c r="X2116" t="s">
        <v>280</v>
      </c>
      <c r="Y2116">
        <v>180</v>
      </c>
      <c r="AB2116">
        <v>6.28</v>
      </c>
      <c r="AC2116" t="s">
        <v>85</v>
      </c>
      <c r="AD2116" t="s">
        <v>108</v>
      </c>
      <c r="AE2116" t="s">
        <v>63</v>
      </c>
      <c r="AI2116">
        <v>4</v>
      </c>
      <c r="AJ2116" t="s">
        <v>614</v>
      </c>
      <c r="AV2116" t="s">
        <v>88</v>
      </c>
      <c r="AW2116">
        <v>1585</v>
      </c>
    </row>
    <row r="2117" spans="1:53" hidden="1" x14ac:dyDescent="0.3">
      <c r="A2117" t="s">
        <v>80</v>
      </c>
      <c r="C2117" t="s">
        <v>251</v>
      </c>
      <c r="D2117" t="s">
        <v>81</v>
      </c>
      <c r="E2117">
        <v>5000000</v>
      </c>
      <c r="H2117">
        <v>2.613</v>
      </c>
      <c r="I2117" t="s">
        <v>56</v>
      </c>
      <c r="J2117">
        <v>2.6130000000000001E-4</v>
      </c>
      <c r="K2117" t="s">
        <v>57</v>
      </c>
      <c r="N2117" t="s">
        <v>612</v>
      </c>
      <c r="O2117">
        <v>1585</v>
      </c>
      <c r="P2117" t="s">
        <v>277</v>
      </c>
      <c r="T2117">
        <v>25</v>
      </c>
      <c r="U2117" t="s">
        <v>613</v>
      </c>
      <c r="V2117">
        <v>77</v>
      </c>
      <c r="W2117" t="s">
        <v>603</v>
      </c>
      <c r="X2117" t="s">
        <v>280</v>
      </c>
      <c r="Y2117">
        <v>180</v>
      </c>
      <c r="AB2117">
        <v>6.04</v>
      </c>
      <c r="AC2117" t="s">
        <v>85</v>
      </c>
      <c r="AD2117" t="s">
        <v>334</v>
      </c>
      <c r="AE2117" t="s">
        <v>63</v>
      </c>
      <c r="AI2117">
        <v>4</v>
      </c>
      <c r="AJ2117" t="s">
        <v>614</v>
      </c>
      <c r="AV2117" t="s">
        <v>88</v>
      </c>
      <c r="AW2117">
        <v>1585</v>
      </c>
    </row>
    <row r="2118" spans="1:53" hidden="1" x14ac:dyDescent="0.3">
      <c r="A2118" t="s">
        <v>80</v>
      </c>
      <c r="C2118" t="s">
        <v>251</v>
      </c>
      <c r="D2118" t="s">
        <v>81</v>
      </c>
      <c r="E2118">
        <v>5000000</v>
      </c>
      <c r="H2118">
        <v>2.6139999999999999</v>
      </c>
      <c r="I2118" t="s">
        <v>56</v>
      </c>
      <c r="J2118">
        <v>2.6140000000000001E-4</v>
      </c>
      <c r="K2118" t="s">
        <v>57</v>
      </c>
      <c r="N2118" t="s">
        <v>612</v>
      </c>
      <c r="O2118">
        <v>1585</v>
      </c>
      <c r="P2118" t="s">
        <v>277</v>
      </c>
      <c r="T2118">
        <v>25</v>
      </c>
      <c r="U2118" t="s">
        <v>613</v>
      </c>
      <c r="V2118">
        <v>77</v>
      </c>
      <c r="W2118" t="s">
        <v>605</v>
      </c>
      <c r="X2118" t="s">
        <v>280</v>
      </c>
      <c r="Y2118">
        <v>180</v>
      </c>
      <c r="AB2118">
        <v>6.54</v>
      </c>
      <c r="AC2118" t="s">
        <v>85</v>
      </c>
      <c r="AD2118" t="s">
        <v>103</v>
      </c>
      <c r="AE2118" t="s">
        <v>63</v>
      </c>
      <c r="AI2118">
        <v>4</v>
      </c>
      <c r="AJ2118" t="s">
        <v>614</v>
      </c>
      <c r="AV2118" t="s">
        <v>88</v>
      </c>
      <c r="AW2118">
        <v>1585</v>
      </c>
    </row>
    <row r="2119" spans="1:53" hidden="1" x14ac:dyDescent="0.3">
      <c r="A2119" t="s">
        <v>80</v>
      </c>
      <c r="C2119" t="s">
        <v>251</v>
      </c>
      <c r="D2119" t="s">
        <v>81</v>
      </c>
      <c r="E2119">
        <v>5000000</v>
      </c>
      <c r="H2119">
        <v>2.6150000000000002</v>
      </c>
      <c r="I2119" t="s">
        <v>56</v>
      </c>
      <c r="J2119">
        <v>2.6150000000000001E-4</v>
      </c>
      <c r="K2119" t="s">
        <v>57</v>
      </c>
      <c r="N2119" t="s">
        <v>612</v>
      </c>
      <c r="O2119">
        <v>1585</v>
      </c>
      <c r="P2119" t="s">
        <v>277</v>
      </c>
      <c r="T2119">
        <v>25</v>
      </c>
      <c r="U2119" t="s">
        <v>613</v>
      </c>
      <c r="V2119">
        <v>77</v>
      </c>
      <c r="W2119" t="s">
        <v>606</v>
      </c>
      <c r="X2119" t="s">
        <v>280</v>
      </c>
      <c r="Y2119">
        <v>180</v>
      </c>
      <c r="AA2119" t="s">
        <v>94</v>
      </c>
      <c r="AB2119">
        <v>6.54</v>
      </c>
      <c r="AC2119" t="s">
        <v>85</v>
      </c>
      <c r="AI2119">
        <v>4</v>
      </c>
      <c r="AJ2119" t="s">
        <v>614</v>
      </c>
      <c r="AV2119" t="s">
        <v>88</v>
      </c>
      <c r="AW2119">
        <v>1585</v>
      </c>
      <c r="AZ2119">
        <v>0</v>
      </c>
      <c r="BA2119">
        <v>6.54</v>
      </c>
    </row>
    <row r="2120" spans="1:53" hidden="1" x14ac:dyDescent="0.3">
      <c r="A2120" t="s">
        <v>80</v>
      </c>
      <c r="C2120" t="s">
        <v>251</v>
      </c>
      <c r="D2120" t="s">
        <v>81</v>
      </c>
      <c r="E2120">
        <v>5000000</v>
      </c>
      <c r="H2120">
        <v>2.6160000000000001</v>
      </c>
      <c r="I2120" t="s">
        <v>56</v>
      </c>
      <c r="J2120">
        <v>2.6160000000000002E-4</v>
      </c>
      <c r="K2120" t="s">
        <v>57</v>
      </c>
      <c r="N2120" t="s">
        <v>612</v>
      </c>
      <c r="O2120">
        <v>1585</v>
      </c>
      <c r="P2120" t="s">
        <v>277</v>
      </c>
      <c r="T2120">
        <v>25</v>
      </c>
      <c r="U2120" t="s">
        <v>613</v>
      </c>
      <c r="V2120">
        <v>77</v>
      </c>
      <c r="W2120" t="s">
        <v>608</v>
      </c>
      <c r="X2120" t="s">
        <v>280</v>
      </c>
      <c r="Y2120">
        <v>180</v>
      </c>
      <c r="AA2120" t="s">
        <v>94</v>
      </c>
      <c r="AB2120">
        <v>6.54</v>
      </c>
      <c r="AC2120" t="s">
        <v>85</v>
      </c>
      <c r="AI2120">
        <v>4</v>
      </c>
      <c r="AJ2120" t="s">
        <v>614</v>
      </c>
      <c r="AV2120" t="s">
        <v>88</v>
      </c>
      <c r="AW2120">
        <v>1585</v>
      </c>
      <c r="AZ2120">
        <v>0</v>
      </c>
      <c r="BA2120">
        <v>6.54</v>
      </c>
    </row>
    <row r="2121" spans="1:53" hidden="1" x14ac:dyDescent="0.3">
      <c r="A2121" t="s">
        <v>80</v>
      </c>
      <c r="C2121" t="s">
        <v>251</v>
      </c>
      <c r="D2121" t="s">
        <v>81</v>
      </c>
      <c r="E2121">
        <v>5000000</v>
      </c>
      <c r="H2121">
        <v>2.617</v>
      </c>
      <c r="I2121" t="s">
        <v>56</v>
      </c>
      <c r="J2121">
        <v>2.6170000000000002E-4</v>
      </c>
      <c r="K2121" t="s">
        <v>57</v>
      </c>
      <c r="N2121" t="s">
        <v>615</v>
      </c>
      <c r="O2121">
        <v>2185</v>
      </c>
      <c r="P2121" t="s">
        <v>277</v>
      </c>
      <c r="T2121">
        <v>25</v>
      </c>
      <c r="U2121" t="s">
        <v>616</v>
      </c>
      <c r="V2121">
        <v>67</v>
      </c>
      <c r="W2121" t="s">
        <v>599</v>
      </c>
      <c r="X2121" t="s">
        <v>280</v>
      </c>
      <c r="Y2121">
        <v>180</v>
      </c>
      <c r="AA2121" t="s">
        <v>94</v>
      </c>
      <c r="AB2121">
        <v>6.46</v>
      </c>
      <c r="AC2121" t="s">
        <v>85</v>
      </c>
      <c r="AI2121">
        <v>4</v>
      </c>
      <c r="AJ2121" t="s">
        <v>614</v>
      </c>
      <c r="AV2121" t="s">
        <v>88</v>
      </c>
      <c r="AW2121">
        <v>2185</v>
      </c>
      <c r="AZ2121">
        <v>0</v>
      </c>
      <c r="BA2121">
        <v>6.46</v>
      </c>
    </row>
    <row r="2122" spans="1:53" hidden="1" x14ac:dyDescent="0.3">
      <c r="A2122" t="s">
        <v>80</v>
      </c>
      <c r="C2122" t="s">
        <v>251</v>
      </c>
      <c r="D2122" t="s">
        <v>81</v>
      </c>
      <c r="E2122">
        <v>5000000</v>
      </c>
      <c r="H2122">
        <v>2.6179999999999999</v>
      </c>
      <c r="I2122" t="s">
        <v>56</v>
      </c>
      <c r="J2122">
        <v>2.6180000000000002E-4</v>
      </c>
      <c r="K2122" t="s">
        <v>57</v>
      </c>
      <c r="N2122" t="s">
        <v>615</v>
      </c>
      <c r="O2122">
        <v>2185</v>
      </c>
      <c r="P2122" t="s">
        <v>277</v>
      </c>
      <c r="T2122">
        <v>25</v>
      </c>
      <c r="U2122" t="s">
        <v>616</v>
      </c>
      <c r="V2122">
        <v>67</v>
      </c>
      <c r="W2122" t="s">
        <v>600</v>
      </c>
      <c r="X2122" t="s">
        <v>280</v>
      </c>
      <c r="Y2122">
        <v>180</v>
      </c>
      <c r="AA2122" t="s">
        <v>94</v>
      </c>
      <c r="AB2122">
        <v>6.46</v>
      </c>
      <c r="AC2122" t="s">
        <v>85</v>
      </c>
      <c r="AI2122">
        <v>4</v>
      </c>
      <c r="AJ2122" t="s">
        <v>614</v>
      </c>
      <c r="AV2122" t="s">
        <v>88</v>
      </c>
      <c r="AW2122">
        <v>2185</v>
      </c>
      <c r="AZ2122">
        <v>0</v>
      </c>
      <c r="BA2122">
        <v>6.46</v>
      </c>
    </row>
    <row r="2123" spans="1:53" hidden="1" x14ac:dyDescent="0.3">
      <c r="A2123" t="s">
        <v>80</v>
      </c>
      <c r="C2123" t="s">
        <v>251</v>
      </c>
      <c r="D2123" t="s">
        <v>81</v>
      </c>
      <c r="E2123">
        <v>5000000</v>
      </c>
      <c r="H2123">
        <v>2.6190000000000002</v>
      </c>
      <c r="I2123" t="s">
        <v>56</v>
      </c>
      <c r="J2123">
        <v>2.6190000000000002E-4</v>
      </c>
      <c r="K2123" t="s">
        <v>57</v>
      </c>
      <c r="N2123" t="s">
        <v>615</v>
      </c>
      <c r="O2123">
        <v>2185</v>
      </c>
      <c r="P2123" t="s">
        <v>277</v>
      </c>
      <c r="T2123">
        <v>25</v>
      </c>
      <c r="U2123" t="s">
        <v>616</v>
      </c>
      <c r="V2123">
        <v>67</v>
      </c>
      <c r="W2123" t="s">
        <v>601</v>
      </c>
      <c r="X2123" t="s">
        <v>280</v>
      </c>
      <c r="Y2123">
        <v>180</v>
      </c>
      <c r="AB2123">
        <v>6.39</v>
      </c>
      <c r="AC2123" t="s">
        <v>85</v>
      </c>
      <c r="AD2123" t="s">
        <v>103</v>
      </c>
      <c r="AE2123" t="s">
        <v>63</v>
      </c>
      <c r="AI2123">
        <v>4</v>
      </c>
      <c r="AJ2123" t="s">
        <v>614</v>
      </c>
      <c r="AV2123" t="s">
        <v>88</v>
      </c>
      <c r="AW2123">
        <v>2185</v>
      </c>
    </row>
    <row r="2124" spans="1:53" hidden="1" x14ac:dyDescent="0.3">
      <c r="A2124" t="s">
        <v>80</v>
      </c>
      <c r="C2124" t="s">
        <v>251</v>
      </c>
      <c r="D2124" t="s">
        <v>81</v>
      </c>
      <c r="E2124">
        <v>5000000</v>
      </c>
      <c r="H2124">
        <v>2.62</v>
      </c>
      <c r="I2124" t="s">
        <v>56</v>
      </c>
      <c r="J2124">
        <v>2.6200000000000003E-4</v>
      </c>
      <c r="K2124" t="s">
        <v>57</v>
      </c>
      <c r="N2124" t="s">
        <v>615</v>
      </c>
      <c r="O2124">
        <v>2185</v>
      </c>
      <c r="P2124" t="s">
        <v>277</v>
      </c>
      <c r="T2124">
        <v>25</v>
      </c>
      <c r="U2124" t="s">
        <v>616</v>
      </c>
      <c r="V2124">
        <v>67</v>
      </c>
      <c r="W2124" t="s">
        <v>602</v>
      </c>
      <c r="X2124" t="s">
        <v>280</v>
      </c>
      <c r="Y2124">
        <v>180</v>
      </c>
      <c r="AA2124" t="s">
        <v>94</v>
      </c>
      <c r="AB2124">
        <v>6.46</v>
      </c>
      <c r="AC2124" t="s">
        <v>85</v>
      </c>
      <c r="AI2124">
        <v>4</v>
      </c>
      <c r="AJ2124" t="s">
        <v>614</v>
      </c>
      <c r="AV2124" t="s">
        <v>88</v>
      </c>
      <c r="AW2124">
        <v>2185</v>
      </c>
      <c r="AZ2124">
        <v>0</v>
      </c>
      <c r="BA2124">
        <v>6.46</v>
      </c>
    </row>
    <row r="2125" spans="1:53" hidden="1" x14ac:dyDescent="0.3">
      <c r="A2125" t="s">
        <v>80</v>
      </c>
      <c r="C2125" t="s">
        <v>251</v>
      </c>
      <c r="D2125" t="s">
        <v>81</v>
      </c>
      <c r="E2125">
        <v>5000000</v>
      </c>
      <c r="H2125">
        <v>2.621</v>
      </c>
      <c r="I2125" t="s">
        <v>56</v>
      </c>
      <c r="J2125">
        <v>2.6209999999999997E-4</v>
      </c>
      <c r="K2125" t="s">
        <v>57</v>
      </c>
      <c r="N2125" t="s">
        <v>615</v>
      </c>
      <c r="O2125">
        <v>2185</v>
      </c>
      <c r="P2125" t="s">
        <v>277</v>
      </c>
      <c r="T2125">
        <v>25</v>
      </c>
      <c r="U2125" t="s">
        <v>616</v>
      </c>
      <c r="V2125">
        <v>67</v>
      </c>
      <c r="W2125" t="s">
        <v>603</v>
      </c>
      <c r="X2125" t="s">
        <v>280</v>
      </c>
      <c r="Y2125">
        <v>180</v>
      </c>
      <c r="AA2125" t="s">
        <v>94</v>
      </c>
      <c r="AB2125">
        <v>6.46</v>
      </c>
      <c r="AC2125" t="s">
        <v>85</v>
      </c>
      <c r="AI2125">
        <v>4</v>
      </c>
      <c r="AJ2125" t="s">
        <v>614</v>
      </c>
      <c r="AV2125" t="s">
        <v>88</v>
      </c>
      <c r="AW2125">
        <v>2185</v>
      </c>
      <c r="AZ2125">
        <v>0</v>
      </c>
      <c r="BA2125">
        <v>6.46</v>
      </c>
    </row>
    <row r="2126" spans="1:53" hidden="1" x14ac:dyDescent="0.3">
      <c r="A2126" t="s">
        <v>80</v>
      </c>
      <c r="C2126" t="s">
        <v>251</v>
      </c>
      <c r="D2126" t="s">
        <v>81</v>
      </c>
      <c r="E2126">
        <v>5000000</v>
      </c>
      <c r="H2126">
        <v>2.6219999999999999</v>
      </c>
      <c r="I2126" t="s">
        <v>56</v>
      </c>
      <c r="J2126">
        <v>2.6219999999999998E-4</v>
      </c>
      <c r="K2126" t="s">
        <v>57</v>
      </c>
      <c r="N2126" t="s">
        <v>615</v>
      </c>
      <c r="O2126">
        <v>2185</v>
      </c>
      <c r="P2126" t="s">
        <v>277</v>
      </c>
      <c r="T2126">
        <v>25</v>
      </c>
      <c r="U2126" t="s">
        <v>616</v>
      </c>
      <c r="V2126">
        <v>67</v>
      </c>
      <c r="W2126" t="s">
        <v>605</v>
      </c>
      <c r="X2126" t="s">
        <v>280</v>
      </c>
      <c r="Y2126">
        <v>180</v>
      </c>
      <c r="AA2126" t="s">
        <v>94</v>
      </c>
      <c r="AB2126">
        <v>6.46</v>
      </c>
      <c r="AC2126" t="s">
        <v>85</v>
      </c>
      <c r="AI2126">
        <v>4</v>
      </c>
      <c r="AJ2126" t="s">
        <v>614</v>
      </c>
      <c r="AV2126" t="s">
        <v>88</v>
      </c>
      <c r="AW2126">
        <v>2185</v>
      </c>
      <c r="AZ2126">
        <v>0</v>
      </c>
      <c r="BA2126">
        <v>6.46</v>
      </c>
    </row>
    <row r="2127" spans="1:53" hidden="1" x14ac:dyDescent="0.3">
      <c r="A2127" t="s">
        <v>80</v>
      </c>
      <c r="C2127" t="s">
        <v>251</v>
      </c>
      <c r="D2127" t="s">
        <v>81</v>
      </c>
      <c r="E2127">
        <v>5000000</v>
      </c>
      <c r="H2127">
        <v>2.6230000000000002</v>
      </c>
      <c r="I2127" t="s">
        <v>56</v>
      </c>
      <c r="J2127">
        <v>2.6229999999999998E-4</v>
      </c>
      <c r="K2127" t="s">
        <v>57</v>
      </c>
      <c r="N2127" t="s">
        <v>615</v>
      </c>
      <c r="O2127">
        <v>2185</v>
      </c>
      <c r="P2127" t="s">
        <v>277</v>
      </c>
      <c r="T2127">
        <v>25</v>
      </c>
      <c r="U2127" t="s">
        <v>616</v>
      </c>
      <c r="V2127">
        <v>67</v>
      </c>
      <c r="W2127" t="s">
        <v>606</v>
      </c>
      <c r="X2127" t="s">
        <v>280</v>
      </c>
      <c r="Y2127">
        <v>180</v>
      </c>
      <c r="AA2127" t="s">
        <v>94</v>
      </c>
      <c r="AB2127">
        <v>6.46</v>
      </c>
      <c r="AC2127" t="s">
        <v>85</v>
      </c>
      <c r="AI2127">
        <v>4</v>
      </c>
      <c r="AJ2127" t="s">
        <v>614</v>
      </c>
      <c r="AV2127" t="s">
        <v>88</v>
      </c>
      <c r="AW2127">
        <v>2185</v>
      </c>
      <c r="AZ2127">
        <v>0</v>
      </c>
      <c r="BA2127">
        <v>6.46</v>
      </c>
    </row>
    <row r="2128" spans="1:53" hidden="1" x14ac:dyDescent="0.3">
      <c r="A2128" t="s">
        <v>80</v>
      </c>
      <c r="C2128" t="s">
        <v>251</v>
      </c>
      <c r="D2128" t="s">
        <v>81</v>
      </c>
      <c r="E2128">
        <v>5000000</v>
      </c>
      <c r="H2128">
        <v>2.6240000000000001</v>
      </c>
      <c r="I2128" t="s">
        <v>56</v>
      </c>
      <c r="J2128">
        <v>2.6239999999999998E-4</v>
      </c>
      <c r="K2128" t="s">
        <v>57</v>
      </c>
      <c r="N2128" t="s">
        <v>615</v>
      </c>
      <c r="O2128">
        <v>2185</v>
      </c>
      <c r="P2128" t="s">
        <v>277</v>
      </c>
      <c r="T2128">
        <v>25</v>
      </c>
      <c r="U2128" t="s">
        <v>616</v>
      </c>
      <c r="V2128">
        <v>67</v>
      </c>
      <c r="W2128" t="s">
        <v>608</v>
      </c>
      <c r="X2128" t="s">
        <v>280</v>
      </c>
      <c r="Y2128">
        <v>180</v>
      </c>
      <c r="AB2128">
        <v>6.39</v>
      </c>
      <c r="AC2128" t="s">
        <v>85</v>
      </c>
      <c r="AD2128" t="s">
        <v>103</v>
      </c>
      <c r="AE2128" t="s">
        <v>63</v>
      </c>
      <c r="AI2128">
        <v>4</v>
      </c>
      <c r="AJ2128" t="s">
        <v>614</v>
      </c>
      <c r="AV2128" t="s">
        <v>88</v>
      </c>
      <c r="AW2128">
        <v>2185</v>
      </c>
    </row>
    <row r="2129" spans="1:53" hidden="1" x14ac:dyDescent="0.3">
      <c r="A2129" t="s">
        <v>617</v>
      </c>
      <c r="C2129" t="s">
        <v>251</v>
      </c>
      <c r="D2129" t="s">
        <v>81</v>
      </c>
      <c r="E2129">
        <v>5000000</v>
      </c>
      <c r="H2129">
        <v>6.6</v>
      </c>
      <c r="I2129" t="s">
        <v>56</v>
      </c>
      <c r="J2129">
        <v>6.6E-4</v>
      </c>
      <c r="K2129" t="s">
        <v>57</v>
      </c>
      <c r="O2129">
        <v>0</v>
      </c>
      <c r="P2129" t="s">
        <v>262</v>
      </c>
      <c r="T2129">
        <v>37</v>
      </c>
      <c r="V2129">
        <v>50</v>
      </c>
      <c r="W2129" t="s">
        <v>150</v>
      </c>
      <c r="X2129" t="s">
        <v>280</v>
      </c>
      <c r="Y2129">
        <v>2880</v>
      </c>
      <c r="AB2129">
        <v>7.2359999999999998</v>
      </c>
      <c r="AC2129" t="s">
        <v>62</v>
      </c>
      <c r="AD2129">
        <v>0.45200000000000001</v>
      </c>
      <c r="AE2129" t="s">
        <v>63</v>
      </c>
      <c r="AH2129">
        <v>7.2359999999999998</v>
      </c>
      <c r="AI2129">
        <v>5</v>
      </c>
      <c r="AT2129" t="s">
        <v>150</v>
      </c>
      <c r="AV2129" t="s">
        <v>88</v>
      </c>
      <c r="AX2129">
        <v>0</v>
      </c>
      <c r="BA2129">
        <v>7.2359999999999998</v>
      </c>
    </row>
    <row r="2130" spans="1:53" hidden="1" x14ac:dyDescent="0.3">
      <c r="A2130" t="s">
        <v>617</v>
      </c>
      <c r="C2130" t="s">
        <v>251</v>
      </c>
      <c r="D2130" t="s">
        <v>81</v>
      </c>
      <c r="E2130">
        <v>5000000</v>
      </c>
      <c r="H2130">
        <v>6.6</v>
      </c>
      <c r="I2130" t="s">
        <v>56</v>
      </c>
      <c r="J2130">
        <v>6.6E-4</v>
      </c>
      <c r="K2130" t="s">
        <v>57</v>
      </c>
      <c r="O2130">
        <v>16</v>
      </c>
      <c r="P2130" t="s">
        <v>262</v>
      </c>
      <c r="T2130">
        <v>37</v>
      </c>
      <c r="V2130">
        <v>50</v>
      </c>
      <c r="W2130" t="s">
        <v>150</v>
      </c>
      <c r="X2130" t="s">
        <v>280</v>
      </c>
      <c r="Y2130">
        <v>2880</v>
      </c>
      <c r="AB2130">
        <v>7.742</v>
      </c>
      <c r="AC2130" t="s">
        <v>62</v>
      </c>
      <c r="AD2130">
        <v>0.11</v>
      </c>
      <c r="AE2130" t="s">
        <v>63</v>
      </c>
      <c r="AH2130">
        <v>7.2359999999999998</v>
      </c>
      <c r="AI2130">
        <v>5</v>
      </c>
      <c r="AT2130" t="s">
        <v>150</v>
      </c>
      <c r="AV2130" t="s">
        <v>88</v>
      </c>
      <c r="AX2130">
        <v>16</v>
      </c>
      <c r="BA2130">
        <v>7.2359999999999998</v>
      </c>
    </row>
    <row r="2131" spans="1:53" hidden="1" x14ac:dyDescent="0.3">
      <c r="A2131" t="s">
        <v>617</v>
      </c>
      <c r="C2131" t="s">
        <v>251</v>
      </c>
      <c r="D2131" t="s">
        <v>81</v>
      </c>
      <c r="E2131">
        <v>5000000</v>
      </c>
      <c r="H2131">
        <v>6.6</v>
      </c>
      <c r="I2131" t="s">
        <v>56</v>
      </c>
      <c r="J2131">
        <v>6.6E-4</v>
      </c>
      <c r="K2131" t="s">
        <v>57</v>
      </c>
      <c r="O2131">
        <v>32</v>
      </c>
      <c r="P2131" t="s">
        <v>262</v>
      </c>
      <c r="T2131">
        <v>37</v>
      </c>
      <c r="V2131">
        <v>50</v>
      </c>
      <c r="W2131" t="s">
        <v>150</v>
      </c>
      <c r="X2131" t="s">
        <v>280</v>
      </c>
      <c r="Y2131">
        <v>2880</v>
      </c>
      <c r="AB2131">
        <v>7.0460000000000003</v>
      </c>
      <c r="AC2131" t="s">
        <v>62</v>
      </c>
      <c r="AD2131">
        <v>0.20399999999999999</v>
      </c>
      <c r="AE2131" t="s">
        <v>63</v>
      </c>
      <c r="AH2131">
        <v>7.2359999999999998</v>
      </c>
      <c r="AI2131">
        <v>5</v>
      </c>
      <c r="AT2131" t="s">
        <v>150</v>
      </c>
      <c r="AV2131" t="s">
        <v>88</v>
      </c>
      <c r="AX2131">
        <v>32</v>
      </c>
      <c r="BA2131">
        <v>7.2359999999999998</v>
      </c>
    </row>
    <row r="2132" spans="1:53" hidden="1" x14ac:dyDescent="0.3">
      <c r="A2132" t="s">
        <v>617</v>
      </c>
      <c r="C2132" t="s">
        <v>251</v>
      </c>
      <c r="D2132" t="s">
        <v>81</v>
      </c>
      <c r="E2132">
        <v>5000000</v>
      </c>
      <c r="H2132">
        <v>6.6</v>
      </c>
      <c r="I2132" t="s">
        <v>56</v>
      </c>
      <c r="J2132">
        <v>6.6E-4</v>
      </c>
      <c r="K2132" t="s">
        <v>57</v>
      </c>
      <c r="O2132">
        <v>48</v>
      </c>
      <c r="P2132" t="s">
        <v>262</v>
      </c>
      <c r="T2132">
        <v>37</v>
      </c>
      <c r="V2132">
        <v>50</v>
      </c>
      <c r="W2132" t="s">
        <v>150</v>
      </c>
      <c r="X2132" t="s">
        <v>280</v>
      </c>
      <c r="Y2132">
        <v>2880</v>
      </c>
      <c r="AB2132">
        <v>6.992</v>
      </c>
      <c r="AC2132" t="s">
        <v>62</v>
      </c>
      <c r="AD2132">
        <v>0.151</v>
      </c>
      <c r="AE2132" t="s">
        <v>63</v>
      </c>
      <c r="AH2132">
        <v>7.2359999999999998</v>
      </c>
      <c r="AI2132">
        <v>5</v>
      </c>
      <c r="AT2132" t="s">
        <v>150</v>
      </c>
      <c r="AV2132" t="s">
        <v>88</v>
      </c>
      <c r="AX2132">
        <v>48</v>
      </c>
      <c r="BA2132">
        <v>7.2359999999999998</v>
      </c>
    </row>
    <row r="2133" spans="1:53" hidden="1" x14ac:dyDescent="0.3">
      <c r="A2133" t="s">
        <v>617</v>
      </c>
      <c r="C2133" t="s">
        <v>251</v>
      </c>
      <c r="D2133" t="s">
        <v>81</v>
      </c>
      <c r="E2133">
        <v>5000000</v>
      </c>
      <c r="H2133">
        <v>6.6</v>
      </c>
      <c r="I2133" t="s">
        <v>56</v>
      </c>
      <c r="J2133">
        <v>6.6E-4</v>
      </c>
      <c r="K2133" t="s">
        <v>57</v>
      </c>
      <c r="O2133">
        <v>64</v>
      </c>
      <c r="P2133" t="s">
        <v>262</v>
      </c>
      <c r="T2133">
        <v>37</v>
      </c>
      <c r="V2133">
        <v>50</v>
      </c>
      <c r="W2133" t="s">
        <v>150</v>
      </c>
      <c r="X2133" t="s">
        <v>280</v>
      </c>
      <c r="Y2133">
        <v>2880</v>
      </c>
      <c r="AB2133">
        <v>4.8760000000000003</v>
      </c>
      <c r="AC2133" t="s">
        <v>62</v>
      </c>
      <c r="AD2133">
        <v>0.745</v>
      </c>
      <c r="AE2133" t="s">
        <v>63</v>
      </c>
      <c r="AH2133">
        <v>7.2359999999999998</v>
      </c>
      <c r="AI2133">
        <v>5</v>
      </c>
      <c r="AT2133" t="s">
        <v>150</v>
      </c>
      <c r="AV2133" t="s">
        <v>88</v>
      </c>
      <c r="AX2133">
        <v>64</v>
      </c>
      <c r="BA2133">
        <v>7.2359999999999998</v>
      </c>
    </row>
    <row r="2134" spans="1:53" hidden="1" x14ac:dyDescent="0.3">
      <c r="A2134" t="s">
        <v>617</v>
      </c>
      <c r="C2134" t="s">
        <v>251</v>
      </c>
      <c r="D2134" t="s">
        <v>81</v>
      </c>
      <c r="E2134">
        <v>5000000</v>
      </c>
      <c r="H2134">
        <v>6.6</v>
      </c>
      <c r="I2134" t="s">
        <v>56</v>
      </c>
      <c r="J2134">
        <v>6.6E-4</v>
      </c>
      <c r="K2134" t="s">
        <v>57</v>
      </c>
      <c r="O2134">
        <v>80</v>
      </c>
      <c r="P2134" t="s">
        <v>262</v>
      </c>
      <c r="T2134">
        <v>37</v>
      </c>
      <c r="V2134">
        <v>50</v>
      </c>
      <c r="W2134" t="s">
        <v>150</v>
      </c>
      <c r="X2134" t="s">
        <v>280</v>
      </c>
      <c r="Y2134">
        <v>2880</v>
      </c>
      <c r="AB2134">
        <v>0</v>
      </c>
      <c r="AC2134" t="s">
        <v>62</v>
      </c>
      <c r="AD2134">
        <v>0</v>
      </c>
      <c r="AE2134" t="s">
        <v>63</v>
      </c>
      <c r="AH2134">
        <v>7.2359999999999998</v>
      </c>
      <c r="AI2134">
        <v>5</v>
      </c>
      <c r="AT2134" t="s">
        <v>150</v>
      </c>
      <c r="AV2134" t="s">
        <v>88</v>
      </c>
      <c r="AX2134">
        <v>80</v>
      </c>
      <c r="BA2134">
        <v>7.2359999999999998</v>
      </c>
    </row>
    <row r="2135" spans="1:53" hidden="1" x14ac:dyDescent="0.3">
      <c r="A2135" t="s">
        <v>617</v>
      </c>
      <c r="C2135" t="s">
        <v>251</v>
      </c>
      <c r="D2135" t="s">
        <v>81</v>
      </c>
      <c r="E2135">
        <v>5000000</v>
      </c>
      <c r="H2135">
        <v>6.6</v>
      </c>
      <c r="I2135" t="s">
        <v>56</v>
      </c>
      <c r="J2135">
        <v>6.6E-4</v>
      </c>
      <c r="K2135" t="s">
        <v>57</v>
      </c>
      <c r="O2135">
        <v>96</v>
      </c>
      <c r="P2135" t="s">
        <v>262</v>
      </c>
      <c r="T2135">
        <v>37</v>
      </c>
      <c r="V2135">
        <v>50</v>
      </c>
      <c r="W2135" t="s">
        <v>150</v>
      </c>
      <c r="X2135" t="s">
        <v>280</v>
      </c>
      <c r="Y2135">
        <v>2880</v>
      </c>
      <c r="AB2135">
        <v>0</v>
      </c>
      <c r="AC2135" t="s">
        <v>62</v>
      </c>
      <c r="AD2135">
        <v>0</v>
      </c>
      <c r="AE2135" t="s">
        <v>63</v>
      </c>
      <c r="AH2135">
        <v>7.2359999999999998</v>
      </c>
      <c r="AI2135">
        <v>5</v>
      </c>
      <c r="AT2135" t="s">
        <v>150</v>
      </c>
      <c r="AV2135" t="s">
        <v>88</v>
      </c>
      <c r="AX2135">
        <v>96</v>
      </c>
      <c r="BA2135">
        <v>7.2359999999999998</v>
      </c>
    </row>
    <row r="2136" spans="1:53" hidden="1" x14ac:dyDescent="0.3">
      <c r="A2136" t="s">
        <v>617</v>
      </c>
      <c r="C2136" t="s">
        <v>251</v>
      </c>
      <c r="D2136" t="s">
        <v>81</v>
      </c>
      <c r="E2136">
        <v>5000000</v>
      </c>
      <c r="H2136">
        <v>6.6</v>
      </c>
      <c r="I2136" t="s">
        <v>56</v>
      </c>
      <c r="J2136">
        <v>6.6E-4</v>
      </c>
      <c r="K2136" t="s">
        <v>57</v>
      </c>
      <c r="O2136">
        <v>112</v>
      </c>
      <c r="P2136" t="s">
        <v>262</v>
      </c>
      <c r="T2136">
        <v>37</v>
      </c>
      <c r="V2136">
        <v>50</v>
      </c>
      <c r="W2136" t="s">
        <v>150</v>
      </c>
      <c r="X2136" t="s">
        <v>280</v>
      </c>
      <c r="Y2136">
        <v>2880</v>
      </c>
      <c r="AB2136">
        <v>0</v>
      </c>
      <c r="AC2136" t="s">
        <v>62</v>
      </c>
      <c r="AD2136">
        <v>0</v>
      </c>
      <c r="AE2136" t="s">
        <v>63</v>
      </c>
      <c r="AH2136">
        <v>7.2359999999999998</v>
      </c>
      <c r="AI2136">
        <v>5</v>
      </c>
      <c r="AT2136" t="s">
        <v>150</v>
      </c>
      <c r="AV2136" t="s">
        <v>88</v>
      </c>
      <c r="AX2136">
        <v>112</v>
      </c>
      <c r="BA2136">
        <v>7.2359999999999998</v>
      </c>
    </row>
    <row r="2137" spans="1:53" hidden="1" x14ac:dyDescent="0.3">
      <c r="A2137" t="s">
        <v>617</v>
      </c>
      <c r="C2137" t="s">
        <v>251</v>
      </c>
      <c r="D2137" t="s">
        <v>81</v>
      </c>
      <c r="E2137">
        <v>5000000</v>
      </c>
      <c r="H2137">
        <v>6.6</v>
      </c>
      <c r="I2137" t="s">
        <v>56</v>
      </c>
      <c r="J2137">
        <v>6.6E-4</v>
      </c>
      <c r="K2137" t="s">
        <v>57</v>
      </c>
      <c r="O2137">
        <v>0</v>
      </c>
      <c r="P2137" t="s">
        <v>262</v>
      </c>
      <c r="T2137">
        <v>37</v>
      </c>
      <c r="V2137">
        <v>50</v>
      </c>
      <c r="W2137" t="s">
        <v>150</v>
      </c>
      <c r="X2137" t="s">
        <v>280</v>
      </c>
      <c r="Y2137">
        <v>2880</v>
      </c>
      <c r="AB2137">
        <v>5.2080000000000002</v>
      </c>
      <c r="AC2137" t="s">
        <v>62</v>
      </c>
      <c r="AD2137">
        <v>0.16400000000000001</v>
      </c>
      <c r="AE2137" t="s">
        <v>63</v>
      </c>
      <c r="AH2137">
        <v>5.2080000000000002</v>
      </c>
      <c r="AI2137">
        <v>5</v>
      </c>
      <c r="AT2137" t="s">
        <v>150</v>
      </c>
      <c r="AV2137" t="s">
        <v>88</v>
      </c>
      <c r="AX2137">
        <v>0</v>
      </c>
      <c r="BA2137">
        <v>5.2080000000000002</v>
      </c>
    </row>
    <row r="2138" spans="1:53" hidden="1" x14ac:dyDescent="0.3">
      <c r="A2138" t="s">
        <v>617</v>
      </c>
      <c r="C2138" t="s">
        <v>251</v>
      </c>
      <c r="D2138" t="s">
        <v>81</v>
      </c>
      <c r="E2138">
        <v>5000000</v>
      </c>
      <c r="H2138">
        <v>6.6</v>
      </c>
      <c r="I2138" t="s">
        <v>56</v>
      </c>
      <c r="J2138">
        <v>6.6E-4</v>
      </c>
      <c r="K2138" t="s">
        <v>57</v>
      </c>
      <c r="O2138">
        <v>16</v>
      </c>
      <c r="P2138" t="s">
        <v>262</v>
      </c>
      <c r="T2138">
        <v>37</v>
      </c>
      <c r="V2138">
        <v>50</v>
      </c>
      <c r="W2138" t="s">
        <v>150</v>
      </c>
      <c r="X2138" t="s">
        <v>280</v>
      </c>
      <c r="Y2138">
        <v>2880</v>
      </c>
      <c r="AB2138">
        <v>5.3</v>
      </c>
      <c r="AC2138" t="s">
        <v>62</v>
      </c>
      <c r="AD2138">
        <v>3.7999999999999999E-2</v>
      </c>
      <c r="AE2138" t="s">
        <v>63</v>
      </c>
      <c r="AH2138">
        <v>5.2080000000000002</v>
      </c>
      <c r="AI2138">
        <v>5</v>
      </c>
      <c r="AT2138" t="s">
        <v>150</v>
      </c>
      <c r="AV2138" t="s">
        <v>88</v>
      </c>
      <c r="AX2138">
        <v>16</v>
      </c>
      <c r="BA2138">
        <v>5.2080000000000002</v>
      </c>
    </row>
    <row r="2139" spans="1:53" hidden="1" x14ac:dyDescent="0.3">
      <c r="A2139" t="s">
        <v>617</v>
      </c>
      <c r="C2139" t="s">
        <v>251</v>
      </c>
      <c r="D2139" t="s">
        <v>81</v>
      </c>
      <c r="E2139">
        <v>5000000</v>
      </c>
      <c r="H2139">
        <v>6.6</v>
      </c>
      <c r="I2139" t="s">
        <v>56</v>
      </c>
      <c r="J2139">
        <v>6.6E-4</v>
      </c>
      <c r="K2139" t="s">
        <v>57</v>
      </c>
      <c r="O2139">
        <v>32</v>
      </c>
      <c r="P2139" t="s">
        <v>262</v>
      </c>
      <c r="T2139">
        <v>37</v>
      </c>
      <c r="V2139">
        <v>50</v>
      </c>
      <c r="W2139" t="s">
        <v>150</v>
      </c>
      <c r="X2139" t="s">
        <v>280</v>
      </c>
      <c r="Y2139">
        <v>2880</v>
      </c>
      <c r="AB2139">
        <v>4.9429999999999996</v>
      </c>
      <c r="AC2139" t="s">
        <v>62</v>
      </c>
      <c r="AD2139">
        <v>0.13800000000000001</v>
      </c>
      <c r="AE2139" t="s">
        <v>63</v>
      </c>
      <c r="AH2139">
        <v>5.2080000000000002</v>
      </c>
      <c r="AI2139">
        <v>5</v>
      </c>
      <c r="AT2139" t="s">
        <v>150</v>
      </c>
      <c r="AV2139" t="s">
        <v>88</v>
      </c>
      <c r="AX2139">
        <v>32</v>
      </c>
      <c r="BA2139">
        <v>5.2080000000000002</v>
      </c>
    </row>
    <row r="2140" spans="1:53" hidden="1" x14ac:dyDescent="0.3">
      <c r="A2140" t="s">
        <v>617</v>
      </c>
      <c r="C2140" t="s">
        <v>251</v>
      </c>
      <c r="D2140" t="s">
        <v>81</v>
      </c>
      <c r="E2140">
        <v>5000000</v>
      </c>
      <c r="H2140">
        <v>6.6</v>
      </c>
      <c r="I2140" t="s">
        <v>56</v>
      </c>
      <c r="J2140">
        <v>6.6E-4</v>
      </c>
      <c r="K2140" t="s">
        <v>57</v>
      </c>
      <c r="O2140">
        <v>48</v>
      </c>
      <c r="P2140" t="s">
        <v>262</v>
      </c>
      <c r="T2140">
        <v>37</v>
      </c>
      <c r="V2140">
        <v>50</v>
      </c>
      <c r="W2140" t="s">
        <v>150</v>
      </c>
      <c r="X2140" t="s">
        <v>280</v>
      </c>
      <c r="Y2140">
        <v>2880</v>
      </c>
      <c r="AB2140">
        <v>3.86</v>
      </c>
      <c r="AC2140" t="s">
        <v>62</v>
      </c>
      <c r="AD2140">
        <v>0.17799999999999999</v>
      </c>
      <c r="AE2140" t="s">
        <v>63</v>
      </c>
      <c r="AH2140">
        <v>5.2080000000000002</v>
      </c>
      <c r="AI2140">
        <v>5</v>
      </c>
      <c r="AT2140" t="s">
        <v>150</v>
      </c>
      <c r="AV2140" t="s">
        <v>88</v>
      </c>
      <c r="AX2140">
        <v>48</v>
      </c>
      <c r="BA2140">
        <v>5.2080000000000002</v>
      </c>
    </row>
    <row r="2141" spans="1:53" hidden="1" x14ac:dyDescent="0.3">
      <c r="A2141" t="s">
        <v>617</v>
      </c>
      <c r="C2141" t="s">
        <v>251</v>
      </c>
      <c r="D2141" t="s">
        <v>81</v>
      </c>
      <c r="E2141">
        <v>5000000</v>
      </c>
      <c r="H2141">
        <v>6.6</v>
      </c>
      <c r="I2141" t="s">
        <v>56</v>
      </c>
      <c r="J2141">
        <v>6.6E-4</v>
      </c>
      <c r="K2141" t="s">
        <v>57</v>
      </c>
      <c r="O2141">
        <v>64</v>
      </c>
      <c r="P2141" t="s">
        <v>262</v>
      </c>
      <c r="T2141">
        <v>37</v>
      </c>
      <c r="V2141">
        <v>50</v>
      </c>
      <c r="W2141" t="s">
        <v>150</v>
      </c>
      <c r="X2141" t="s">
        <v>280</v>
      </c>
      <c r="Y2141">
        <v>2880</v>
      </c>
      <c r="AB2141">
        <v>0</v>
      </c>
      <c r="AC2141" t="s">
        <v>62</v>
      </c>
      <c r="AD2141">
        <v>0</v>
      </c>
      <c r="AE2141" t="s">
        <v>63</v>
      </c>
      <c r="AH2141">
        <v>5.2080000000000002</v>
      </c>
      <c r="AI2141">
        <v>5</v>
      </c>
      <c r="AT2141" t="s">
        <v>150</v>
      </c>
      <c r="AV2141" t="s">
        <v>88</v>
      </c>
      <c r="AX2141">
        <v>64</v>
      </c>
      <c r="BA2141">
        <v>5.2080000000000002</v>
      </c>
    </row>
    <row r="2142" spans="1:53" hidden="1" x14ac:dyDescent="0.3">
      <c r="A2142" t="s">
        <v>617</v>
      </c>
      <c r="C2142" t="s">
        <v>251</v>
      </c>
      <c r="D2142" t="s">
        <v>81</v>
      </c>
      <c r="E2142">
        <v>5000000</v>
      </c>
      <c r="H2142">
        <v>6.6</v>
      </c>
      <c r="I2142" t="s">
        <v>56</v>
      </c>
      <c r="J2142">
        <v>6.6E-4</v>
      </c>
      <c r="K2142" t="s">
        <v>57</v>
      </c>
      <c r="O2142">
        <v>80</v>
      </c>
      <c r="P2142" t="s">
        <v>262</v>
      </c>
      <c r="T2142">
        <v>37</v>
      </c>
      <c r="V2142">
        <v>50</v>
      </c>
      <c r="W2142" t="s">
        <v>150</v>
      </c>
      <c r="X2142" t="s">
        <v>280</v>
      </c>
      <c r="Y2142">
        <v>2880</v>
      </c>
      <c r="AB2142">
        <v>0</v>
      </c>
      <c r="AC2142" t="s">
        <v>62</v>
      </c>
      <c r="AD2142">
        <v>0</v>
      </c>
      <c r="AE2142" t="s">
        <v>63</v>
      </c>
      <c r="AH2142">
        <v>5.2080000000000002</v>
      </c>
      <c r="AI2142">
        <v>5</v>
      </c>
      <c r="AT2142" t="s">
        <v>150</v>
      </c>
      <c r="AV2142" t="s">
        <v>88</v>
      </c>
      <c r="AX2142">
        <v>80</v>
      </c>
      <c r="BA2142">
        <v>5.2080000000000002</v>
      </c>
    </row>
    <row r="2143" spans="1:53" hidden="1" x14ac:dyDescent="0.3">
      <c r="A2143" t="s">
        <v>617</v>
      </c>
      <c r="C2143" t="s">
        <v>251</v>
      </c>
      <c r="D2143" t="s">
        <v>81</v>
      </c>
      <c r="E2143">
        <v>5000000</v>
      </c>
      <c r="H2143">
        <v>6.6</v>
      </c>
      <c r="I2143" t="s">
        <v>56</v>
      </c>
      <c r="J2143">
        <v>6.6E-4</v>
      </c>
      <c r="K2143" t="s">
        <v>57</v>
      </c>
      <c r="O2143">
        <v>96</v>
      </c>
      <c r="P2143" t="s">
        <v>262</v>
      </c>
      <c r="T2143">
        <v>37</v>
      </c>
      <c r="V2143">
        <v>50</v>
      </c>
      <c r="W2143" t="s">
        <v>150</v>
      </c>
      <c r="X2143" t="s">
        <v>280</v>
      </c>
      <c r="Y2143">
        <v>2880</v>
      </c>
      <c r="AB2143">
        <v>0</v>
      </c>
      <c r="AC2143" t="s">
        <v>62</v>
      </c>
      <c r="AD2143">
        <v>0</v>
      </c>
      <c r="AE2143" t="s">
        <v>63</v>
      </c>
      <c r="AH2143">
        <v>5.2080000000000002</v>
      </c>
      <c r="AI2143">
        <v>5</v>
      </c>
      <c r="AT2143" t="s">
        <v>150</v>
      </c>
      <c r="AV2143" t="s">
        <v>88</v>
      </c>
      <c r="AX2143">
        <v>96</v>
      </c>
      <c r="BA2143">
        <v>5.2080000000000002</v>
      </c>
    </row>
    <row r="2144" spans="1:53" hidden="1" x14ac:dyDescent="0.3">
      <c r="A2144" t="s">
        <v>617</v>
      </c>
      <c r="C2144" t="s">
        <v>251</v>
      </c>
      <c r="D2144" t="s">
        <v>81</v>
      </c>
      <c r="E2144">
        <v>5000000</v>
      </c>
      <c r="H2144">
        <v>6.6</v>
      </c>
      <c r="I2144" t="s">
        <v>56</v>
      </c>
      <c r="J2144">
        <v>6.6E-4</v>
      </c>
      <c r="K2144" t="s">
        <v>57</v>
      </c>
      <c r="O2144">
        <v>112</v>
      </c>
      <c r="P2144" t="s">
        <v>262</v>
      </c>
      <c r="T2144">
        <v>37</v>
      </c>
      <c r="V2144">
        <v>50</v>
      </c>
      <c r="W2144" t="s">
        <v>150</v>
      </c>
      <c r="X2144" t="s">
        <v>280</v>
      </c>
      <c r="Y2144">
        <v>2880</v>
      </c>
      <c r="AB2144">
        <v>0</v>
      </c>
      <c r="AC2144" t="s">
        <v>62</v>
      </c>
      <c r="AD2144">
        <v>0</v>
      </c>
      <c r="AE2144" t="s">
        <v>63</v>
      </c>
      <c r="AH2144">
        <v>5.2080000000000002</v>
      </c>
      <c r="AI2144">
        <v>5</v>
      </c>
      <c r="AT2144" t="s">
        <v>150</v>
      </c>
      <c r="AV2144" t="s">
        <v>88</v>
      </c>
      <c r="AX2144">
        <v>112</v>
      </c>
      <c r="BA2144">
        <v>5.2080000000000002</v>
      </c>
    </row>
    <row r="2145" spans="1:53" hidden="1" x14ac:dyDescent="0.3">
      <c r="A2145" t="s">
        <v>617</v>
      </c>
      <c r="C2145" t="s">
        <v>251</v>
      </c>
      <c r="D2145" t="s">
        <v>81</v>
      </c>
      <c r="E2145">
        <v>5000000</v>
      </c>
      <c r="H2145">
        <v>6.6</v>
      </c>
      <c r="I2145" t="s">
        <v>56</v>
      </c>
      <c r="J2145">
        <v>6.6E-4</v>
      </c>
      <c r="K2145" t="s">
        <v>57</v>
      </c>
      <c r="O2145">
        <v>0</v>
      </c>
      <c r="P2145" t="s">
        <v>262</v>
      </c>
      <c r="T2145">
        <v>37</v>
      </c>
      <c r="V2145">
        <v>50</v>
      </c>
      <c r="W2145" t="s">
        <v>150</v>
      </c>
      <c r="X2145" t="s">
        <v>280</v>
      </c>
      <c r="Y2145">
        <v>2880</v>
      </c>
      <c r="AB2145">
        <v>8.5180000000000007</v>
      </c>
      <c r="AC2145" t="s">
        <v>62</v>
      </c>
      <c r="AD2145">
        <v>0.184</v>
      </c>
      <c r="AE2145" t="s">
        <v>63</v>
      </c>
      <c r="AH2145">
        <v>8.5180000000000007</v>
      </c>
      <c r="AI2145">
        <v>5</v>
      </c>
      <c r="AT2145" t="s">
        <v>150</v>
      </c>
      <c r="AV2145" t="s">
        <v>88</v>
      </c>
      <c r="AX2145">
        <v>0</v>
      </c>
      <c r="BA2145">
        <v>8.5180000000000007</v>
      </c>
    </row>
    <row r="2146" spans="1:53" hidden="1" x14ac:dyDescent="0.3">
      <c r="A2146" t="s">
        <v>617</v>
      </c>
      <c r="C2146" t="s">
        <v>251</v>
      </c>
      <c r="D2146" t="s">
        <v>81</v>
      </c>
      <c r="E2146">
        <v>5000000</v>
      </c>
      <c r="H2146">
        <v>6.6</v>
      </c>
      <c r="I2146" t="s">
        <v>56</v>
      </c>
      <c r="J2146">
        <v>6.6E-4</v>
      </c>
      <c r="K2146" t="s">
        <v>57</v>
      </c>
      <c r="O2146">
        <v>16</v>
      </c>
      <c r="P2146" t="s">
        <v>262</v>
      </c>
      <c r="T2146">
        <v>37</v>
      </c>
      <c r="V2146">
        <v>50</v>
      </c>
      <c r="W2146" t="s">
        <v>150</v>
      </c>
      <c r="X2146" t="s">
        <v>280</v>
      </c>
      <c r="Y2146">
        <v>2880</v>
      </c>
      <c r="AA2146" t="s">
        <v>184</v>
      </c>
      <c r="AB2146">
        <v>7</v>
      </c>
      <c r="AC2146" t="s">
        <v>62</v>
      </c>
      <c r="AH2146">
        <v>8.5180000000000007</v>
      </c>
      <c r="AI2146">
        <v>5</v>
      </c>
      <c r="AT2146" t="s">
        <v>150</v>
      </c>
      <c r="AV2146" t="s">
        <v>88</v>
      </c>
      <c r="AX2146">
        <v>16</v>
      </c>
      <c r="AZ2146">
        <v>0</v>
      </c>
      <c r="BA2146">
        <v>8.5180000000000007</v>
      </c>
    </row>
    <row r="2147" spans="1:53" hidden="1" x14ac:dyDescent="0.3">
      <c r="A2147" t="s">
        <v>617</v>
      </c>
      <c r="C2147" t="s">
        <v>251</v>
      </c>
      <c r="D2147" t="s">
        <v>81</v>
      </c>
      <c r="E2147">
        <v>5000000</v>
      </c>
      <c r="H2147">
        <v>6.6</v>
      </c>
      <c r="I2147" t="s">
        <v>56</v>
      </c>
      <c r="J2147">
        <v>6.6E-4</v>
      </c>
      <c r="K2147" t="s">
        <v>57</v>
      </c>
      <c r="O2147">
        <v>32</v>
      </c>
      <c r="P2147" t="s">
        <v>262</v>
      </c>
      <c r="T2147">
        <v>37</v>
      </c>
      <c r="V2147">
        <v>50</v>
      </c>
      <c r="W2147" t="s">
        <v>150</v>
      </c>
      <c r="X2147" t="s">
        <v>280</v>
      </c>
      <c r="Y2147">
        <v>2880</v>
      </c>
      <c r="AA2147" t="s">
        <v>184</v>
      </c>
      <c r="AB2147">
        <v>7</v>
      </c>
      <c r="AC2147" t="s">
        <v>62</v>
      </c>
      <c r="AH2147">
        <v>8.5180000000000007</v>
      </c>
      <c r="AI2147">
        <v>5</v>
      </c>
      <c r="AT2147" t="s">
        <v>150</v>
      </c>
      <c r="AV2147" t="s">
        <v>88</v>
      </c>
      <c r="AX2147">
        <v>32</v>
      </c>
      <c r="AZ2147">
        <v>0</v>
      </c>
      <c r="BA2147">
        <v>8.5180000000000007</v>
      </c>
    </row>
    <row r="2148" spans="1:53" hidden="1" x14ac:dyDescent="0.3">
      <c r="A2148" t="s">
        <v>617</v>
      </c>
      <c r="C2148" t="s">
        <v>251</v>
      </c>
      <c r="D2148" t="s">
        <v>81</v>
      </c>
      <c r="E2148">
        <v>5000000</v>
      </c>
      <c r="H2148">
        <v>6.6</v>
      </c>
      <c r="I2148" t="s">
        <v>56</v>
      </c>
      <c r="J2148">
        <v>6.6E-4</v>
      </c>
      <c r="K2148" t="s">
        <v>57</v>
      </c>
      <c r="O2148">
        <v>48</v>
      </c>
      <c r="P2148" t="s">
        <v>262</v>
      </c>
      <c r="T2148">
        <v>37</v>
      </c>
      <c r="V2148">
        <v>50</v>
      </c>
      <c r="W2148" t="s">
        <v>150</v>
      </c>
      <c r="X2148" t="s">
        <v>280</v>
      </c>
      <c r="Y2148">
        <v>2880</v>
      </c>
      <c r="AA2148" t="s">
        <v>184</v>
      </c>
      <c r="AB2148">
        <v>7</v>
      </c>
      <c r="AC2148" t="s">
        <v>62</v>
      </c>
      <c r="AH2148">
        <v>8.5180000000000007</v>
      </c>
      <c r="AI2148">
        <v>5</v>
      </c>
      <c r="AT2148" t="s">
        <v>150</v>
      </c>
      <c r="AV2148" t="s">
        <v>88</v>
      </c>
      <c r="AX2148">
        <v>48</v>
      </c>
      <c r="AZ2148">
        <v>0</v>
      </c>
      <c r="BA2148">
        <v>8.5180000000000007</v>
      </c>
    </row>
    <row r="2149" spans="1:53" hidden="1" x14ac:dyDescent="0.3">
      <c r="A2149" t="s">
        <v>617</v>
      </c>
      <c r="C2149" t="s">
        <v>251</v>
      </c>
      <c r="D2149" t="s">
        <v>81</v>
      </c>
      <c r="E2149">
        <v>5000000</v>
      </c>
      <c r="H2149">
        <v>6.6</v>
      </c>
      <c r="I2149" t="s">
        <v>56</v>
      </c>
      <c r="J2149">
        <v>6.6E-4</v>
      </c>
      <c r="K2149" t="s">
        <v>57</v>
      </c>
      <c r="O2149">
        <v>64</v>
      </c>
      <c r="P2149" t="s">
        <v>262</v>
      </c>
      <c r="T2149">
        <v>37</v>
      </c>
      <c r="V2149">
        <v>50</v>
      </c>
      <c r="W2149" t="s">
        <v>150</v>
      </c>
      <c r="X2149" t="s">
        <v>280</v>
      </c>
      <c r="Y2149">
        <v>2880</v>
      </c>
      <c r="AB2149">
        <v>7.944</v>
      </c>
      <c r="AC2149" t="s">
        <v>62</v>
      </c>
      <c r="AD2149">
        <v>6.2E-2</v>
      </c>
      <c r="AE2149" t="s">
        <v>63</v>
      </c>
      <c r="AH2149">
        <v>8.5180000000000007</v>
      </c>
      <c r="AI2149">
        <v>5</v>
      </c>
      <c r="AT2149" t="s">
        <v>150</v>
      </c>
      <c r="AV2149" t="s">
        <v>88</v>
      </c>
      <c r="AX2149">
        <v>64</v>
      </c>
      <c r="BA2149">
        <v>8.5180000000000007</v>
      </c>
    </row>
    <row r="2150" spans="1:53" hidden="1" x14ac:dyDescent="0.3">
      <c r="A2150" t="s">
        <v>617</v>
      </c>
      <c r="C2150" t="s">
        <v>251</v>
      </c>
      <c r="D2150" t="s">
        <v>81</v>
      </c>
      <c r="E2150">
        <v>5000000</v>
      </c>
      <c r="H2150">
        <v>6.6</v>
      </c>
      <c r="I2150" t="s">
        <v>56</v>
      </c>
      <c r="J2150">
        <v>6.6E-4</v>
      </c>
      <c r="K2150" t="s">
        <v>57</v>
      </c>
      <c r="O2150">
        <v>80</v>
      </c>
      <c r="P2150" t="s">
        <v>262</v>
      </c>
      <c r="T2150">
        <v>37</v>
      </c>
      <c r="V2150">
        <v>50</v>
      </c>
      <c r="W2150" t="s">
        <v>150</v>
      </c>
      <c r="X2150" t="s">
        <v>280</v>
      </c>
      <c r="Y2150">
        <v>2880</v>
      </c>
      <c r="AA2150" t="s">
        <v>184</v>
      </c>
      <c r="AB2150">
        <v>5</v>
      </c>
      <c r="AC2150" t="s">
        <v>62</v>
      </c>
      <c r="AH2150">
        <v>8.5180000000000007</v>
      </c>
      <c r="AI2150">
        <v>5</v>
      </c>
      <c r="AT2150" t="s">
        <v>150</v>
      </c>
      <c r="AV2150" t="s">
        <v>88</v>
      </c>
      <c r="AX2150">
        <v>80</v>
      </c>
      <c r="AZ2150">
        <v>0</v>
      </c>
      <c r="BA2150">
        <v>8.5180000000000007</v>
      </c>
    </row>
    <row r="2151" spans="1:53" hidden="1" x14ac:dyDescent="0.3">
      <c r="A2151" t="s">
        <v>617</v>
      </c>
      <c r="C2151" t="s">
        <v>251</v>
      </c>
      <c r="D2151" t="s">
        <v>81</v>
      </c>
      <c r="E2151">
        <v>5000000</v>
      </c>
      <c r="H2151">
        <v>6.6</v>
      </c>
      <c r="I2151" t="s">
        <v>56</v>
      </c>
      <c r="J2151">
        <v>6.6E-4</v>
      </c>
      <c r="K2151" t="s">
        <v>57</v>
      </c>
      <c r="O2151">
        <v>96</v>
      </c>
      <c r="P2151" t="s">
        <v>262</v>
      </c>
      <c r="T2151">
        <v>37</v>
      </c>
      <c r="V2151">
        <v>50</v>
      </c>
      <c r="W2151" t="s">
        <v>150</v>
      </c>
      <c r="X2151" t="s">
        <v>280</v>
      </c>
      <c r="Y2151">
        <v>2880</v>
      </c>
      <c r="AA2151" t="s">
        <v>184</v>
      </c>
      <c r="AB2151">
        <v>5</v>
      </c>
      <c r="AC2151" t="s">
        <v>62</v>
      </c>
      <c r="AH2151">
        <v>8.5180000000000007</v>
      </c>
      <c r="AI2151">
        <v>5</v>
      </c>
      <c r="AT2151" t="s">
        <v>150</v>
      </c>
      <c r="AV2151" t="s">
        <v>88</v>
      </c>
      <c r="AX2151">
        <v>96</v>
      </c>
      <c r="AZ2151">
        <v>0</v>
      </c>
      <c r="BA2151">
        <v>8.5180000000000007</v>
      </c>
    </row>
    <row r="2152" spans="1:53" hidden="1" x14ac:dyDescent="0.3">
      <c r="A2152" t="s">
        <v>617</v>
      </c>
      <c r="C2152" t="s">
        <v>251</v>
      </c>
      <c r="D2152" t="s">
        <v>81</v>
      </c>
      <c r="E2152">
        <v>5000000</v>
      </c>
      <c r="H2152">
        <v>6.6</v>
      </c>
      <c r="I2152" t="s">
        <v>56</v>
      </c>
      <c r="J2152">
        <v>6.6E-4</v>
      </c>
      <c r="K2152" t="s">
        <v>57</v>
      </c>
      <c r="O2152">
        <v>112</v>
      </c>
      <c r="P2152" t="s">
        <v>262</v>
      </c>
      <c r="T2152">
        <v>37</v>
      </c>
      <c r="V2152">
        <v>50</v>
      </c>
      <c r="W2152" t="s">
        <v>150</v>
      </c>
      <c r="X2152" t="s">
        <v>280</v>
      </c>
      <c r="Y2152">
        <v>2880</v>
      </c>
      <c r="AB2152">
        <v>4.9390000000000001</v>
      </c>
      <c r="AC2152" t="s">
        <v>62</v>
      </c>
      <c r="AD2152">
        <v>0.184</v>
      </c>
      <c r="AE2152" t="s">
        <v>63</v>
      </c>
      <c r="AH2152">
        <v>8.5180000000000007</v>
      </c>
      <c r="AI2152">
        <v>5</v>
      </c>
      <c r="AT2152" t="s">
        <v>150</v>
      </c>
      <c r="AV2152" t="s">
        <v>88</v>
      </c>
      <c r="AX2152">
        <v>112</v>
      </c>
      <c r="BA2152">
        <v>8.5180000000000007</v>
      </c>
    </row>
    <row r="2153" spans="1:53" hidden="1" x14ac:dyDescent="0.3">
      <c r="A2153" t="s">
        <v>617</v>
      </c>
      <c r="C2153" t="s">
        <v>251</v>
      </c>
      <c r="D2153" t="s">
        <v>81</v>
      </c>
      <c r="E2153">
        <v>5000000</v>
      </c>
      <c r="H2153">
        <v>6.6</v>
      </c>
      <c r="I2153" t="s">
        <v>56</v>
      </c>
      <c r="J2153">
        <v>6.6E-4</v>
      </c>
      <c r="K2153" t="s">
        <v>57</v>
      </c>
      <c r="O2153">
        <v>0</v>
      </c>
      <c r="P2153" t="s">
        <v>262</v>
      </c>
      <c r="T2153">
        <v>37</v>
      </c>
      <c r="V2153">
        <v>50</v>
      </c>
      <c r="W2153" t="s">
        <v>150</v>
      </c>
      <c r="X2153" t="s">
        <v>280</v>
      </c>
      <c r="Y2153">
        <v>2880</v>
      </c>
      <c r="AB2153">
        <v>8.907</v>
      </c>
      <c r="AC2153" t="s">
        <v>62</v>
      </c>
      <c r="AD2153">
        <v>0.68799999999999994</v>
      </c>
      <c r="AE2153" t="s">
        <v>63</v>
      </c>
      <c r="AH2153">
        <v>8.907</v>
      </c>
      <c r="AI2153">
        <v>5</v>
      </c>
      <c r="AT2153" t="s">
        <v>150</v>
      </c>
      <c r="AV2153" t="s">
        <v>88</v>
      </c>
      <c r="AX2153">
        <v>0</v>
      </c>
      <c r="BA2153">
        <v>8.907</v>
      </c>
    </row>
    <row r="2154" spans="1:53" hidden="1" x14ac:dyDescent="0.3">
      <c r="A2154" t="s">
        <v>617</v>
      </c>
      <c r="C2154" t="s">
        <v>251</v>
      </c>
      <c r="D2154" t="s">
        <v>81</v>
      </c>
      <c r="E2154">
        <v>5000000</v>
      </c>
      <c r="H2154">
        <v>6.6</v>
      </c>
      <c r="I2154" t="s">
        <v>56</v>
      </c>
      <c r="J2154">
        <v>6.6E-4</v>
      </c>
      <c r="K2154" t="s">
        <v>57</v>
      </c>
      <c r="O2154">
        <v>16</v>
      </c>
      <c r="P2154" t="s">
        <v>262</v>
      </c>
      <c r="T2154">
        <v>37</v>
      </c>
      <c r="V2154">
        <v>50</v>
      </c>
      <c r="W2154" t="s">
        <v>150</v>
      </c>
      <c r="X2154" t="s">
        <v>280</v>
      </c>
      <c r="Y2154">
        <v>2880</v>
      </c>
      <c r="AA2154" t="s">
        <v>184</v>
      </c>
      <c r="AB2154">
        <v>7</v>
      </c>
      <c r="AC2154" t="s">
        <v>62</v>
      </c>
      <c r="AH2154">
        <v>8.907</v>
      </c>
      <c r="AI2154">
        <v>5</v>
      </c>
      <c r="AT2154" t="s">
        <v>150</v>
      </c>
      <c r="AV2154" t="s">
        <v>88</v>
      </c>
      <c r="AX2154">
        <v>16</v>
      </c>
      <c r="AZ2154">
        <v>0</v>
      </c>
      <c r="BA2154">
        <v>8.907</v>
      </c>
    </row>
    <row r="2155" spans="1:53" hidden="1" x14ac:dyDescent="0.3">
      <c r="A2155" t="s">
        <v>617</v>
      </c>
      <c r="C2155" t="s">
        <v>251</v>
      </c>
      <c r="D2155" t="s">
        <v>81</v>
      </c>
      <c r="E2155">
        <v>5000000</v>
      </c>
      <c r="H2155">
        <v>6.6</v>
      </c>
      <c r="I2155" t="s">
        <v>56</v>
      </c>
      <c r="J2155">
        <v>6.6E-4</v>
      </c>
      <c r="K2155" t="s">
        <v>57</v>
      </c>
      <c r="O2155">
        <v>32</v>
      </c>
      <c r="P2155" t="s">
        <v>262</v>
      </c>
      <c r="T2155">
        <v>37</v>
      </c>
      <c r="V2155">
        <v>50</v>
      </c>
      <c r="W2155" t="s">
        <v>150</v>
      </c>
      <c r="X2155" t="s">
        <v>280</v>
      </c>
      <c r="Y2155">
        <v>2880</v>
      </c>
      <c r="AA2155" t="s">
        <v>184</v>
      </c>
      <c r="AB2155">
        <v>7</v>
      </c>
      <c r="AC2155" t="s">
        <v>62</v>
      </c>
      <c r="AH2155">
        <v>8.907</v>
      </c>
      <c r="AI2155">
        <v>5</v>
      </c>
      <c r="AT2155" t="s">
        <v>150</v>
      </c>
      <c r="AV2155" t="s">
        <v>88</v>
      </c>
      <c r="AX2155">
        <v>32</v>
      </c>
      <c r="AZ2155">
        <v>0</v>
      </c>
      <c r="BA2155">
        <v>8.907</v>
      </c>
    </row>
    <row r="2156" spans="1:53" hidden="1" x14ac:dyDescent="0.3">
      <c r="A2156" t="s">
        <v>617</v>
      </c>
      <c r="C2156" t="s">
        <v>251</v>
      </c>
      <c r="D2156" t="s">
        <v>81</v>
      </c>
      <c r="E2156">
        <v>5000000</v>
      </c>
      <c r="H2156">
        <v>6.6</v>
      </c>
      <c r="I2156" t="s">
        <v>56</v>
      </c>
      <c r="J2156">
        <v>6.6E-4</v>
      </c>
      <c r="K2156" t="s">
        <v>57</v>
      </c>
      <c r="O2156">
        <v>48</v>
      </c>
      <c r="P2156" t="s">
        <v>262</v>
      </c>
      <c r="T2156">
        <v>37</v>
      </c>
      <c r="V2156">
        <v>50</v>
      </c>
      <c r="W2156" t="s">
        <v>150</v>
      </c>
      <c r="X2156" t="s">
        <v>280</v>
      </c>
      <c r="Y2156">
        <v>2880</v>
      </c>
      <c r="AA2156" t="s">
        <v>184</v>
      </c>
      <c r="AB2156">
        <v>7</v>
      </c>
      <c r="AC2156" t="s">
        <v>62</v>
      </c>
      <c r="AH2156">
        <v>8.907</v>
      </c>
      <c r="AI2156">
        <v>5</v>
      </c>
      <c r="AT2156" t="s">
        <v>150</v>
      </c>
      <c r="AV2156" t="s">
        <v>88</v>
      </c>
      <c r="AX2156">
        <v>48</v>
      </c>
      <c r="AZ2156">
        <v>0</v>
      </c>
      <c r="BA2156">
        <v>8.907</v>
      </c>
    </row>
    <row r="2157" spans="1:53" hidden="1" x14ac:dyDescent="0.3">
      <c r="A2157" t="s">
        <v>617</v>
      </c>
      <c r="C2157" t="s">
        <v>251</v>
      </c>
      <c r="D2157" t="s">
        <v>81</v>
      </c>
      <c r="E2157">
        <v>5000000</v>
      </c>
      <c r="H2157">
        <v>6.6</v>
      </c>
      <c r="I2157" t="s">
        <v>56</v>
      </c>
      <c r="J2157">
        <v>6.6E-4</v>
      </c>
      <c r="K2157" t="s">
        <v>57</v>
      </c>
      <c r="O2157">
        <v>64</v>
      </c>
      <c r="P2157" t="s">
        <v>262</v>
      </c>
      <c r="T2157">
        <v>37</v>
      </c>
      <c r="V2157">
        <v>50</v>
      </c>
      <c r="W2157" t="s">
        <v>150</v>
      </c>
      <c r="X2157" t="s">
        <v>280</v>
      </c>
      <c r="Y2157">
        <v>2880</v>
      </c>
      <c r="AB2157">
        <v>7.8559999999999999</v>
      </c>
      <c r="AC2157" t="s">
        <v>62</v>
      </c>
      <c r="AD2157">
        <v>6.6000000000000003E-2</v>
      </c>
      <c r="AE2157" t="s">
        <v>63</v>
      </c>
      <c r="AH2157">
        <v>8.907</v>
      </c>
      <c r="AI2157">
        <v>5</v>
      </c>
      <c r="AT2157" t="s">
        <v>150</v>
      </c>
      <c r="AV2157" t="s">
        <v>88</v>
      </c>
      <c r="AX2157">
        <v>64</v>
      </c>
      <c r="BA2157">
        <v>8.907</v>
      </c>
    </row>
    <row r="2158" spans="1:53" hidden="1" x14ac:dyDescent="0.3">
      <c r="A2158" t="s">
        <v>617</v>
      </c>
      <c r="C2158" t="s">
        <v>251</v>
      </c>
      <c r="D2158" t="s">
        <v>81</v>
      </c>
      <c r="E2158">
        <v>5000000</v>
      </c>
      <c r="H2158">
        <v>6.6</v>
      </c>
      <c r="I2158" t="s">
        <v>56</v>
      </c>
      <c r="J2158">
        <v>6.6E-4</v>
      </c>
      <c r="K2158" t="s">
        <v>57</v>
      </c>
      <c r="O2158">
        <v>80</v>
      </c>
      <c r="P2158" t="s">
        <v>262</v>
      </c>
      <c r="T2158">
        <v>37</v>
      </c>
      <c r="V2158">
        <v>50</v>
      </c>
      <c r="W2158" t="s">
        <v>150</v>
      </c>
      <c r="X2158" t="s">
        <v>280</v>
      </c>
      <c r="Y2158">
        <v>2880</v>
      </c>
      <c r="AA2158" t="s">
        <v>184</v>
      </c>
      <c r="AB2158">
        <v>5</v>
      </c>
      <c r="AC2158" t="s">
        <v>62</v>
      </c>
      <c r="AH2158">
        <v>8.907</v>
      </c>
      <c r="AI2158">
        <v>5</v>
      </c>
      <c r="AT2158" t="s">
        <v>150</v>
      </c>
      <c r="AV2158" t="s">
        <v>88</v>
      </c>
      <c r="AX2158">
        <v>80</v>
      </c>
      <c r="AZ2158">
        <v>0</v>
      </c>
      <c r="BA2158">
        <v>8.907</v>
      </c>
    </row>
    <row r="2159" spans="1:53" hidden="1" x14ac:dyDescent="0.3">
      <c r="A2159" t="s">
        <v>617</v>
      </c>
      <c r="C2159" t="s">
        <v>251</v>
      </c>
      <c r="D2159" t="s">
        <v>81</v>
      </c>
      <c r="E2159">
        <v>5000000</v>
      </c>
      <c r="H2159">
        <v>6.6</v>
      </c>
      <c r="I2159" t="s">
        <v>56</v>
      </c>
      <c r="J2159">
        <v>6.6E-4</v>
      </c>
      <c r="K2159" t="s">
        <v>57</v>
      </c>
      <c r="O2159">
        <v>96</v>
      </c>
      <c r="P2159" t="s">
        <v>262</v>
      </c>
      <c r="T2159">
        <v>37</v>
      </c>
      <c r="V2159">
        <v>50</v>
      </c>
      <c r="W2159" t="s">
        <v>150</v>
      </c>
      <c r="X2159" t="s">
        <v>280</v>
      </c>
      <c r="Y2159">
        <v>2880</v>
      </c>
      <c r="AA2159" t="s">
        <v>184</v>
      </c>
      <c r="AB2159">
        <v>5</v>
      </c>
      <c r="AC2159" t="s">
        <v>62</v>
      </c>
      <c r="AH2159">
        <v>8.907</v>
      </c>
      <c r="AI2159">
        <v>5</v>
      </c>
      <c r="AT2159" t="s">
        <v>150</v>
      </c>
      <c r="AV2159" t="s">
        <v>88</v>
      </c>
      <c r="AX2159">
        <v>96</v>
      </c>
      <c r="AZ2159">
        <v>0</v>
      </c>
      <c r="BA2159">
        <v>8.907</v>
      </c>
    </row>
    <row r="2160" spans="1:53" hidden="1" x14ac:dyDescent="0.3">
      <c r="A2160" t="s">
        <v>617</v>
      </c>
      <c r="C2160" t="s">
        <v>251</v>
      </c>
      <c r="D2160" t="s">
        <v>81</v>
      </c>
      <c r="E2160">
        <v>5000000</v>
      </c>
      <c r="H2160">
        <v>6.6</v>
      </c>
      <c r="I2160" t="s">
        <v>56</v>
      </c>
      <c r="J2160">
        <v>6.6E-4</v>
      </c>
      <c r="K2160" t="s">
        <v>57</v>
      </c>
      <c r="O2160">
        <v>112</v>
      </c>
      <c r="P2160" t="s">
        <v>262</v>
      </c>
      <c r="T2160">
        <v>37</v>
      </c>
      <c r="V2160">
        <v>50</v>
      </c>
      <c r="W2160" t="s">
        <v>150</v>
      </c>
      <c r="X2160" t="s">
        <v>280</v>
      </c>
      <c r="Y2160">
        <v>2880</v>
      </c>
      <c r="AB2160">
        <v>5.21</v>
      </c>
      <c r="AC2160" t="s">
        <v>62</v>
      </c>
      <c r="AD2160">
        <v>0.154</v>
      </c>
      <c r="AE2160" t="s">
        <v>63</v>
      </c>
      <c r="AH2160">
        <v>8.907</v>
      </c>
      <c r="AI2160">
        <v>5</v>
      </c>
      <c r="AT2160" t="s">
        <v>150</v>
      </c>
      <c r="AV2160" t="s">
        <v>88</v>
      </c>
      <c r="AX2160">
        <v>112</v>
      </c>
      <c r="BA2160">
        <v>8.907</v>
      </c>
    </row>
    <row r="2161" spans="1:49" hidden="1" x14ac:dyDescent="0.3">
      <c r="A2161" t="s">
        <v>618</v>
      </c>
      <c r="C2161" t="s">
        <v>251</v>
      </c>
      <c r="D2161" t="s">
        <v>81</v>
      </c>
      <c r="E2161">
        <v>5000000</v>
      </c>
      <c r="H2161">
        <v>2.54</v>
      </c>
      <c r="I2161" t="s">
        <v>56</v>
      </c>
      <c r="J2161">
        <v>2.5399999999999999E-4</v>
      </c>
      <c r="K2161" t="s">
        <v>57</v>
      </c>
      <c r="N2161" t="s">
        <v>314</v>
      </c>
      <c r="O2161">
        <v>750</v>
      </c>
      <c r="P2161" t="s">
        <v>315</v>
      </c>
      <c r="S2161">
        <v>5</v>
      </c>
      <c r="T2161">
        <v>24</v>
      </c>
      <c r="U2161" t="s">
        <v>619</v>
      </c>
      <c r="V2161">
        <v>75</v>
      </c>
      <c r="W2161" t="s">
        <v>73</v>
      </c>
      <c r="X2161" t="s">
        <v>280</v>
      </c>
      <c r="AB2161">
        <v>2.4509803921569401E-2</v>
      </c>
      <c r="AC2161" t="s">
        <v>85</v>
      </c>
      <c r="AE2161" t="s">
        <v>63</v>
      </c>
      <c r="AI2161">
        <v>3</v>
      </c>
      <c r="AT2161" t="s">
        <v>73</v>
      </c>
      <c r="AV2161" t="s">
        <v>88</v>
      </c>
      <c r="AW2161">
        <v>750</v>
      </c>
    </row>
    <row r="2162" spans="1:49" hidden="1" x14ac:dyDescent="0.3">
      <c r="A2162" t="s">
        <v>618</v>
      </c>
      <c r="C2162" t="s">
        <v>251</v>
      </c>
      <c r="D2162" t="s">
        <v>81</v>
      </c>
      <c r="E2162">
        <v>5000000</v>
      </c>
      <c r="H2162">
        <v>2.54</v>
      </c>
      <c r="I2162" t="s">
        <v>56</v>
      </c>
      <c r="J2162">
        <v>2.5399999999999999E-4</v>
      </c>
      <c r="K2162" t="s">
        <v>57</v>
      </c>
      <c r="N2162" t="s">
        <v>314</v>
      </c>
      <c r="O2162">
        <v>750</v>
      </c>
      <c r="P2162" t="s">
        <v>315</v>
      </c>
      <c r="S2162">
        <v>5</v>
      </c>
      <c r="T2162">
        <v>24</v>
      </c>
      <c r="U2162" t="s">
        <v>619</v>
      </c>
      <c r="V2162">
        <v>75</v>
      </c>
      <c r="W2162" t="s">
        <v>73</v>
      </c>
      <c r="X2162" t="s">
        <v>280</v>
      </c>
      <c r="Y2162">
        <v>62.016806722688997</v>
      </c>
      <c r="AB2162">
        <v>3.0882352941176401</v>
      </c>
      <c r="AC2162" t="s">
        <v>85</v>
      </c>
      <c r="AE2162" t="s">
        <v>63</v>
      </c>
      <c r="AI2162">
        <v>3</v>
      </c>
      <c r="AT2162" t="s">
        <v>73</v>
      </c>
      <c r="AV2162" t="s">
        <v>88</v>
      </c>
      <c r="AW2162">
        <v>750</v>
      </c>
    </row>
    <row r="2163" spans="1:49" hidden="1" x14ac:dyDescent="0.3">
      <c r="A2163" t="s">
        <v>618</v>
      </c>
      <c r="C2163" t="s">
        <v>251</v>
      </c>
      <c r="D2163" t="s">
        <v>81</v>
      </c>
      <c r="E2163">
        <v>5000000</v>
      </c>
      <c r="H2163">
        <v>2.54</v>
      </c>
      <c r="I2163" t="s">
        <v>56</v>
      </c>
      <c r="J2163">
        <v>2.5399999999999999E-4</v>
      </c>
      <c r="K2163" t="s">
        <v>57</v>
      </c>
      <c r="N2163" t="s">
        <v>314</v>
      </c>
      <c r="O2163">
        <v>750</v>
      </c>
      <c r="P2163" t="s">
        <v>315</v>
      </c>
      <c r="S2163">
        <v>5</v>
      </c>
      <c r="T2163">
        <v>24</v>
      </c>
      <c r="U2163" t="s">
        <v>619</v>
      </c>
      <c r="V2163">
        <v>75</v>
      </c>
      <c r="W2163" t="s">
        <v>73</v>
      </c>
      <c r="X2163" t="s">
        <v>280</v>
      </c>
      <c r="Y2163">
        <v>119.4957983193276</v>
      </c>
      <c r="AB2163">
        <v>5.3676470588235201</v>
      </c>
      <c r="AC2163" t="s">
        <v>85</v>
      </c>
      <c r="AE2163" t="s">
        <v>63</v>
      </c>
      <c r="AI2163">
        <v>3</v>
      </c>
      <c r="AT2163" t="s">
        <v>73</v>
      </c>
      <c r="AV2163" t="s">
        <v>88</v>
      </c>
      <c r="AW2163">
        <v>750</v>
      </c>
    </row>
    <row r="2164" spans="1:49" hidden="1" x14ac:dyDescent="0.3">
      <c r="A2164" t="s">
        <v>618</v>
      </c>
      <c r="C2164" t="s">
        <v>251</v>
      </c>
      <c r="D2164" t="s">
        <v>81</v>
      </c>
      <c r="E2164">
        <v>5000000</v>
      </c>
      <c r="H2164">
        <v>2.54</v>
      </c>
      <c r="I2164" t="s">
        <v>56</v>
      </c>
      <c r="J2164">
        <v>2.5399999999999999E-4</v>
      </c>
      <c r="K2164" t="s">
        <v>57</v>
      </c>
      <c r="N2164" t="s">
        <v>314</v>
      </c>
      <c r="O2164">
        <v>750</v>
      </c>
      <c r="P2164" t="s">
        <v>315</v>
      </c>
      <c r="S2164">
        <v>5</v>
      </c>
      <c r="T2164">
        <v>24</v>
      </c>
      <c r="U2164" t="s">
        <v>619</v>
      </c>
      <c r="V2164">
        <v>75</v>
      </c>
      <c r="W2164" t="s">
        <v>73</v>
      </c>
      <c r="X2164" t="s">
        <v>280</v>
      </c>
      <c r="Y2164">
        <v>237.47899159663871</v>
      </c>
      <c r="AB2164">
        <v>7.7696078431372504</v>
      </c>
      <c r="AC2164" t="s">
        <v>85</v>
      </c>
      <c r="AE2164" t="s">
        <v>63</v>
      </c>
      <c r="AI2164">
        <v>3</v>
      </c>
      <c r="AT2164" t="s">
        <v>73</v>
      </c>
      <c r="AV2164" t="s">
        <v>88</v>
      </c>
      <c r="AW2164">
        <v>750</v>
      </c>
    </row>
    <row r="2165" spans="1:49" hidden="1" x14ac:dyDescent="0.3">
      <c r="A2165" t="s">
        <v>618</v>
      </c>
      <c r="C2165" t="s">
        <v>251</v>
      </c>
      <c r="D2165" t="s">
        <v>81</v>
      </c>
      <c r="E2165">
        <v>5000000</v>
      </c>
      <c r="H2165">
        <v>2.54</v>
      </c>
      <c r="I2165" t="s">
        <v>56</v>
      </c>
      <c r="J2165">
        <v>2.5399999999999999E-4</v>
      </c>
      <c r="K2165" t="s">
        <v>57</v>
      </c>
      <c r="N2165" t="s">
        <v>314</v>
      </c>
      <c r="O2165">
        <v>750</v>
      </c>
      <c r="P2165" t="s">
        <v>315</v>
      </c>
      <c r="S2165">
        <v>5</v>
      </c>
      <c r="T2165">
        <v>24</v>
      </c>
      <c r="U2165" t="s">
        <v>619</v>
      </c>
      <c r="V2165">
        <v>75</v>
      </c>
      <c r="W2165" t="s">
        <v>73</v>
      </c>
      <c r="X2165" t="s">
        <v>280</v>
      </c>
      <c r="Y2165">
        <v>358.48739495798281</v>
      </c>
      <c r="AB2165">
        <v>6.2009803921568603</v>
      </c>
      <c r="AC2165" t="s">
        <v>85</v>
      </c>
      <c r="AE2165" t="s">
        <v>63</v>
      </c>
      <c r="AI2165">
        <v>3</v>
      </c>
      <c r="AT2165" t="s">
        <v>73</v>
      </c>
      <c r="AV2165" t="s">
        <v>88</v>
      </c>
      <c r="AW2165">
        <v>750</v>
      </c>
    </row>
    <row r="2166" spans="1:49" hidden="1" x14ac:dyDescent="0.3">
      <c r="A2166" t="s">
        <v>618</v>
      </c>
      <c r="C2166" t="s">
        <v>251</v>
      </c>
      <c r="D2166" t="s">
        <v>81</v>
      </c>
      <c r="E2166">
        <v>5000000</v>
      </c>
      <c r="H2166">
        <v>2.54</v>
      </c>
      <c r="I2166" t="s">
        <v>56</v>
      </c>
      <c r="J2166">
        <v>2.5399999999999999E-4</v>
      </c>
      <c r="K2166" t="s">
        <v>57</v>
      </c>
      <c r="N2166" t="s">
        <v>314</v>
      </c>
      <c r="O2166">
        <v>750</v>
      </c>
      <c r="P2166" t="s">
        <v>315</v>
      </c>
      <c r="S2166">
        <v>5</v>
      </c>
      <c r="T2166">
        <v>24</v>
      </c>
      <c r="U2166" t="s">
        <v>619</v>
      </c>
      <c r="V2166">
        <v>75</v>
      </c>
      <c r="W2166" t="s">
        <v>73</v>
      </c>
      <c r="X2166" t="s">
        <v>280</v>
      </c>
      <c r="Y2166">
        <v>721.51260504201014</v>
      </c>
      <c r="AB2166">
        <v>7.7450980392156801</v>
      </c>
      <c r="AC2166" t="s">
        <v>85</v>
      </c>
      <c r="AE2166" t="s">
        <v>63</v>
      </c>
      <c r="AI2166">
        <v>3</v>
      </c>
      <c r="AT2166" t="s">
        <v>73</v>
      </c>
      <c r="AV2166" t="s">
        <v>88</v>
      </c>
      <c r="AW2166">
        <v>750</v>
      </c>
    </row>
    <row r="2167" spans="1:49" hidden="1" x14ac:dyDescent="0.3">
      <c r="A2167" t="s">
        <v>618</v>
      </c>
      <c r="C2167" t="s">
        <v>251</v>
      </c>
      <c r="D2167" t="s">
        <v>81</v>
      </c>
      <c r="E2167">
        <v>5000000</v>
      </c>
      <c r="H2167">
        <v>2.54</v>
      </c>
      <c r="I2167" t="s">
        <v>56</v>
      </c>
      <c r="J2167">
        <v>2.5399999999999999E-4</v>
      </c>
      <c r="K2167" t="s">
        <v>57</v>
      </c>
      <c r="N2167" t="s">
        <v>314</v>
      </c>
      <c r="O2167">
        <v>750</v>
      </c>
      <c r="P2167" t="s">
        <v>315</v>
      </c>
      <c r="S2167">
        <v>5</v>
      </c>
      <c r="T2167">
        <v>24</v>
      </c>
      <c r="U2167" t="s">
        <v>619</v>
      </c>
      <c r="V2167">
        <v>75</v>
      </c>
      <c r="W2167" t="s">
        <v>73</v>
      </c>
      <c r="X2167" t="s">
        <v>280</v>
      </c>
      <c r="AB2167">
        <v>8.8817841970012504E-16</v>
      </c>
      <c r="AC2167" t="s">
        <v>85</v>
      </c>
      <c r="AE2167" t="s">
        <v>63</v>
      </c>
      <c r="AI2167">
        <v>3</v>
      </c>
      <c r="AT2167" t="s">
        <v>73</v>
      </c>
      <c r="AV2167" t="s">
        <v>88</v>
      </c>
      <c r="AW2167">
        <v>750</v>
      </c>
    </row>
    <row r="2168" spans="1:49" hidden="1" x14ac:dyDescent="0.3">
      <c r="A2168" t="s">
        <v>618</v>
      </c>
      <c r="C2168" t="s">
        <v>251</v>
      </c>
      <c r="D2168" t="s">
        <v>81</v>
      </c>
      <c r="E2168">
        <v>5000000</v>
      </c>
      <c r="H2168">
        <v>2.54</v>
      </c>
      <c r="I2168" t="s">
        <v>56</v>
      </c>
      <c r="J2168">
        <v>2.5399999999999999E-4</v>
      </c>
      <c r="K2168" t="s">
        <v>57</v>
      </c>
      <c r="N2168" t="s">
        <v>314</v>
      </c>
      <c r="O2168">
        <v>750</v>
      </c>
      <c r="P2168" t="s">
        <v>315</v>
      </c>
      <c r="S2168">
        <v>5</v>
      </c>
      <c r="T2168">
        <v>24</v>
      </c>
      <c r="U2168" t="s">
        <v>619</v>
      </c>
      <c r="V2168">
        <v>75</v>
      </c>
      <c r="W2168" t="s">
        <v>73</v>
      </c>
      <c r="X2168" t="s">
        <v>280</v>
      </c>
      <c r="Y2168">
        <v>60.504201680671798</v>
      </c>
      <c r="AB2168">
        <v>3.6274509803921502</v>
      </c>
      <c r="AC2168" t="s">
        <v>85</v>
      </c>
      <c r="AE2168" t="s">
        <v>63</v>
      </c>
      <c r="AI2168">
        <v>3</v>
      </c>
      <c r="AT2168" t="s">
        <v>73</v>
      </c>
      <c r="AV2168" t="s">
        <v>88</v>
      </c>
      <c r="AW2168">
        <v>750</v>
      </c>
    </row>
    <row r="2169" spans="1:49" hidden="1" x14ac:dyDescent="0.3">
      <c r="A2169" t="s">
        <v>618</v>
      </c>
      <c r="C2169" t="s">
        <v>251</v>
      </c>
      <c r="D2169" t="s">
        <v>81</v>
      </c>
      <c r="E2169">
        <v>5000000</v>
      </c>
      <c r="H2169">
        <v>2.54</v>
      </c>
      <c r="I2169" t="s">
        <v>56</v>
      </c>
      <c r="J2169">
        <v>2.5399999999999999E-4</v>
      </c>
      <c r="K2169" t="s">
        <v>57</v>
      </c>
      <c r="N2169" t="s">
        <v>314</v>
      </c>
      <c r="O2169">
        <v>750</v>
      </c>
      <c r="P2169" t="s">
        <v>315</v>
      </c>
      <c r="S2169">
        <v>5</v>
      </c>
      <c r="T2169">
        <v>24</v>
      </c>
      <c r="U2169" t="s">
        <v>619</v>
      </c>
      <c r="V2169">
        <v>75</v>
      </c>
      <c r="W2169" t="s">
        <v>73</v>
      </c>
      <c r="X2169" t="s">
        <v>280</v>
      </c>
      <c r="Y2169">
        <v>117.98319327731041</v>
      </c>
      <c r="AB2169">
        <v>7.5735294117647003</v>
      </c>
      <c r="AC2169" t="s">
        <v>85</v>
      </c>
      <c r="AE2169" t="s">
        <v>63</v>
      </c>
      <c r="AI2169">
        <v>3</v>
      </c>
      <c r="AT2169" t="s">
        <v>73</v>
      </c>
      <c r="AV2169" t="s">
        <v>88</v>
      </c>
      <c r="AW2169">
        <v>750</v>
      </c>
    </row>
    <row r="2170" spans="1:49" hidden="1" x14ac:dyDescent="0.3">
      <c r="A2170" t="s">
        <v>618</v>
      </c>
      <c r="C2170" t="s">
        <v>251</v>
      </c>
      <c r="D2170" t="s">
        <v>81</v>
      </c>
      <c r="E2170">
        <v>5000000</v>
      </c>
      <c r="H2170">
        <v>2.54</v>
      </c>
      <c r="I2170" t="s">
        <v>56</v>
      </c>
      <c r="J2170">
        <v>2.5399999999999999E-4</v>
      </c>
      <c r="K2170" t="s">
        <v>57</v>
      </c>
      <c r="N2170" t="s">
        <v>314</v>
      </c>
      <c r="O2170">
        <v>750</v>
      </c>
      <c r="P2170" t="s">
        <v>315</v>
      </c>
      <c r="S2170">
        <v>5</v>
      </c>
      <c r="T2170">
        <v>24</v>
      </c>
      <c r="U2170" t="s">
        <v>619</v>
      </c>
      <c r="V2170">
        <v>75</v>
      </c>
      <c r="W2170" t="s">
        <v>73</v>
      </c>
      <c r="X2170" t="s">
        <v>280</v>
      </c>
      <c r="Y2170">
        <v>238.99159663865521</v>
      </c>
      <c r="AB2170">
        <v>7.5</v>
      </c>
      <c r="AC2170" t="s">
        <v>85</v>
      </c>
      <c r="AE2170" t="s">
        <v>63</v>
      </c>
      <c r="AI2170">
        <v>3</v>
      </c>
      <c r="AT2170" t="s">
        <v>73</v>
      </c>
      <c r="AV2170" t="s">
        <v>88</v>
      </c>
      <c r="AW2170">
        <v>750</v>
      </c>
    </row>
    <row r="2171" spans="1:49" hidden="1" x14ac:dyDescent="0.3">
      <c r="A2171" t="s">
        <v>618</v>
      </c>
      <c r="C2171" t="s">
        <v>251</v>
      </c>
      <c r="D2171" t="s">
        <v>81</v>
      </c>
      <c r="E2171">
        <v>5000000</v>
      </c>
      <c r="H2171">
        <v>2.54</v>
      </c>
      <c r="I2171" t="s">
        <v>56</v>
      </c>
      <c r="J2171">
        <v>2.5399999999999999E-4</v>
      </c>
      <c r="K2171" t="s">
        <v>57</v>
      </c>
      <c r="N2171" t="s">
        <v>314</v>
      </c>
      <c r="O2171">
        <v>750</v>
      </c>
      <c r="P2171" t="s">
        <v>315</v>
      </c>
      <c r="S2171">
        <v>5</v>
      </c>
      <c r="T2171">
        <v>24</v>
      </c>
      <c r="U2171" t="s">
        <v>619</v>
      </c>
      <c r="V2171">
        <v>75</v>
      </c>
      <c r="W2171" t="s">
        <v>73</v>
      </c>
      <c r="X2171" t="s">
        <v>280</v>
      </c>
      <c r="Y2171">
        <v>358.48739495798281</v>
      </c>
      <c r="AB2171">
        <v>7.5245098039215499</v>
      </c>
      <c r="AC2171" t="s">
        <v>85</v>
      </c>
      <c r="AE2171" t="s">
        <v>63</v>
      </c>
      <c r="AI2171">
        <v>3</v>
      </c>
      <c r="AT2171" t="s">
        <v>73</v>
      </c>
      <c r="AV2171" t="s">
        <v>88</v>
      </c>
      <c r="AW2171">
        <v>750</v>
      </c>
    </row>
    <row r="2172" spans="1:49" hidden="1" x14ac:dyDescent="0.3">
      <c r="A2172" t="s">
        <v>618</v>
      </c>
      <c r="C2172" t="s">
        <v>251</v>
      </c>
      <c r="D2172" t="s">
        <v>81</v>
      </c>
      <c r="E2172">
        <v>5000000</v>
      </c>
      <c r="H2172">
        <v>2.54</v>
      </c>
      <c r="I2172" t="s">
        <v>56</v>
      </c>
      <c r="J2172">
        <v>2.5399999999999999E-4</v>
      </c>
      <c r="K2172" t="s">
        <v>57</v>
      </c>
      <c r="N2172" t="s">
        <v>314</v>
      </c>
      <c r="O2172">
        <v>750</v>
      </c>
      <c r="P2172" t="s">
        <v>315</v>
      </c>
      <c r="S2172">
        <v>5</v>
      </c>
      <c r="T2172">
        <v>24</v>
      </c>
      <c r="U2172" t="s">
        <v>619</v>
      </c>
      <c r="V2172">
        <v>75</v>
      </c>
      <c r="W2172" t="s">
        <v>73</v>
      </c>
      <c r="X2172" t="s">
        <v>280</v>
      </c>
      <c r="Y2172">
        <v>721.51260504201014</v>
      </c>
      <c r="AB2172">
        <v>7.5245098039215499</v>
      </c>
      <c r="AC2172" t="s">
        <v>85</v>
      </c>
      <c r="AE2172" t="s">
        <v>63</v>
      </c>
      <c r="AI2172">
        <v>3</v>
      </c>
      <c r="AT2172" t="s">
        <v>73</v>
      </c>
      <c r="AV2172" t="s">
        <v>88</v>
      </c>
      <c r="AW2172">
        <v>750</v>
      </c>
    </row>
    <row r="2173" spans="1:49" hidden="1" x14ac:dyDescent="0.3">
      <c r="A2173" t="s">
        <v>618</v>
      </c>
      <c r="C2173" t="s">
        <v>251</v>
      </c>
      <c r="D2173" t="s">
        <v>81</v>
      </c>
      <c r="E2173">
        <v>5000000</v>
      </c>
      <c r="H2173">
        <v>2.54</v>
      </c>
      <c r="I2173" t="s">
        <v>56</v>
      </c>
      <c r="J2173">
        <v>2.5399999999999999E-4</v>
      </c>
      <c r="K2173" t="s">
        <v>57</v>
      </c>
      <c r="N2173" t="s">
        <v>314</v>
      </c>
      <c r="O2173">
        <v>750</v>
      </c>
      <c r="P2173" t="s">
        <v>315</v>
      </c>
      <c r="S2173">
        <v>5</v>
      </c>
      <c r="T2173">
        <v>24</v>
      </c>
      <c r="U2173" t="s">
        <v>619</v>
      </c>
      <c r="V2173">
        <v>75</v>
      </c>
      <c r="W2173" t="s">
        <v>620</v>
      </c>
      <c r="X2173" t="s">
        <v>280</v>
      </c>
      <c r="AB2173">
        <v>-5.19480519480515E-2</v>
      </c>
      <c r="AC2173" t="s">
        <v>85</v>
      </c>
      <c r="AE2173" t="s">
        <v>63</v>
      </c>
      <c r="AI2173">
        <v>3</v>
      </c>
      <c r="AT2173" t="s">
        <v>65</v>
      </c>
      <c r="AV2173" t="s">
        <v>88</v>
      </c>
      <c r="AW2173">
        <v>750</v>
      </c>
    </row>
    <row r="2174" spans="1:49" hidden="1" x14ac:dyDescent="0.3">
      <c r="A2174" t="s">
        <v>618</v>
      </c>
      <c r="C2174" t="s">
        <v>251</v>
      </c>
      <c r="D2174" t="s">
        <v>81</v>
      </c>
      <c r="E2174">
        <v>5000000</v>
      </c>
      <c r="H2174">
        <v>2.54</v>
      </c>
      <c r="I2174" t="s">
        <v>56</v>
      </c>
      <c r="J2174">
        <v>2.5399999999999999E-4</v>
      </c>
      <c r="K2174" t="s">
        <v>57</v>
      </c>
      <c r="N2174" t="s">
        <v>314</v>
      </c>
      <c r="O2174">
        <v>750</v>
      </c>
      <c r="P2174" t="s">
        <v>315</v>
      </c>
      <c r="S2174">
        <v>5</v>
      </c>
      <c r="T2174">
        <v>24</v>
      </c>
      <c r="U2174" t="s">
        <v>619</v>
      </c>
      <c r="V2174">
        <v>75</v>
      </c>
      <c r="W2174" t="s">
        <v>620</v>
      </c>
      <c r="X2174" t="s">
        <v>280</v>
      </c>
      <c r="Y2174">
        <v>65.892857142856798</v>
      </c>
      <c r="AB2174">
        <v>4.7532467532467502</v>
      </c>
      <c r="AC2174" t="s">
        <v>85</v>
      </c>
      <c r="AE2174" t="s">
        <v>63</v>
      </c>
      <c r="AI2174">
        <v>3</v>
      </c>
      <c r="AT2174" t="s">
        <v>65</v>
      </c>
      <c r="AV2174" t="s">
        <v>88</v>
      </c>
      <c r="AW2174">
        <v>750</v>
      </c>
    </row>
    <row r="2175" spans="1:49" hidden="1" x14ac:dyDescent="0.3">
      <c r="A2175" t="s">
        <v>618</v>
      </c>
      <c r="C2175" t="s">
        <v>251</v>
      </c>
      <c r="D2175" t="s">
        <v>81</v>
      </c>
      <c r="E2175">
        <v>5000000</v>
      </c>
      <c r="H2175">
        <v>2.54</v>
      </c>
      <c r="I2175" t="s">
        <v>56</v>
      </c>
      <c r="J2175">
        <v>2.5399999999999999E-4</v>
      </c>
      <c r="K2175" t="s">
        <v>57</v>
      </c>
      <c r="N2175" t="s">
        <v>314</v>
      </c>
      <c r="O2175">
        <v>750</v>
      </c>
      <c r="P2175" t="s">
        <v>315</v>
      </c>
      <c r="S2175">
        <v>5</v>
      </c>
      <c r="T2175">
        <v>24</v>
      </c>
      <c r="U2175" t="s">
        <v>619</v>
      </c>
      <c r="V2175">
        <v>75</v>
      </c>
      <c r="W2175" t="s">
        <v>620</v>
      </c>
      <c r="X2175" t="s">
        <v>280</v>
      </c>
      <c r="Y2175">
        <v>122.1428571428562</v>
      </c>
      <c r="AB2175">
        <v>7.5844155844155701</v>
      </c>
      <c r="AC2175" t="s">
        <v>85</v>
      </c>
      <c r="AE2175" t="s">
        <v>63</v>
      </c>
      <c r="AI2175">
        <v>3</v>
      </c>
      <c r="AT2175" t="s">
        <v>65</v>
      </c>
      <c r="AV2175" t="s">
        <v>88</v>
      </c>
      <c r="AW2175">
        <v>750</v>
      </c>
    </row>
    <row r="2176" spans="1:49" hidden="1" x14ac:dyDescent="0.3">
      <c r="A2176" t="s">
        <v>618</v>
      </c>
      <c r="C2176" t="s">
        <v>251</v>
      </c>
      <c r="D2176" t="s">
        <v>81</v>
      </c>
      <c r="E2176">
        <v>5000000</v>
      </c>
      <c r="H2176">
        <v>2.54</v>
      </c>
      <c r="I2176" t="s">
        <v>56</v>
      </c>
      <c r="J2176">
        <v>2.5399999999999999E-4</v>
      </c>
      <c r="K2176" t="s">
        <v>57</v>
      </c>
      <c r="N2176" t="s">
        <v>314</v>
      </c>
      <c r="O2176">
        <v>750</v>
      </c>
      <c r="P2176" t="s">
        <v>315</v>
      </c>
      <c r="S2176">
        <v>5</v>
      </c>
      <c r="T2176">
        <v>24</v>
      </c>
      <c r="U2176" t="s">
        <v>619</v>
      </c>
      <c r="V2176">
        <v>75</v>
      </c>
      <c r="W2176" t="s">
        <v>620</v>
      </c>
      <c r="X2176" t="s">
        <v>280</v>
      </c>
      <c r="Y2176">
        <v>231.42857142857099</v>
      </c>
      <c r="AB2176">
        <v>7.5584415584415501</v>
      </c>
      <c r="AC2176" t="s">
        <v>85</v>
      </c>
      <c r="AE2176" t="s">
        <v>63</v>
      </c>
      <c r="AI2176">
        <v>3</v>
      </c>
      <c r="AT2176" t="s">
        <v>65</v>
      </c>
      <c r="AV2176" t="s">
        <v>88</v>
      </c>
      <c r="AW2176">
        <v>750</v>
      </c>
    </row>
    <row r="2177" spans="1:49" hidden="1" x14ac:dyDescent="0.3">
      <c r="A2177" t="s">
        <v>618</v>
      </c>
      <c r="C2177" t="s">
        <v>251</v>
      </c>
      <c r="D2177" t="s">
        <v>81</v>
      </c>
      <c r="E2177">
        <v>5000000</v>
      </c>
      <c r="H2177">
        <v>2.54</v>
      </c>
      <c r="I2177" t="s">
        <v>56</v>
      </c>
      <c r="J2177">
        <v>2.5399999999999999E-4</v>
      </c>
      <c r="K2177" t="s">
        <v>57</v>
      </c>
      <c r="N2177" t="s">
        <v>314</v>
      </c>
      <c r="O2177">
        <v>750</v>
      </c>
      <c r="P2177" t="s">
        <v>315</v>
      </c>
      <c r="S2177">
        <v>5</v>
      </c>
      <c r="T2177">
        <v>24</v>
      </c>
      <c r="U2177" t="s">
        <v>619</v>
      </c>
      <c r="V2177">
        <v>75</v>
      </c>
      <c r="W2177" t="s">
        <v>620</v>
      </c>
      <c r="X2177" t="s">
        <v>280</v>
      </c>
      <c r="Y2177">
        <v>356.78571428571303</v>
      </c>
      <c r="AB2177">
        <v>7.5324675324675301</v>
      </c>
      <c r="AC2177" t="s">
        <v>85</v>
      </c>
      <c r="AE2177" t="s">
        <v>63</v>
      </c>
      <c r="AI2177">
        <v>3</v>
      </c>
      <c r="AT2177" t="s">
        <v>65</v>
      </c>
      <c r="AV2177" t="s">
        <v>88</v>
      </c>
      <c r="AW2177">
        <v>750</v>
      </c>
    </row>
    <row r="2178" spans="1:49" hidden="1" x14ac:dyDescent="0.3">
      <c r="A2178" t="s">
        <v>618</v>
      </c>
      <c r="C2178" t="s">
        <v>251</v>
      </c>
      <c r="D2178" t="s">
        <v>81</v>
      </c>
      <c r="E2178">
        <v>5000000</v>
      </c>
      <c r="H2178">
        <v>2.54</v>
      </c>
      <c r="I2178" t="s">
        <v>56</v>
      </c>
      <c r="J2178">
        <v>2.5399999999999999E-4</v>
      </c>
      <c r="K2178" t="s">
        <v>57</v>
      </c>
      <c r="N2178" t="s">
        <v>314</v>
      </c>
      <c r="O2178">
        <v>750</v>
      </c>
      <c r="P2178" t="s">
        <v>315</v>
      </c>
      <c r="S2178">
        <v>5</v>
      </c>
      <c r="T2178">
        <v>24</v>
      </c>
      <c r="U2178" t="s">
        <v>619</v>
      </c>
      <c r="V2178">
        <v>75</v>
      </c>
      <c r="W2178" t="s">
        <v>620</v>
      </c>
      <c r="X2178" t="s">
        <v>280</v>
      </c>
      <c r="Y2178">
        <v>723.21428571428396</v>
      </c>
      <c r="AB2178">
        <v>7.5324675324675301</v>
      </c>
      <c r="AC2178" t="s">
        <v>85</v>
      </c>
      <c r="AE2178" t="s">
        <v>63</v>
      </c>
      <c r="AI2178">
        <v>3</v>
      </c>
      <c r="AT2178" t="s">
        <v>65</v>
      </c>
      <c r="AV2178" t="s">
        <v>88</v>
      </c>
      <c r="AW2178">
        <v>750</v>
      </c>
    </row>
    <row r="2179" spans="1:49" hidden="1" x14ac:dyDescent="0.3">
      <c r="A2179" t="s">
        <v>618</v>
      </c>
      <c r="C2179" t="s">
        <v>251</v>
      </c>
      <c r="D2179" t="s">
        <v>81</v>
      </c>
      <c r="E2179">
        <v>5000000</v>
      </c>
      <c r="H2179">
        <v>2.54</v>
      </c>
      <c r="I2179" t="s">
        <v>56</v>
      </c>
      <c r="J2179">
        <v>2.5399999999999999E-4</v>
      </c>
      <c r="K2179" t="s">
        <v>57</v>
      </c>
      <c r="N2179" t="s">
        <v>314</v>
      </c>
      <c r="O2179">
        <v>750</v>
      </c>
      <c r="P2179" t="s">
        <v>315</v>
      </c>
      <c r="S2179">
        <v>5</v>
      </c>
      <c r="T2179">
        <v>24</v>
      </c>
      <c r="U2179" t="s">
        <v>619</v>
      </c>
      <c r="V2179">
        <v>75</v>
      </c>
      <c r="W2179" t="s">
        <v>620</v>
      </c>
      <c r="X2179" t="s">
        <v>280</v>
      </c>
      <c r="AB2179">
        <v>0</v>
      </c>
      <c r="AC2179" t="s">
        <v>85</v>
      </c>
      <c r="AE2179" t="s">
        <v>63</v>
      </c>
      <c r="AI2179">
        <v>3</v>
      </c>
      <c r="AT2179" t="s">
        <v>65</v>
      </c>
      <c r="AV2179" t="s">
        <v>88</v>
      </c>
      <c r="AW2179">
        <v>750</v>
      </c>
    </row>
    <row r="2180" spans="1:49" hidden="1" x14ac:dyDescent="0.3">
      <c r="A2180" t="s">
        <v>618</v>
      </c>
      <c r="C2180" t="s">
        <v>251</v>
      </c>
      <c r="D2180" t="s">
        <v>81</v>
      </c>
      <c r="E2180">
        <v>5000000</v>
      </c>
      <c r="H2180">
        <v>2.54</v>
      </c>
      <c r="I2180" t="s">
        <v>56</v>
      </c>
      <c r="J2180">
        <v>2.5399999999999999E-4</v>
      </c>
      <c r="K2180" t="s">
        <v>57</v>
      </c>
      <c r="N2180" t="s">
        <v>314</v>
      </c>
      <c r="O2180">
        <v>750</v>
      </c>
      <c r="P2180" t="s">
        <v>315</v>
      </c>
      <c r="S2180">
        <v>5</v>
      </c>
      <c r="T2180">
        <v>24</v>
      </c>
      <c r="U2180" t="s">
        <v>619</v>
      </c>
      <c r="V2180">
        <v>75</v>
      </c>
      <c r="W2180" t="s">
        <v>620</v>
      </c>
      <c r="X2180" t="s">
        <v>280</v>
      </c>
      <c r="Y2180">
        <v>62.678571428571011</v>
      </c>
      <c r="AB2180">
        <v>6.4675324675324601</v>
      </c>
      <c r="AC2180" t="s">
        <v>85</v>
      </c>
      <c r="AE2180" t="s">
        <v>63</v>
      </c>
      <c r="AI2180">
        <v>3</v>
      </c>
      <c r="AT2180" t="s">
        <v>65</v>
      </c>
      <c r="AV2180" t="s">
        <v>88</v>
      </c>
      <c r="AW2180">
        <v>750</v>
      </c>
    </row>
    <row r="2181" spans="1:49" hidden="1" x14ac:dyDescent="0.3">
      <c r="A2181" t="s">
        <v>618</v>
      </c>
      <c r="C2181" t="s">
        <v>251</v>
      </c>
      <c r="D2181" t="s">
        <v>81</v>
      </c>
      <c r="E2181">
        <v>100000000</v>
      </c>
      <c r="H2181">
        <v>2.54</v>
      </c>
      <c r="I2181" t="s">
        <v>56</v>
      </c>
      <c r="J2181">
        <v>2.5399999999999999E-4</v>
      </c>
      <c r="K2181" t="s">
        <v>57</v>
      </c>
      <c r="N2181" t="s">
        <v>314</v>
      </c>
      <c r="O2181">
        <v>750</v>
      </c>
      <c r="P2181" t="s">
        <v>315</v>
      </c>
      <c r="S2181">
        <v>5</v>
      </c>
      <c r="T2181">
        <v>24</v>
      </c>
      <c r="U2181" t="s">
        <v>619</v>
      </c>
      <c r="V2181">
        <v>75</v>
      </c>
      <c r="W2181" t="s">
        <v>620</v>
      </c>
      <c r="X2181" t="s">
        <v>280</v>
      </c>
      <c r="Y2181">
        <v>120.5357142857136</v>
      </c>
      <c r="AB2181">
        <v>7.6363636363636198</v>
      </c>
      <c r="AC2181" t="s">
        <v>85</v>
      </c>
      <c r="AE2181" t="s">
        <v>63</v>
      </c>
      <c r="AI2181">
        <v>3</v>
      </c>
      <c r="AT2181" t="s">
        <v>65</v>
      </c>
      <c r="AV2181" t="s">
        <v>88</v>
      </c>
      <c r="AW2181">
        <v>750</v>
      </c>
    </row>
    <row r="2182" spans="1:49" hidden="1" x14ac:dyDescent="0.3">
      <c r="A2182" t="s">
        <v>618</v>
      </c>
      <c r="C2182" t="s">
        <v>251</v>
      </c>
      <c r="D2182" t="s">
        <v>81</v>
      </c>
      <c r="E2182">
        <v>100000000</v>
      </c>
      <c r="H2182">
        <v>2.54</v>
      </c>
      <c r="I2182" t="s">
        <v>56</v>
      </c>
      <c r="J2182">
        <v>2.5399999999999999E-4</v>
      </c>
      <c r="K2182" t="s">
        <v>57</v>
      </c>
      <c r="N2182" t="s">
        <v>314</v>
      </c>
      <c r="O2182">
        <v>750</v>
      </c>
      <c r="P2182" t="s">
        <v>315</v>
      </c>
      <c r="S2182">
        <v>5</v>
      </c>
      <c r="T2182">
        <v>24</v>
      </c>
      <c r="U2182" t="s">
        <v>619</v>
      </c>
      <c r="V2182">
        <v>75</v>
      </c>
      <c r="W2182" t="s">
        <v>620</v>
      </c>
      <c r="X2182" t="s">
        <v>280</v>
      </c>
      <c r="Y2182">
        <v>234.6428571428562</v>
      </c>
      <c r="AB2182">
        <v>7.6103896103895998</v>
      </c>
      <c r="AC2182" t="s">
        <v>85</v>
      </c>
      <c r="AE2182" t="s">
        <v>63</v>
      </c>
      <c r="AI2182">
        <v>3</v>
      </c>
      <c r="AT2182" t="s">
        <v>65</v>
      </c>
      <c r="AV2182" t="s">
        <v>88</v>
      </c>
      <c r="AW2182">
        <v>750</v>
      </c>
    </row>
    <row r="2183" spans="1:49" hidden="1" x14ac:dyDescent="0.3">
      <c r="A2183" t="s">
        <v>618</v>
      </c>
      <c r="C2183" t="s">
        <v>251</v>
      </c>
      <c r="D2183" t="s">
        <v>81</v>
      </c>
      <c r="E2183">
        <v>100000000</v>
      </c>
      <c r="H2183">
        <v>2.54</v>
      </c>
      <c r="I2183" t="s">
        <v>56</v>
      </c>
      <c r="J2183">
        <v>2.5399999999999999E-4</v>
      </c>
      <c r="K2183" t="s">
        <v>57</v>
      </c>
      <c r="N2183" t="s">
        <v>314</v>
      </c>
      <c r="O2183">
        <v>750</v>
      </c>
      <c r="P2183" t="s">
        <v>315</v>
      </c>
      <c r="S2183">
        <v>5</v>
      </c>
      <c r="T2183">
        <v>24</v>
      </c>
      <c r="U2183" t="s">
        <v>619</v>
      </c>
      <c r="V2183">
        <v>75</v>
      </c>
      <c r="W2183" t="s">
        <v>620</v>
      </c>
      <c r="X2183" t="s">
        <v>280</v>
      </c>
      <c r="Y2183">
        <v>358.39285714285683</v>
      </c>
      <c r="AB2183">
        <v>7.5584415584415501</v>
      </c>
      <c r="AC2183" t="s">
        <v>85</v>
      </c>
      <c r="AE2183" t="s">
        <v>63</v>
      </c>
      <c r="AI2183">
        <v>3</v>
      </c>
      <c r="AT2183" t="s">
        <v>65</v>
      </c>
      <c r="AV2183" t="s">
        <v>88</v>
      </c>
      <c r="AW2183">
        <v>750</v>
      </c>
    </row>
    <row r="2184" spans="1:49" hidden="1" x14ac:dyDescent="0.3">
      <c r="A2184" t="s">
        <v>618</v>
      </c>
      <c r="C2184" t="s">
        <v>251</v>
      </c>
      <c r="D2184" t="s">
        <v>81</v>
      </c>
      <c r="E2184">
        <v>100000000</v>
      </c>
      <c r="H2184">
        <v>2.54</v>
      </c>
      <c r="I2184" t="s">
        <v>56</v>
      </c>
      <c r="J2184">
        <v>2.5399999999999999E-4</v>
      </c>
      <c r="K2184" t="s">
        <v>57</v>
      </c>
      <c r="N2184" t="s">
        <v>314</v>
      </c>
      <c r="O2184">
        <v>750</v>
      </c>
      <c r="P2184" t="s">
        <v>315</v>
      </c>
      <c r="S2184">
        <v>5</v>
      </c>
      <c r="T2184">
        <v>24</v>
      </c>
      <c r="U2184" t="s">
        <v>619</v>
      </c>
      <c r="V2184">
        <v>75</v>
      </c>
      <c r="W2184" t="s">
        <v>620</v>
      </c>
      <c r="X2184" t="s">
        <v>280</v>
      </c>
      <c r="Y2184">
        <v>724.82142857142594</v>
      </c>
      <c r="AB2184">
        <v>7.6363636363636198</v>
      </c>
      <c r="AC2184" t="s">
        <v>85</v>
      </c>
      <c r="AE2184" t="s">
        <v>63</v>
      </c>
      <c r="AI2184">
        <v>3</v>
      </c>
      <c r="AT2184" t="s">
        <v>65</v>
      </c>
      <c r="AV2184" t="s">
        <v>88</v>
      </c>
      <c r="AW2184">
        <v>750</v>
      </c>
    </row>
    <row r="2185" spans="1:49" hidden="1" x14ac:dyDescent="0.3">
      <c r="A2185" t="s">
        <v>618</v>
      </c>
      <c r="C2185" t="s">
        <v>251</v>
      </c>
      <c r="D2185" t="s">
        <v>81</v>
      </c>
      <c r="E2185">
        <v>100000000</v>
      </c>
      <c r="H2185">
        <v>2.54</v>
      </c>
      <c r="I2185" t="s">
        <v>56</v>
      </c>
      <c r="J2185">
        <v>2.5399999999999999E-4</v>
      </c>
      <c r="K2185" t="s">
        <v>57</v>
      </c>
      <c r="N2185" t="s">
        <v>314</v>
      </c>
      <c r="O2185">
        <v>750</v>
      </c>
      <c r="P2185" t="s">
        <v>315</v>
      </c>
      <c r="S2185">
        <v>5</v>
      </c>
      <c r="T2185">
        <v>24</v>
      </c>
      <c r="U2185" t="s">
        <v>619</v>
      </c>
      <c r="V2185">
        <v>75</v>
      </c>
      <c r="W2185" t="s">
        <v>621</v>
      </c>
      <c r="X2185" t="s">
        <v>280</v>
      </c>
      <c r="AB2185">
        <v>-2.4213075060530598E-2</v>
      </c>
      <c r="AC2185" t="s">
        <v>85</v>
      </c>
      <c r="AE2185" t="s">
        <v>63</v>
      </c>
      <c r="AI2185">
        <v>3</v>
      </c>
      <c r="AT2185" t="s">
        <v>79</v>
      </c>
      <c r="AV2185" t="s">
        <v>88</v>
      </c>
      <c r="AW2185">
        <v>750</v>
      </c>
    </row>
    <row r="2186" spans="1:49" hidden="1" x14ac:dyDescent="0.3">
      <c r="A2186" t="s">
        <v>618</v>
      </c>
      <c r="C2186" t="s">
        <v>251</v>
      </c>
      <c r="D2186" t="s">
        <v>81</v>
      </c>
      <c r="E2186">
        <v>100000000</v>
      </c>
      <c r="H2186">
        <v>2.54</v>
      </c>
      <c r="I2186" t="s">
        <v>56</v>
      </c>
      <c r="J2186">
        <v>2.5399999999999999E-4</v>
      </c>
      <c r="K2186" t="s">
        <v>57</v>
      </c>
      <c r="N2186" t="s">
        <v>314</v>
      </c>
      <c r="O2186">
        <v>750</v>
      </c>
      <c r="P2186" t="s">
        <v>315</v>
      </c>
      <c r="S2186">
        <v>5</v>
      </c>
      <c r="T2186">
        <v>24</v>
      </c>
      <c r="U2186" t="s">
        <v>619</v>
      </c>
      <c r="V2186">
        <v>75</v>
      </c>
      <c r="W2186" t="s">
        <v>621</v>
      </c>
      <c r="X2186" t="s">
        <v>280</v>
      </c>
      <c r="Y2186">
        <v>61.749657858721811</v>
      </c>
      <c r="AB2186">
        <v>4.1888619854721503</v>
      </c>
      <c r="AC2186" t="s">
        <v>85</v>
      </c>
      <c r="AE2186" t="s">
        <v>63</v>
      </c>
      <c r="AI2186">
        <v>3</v>
      </c>
      <c r="AT2186" t="s">
        <v>79</v>
      </c>
      <c r="AV2186" t="s">
        <v>88</v>
      </c>
      <c r="AW2186">
        <v>750</v>
      </c>
    </row>
    <row r="2187" spans="1:49" hidden="1" x14ac:dyDescent="0.3">
      <c r="A2187" t="s">
        <v>618</v>
      </c>
      <c r="C2187" t="s">
        <v>251</v>
      </c>
      <c r="D2187" t="s">
        <v>81</v>
      </c>
      <c r="E2187">
        <v>100000000</v>
      </c>
      <c r="H2187">
        <v>2.54</v>
      </c>
      <c r="I2187" t="s">
        <v>56</v>
      </c>
      <c r="J2187">
        <v>2.5399999999999999E-4</v>
      </c>
      <c r="K2187" t="s">
        <v>57</v>
      </c>
      <c r="N2187" t="s">
        <v>314</v>
      </c>
      <c r="O2187">
        <v>750</v>
      </c>
      <c r="P2187" t="s">
        <v>315</v>
      </c>
      <c r="S2187">
        <v>5</v>
      </c>
      <c r="T2187">
        <v>24</v>
      </c>
      <c r="U2187" t="s">
        <v>619</v>
      </c>
      <c r="V2187">
        <v>75</v>
      </c>
      <c r="W2187" t="s">
        <v>621</v>
      </c>
      <c r="X2187" t="s">
        <v>280</v>
      </c>
      <c r="Y2187">
        <v>121.29397079391779</v>
      </c>
      <c r="AB2187">
        <v>3.6319612590799002</v>
      </c>
      <c r="AC2187" t="s">
        <v>85</v>
      </c>
      <c r="AE2187" t="s">
        <v>63</v>
      </c>
      <c r="AI2187">
        <v>3</v>
      </c>
      <c r="AT2187" t="s">
        <v>79</v>
      </c>
      <c r="AV2187" t="s">
        <v>88</v>
      </c>
      <c r="AW2187">
        <v>750</v>
      </c>
    </row>
    <row r="2188" spans="1:49" hidden="1" x14ac:dyDescent="0.3">
      <c r="A2188" t="s">
        <v>618</v>
      </c>
      <c r="C2188" t="s">
        <v>251</v>
      </c>
      <c r="D2188" t="s">
        <v>81</v>
      </c>
      <c r="E2188">
        <v>100000000</v>
      </c>
      <c r="H2188">
        <v>2.54</v>
      </c>
      <c r="I2188" t="s">
        <v>56</v>
      </c>
      <c r="J2188">
        <v>2.5399999999999999E-4</v>
      </c>
      <c r="K2188" t="s">
        <v>57</v>
      </c>
      <c r="N2188" t="s">
        <v>314</v>
      </c>
      <c r="O2188">
        <v>750</v>
      </c>
      <c r="P2188" t="s">
        <v>315</v>
      </c>
      <c r="S2188">
        <v>5</v>
      </c>
      <c r="T2188">
        <v>24</v>
      </c>
      <c r="U2188" t="s">
        <v>619</v>
      </c>
      <c r="V2188">
        <v>75</v>
      </c>
      <c r="W2188" t="s">
        <v>621</v>
      </c>
      <c r="X2188" t="s">
        <v>280</v>
      </c>
      <c r="Y2188">
        <v>236.09101709954339</v>
      </c>
      <c r="AB2188">
        <v>3.7288135593220302</v>
      </c>
      <c r="AC2188" t="s">
        <v>85</v>
      </c>
      <c r="AE2188" t="s">
        <v>63</v>
      </c>
      <c r="AI2188">
        <v>3</v>
      </c>
      <c r="AT2188" t="s">
        <v>79</v>
      </c>
      <c r="AV2188" t="s">
        <v>88</v>
      </c>
      <c r="AW2188">
        <v>750</v>
      </c>
    </row>
    <row r="2189" spans="1:49" hidden="1" x14ac:dyDescent="0.3">
      <c r="A2189" t="s">
        <v>618</v>
      </c>
      <c r="C2189" t="s">
        <v>251</v>
      </c>
      <c r="D2189" t="s">
        <v>81</v>
      </c>
      <c r="E2189">
        <v>100000000</v>
      </c>
      <c r="H2189">
        <v>2.54</v>
      </c>
      <c r="I2189" t="s">
        <v>56</v>
      </c>
      <c r="J2189">
        <v>2.5399999999999999E-4</v>
      </c>
      <c r="K2189" t="s">
        <v>57</v>
      </c>
      <c r="N2189" t="s">
        <v>314</v>
      </c>
      <c r="O2189">
        <v>750</v>
      </c>
      <c r="P2189" t="s">
        <v>315</v>
      </c>
      <c r="S2189">
        <v>5</v>
      </c>
      <c r="T2189">
        <v>24</v>
      </c>
      <c r="U2189" t="s">
        <v>619</v>
      </c>
      <c r="V2189">
        <v>75</v>
      </c>
      <c r="W2189" t="s">
        <v>621</v>
      </c>
      <c r="X2189" t="s">
        <v>280</v>
      </c>
      <c r="Y2189">
        <v>355.98453972598622</v>
      </c>
      <c r="AB2189">
        <v>8.0145278450363104</v>
      </c>
      <c r="AC2189" t="s">
        <v>85</v>
      </c>
      <c r="AE2189" t="s">
        <v>63</v>
      </c>
      <c r="AI2189">
        <v>3</v>
      </c>
      <c r="AT2189" t="s">
        <v>79</v>
      </c>
      <c r="AV2189" t="s">
        <v>88</v>
      </c>
      <c r="AW2189">
        <v>750</v>
      </c>
    </row>
    <row r="2190" spans="1:49" hidden="1" x14ac:dyDescent="0.3">
      <c r="A2190" t="s">
        <v>618</v>
      </c>
      <c r="C2190" t="s">
        <v>251</v>
      </c>
      <c r="D2190" t="s">
        <v>81</v>
      </c>
      <c r="E2190">
        <v>100000000</v>
      </c>
      <c r="H2190">
        <v>2.54</v>
      </c>
      <c r="I2190" t="s">
        <v>56</v>
      </c>
      <c r="J2190">
        <v>2.5399999999999999E-4</v>
      </c>
      <c r="K2190" t="s">
        <v>57</v>
      </c>
      <c r="N2190" t="s">
        <v>314</v>
      </c>
      <c r="O2190">
        <v>750</v>
      </c>
      <c r="P2190" t="s">
        <v>315</v>
      </c>
      <c r="S2190">
        <v>5</v>
      </c>
      <c r="T2190">
        <v>24</v>
      </c>
      <c r="U2190" t="s">
        <v>619</v>
      </c>
      <c r="V2190">
        <v>75</v>
      </c>
      <c r="W2190" t="s">
        <v>621</v>
      </c>
      <c r="X2190" t="s">
        <v>280</v>
      </c>
      <c r="Y2190">
        <v>719.71124780052003</v>
      </c>
      <c r="AB2190">
        <v>8.0145278450363104</v>
      </c>
      <c r="AC2190" t="s">
        <v>85</v>
      </c>
      <c r="AE2190" t="s">
        <v>63</v>
      </c>
      <c r="AI2190">
        <v>3</v>
      </c>
      <c r="AT2190" t="s">
        <v>79</v>
      </c>
      <c r="AV2190" t="s">
        <v>88</v>
      </c>
      <c r="AW2190">
        <v>750</v>
      </c>
    </row>
    <row r="2191" spans="1:49" hidden="1" x14ac:dyDescent="0.3">
      <c r="A2191" t="s">
        <v>618</v>
      </c>
      <c r="C2191" t="s">
        <v>251</v>
      </c>
      <c r="D2191" t="s">
        <v>81</v>
      </c>
      <c r="E2191">
        <v>100000000</v>
      </c>
      <c r="H2191">
        <v>2.54</v>
      </c>
      <c r="I2191" t="s">
        <v>56</v>
      </c>
      <c r="J2191">
        <v>2.5399999999999999E-4</v>
      </c>
      <c r="K2191" t="s">
        <v>57</v>
      </c>
      <c r="N2191" t="s">
        <v>314</v>
      </c>
      <c r="O2191">
        <v>750</v>
      </c>
      <c r="P2191" t="s">
        <v>315</v>
      </c>
      <c r="S2191">
        <v>5</v>
      </c>
      <c r="T2191">
        <v>24</v>
      </c>
      <c r="U2191" t="s">
        <v>619</v>
      </c>
      <c r="V2191">
        <v>75</v>
      </c>
      <c r="W2191" t="s">
        <v>621</v>
      </c>
      <c r="X2191" t="s">
        <v>280</v>
      </c>
      <c r="AB2191">
        <v>-2.4213075060530598E-2</v>
      </c>
      <c r="AC2191" t="s">
        <v>85</v>
      </c>
      <c r="AE2191" t="s">
        <v>63</v>
      </c>
      <c r="AI2191">
        <v>3</v>
      </c>
      <c r="AT2191" t="s">
        <v>79</v>
      </c>
      <c r="AV2191" t="s">
        <v>88</v>
      </c>
      <c r="AW2191">
        <v>750</v>
      </c>
    </row>
    <row r="2192" spans="1:49" hidden="1" x14ac:dyDescent="0.3">
      <c r="A2192" t="s">
        <v>618</v>
      </c>
      <c r="C2192" t="s">
        <v>251</v>
      </c>
      <c r="D2192" t="s">
        <v>81</v>
      </c>
      <c r="E2192">
        <v>100000000</v>
      </c>
      <c r="H2192">
        <v>2.54</v>
      </c>
      <c r="I2192" t="s">
        <v>56</v>
      </c>
      <c r="J2192">
        <v>2.5399999999999999E-4</v>
      </c>
      <c r="K2192" t="s">
        <v>57</v>
      </c>
      <c r="N2192" t="s">
        <v>314</v>
      </c>
      <c r="O2192">
        <v>750</v>
      </c>
      <c r="P2192" t="s">
        <v>315</v>
      </c>
      <c r="S2192">
        <v>5</v>
      </c>
      <c r="T2192">
        <v>24</v>
      </c>
      <c r="U2192" t="s">
        <v>619</v>
      </c>
      <c r="V2192">
        <v>75</v>
      </c>
      <c r="W2192" t="s">
        <v>621</v>
      </c>
      <c r="X2192" t="s">
        <v>280</v>
      </c>
      <c r="Y2192">
        <v>58.912667498834402</v>
      </c>
      <c r="AB2192">
        <v>5.1573849878934501</v>
      </c>
      <c r="AC2192" t="s">
        <v>85</v>
      </c>
      <c r="AE2192" t="s">
        <v>63</v>
      </c>
      <c r="AI2192">
        <v>3</v>
      </c>
      <c r="AT2192" t="s">
        <v>79</v>
      </c>
      <c r="AV2192" t="s">
        <v>88</v>
      </c>
      <c r="AW2192">
        <v>750</v>
      </c>
    </row>
    <row r="2193" spans="1:49" hidden="1" x14ac:dyDescent="0.3">
      <c r="A2193" t="s">
        <v>618</v>
      </c>
      <c r="C2193" t="s">
        <v>251</v>
      </c>
      <c r="D2193" t="s">
        <v>81</v>
      </c>
      <c r="E2193">
        <v>100000000</v>
      </c>
      <c r="H2193">
        <v>2.54</v>
      </c>
      <c r="I2193" t="s">
        <v>56</v>
      </c>
      <c r="J2193">
        <v>2.5399999999999999E-4</v>
      </c>
      <c r="K2193" t="s">
        <v>57</v>
      </c>
      <c r="N2193" t="s">
        <v>314</v>
      </c>
      <c r="O2193">
        <v>750</v>
      </c>
      <c r="P2193" t="s">
        <v>315</v>
      </c>
      <c r="S2193">
        <v>5</v>
      </c>
      <c r="T2193">
        <v>24</v>
      </c>
      <c r="U2193" t="s">
        <v>619</v>
      </c>
      <c r="V2193">
        <v>75</v>
      </c>
      <c r="W2193" t="s">
        <v>621</v>
      </c>
      <c r="X2193" t="s">
        <v>280</v>
      </c>
      <c r="Y2193">
        <v>120.1028679710646</v>
      </c>
      <c r="AB2193">
        <v>5.6416464891041</v>
      </c>
      <c r="AC2193" t="s">
        <v>85</v>
      </c>
      <c r="AE2193" t="s">
        <v>63</v>
      </c>
      <c r="AI2193">
        <v>3</v>
      </c>
      <c r="AT2193" t="s">
        <v>79</v>
      </c>
      <c r="AV2193" t="s">
        <v>88</v>
      </c>
      <c r="AW2193">
        <v>750</v>
      </c>
    </row>
    <row r="2194" spans="1:49" hidden="1" x14ac:dyDescent="0.3">
      <c r="A2194" t="s">
        <v>618</v>
      </c>
      <c r="C2194" t="s">
        <v>251</v>
      </c>
      <c r="D2194" t="s">
        <v>81</v>
      </c>
      <c r="E2194">
        <v>100000000</v>
      </c>
      <c r="H2194">
        <v>2.54</v>
      </c>
      <c r="I2194" t="s">
        <v>56</v>
      </c>
      <c r="J2194">
        <v>2.5399999999999999E-4</v>
      </c>
      <c r="K2194" t="s">
        <v>57</v>
      </c>
      <c r="N2194" t="s">
        <v>314</v>
      </c>
      <c r="O2194">
        <v>750</v>
      </c>
      <c r="P2194" t="s">
        <v>315</v>
      </c>
      <c r="S2194">
        <v>5</v>
      </c>
      <c r="T2194">
        <v>24</v>
      </c>
      <c r="U2194" t="s">
        <v>619</v>
      </c>
      <c r="V2194">
        <v>75</v>
      </c>
      <c r="W2194" t="s">
        <v>621</v>
      </c>
      <c r="X2194" t="s">
        <v>280</v>
      </c>
      <c r="Y2194">
        <v>242.5085347329786</v>
      </c>
      <c r="AB2194">
        <v>6.7796610169491398</v>
      </c>
      <c r="AC2194" t="s">
        <v>85</v>
      </c>
      <c r="AE2194" t="s">
        <v>63</v>
      </c>
      <c r="AI2194">
        <v>3</v>
      </c>
      <c r="AT2194" t="s">
        <v>79</v>
      </c>
      <c r="AV2194" t="s">
        <v>88</v>
      </c>
      <c r="AW2194">
        <v>750</v>
      </c>
    </row>
    <row r="2195" spans="1:49" hidden="1" x14ac:dyDescent="0.3">
      <c r="A2195" t="s">
        <v>618</v>
      </c>
      <c r="C2195" t="s">
        <v>251</v>
      </c>
      <c r="D2195" t="s">
        <v>81</v>
      </c>
      <c r="E2195">
        <v>100000000</v>
      </c>
      <c r="H2195">
        <v>2.54</v>
      </c>
      <c r="I2195" t="s">
        <v>56</v>
      </c>
      <c r="J2195">
        <v>2.5399999999999999E-4</v>
      </c>
      <c r="K2195" t="s">
        <v>57</v>
      </c>
      <c r="N2195" t="s">
        <v>314</v>
      </c>
      <c r="O2195">
        <v>750</v>
      </c>
      <c r="P2195" t="s">
        <v>315</v>
      </c>
      <c r="S2195">
        <v>5</v>
      </c>
      <c r="T2195">
        <v>24</v>
      </c>
      <c r="U2195" t="s">
        <v>619</v>
      </c>
      <c r="V2195">
        <v>75</v>
      </c>
      <c r="W2195" t="s">
        <v>621</v>
      </c>
      <c r="X2195" t="s">
        <v>280</v>
      </c>
      <c r="Y2195">
        <v>358.78543606093859</v>
      </c>
      <c r="AB2195">
        <v>6.8038740920096803</v>
      </c>
      <c r="AC2195" t="s">
        <v>85</v>
      </c>
      <c r="AE2195" t="s">
        <v>63</v>
      </c>
      <c r="AI2195">
        <v>3</v>
      </c>
      <c r="AT2195" t="s">
        <v>79</v>
      </c>
      <c r="AV2195" t="s">
        <v>88</v>
      </c>
      <c r="AW2195">
        <v>750</v>
      </c>
    </row>
    <row r="2196" spans="1:49" hidden="1" x14ac:dyDescent="0.3">
      <c r="A2196" t="s">
        <v>618</v>
      </c>
      <c r="C2196" t="s">
        <v>251</v>
      </c>
      <c r="D2196" t="s">
        <v>81</v>
      </c>
      <c r="E2196">
        <v>100000000</v>
      </c>
      <c r="H2196">
        <v>2.54</v>
      </c>
      <c r="I2196" t="s">
        <v>56</v>
      </c>
      <c r="J2196">
        <v>2.5399999999999999E-4</v>
      </c>
      <c r="K2196" t="s">
        <v>57</v>
      </c>
      <c r="N2196" t="s">
        <v>314</v>
      </c>
      <c r="O2196">
        <v>750</v>
      </c>
      <c r="P2196" t="s">
        <v>315</v>
      </c>
      <c r="S2196">
        <v>5</v>
      </c>
      <c r="T2196">
        <v>24</v>
      </c>
      <c r="U2196" t="s">
        <v>619</v>
      </c>
      <c r="V2196">
        <v>75</v>
      </c>
      <c r="W2196" t="s">
        <v>621</v>
      </c>
      <c r="X2196" t="s">
        <v>280</v>
      </c>
      <c r="Y2196">
        <v>719.534387078328</v>
      </c>
      <c r="AB2196">
        <v>6.8280871670702101</v>
      </c>
      <c r="AC2196" t="s">
        <v>85</v>
      </c>
      <c r="AE2196" t="s">
        <v>63</v>
      </c>
      <c r="AI2196">
        <v>3</v>
      </c>
      <c r="AT2196" t="s">
        <v>79</v>
      </c>
      <c r="AV2196" t="s">
        <v>88</v>
      </c>
      <c r="AW2196">
        <v>750</v>
      </c>
    </row>
    <row r="2197" spans="1:49" hidden="1" x14ac:dyDescent="0.3">
      <c r="A2197" t="s">
        <v>618</v>
      </c>
      <c r="C2197" t="s">
        <v>251</v>
      </c>
      <c r="D2197" t="s">
        <v>81</v>
      </c>
      <c r="E2197">
        <v>100000000</v>
      </c>
      <c r="H2197">
        <v>2.54</v>
      </c>
      <c r="I2197" t="s">
        <v>56</v>
      </c>
      <c r="J2197">
        <v>2.5399999999999999E-4</v>
      </c>
      <c r="K2197" t="s">
        <v>57</v>
      </c>
      <c r="N2197" t="s">
        <v>314</v>
      </c>
      <c r="O2197">
        <v>750</v>
      </c>
      <c r="P2197" t="s">
        <v>315</v>
      </c>
      <c r="S2197">
        <v>5</v>
      </c>
      <c r="T2197">
        <v>24</v>
      </c>
      <c r="U2197" t="s">
        <v>619</v>
      </c>
      <c r="V2197">
        <v>75</v>
      </c>
      <c r="W2197" t="s">
        <v>622</v>
      </c>
      <c r="X2197" t="s">
        <v>280</v>
      </c>
      <c r="AB2197">
        <v>-4.7961630695442903E-2</v>
      </c>
      <c r="AC2197" t="s">
        <v>85</v>
      </c>
      <c r="AE2197" t="s">
        <v>63</v>
      </c>
      <c r="AI2197">
        <v>3</v>
      </c>
      <c r="AT2197" t="s">
        <v>212</v>
      </c>
      <c r="AV2197" t="s">
        <v>88</v>
      </c>
      <c r="AW2197">
        <v>750</v>
      </c>
    </row>
    <row r="2198" spans="1:49" hidden="1" x14ac:dyDescent="0.3">
      <c r="A2198" t="s">
        <v>618</v>
      </c>
      <c r="C2198" t="s">
        <v>251</v>
      </c>
      <c r="D2198" t="s">
        <v>81</v>
      </c>
      <c r="E2198">
        <v>100000000</v>
      </c>
      <c r="H2198">
        <v>2.54</v>
      </c>
      <c r="I2198" t="s">
        <v>56</v>
      </c>
      <c r="J2198">
        <v>2.5399999999999999E-4</v>
      </c>
      <c r="K2198" t="s">
        <v>57</v>
      </c>
      <c r="N2198" t="s">
        <v>314</v>
      </c>
      <c r="O2198">
        <v>750</v>
      </c>
      <c r="P2198" t="s">
        <v>315</v>
      </c>
      <c r="S2198">
        <v>5</v>
      </c>
      <c r="T2198">
        <v>24</v>
      </c>
      <c r="U2198" t="s">
        <v>619</v>
      </c>
      <c r="V2198">
        <v>75</v>
      </c>
      <c r="W2198" t="s">
        <v>622</v>
      </c>
      <c r="X2198" t="s">
        <v>280</v>
      </c>
      <c r="Y2198">
        <v>50.370370370370303</v>
      </c>
      <c r="AB2198">
        <v>2.80575539568345</v>
      </c>
      <c r="AC2198" t="s">
        <v>85</v>
      </c>
      <c r="AE2198" t="s">
        <v>63</v>
      </c>
      <c r="AI2198">
        <v>3</v>
      </c>
      <c r="AT2198" t="s">
        <v>212</v>
      </c>
      <c r="AV2198" t="s">
        <v>88</v>
      </c>
      <c r="AW2198">
        <v>750</v>
      </c>
    </row>
    <row r="2199" spans="1:49" hidden="1" x14ac:dyDescent="0.3">
      <c r="A2199" t="s">
        <v>618</v>
      </c>
      <c r="C2199" t="s">
        <v>251</v>
      </c>
      <c r="D2199" t="s">
        <v>81</v>
      </c>
      <c r="E2199">
        <v>100000000</v>
      </c>
      <c r="H2199">
        <v>2.54</v>
      </c>
      <c r="I2199" t="s">
        <v>56</v>
      </c>
      <c r="J2199">
        <v>2.5399999999999999E-4</v>
      </c>
      <c r="K2199" t="s">
        <v>57</v>
      </c>
      <c r="N2199" t="s">
        <v>314</v>
      </c>
      <c r="O2199">
        <v>750</v>
      </c>
      <c r="P2199" t="s">
        <v>315</v>
      </c>
      <c r="S2199">
        <v>5</v>
      </c>
      <c r="T2199">
        <v>24</v>
      </c>
      <c r="U2199" t="s">
        <v>619</v>
      </c>
      <c r="V2199">
        <v>75</v>
      </c>
      <c r="W2199" t="s">
        <v>622</v>
      </c>
      <c r="X2199" t="s">
        <v>280</v>
      </c>
      <c r="Y2199">
        <v>103.7037037037034</v>
      </c>
      <c r="AB2199">
        <v>3.6930455635491501</v>
      </c>
      <c r="AC2199" t="s">
        <v>85</v>
      </c>
      <c r="AE2199" t="s">
        <v>63</v>
      </c>
      <c r="AI2199">
        <v>3</v>
      </c>
      <c r="AT2199" t="s">
        <v>212</v>
      </c>
      <c r="AV2199" t="s">
        <v>88</v>
      </c>
      <c r="AW2199">
        <v>750</v>
      </c>
    </row>
    <row r="2200" spans="1:49" hidden="1" x14ac:dyDescent="0.3">
      <c r="A2200" t="s">
        <v>618</v>
      </c>
      <c r="C2200" t="s">
        <v>251</v>
      </c>
      <c r="D2200" t="s">
        <v>81</v>
      </c>
      <c r="E2200">
        <v>100000000</v>
      </c>
      <c r="H2200">
        <v>2.54</v>
      </c>
      <c r="I2200" t="s">
        <v>56</v>
      </c>
      <c r="J2200">
        <v>2.5399999999999999E-4</v>
      </c>
      <c r="K2200" t="s">
        <v>57</v>
      </c>
      <c r="N2200" t="s">
        <v>314</v>
      </c>
      <c r="O2200">
        <v>750</v>
      </c>
      <c r="P2200" t="s">
        <v>315</v>
      </c>
      <c r="S2200">
        <v>5</v>
      </c>
      <c r="T2200">
        <v>24</v>
      </c>
      <c r="U2200" t="s">
        <v>619</v>
      </c>
      <c r="V2200">
        <v>75</v>
      </c>
      <c r="W2200" t="s">
        <v>622</v>
      </c>
      <c r="X2200" t="s">
        <v>280</v>
      </c>
      <c r="Y2200">
        <v>216.2962962962952</v>
      </c>
      <c r="AB2200">
        <v>5.2757793764988001</v>
      </c>
      <c r="AC2200" t="s">
        <v>85</v>
      </c>
      <c r="AE2200" t="s">
        <v>63</v>
      </c>
      <c r="AI2200">
        <v>3</v>
      </c>
      <c r="AT2200" t="s">
        <v>212</v>
      </c>
      <c r="AV2200" t="s">
        <v>88</v>
      </c>
      <c r="AW2200">
        <v>750</v>
      </c>
    </row>
    <row r="2201" spans="1:49" hidden="1" x14ac:dyDescent="0.3">
      <c r="A2201" t="s">
        <v>618</v>
      </c>
      <c r="C2201" t="s">
        <v>251</v>
      </c>
      <c r="D2201" t="s">
        <v>81</v>
      </c>
      <c r="E2201">
        <v>100000000</v>
      </c>
      <c r="H2201">
        <v>2.54</v>
      </c>
      <c r="I2201" t="s">
        <v>56</v>
      </c>
      <c r="J2201">
        <v>2.5399999999999999E-4</v>
      </c>
      <c r="K2201" t="s">
        <v>57</v>
      </c>
      <c r="N2201" t="s">
        <v>314</v>
      </c>
      <c r="O2201">
        <v>750</v>
      </c>
      <c r="P2201" t="s">
        <v>315</v>
      </c>
      <c r="S2201">
        <v>5</v>
      </c>
      <c r="T2201">
        <v>24</v>
      </c>
      <c r="U2201" t="s">
        <v>619</v>
      </c>
      <c r="V2201">
        <v>75</v>
      </c>
      <c r="W2201" t="s">
        <v>622</v>
      </c>
      <c r="X2201" t="s">
        <v>280</v>
      </c>
      <c r="Y2201">
        <v>328.8888888888888</v>
      </c>
      <c r="AB2201">
        <v>4.6522781774580304</v>
      </c>
      <c r="AC2201" t="s">
        <v>85</v>
      </c>
      <c r="AE2201" t="s">
        <v>63</v>
      </c>
      <c r="AI2201">
        <v>3</v>
      </c>
      <c r="AT2201" t="s">
        <v>212</v>
      </c>
      <c r="AV2201" t="s">
        <v>88</v>
      </c>
      <c r="AW2201">
        <v>750</v>
      </c>
    </row>
    <row r="2202" spans="1:49" hidden="1" x14ac:dyDescent="0.3">
      <c r="A2202" t="s">
        <v>618</v>
      </c>
      <c r="C2202" t="s">
        <v>251</v>
      </c>
      <c r="D2202" t="s">
        <v>81</v>
      </c>
      <c r="E2202">
        <v>100000000</v>
      </c>
      <c r="H2202">
        <v>2.54</v>
      </c>
      <c r="I2202" t="s">
        <v>56</v>
      </c>
      <c r="J2202">
        <v>2.5399999999999999E-4</v>
      </c>
      <c r="K2202" t="s">
        <v>57</v>
      </c>
      <c r="N2202" t="s">
        <v>314</v>
      </c>
      <c r="O2202">
        <v>750</v>
      </c>
      <c r="P2202" t="s">
        <v>315</v>
      </c>
      <c r="S2202">
        <v>5</v>
      </c>
      <c r="T2202">
        <v>24</v>
      </c>
      <c r="U2202" t="s">
        <v>619</v>
      </c>
      <c r="V2202">
        <v>75</v>
      </c>
      <c r="W2202" t="s">
        <v>622</v>
      </c>
      <c r="X2202" t="s">
        <v>280</v>
      </c>
      <c r="Y2202">
        <v>718.51851851851802</v>
      </c>
      <c r="AB2202">
        <v>7.7218225419664099</v>
      </c>
      <c r="AC2202" t="s">
        <v>85</v>
      </c>
      <c r="AE2202" t="s">
        <v>63</v>
      </c>
      <c r="AI2202">
        <v>3</v>
      </c>
      <c r="AT2202" t="s">
        <v>212</v>
      </c>
      <c r="AV2202" t="s">
        <v>88</v>
      </c>
      <c r="AW2202">
        <v>750</v>
      </c>
    </row>
    <row r="2203" spans="1:49" hidden="1" x14ac:dyDescent="0.3">
      <c r="A2203" t="s">
        <v>618</v>
      </c>
      <c r="C2203" t="s">
        <v>251</v>
      </c>
      <c r="D2203" t="s">
        <v>81</v>
      </c>
      <c r="E2203">
        <v>100000000</v>
      </c>
      <c r="H2203">
        <v>2.54</v>
      </c>
      <c r="I2203" t="s">
        <v>56</v>
      </c>
      <c r="J2203">
        <v>2.5399999999999999E-4</v>
      </c>
      <c r="K2203" t="s">
        <v>57</v>
      </c>
      <c r="N2203" t="s">
        <v>314</v>
      </c>
      <c r="O2203">
        <v>750</v>
      </c>
      <c r="P2203" t="s">
        <v>315</v>
      </c>
      <c r="S2203">
        <v>5</v>
      </c>
      <c r="T2203">
        <v>24</v>
      </c>
      <c r="U2203" t="s">
        <v>619</v>
      </c>
      <c r="V2203">
        <v>75</v>
      </c>
      <c r="W2203" t="s">
        <v>622</v>
      </c>
      <c r="X2203" t="s">
        <v>280</v>
      </c>
      <c r="AB2203">
        <v>-2.3980815347721202E-2</v>
      </c>
      <c r="AC2203" t="s">
        <v>85</v>
      </c>
      <c r="AE2203" t="s">
        <v>63</v>
      </c>
      <c r="AI2203">
        <v>3</v>
      </c>
      <c r="AT2203" t="s">
        <v>212</v>
      </c>
      <c r="AV2203" t="s">
        <v>88</v>
      </c>
      <c r="AW2203">
        <v>750</v>
      </c>
    </row>
    <row r="2204" spans="1:49" hidden="1" x14ac:dyDescent="0.3">
      <c r="A2204" t="s">
        <v>618</v>
      </c>
      <c r="C2204" t="s">
        <v>251</v>
      </c>
      <c r="D2204" t="s">
        <v>81</v>
      </c>
      <c r="E2204">
        <v>100000000</v>
      </c>
      <c r="H2204">
        <v>2.54</v>
      </c>
      <c r="I2204" t="s">
        <v>56</v>
      </c>
      <c r="J2204">
        <v>2.5399999999999999E-4</v>
      </c>
      <c r="K2204" t="s">
        <v>57</v>
      </c>
      <c r="N2204" t="s">
        <v>314</v>
      </c>
      <c r="O2204">
        <v>750</v>
      </c>
      <c r="P2204" t="s">
        <v>315</v>
      </c>
      <c r="S2204">
        <v>5</v>
      </c>
      <c r="T2204">
        <v>24</v>
      </c>
      <c r="U2204" t="s">
        <v>619</v>
      </c>
      <c r="V2204">
        <v>75</v>
      </c>
      <c r="W2204" t="s">
        <v>622</v>
      </c>
      <c r="X2204" t="s">
        <v>280</v>
      </c>
      <c r="Y2204">
        <v>51.851851851851762</v>
      </c>
      <c r="AB2204">
        <v>4.7242206235011901</v>
      </c>
      <c r="AC2204" t="s">
        <v>85</v>
      </c>
      <c r="AE2204" t="s">
        <v>63</v>
      </c>
      <c r="AI2204">
        <v>3</v>
      </c>
      <c r="AT2204" t="s">
        <v>212</v>
      </c>
      <c r="AV2204" t="s">
        <v>88</v>
      </c>
      <c r="AW2204">
        <v>750</v>
      </c>
    </row>
    <row r="2205" spans="1:49" hidden="1" x14ac:dyDescent="0.3">
      <c r="A2205" t="s">
        <v>618</v>
      </c>
      <c r="C2205" t="s">
        <v>251</v>
      </c>
      <c r="D2205" t="s">
        <v>81</v>
      </c>
      <c r="E2205">
        <v>100000000</v>
      </c>
      <c r="H2205">
        <v>2.54</v>
      </c>
      <c r="I2205" t="s">
        <v>56</v>
      </c>
      <c r="J2205">
        <v>2.5399999999999999E-4</v>
      </c>
      <c r="K2205" t="s">
        <v>57</v>
      </c>
      <c r="N2205" t="s">
        <v>314</v>
      </c>
      <c r="O2205">
        <v>750</v>
      </c>
      <c r="P2205" t="s">
        <v>315</v>
      </c>
      <c r="S2205">
        <v>5</v>
      </c>
      <c r="T2205">
        <v>24</v>
      </c>
      <c r="U2205" t="s">
        <v>619</v>
      </c>
      <c r="V2205">
        <v>75</v>
      </c>
      <c r="W2205" t="s">
        <v>622</v>
      </c>
      <c r="X2205" t="s">
        <v>280</v>
      </c>
      <c r="Y2205">
        <v>103.7037037037034</v>
      </c>
      <c r="AB2205">
        <v>6.6187050359712201</v>
      </c>
      <c r="AC2205" t="s">
        <v>85</v>
      </c>
      <c r="AE2205" t="s">
        <v>63</v>
      </c>
      <c r="AI2205">
        <v>3</v>
      </c>
      <c r="AT2205" t="s">
        <v>212</v>
      </c>
      <c r="AV2205" t="s">
        <v>88</v>
      </c>
      <c r="AW2205">
        <v>750</v>
      </c>
    </row>
    <row r="2206" spans="1:49" hidden="1" x14ac:dyDescent="0.3">
      <c r="A2206" t="s">
        <v>618</v>
      </c>
      <c r="C2206" t="s">
        <v>251</v>
      </c>
      <c r="D2206" t="s">
        <v>81</v>
      </c>
      <c r="E2206">
        <v>100000000</v>
      </c>
      <c r="H2206">
        <v>2.54</v>
      </c>
      <c r="I2206" t="s">
        <v>56</v>
      </c>
      <c r="J2206">
        <v>2.5399999999999999E-4</v>
      </c>
      <c r="K2206" t="s">
        <v>57</v>
      </c>
      <c r="N2206" t="s">
        <v>314</v>
      </c>
      <c r="O2206">
        <v>750</v>
      </c>
      <c r="P2206" t="s">
        <v>315</v>
      </c>
      <c r="S2206">
        <v>5</v>
      </c>
      <c r="T2206">
        <v>24</v>
      </c>
      <c r="U2206" t="s">
        <v>619</v>
      </c>
      <c r="V2206">
        <v>75</v>
      </c>
      <c r="W2206" t="s">
        <v>622</v>
      </c>
      <c r="X2206" t="s">
        <v>280</v>
      </c>
      <c r="Y2206">
        <v>216.2962962962952</v>
      </c>
      <c r="AB2206">
        <v>5.37170263788967</v>
      </c>
      <c r="AC2206" t="s">
        <v>85</v>
      </c>
      <c r="AE2206" t="s">
        <v>63</v>
      </c>
      <c r="AI2206">
        <v>3</v>
      </c>
      <c r="AT2206" t="s">
        <v>212</v>
      </c>
      <c r="AV2206" t="s">
        <v>88</v>
      </c>
      <c r="AW2206">
        <v>750</v>
      </c>
    </row>
    <row r="2207" spans="1:49" hidden="1" x14ac:dyDescent="0.3">
      <c r="A2207" t="s">
        <v>618</v>
      </c>
      <c r="C2207" t="s">
        <v>251</v>
      </c>
      <c r="D2207" t="s">
        <v>81</v>
      </c>
      <c r="E2207">
        <v>100000000</v>
      </c>
      <c r="H2207">
        <v>2.54</v>
      </c>
      <c r="I2207" t="s">
        <v>56</v>
      </c>
      <c r="J2207">
        <v>2.5399999999999999E-4</v>
      </c>
      <c r="K2207" t="s">
        <v>57</v>
      </c>
      <c r="N2207" t="s">
        <v>314</v>
      </c>
      <c r="O2207">
        <v>750</v>
      </c>
      <c r="P2207" t="s">
        <v>315</v>
      </c>
      <c r="S2207">
        <v>5</v>
      </c>
      <c r="T2207">
        <v>24</v>
      </c>
      <c r="U2207" t="s">
        <v>619</v>
      </c>
      <c r="V2207">
        <v>75</v>
      </c>
      <c r="W2207" t="s">
        <v>622</v>
      </c>
      <c r="X2207" t="s">
        <v>280</v>
      </c>
      <c r="Y2207">
        <v>328.8888888888888</v>
      </c>
      <c r="AB2207">
        <v>5.4196642685851302</v>
      </c>
      <c r="AC2207" t="s">
        <v>85</v>
      </c>
      <c r="AE2207" t="s">
        <v>63</v>
      </c>
      <c r="AI2207">
        <v>3</v>
      </c>
      <c r="AT2207" t="s">
        <v>212</v>
      </c>
      <c r="AV2207" t="s">
        <v>88</v>
      </c>
      <c r="AW2207">
        <v>750</v>
      </c>
    </row>
    <row r="2208" spans="1:49" hidden="1" x14ac:dyDescent="0.3">
      <c r="A2208" t="s">
        <v>618</v>
      </c>
      <c r="C2208" t="s">
        <v>251</v>
      </c>
      <c r="D2208" t="s">
        <v>81</v>
      </c>
      <c r="E2208">
        <v>100000000</v>
      </c>
      <c r="H2208">
        <v>2.54</v>
      </c>
      <c r="I2208" t="s">
        <v>56</v>
      </c>
      <c r="J2208">
        <v>2.5399999999999999E-4</v>
      </c>
      <c r="K2208" t="s">
        <v>57</v>
      </c>
      <c r="N2208" t="s">
        <v>314</v>
      </c>
      <c r="O2208">
        <v>750</v>
      </c>
      <c r="P2208" t="s">
        <v>315</v>
      </c>
      <c r="S2208">
        <v>5</v>
      </c>
      <c r="T2208">
        <v>24</v>
      </c>
      <c r="U2208" t="s">
        <v>619</v>
      </c>
      <c r="V2208">
        <v>75</v>
      </c>
      <c r="W2208" t="s">
        <v>622</v>
      </c>
      <c r="X2208" t="s">
        <v>280</v>
      </c>
      <c r="Y2208">
        <v>718.51851851851802</v>
      </c>
      <c r="AB2208">
        <v>7.69784172661869</v>
      </c>
      <c r="AC2208" t="s">
        <v>85</v>
      </c>
      <c r="AE2208" t="s">
        <v>63</v>
      </c>
      <c r="AI2208">
        <v>3</v>
      </c>
      <c r="AT2208" t="s">
        <v>212</v>
      </c>
      <c r="AV2208" t="s">
        <v>88</v>
      </c>
      <c r="AW2208">
        <v>750</v>
      </c>
    </row>
    <row r="2209" spans="1:53" hidden="1" x14ac:dyDescent="0.3">
      <c r="A2209" t="s">
        <v>623</v>
      </c>
      <c r="C2209" t="s">
        <v>251</v>
      </c>
      <c r="D2209" t="s">
        <v>81</v>
      </c>
      <c r="E2209">
        <v>100000000</v>
      </c>
      <c r="H2209">
        <v>9.6</v>
      </c>
      <c r="I2209" t="s">
        <v>56</v>
      </c>
      <c r="J2209">
        <v>9.6000000000000002E-4</v>
      </c>
      <c r="K2209" t="s">
        <v>57</v>
      </c>
      <c r="N2209" t="s">
        <v>624</v>
      </c>
      <c r="O2209">
        <v>3004</v>
      </c>
      <c r="P2209" t="s">
        <v>315</v>
      </c>
      <c r="S2209">
        <v>2</v>
      </c>
      <c r="T2209">
        <v>22</v>
      </c>
      <c r="U2209" t="s">
        <v>130</v>
      </c>
      <c r="V2209">
        <v>77</v>
      </c>
      <c r="W2209" t="s">
        <v>625</v>
      </c>
      <c r="X2209" t="s">
        <v>280</v>
      </c>
      <c r="Y2209">
        <v>120</v>
      </c>
      <c r="AB2209">
        <v>6.56</v>
      </c>
      <c r="AC2209" t="s">
        <v>85</v>
      </c>
      <c r="AD2209" t="s">
        <v>322</v>
      </c>
      <c r="AE2209" t="s">
        <v>138</v>
      </c>
      <c r="AI2209">
        <v>5</v>
      </c>
      <c r="AT2209" t="s">
        <v>221</v>
      </c>
      <c r="AV2209" t="s">
        <v>88</v>
      </c>
      <c r="AW2209">
        <v>3004</v>
      </c>
    </row>
    <row r="2210" spans="1:53" hidden="1" x14ac:dyDescent="0.3">
      <c r="A2210" t="s">
        <v>623</v>
      </c>
      <c r="C2210" t="s">
        <v>251</v>
      </c>
      <c r="D2210" t="s">
        <v>81</v>
      </c>
      <c r="E2210">
        <v>100000000</v>
      </c>
      <c r="H2210">
        <v>9.6</v>
      </c>
      <c r="I2210" t="s">
        <v>56</v>
      </c>
      <c r="J2210">
        <v>9.6000000000000002E-4</v>
      </c>
      <c r="K2210" t="s">
        <v>57</v>
      </c>
      <c r="N2210" t="s">
        <v>624</v>
      </c>
      <c r="O2210">
        <v>3004</v>
      </c>
      <c r="P2210" t="s">
        <v>315</v>
      </c>
      <c r="S2210">
        <v>2</v>
      </c>
      <c r="T2210">
        <v>22</v>
      </c>
      <c r="U2210" t="s">
        <v>130</v>
      </c>
      <c r="V2210">
        <v>77</v>
      </c>
      <c r="W2210" t="s">
        <v>625</v>
      </c>
      <c r="X2210" t="s">
        <v>280</v>
      </c>
      <c r="Y2210">
        <v>180</v>
      </c>
      <c r="AB2210">
        <v>6.34</v>
      </c>
      <c r="AC2210" t="s">
        <v>85</v>
      </c>
      <c r="AD2210" t="s">
        <v>440</v>
      </c>
      <c r="AE2210" t="s">
        <v>138</v>
      </c>
      <c r="AI2210">
        <v>5</v>
      </c>
      <c r="AT2210" t="s">
        <v>221</v>
      </c>
      <c r="AV2210" t="s">
        <v>88</v>
      </c>
      <c r="AW2210">
        <v>3004</v>
      </c>
    </row>
    <row r="2211" spans="1:53" hidden="1" x14ac:dyDescent="0.3">
      <c r="A2211" t="s">
        <v>623</v>
      </c>
      <c r="C2211" t="s">
        <v>251</v>
      </c>
      <c r="D2211" t="s">
        <v>81</v>
      </c>
      <c r="E2211">
        <v>100000000</v>
      </c>
      <c r="H2211">
        <v>9.6</v>
      </c>
      <c r="I2211" t="s">
        <v>56</v>
      </c>
      <c r="J2211">
        <v>9.6000000000000002E-4</v>
      </c>
      <c r="K2211" t="s">
        <v>57</v>
      </c>
      <c r="N2211" t="s">
        <v>624</v>
      </c>
      <c r="O2211">
        <v>3004</v>
      </c>
      <c r="P2211" t="s">
        <v>315</v>
      </c>
      <c r="S2211">
        <v>2</v>
      </c>
      <c r="T2211">
        <v>22</v>
      </c>
      <c r="U2211" t="s">
        <v>130</v>
      </c>
      <c r="V2211">
        <v>77</v>
      </c>
      <c r="W2211" t="s">
        <v>625</v>
      </c>
      <c r="X2211" t="s">
        <v>280</v>
      </c>
      <c r="Y2211">
        <v>240</v>
      </c>
      <c r="AB2211">
        <v>7.36</v>
      </c>
      <c r="AC2211" t="s">
        <v>85</v>
      </c>
      <c r="AD2211" t="s">
        <v>626</v>
      </c>
      <c r="AE2211" t="s">
        <v>138</v>
      </c>
      <c r="AI2211">
        <v>5</v>
      </c>
      <c r="AT2211" t="s">
        <v>221</v>
      </c>
      <c r="AV2211" t="s">
        <v>88</v>
      </c>
      <c r="AW2211">
        <v>3004</v>
      </c>
    </row>
    <row r="2212" spans="1:53" hidden="1" x14ac:dyDescent="0.3">
      <c r="A2212" t="s">
        <v>623</v>
      </c>
      <c r="C2212" t="s">
        <v>251</v>
      </c>
      <c r="D2212" t="s">
        <v>81</v>
      </c>
      <c r="E2212">
        <v>100000000</v>
      </c>
      <c r="H2212">
        <v>9.6</v>
      </c>
      <c r="I2212" t="s">
        <v>56</v>
      </c>
      <c r="J2212">
        <v>9.6000000000000002E-4</v>
      </c>
      <c r="K2212" t="s">
        <v>57</v>
      </c>
      <c r="N2212" t="s">
        <v>624</v>
      </c>
      <c r="O2212">
        <v>3004</v>
      </c>
      <c r="P2212" t="s">
        <v>315</v>
      </c>
      <c r="S2212">
        <v>2</v>
      </c>
      <c r="T2212">
        <v>22</v>
      </c>
      <c r="U2212" t="s">
        <v>130</v>
      </c>
      <c r="V2212">
        <v>77</v>
      </c>
      <c r="W2212" t="s">
        <v>627</v>
      </c>
      <c r="X2212" t="s">
        <v>280</v>
      </c>
      <c r="Y2212">
        <v>120</v>
      </c>
      <c r="AA2212" t="s">
        <v>94</v>
      </c>
      <c r="AB2212">
        <v>7.95</v>
      </c>
      <c r="AC2212" t="s">
        <v>85</v>
      </c>
      <c r="AD2212" t="s">
        <v>227</v>
      </c>
      <c r="AE2212" t="s">
        <v>138</v>
      </c>
      <c r="AI2212">
        <v>5</v>
      </c>
      <c r="AV2212" t="s">
        <v>88</v>
      </c>
      <c r="AW2212">
        <v>3004</v>
      </c>
      <c r="AZ2212">
        <v>0</v>
      </c>
      <c r="BA2212">
        <v>7.95</v>
      </c>
    </row>
    <row r="2213" spans="1:53" hidden="1" x14ac:dyDescent="0.3">
      <c r="A2213" t="s">
        <v>623</v>
      </c>
      <c r="C2213" t="s">
        <v>251</v>
      </c>
      <c r="D2213" t="s">
        <v>81</v>
      </c>
      <c r="E2213">
        <v>5000000</v>
      </c>
      <c r="H2213">
        <v>9.6</v>
      </c>
      <c r="I2213" t="s">
        <v>56</v>
      </c>
      <c r="J2213">
        <v>9.6000000000000002E-4</v>
      </c>
      <c r="K2213" t="s">
        <v>57</v>
      </c>
      <c r="N2213" t="s">
        <v>624</v>
      </c>
      <c r="O2213">
        <v>3004</v>
      </c>
      <c r="P2213" t="s">
        <v>315</v>
      </c>
      <c r="S2213">
        <v>2</v>
      </c>
      <c r="T2213">
        <v>22</v>
      </c>
      <c r="U2213" t="s">
        <v>130</v>
      </c>
      <c r="V2213">
        <v>77</v>
      </c>
      <c r="W2213" t="s">
        <v>627</v>
      </c>
      <c r="X2213" t="s">
        <v>280</v>
      </c>
      <c r="Y2213">
        <v>180</v>
      </c>
      <c r="AA2213" t="s">
        <v>94</v>
      </c>
      <c r="AB2213">
        <v>7.94</v>
      </c>
      <c r="AC2213" t="s">
        <v>85</v>
      </c>
      <c r="AD2213" t="s">
        <v>235</v>
      </c>
      <c r="AE2213" t="s">
        <v>138</v>
      </c>
      <c r="AI2213">
        <v>5</v>
      </c>
      <c r="AV2213" t="s">
        <v>88</v>
      </c>
      <c r="AW2213">
        <v>3004</v>
      </c>
      <c r="AZ2213">
        <v>0</v>
      </c>
      <c r="BA2213">
        <v>7.94</v>
      </c>
    </row>
    <row r="2214" spans="1:53" hidden="1" x14ac:dyDescent="0.3">
      <c r="A2214" t="s">
        <v>623</v>
      </c>
      <c r="C2214" t="s">
        <v>251</v>
      </c>
      <c r="D2214" t="s">
        <v>81</v>
      </c>
      <c r="E2214">
        <v>5000000</v>
      </c>
      <c r="H2214">
        <v>9.6</v>
      </c>
      <c r="I2214" t="s">
        <v>56</v>
      </c>
      <c r="J2214">
        <v>9.6000000000000002E-4</v>
      </c>
      <c r="K2214" t="s">
        <v>57</v>
      </c>
      <c r="N2214" t="s">
        <v>624</v>
      </c>
      <c r="O2214">
        <v>3004</v>
      </c>
      <c r="P2214" t="s">
        <v>315</v>
      </c>
      <c r="S2214">
        <v>2</v>
      </c>
      <c r="T2214">
        <v>22</v>
      </c>
      <c r="U2214" t="s">
        <v>130</v>
      </c>
      <c r="V2214">
        <v>77</v>
      </c>
      <c r="W2214" t="s">
        <v>627</v>
      </c>
      <c r="X2214" t="s">
        <v>280</v>
      </c>
      <c r="Y2214">
        <v>240</v>
      </c>
      <c r="AA2214" t="s">
        <v>94</v>
      </c>
      <c r="AB2214">
        <v>7.97</v>
      </c>
      <c r="AC2214" t="s">
        <v>85</v>
      </c>
      <c r="AD2214" t="s">
        <v>232</v>
      </c>
      <c r="AE2214" t="s">
        <v>138</v>
      </c>
      <c r="AI2214">
        <v>5</v>
      </c>
      <c r="AV2214" t="s">
        <v>88</v>
      </c>
      <c r="AW2214">
        <v>3004</v>
      </c>
      <c r="AZ2214">
        <v>0</v>
      </c>
      <c r="BA2214">
        <v>7.97</v>
      </c>
    </row>
    <row r="2215" spans="1:53" hidden="1" x14ac:dyDescent="0.3">
      <c r="A2215" t="s">
        <v>623</v>
      </c>
      <c r="C2215" t="s">
        <v>251</v>
      </c>
      <c r="D2215" t="s">
        <v>81</v>
      </c>
      <c r="E2215">
        <v>5000000</v>
      </c>
      <c r="H2215">
        <v>9.6</v>
      </c>
      <c r="I2215" t="s">
        <v>56</v>
      </c>
      <c r="J2215">
        <v>9.6000000000000002E-4</v>
      </c>
      <c r="K2215" t="s">
        <v>57</v>
      </c>
      <c r="N2215" t="s">
        <v>628</v>
      </c>
      <c r="O2215">
        <v>3066</v>
      </c>
      <c r="P2215" t="s">
        <v>315</v>
      </c>
      <c r="S2215">
        <v>2</v>
      </c>
      <c r="T2215">
        <v>22</v>
      </c>
      <c r="U2215" t="s">
        <v>130</v>
      </c>
      <c r="V2215">
        <v>88</v>
      </c>
      <c r="W2215" t="s">
        <v>625</v>
      </c>
      <c r="X2215" t="s">
        <v>280</v>
      </c>
      <c r="Y2215">
        <v>120</v>
      </c>
      <c r="AB2215">
        <v>7.6</v>
      </c>
      <c r="AC2215" t="s">
        <v>85</v>
      </c>
      <c r="AD2215" t="s">
        <v>327</v>
      </c>
      <c r="AE2215" t="s">
        <v>138</v>
      </c>
      <c r="AI2215">
        <v>5</v>
      </c>
      <c r="AT2215" t="s">
        <v>221</v>
      </c>
      <c r="AV2215" t="s">
        <v>88</v>
      </c>
      <c r="AW2215">
        <v>3066</v>
      </c>
    </row>
    <row r="2216" spans="1:53" hidden="1" x14ac:dyDescent="0.3">
      <c r="A2216" t="s">
        <v>623</v>
      </c>
      <c r="C2216" t="s">
        <v>251</v>
      </c>
      <c r="D2216" t="s">
        <v>81</v>
      </c>
      <c r="E2216">
        <v>100000000</v>
      </c>
      <c r="H2216">
        <v>9.6</v>
      </c>
      <c r="I2216" t="s">
        <v>56</v>
      </c>
      <c r="J2216">
        <v>9.6000000000000002E-4</v>
      </c>
      <c r="K2216" t="s">
        <v>57</v>
      </c>
      <c r="N2216" t="s">
        <v>628</v>
      </c>
      <c r="O2216">
        <v>3066</v>
      </c>
      <c r="P2216" t="s">
        <v>315</v>
      </c>
      <c r="S2216">
        <v>2</v>
      </c>
      <c r="T2216">
        <v>22</v>
      </c>
      <c r="U2216" t="s">
        <v>130</v>
      </c>
      <c r="V2216">
        <v>88</v>
      </c>
      <c r="W2216" t="s">
        <v>625</v>
      </c>
      <c r="X2216" t="s">
        <v>280</v>
      </c>
      <c r="Y2216">
        <v>180</v>
      </c>
      <c r="AB2216">
        <v>7.34</v>
      </c>
      <c r="AC2216" t="s">
        <v>85</v>
      </c>
      <c r="AD2216" t="s">
        <v>629</v>
      </c>
      <c r="AE2216" t="s">
        <v>138</v>
      </c>
      <c r="AI2216">
        <v>5</v>
      </c>
      <c r="AT2216" t="s">
        <v>221</v>
      </c>
      <c r="AV2216" t="s">
        <v>88</v>
      </c>
      <c r="AW2216">
        <v>3066</v>
      </c>
    </row>
    <row r="2217" spans="1:53" hidden="1" x14ac:dyDescent="0.3">
      <c r="A2217" t="s">
        <v>623</v>
      </c>
      <c r="C2217" t="s">
        <v>251</v>
      </c>
      <c r="D2217" t="s">
        <v>81</v>
      </c>
      <c r="E2217">
        <v>100000000</v>
      </c>
      <c r="H2217">
        <v>9.6</v>
      </c>
      <c r="I2217" t="s">
        <v>56</v>
      </c>
      <c r="J2217">
        <v>9.6000000000000002E-4</v>
      </c>
      <c r="K2217" t="s">
        <v>57</v>
      </c>
      <c r="N2217" t="s">
        <v>628</v>
      </c>
      <c r="O2217">
        <v>3066</v>
      </c>
      <c r="P2217" t="s">
        <v>315</v>
      </c>
      <c r="S2217">
        <v>2</v>
      </c>
      <c r="T2217">
        <v>22</v>
      </c>
      <c r="U2217" t="s">
        <v>130</v>
      </c>
      <c r="V2217">
        <v>88</v>
      </c>
      <c r="W2217" t="s">
        <v>625</v>
      </c>
      <c r="X2217" t="s">
        <v>280</v>
      </c>
      <c r="Y2217">
        <v>240</v>
      </c>
      <c r="AB2217">
        <v>7.69</v>
      </c>
      <c r="AC2217" t="s">
        <v>85</v>
      </c>
      <c r="AD2217" t="s">
        <v>328</v>
      </c>
      <c r="AE2217" t="s">
        <v>138</v>
      </c>
      <c r="AI2217">
        <v>5</v>
      </c>
      <c r="AT2217" t="s">
        <v>221</v>
      </c>
      <c r="AV2217" t="s">
        <v>88</v>
      </c>
      <c r="AW2217">
        <v>3066</v>
      </c>
    </row>
    <row r="2218" spans="1:53" hidden="1" x14ac:dyDescent="0.3">
      <c r="A2218" t="s">
        <v>623</v>
      </c>
      <c r="C2218" t="s">
        <v>251</v>
      </c>
      <c r="D2218" t="s">
        <v>81</v>
      </c>
      <c r="E2218">
        <v>100000000</v>
      </c>
      <c r="H2218">
        <v>9.6</v>
      </c>
      <c r="I2218" t="s">
        <v>56</v>
      </c>
      <c r="J2218">
        <v>9.6000000000000002E-4</v>
      </c>
      <c r="K2218" t="s">
        <v>57</v>
      </c>
      <c r="N2218" t="s">
        <v>628</v>
      </c>
      <c r="O2218">
        <v>3066</v>
      </c>
      <c r="P2218" t="s">
        <v>315</v>
      </c>
      <c r="S2218">
        <v>2</v>
      </c>
      <c r="T2218">
        <v>22</v>
      </c>
      <c r="U2218" t="s">
        <v>130</v>
      </c>
      <c r="V2218">
        <v>88</v>
      </c>
      <c r="W2218" t="s">
        <v>627</v>
      </c>
      <c r="X2218" t="s">
        <v>280</v>
      </c>
      <c r="Y2218">
        <v>120</v>
      </c>
      <c r="AA2218" t="s">
        <v>94</v>
      </c>
      <c r="AB2218">
        <v>7.96</v>
      </c>
      <c r="AC2218" t="s">
        <v>85</v>
      </c>
      <c r="AD2218" t="s">
        <v>227</v>
      </c>
      <c r="AE2218" t="s">
        <v>138</v>
      </c>
      <c r="AI2218">
        <v>5</v>
      </c>
      <c r="AV2218" t="s">
        <v>88</v>
      </c>
      <c r="AW2218">
        <v>3066</v>
      </c>
      <c r="AZ2218">
        <v>0</v>
      </c>
      <c r="BA2218">
        <v>7.96</v>
      </c>
    </row>
    <row r="2219" spans="1:53" hidden="1" x14ac:dyDescent="0.3">
      <c r="A2219" t="s">
        <v>623</v>
      </c>
      <c r="C2219" t="s">
        <v>251</v>
      </c>
      <c r="D2219" t="s">
        <v>81</v>
      </c>
      <c r="E2219">
        <v>100000000</v>
      </c>
      <c r="H2219">
        <v>9.6</v>
      </c>
      <c r="I2219" t="s">
        <v>56</v>
      </c>
      <c r="J2219">
        <v>9.6000000000000002E-4</v>
      </c>
      <c r="K2219" t="s">
        <v>57</v>
      </c>
      <c r="N2219" t="s">
        <v>628</v>
      </c>
      <c r="O2219">
        <v>3066</v>
      </c>
      <c r="P2219" t="s">
        <v>315</v>
      </c>
      <c r="S2219">
        <v>2</v>
      </c>
      <c r="T2219">
        <v>22</v>
      </c>
      <c r="U2219" t="s">
        <v>130</v>
      </c>
      <c r="V2219">
        <v>88</v>
      </c>
      <c r="W2219" t="s">
        <v>627</v>
      </c>
      <c r="X2219" t="s">
        <v>280</v>
      </c>
      <c r="Y2219">
        <v>180</v>
      </c>
      <c r="AB2219">
        <v>7.27</v>
      </c>
      <c r="AC2219" t="s">
        <v>85</v>
      </c>
      <c r="AD2219" t="s">
        <v>440</v>
      </c>
      <c r="AE2219" t="s">
        <v>138</v>
      </c>
      <c r="AI2219">
        <v>5</v>
      </c>
      <c r="AV2219" t="s">
        <v>88</v>
      </c>
      <c r="AW2219">
        <v>3066</v>
      </c>
    </row>
    <row r="2220" spans="1:53" hidden="1" x14ac:dyDescent="0.3">
      <c r="A2220" t="s">
        <v>623</v>
      </c>
      <c r="C2220" t="s">
        <v>251</v>
      </c>
      <c r="D2220" t="s">
        <v>81</v>
      </c>
      <c r="E2220">
        <v>100000000</v>
      </c>
      <c r="H2220">
        <v>9.6</v>
      </c>
      <c r="I2220" t="s">
        <v>56</v>
      </c>
      <c r="J2220">
        <v>9.6000000000000002E-4</v>
      </c>
      <c r="K2220" t="s">
        <v>57</v>
      </c>
      <c r="N2220" t="s">
        <v>628</v>
      </c>
      <c r="O2220">
        <v>3066</v>
      </c>
      <c r="P2220" t="s">
        <v>315</v>
      </c>
      <c r="S2220">
        <v>2</v>
      </c>
      <c r="T2220">
        <v>22</v>
      </c>
      <c r="U2220" t="s">
        <v>130</v>
      </c>
      <c r="V2220">
        <v>88</v>
      </c>
      <c r="W2220" t="s">
        <v>627</v>
      </c>
      <c r="X2220" t="s">
        <v>280</v>
      </c>
      <c r="Y2220">
        <v>240</v>
      </c>
      <c r="AA2220" t="s">
        <v>94</v>
      </c>
      <c r="AB2220">
        <v>7.96</v>
      </c>
      <c r="AC2220" t="s">
        <v>85</v>
      </c>
      <c r="AD2220" t="s">
        <v>236</v>
      </c>
      <c r="AE2220" t="s">
        <v>138</v>
      </c>
      <c r="AI2220">
        <v>5</v>
      </c>
      <c r="AV2220" t="s">
        <v>88</v>
      </c>
      <c r="AW2220">
        <v>3066</v>
      </c>
      <c r="AZ2220">
        <v>0</v>
      </c>
      <c r="BA2220">
        <v>7.96</v>
      </c>
    </row>
    <row r="2221" spans="1:53" hidden="1" x14ac:dyDescent="0.3">
      <c r="A2221" t="s">
        <v>623</v>
      </c>
      <c r="C2221" t="s">
        <v>251</v>
      </c>
      <c r="D2221" t="s">
        <v>81</v>
      </c>
      <c r="E2221">
        <v>100000000</v>
      </c>
      <c r="H2221">
        <v>9.6</v>
      </c>
      <c r="I2221" t="s">
        <v>56</v>
      </c>
      <c r="J2221">
        <v>9.6000000000000002E-4</v>
      </c>
      <c r="K2221" t="s">
        <v>57</v>
      </c>
      <c r="N2221" t="s">
        <v>630</v>
      </c>
      <c r="O2221">
        <v>3240</v>
      </c>
      <c r="P2221" t="s">
        <v>315</v>
      </c>
      <c r="S2221">
        <v>2</v>
      </c>
      <c r="T2221">
        <v>22</v>
      </c>
      <c r="U2221" t="s">
        <v>130</v>
      </c>
      <c r="V2221">
        <v>78</v>
      </c>
      <c r="W2221" t="s">
        <v>631</v>
      </c>
      <c r="X2221" t="s">
        <v>280</v>
      </c>
      <c r="Y2221">
        <v>120</v>
      </c>
      <c r="AB2221">
        <v>0.67</v>
      </c>
      <c r="AC2221" t="s">
        <v>85</v>
      </c>
      <c r="AD2221" t="s">
        <v>314</v>
      </c>
      <c r="AE2221" t="s">
        <v>138</v>
      </c>
      <c r="AI2221">
        <v>5</v>
      </c>
      <c r="AT2221" t="s">
        <v>221</v>
      </c>
      <c r="AV2221" t="s">
        <v>88</v>
      </c>
      <c r="AW2221">
        <v>3240</v>
      </c>
    </row>
    <row r="2222" spans="1:53" hidden="1" x14ac:dyDescent="0.3">
      <c r="A2222" t="s">
        <v>623</v>
      </c>
      <c r="C2222" t="s">
        <v>251</v>
      </c>
      <c r="D2222" t="s">
        <v>81</v>
      </c>
      <c r="E2222">
        <v>10000000</v>
      </c>
      <c r="H2222">
        <v>9.6</v>
      </c>
      <c r="I2222" t="s">
        <v>56</v>
      </c>
      <c r="J2222">
        <v>9.6000000000000002E-4</v>
      </c>
      <c r="K2222" t="s">
        <v>57</v>
      </c>
      <c r="N2222" t="s">
        <v>630</v>
      </c>
      <c r="O2222">
        <v>3240</v>
      </c>
      <c r="P2222" t="s">
        <v>315</v>
      </c>
      <c r="S2222">
        <v>2</v>
      </c>
      <c r="T2222">
        <v>22</v>
      </c>
      <c r="U2222" t="s">
        <v>130</v>
      </c>
      <c r="V2222">
        <v>78</v>
      </c>
      <c r="W2222" t="s">
        <v>631</v>
      </c>
      <c r="X2222" t="s">
        <v>280</v>
      </c>
      <c r="Y2222">
        <v>180</v>
      </c>
      <c r="AB2222">
        <v>1.45</v>
      </c>
      <c r="AC2222" t="s">
        <v>85</v>
      </c>
      <c r="AD2222" t="s">
        <v>632</v>
      </c>
      <c r="AE2222" t="s">
        <v>138</v>
      </c>
      <c r="AI2222">
        <v>5</v>
      </c>
      <c r="AT2222" t="s">
        <v>221</v>
      </c>
      <c r="AV2222" t="s">
        <v>88</v>
      </c>
      <c r="AW2222">
        <v>3240</v>
      </c>
    </row>
    <row r="2223" spans="1:53" hidden="1" x14ac:dyDescent="0.3">
      <c r="A2223" t="s">
        <v>623</v>
      </c>
      <c r="C2223" t="s">
        <v>251</v>
      </c>
      <c r="D2223" t="s">
        <v>81</v>
      </c>
      <c r="E2223">
        <v>10000000</v>
      </c>
      <c r="H2223">
        <v>9.6</v>
      </c>
      <c r="I2223" t="s">
        <v>56</v>
      </c>
      <c r="J2223">
        <v>9.6000000000000002E-4</v>
      </c>
      <c r="K2223" t="s">
        <v>57</v>
      </c>
      <c r="N2223" t="s">
        <v>630</v>
      </c>
      <c r="O2223">
        <v>3240</v>
      </c>
      <c r="P2223" t="s">
        <v>315</v>
      </c>
      <c r="S2223">
        <v>2</v>
      </c>
      <c r="T2223">
        <v>22</v>
      </c>
      <c r="U2223" t="s">
        <v>130</v>
      </c>
      <c r="V2223">
        <v>78</v>
      </c>
      <c r="W2223" t="s">
        <v>631</v>
      </c>
      <c r="X2223" t="s">
        <v>280</v>
      </c>
      <c r="Y2223">
        <v>240</v>
      </c>
      <c r="AB2223">
        <v>2.86</v>
      </c>
      <c r="AC2223" t="s">
        <v>85</v>
      </c>
      <c r="AD2223" t="s">
        <v>633</v>
      </c>
      <c r="AE2223" t="s">
        <v>138</v>
      </c>
      <c r="AI2223">
        <v>5</v>
      </c>
      <c r="AT2223" t="s">
        <v>221</v>
      </c>
      <c r="AV2223" t="s">
        <v>88</v>
      </c>
      <c r="AW2223">
        <v>3240</v>
      </c>
    </row>
    <row r="2224" spans="1:53" hidden="1" x14ac:dyDescent="0.3">
      <c r="A2224" t="s">
        <v>623</v>
      </c>
      <c r="C2224" t="s">
        <v>251</v>
      </c>
      <c r="D2224" t="s">
        <v>81</v>
      </c>
      <c r="E2224">
        <v>10000000</v>
      </c>
      <c r="H2224">
        <v>9.6</v>
      </c>
      <c r="I2224" t="s">
        <v>56</v>
      </c>
      <c r="J2224">
        <v>9.6000000000000002E-4</v>
      </c>
      <c r="K2224" t="s">
        <v>57</v>
      </c>
      <c r="N2224" t="s">
        <v>630</v>
      </c>
      <c r="O2224">
        <v>3240</v>
      </c>
      <c r="P2224" t="s">
        <v>315</v>
      </c>
      <c r="S2224">
        <v>2</v>
      </c>
      <c r="T2224">
        <v>22</v>
      </c>
      <c r="U2224" t="s">
        <v>130</v>
      </c>
      <c r="V2224">
        <v>78</v>
      </c>
      <c r="W2224" t="s">
        <v>634</v>
      </c>
      <c r="X2224" t="s">
        <v>280</v>
      </c>
      <c r="Y2224">
        <v>120</v>
      </c>
      <c r="AA2224" t="s">
        <v>94</v>
      </c>
      <c r="AB2224">
        <v>7.64</v>
      </c>
      <c r="AC2224" t="s">
        <v>85</v>
      </c>
      <c r="AD2224" t="s">
        <v>236</v>
      </c>
      <c r="AE2224" t="s">
        <v>138</v>
      </c>
      <c r="AI2224">
        <v>5</v>
      </c>
      <c r="AV2224" t="s">
        <v>88</v>
      </c>
      <c r="AW2224">
        <v>3240</v>
      </c>
      <c r="AZ2224">
        <v>0</v>
      </c>
      <c r="BA2224">
        <v>7.64</v>
      </c>
    </row>
    <row r="2225" spans="1:53" hidden="1" x14ac:dyDescent="0.3">
      <c r="A2225" t="s">
        <v>623</v>
      </c>
      <c r="C2225" t="s">
        <v>251</v>
      </c>
      <c r="D2225" t="s">
        <v>81</v>
      </c>
      <c r="E2225">
        <v>10000000</v>
      </c>
      <c r="H2225">
        <v>9.6</v>
      </c>
      <c r="I2225" t="s">
        <v>56</v>
      </c>
      <c r="J2225">
        <v>9.6000000000000002E-4</v>
      </c>
      <c r="K2225" t="s">
        <v>57</v>
      </c>
      <c r="N2225" t="s">
        <v>630</v>
      </c>
      <c r="O2225">
        <v>3240</v>
      </c>
      <c r="P2225" t="s">
        <v>315</v>
      </c>
      <c r="S2225">
        <v>2</v>
      </c>
      <c r="T2225">
        <v>22</v>
      </c>
      <c r="U2225" t="s">
        <v>130</v>
      </c>
      <c r="V2225">
        <v>78</v>
      </c>
      <c r="W2225" t="s">
        <v>634</v>
      </c>
      <c r="X2225" t="s">
        <v>280</v>
      </c>
      <c r="Y2225">
        <v>180</v>
      </c>
      <c r="AA2225" t="s">
        <v>94</v>
      </c>
      <c r="AB2225">
        <v>7.68</v>
      </c>
      <c r="AC2225" t="s">
        <v>85</v>
      </c>
      <c r="AD2225" t="s">
        <v>227</v>
      </c>
      <c r="AE2225" t="s">
        <v>138</v>
      </c>
      <c r="AI2225">
        <v>5</v>
      </c>
      <c r="AV2225" t="s">
        <v>88</v>
      </c>
      <c r="AW2225">
        <v>3240</v>
      </c>
      <c r="AZ2225">
        <v>0</v>
      </c>
      <c r="BA2225">
        <v>7.68</v>
      </c>
    </row>
    <row r="2226" spans="1:53" hidden="1" x14ac:dyDescent="0.3">
      <c r="A2226" t="s">
        <v>623</v>
      </c>
      <c r="C2226" t="s">
        <v>251</v>
      </c>
      <c r="D2226" t="s">
        <v>81</v>
      </c>
      <c r="E2226">
        <v>10000000</v>
      </c>
      <c r="H2226">
        <v>9.6</v>
      </c>
      <c r="I2226" t="s">
        <v>56</v>
      </c>
      <c r="J2226">
        <v>9.6000000000000002E-4</v>
      </c>
      <c r="K2226" t="s">
        <v>57</v>
      </c>
      <c r="N2226" t="s">
        <v>630</v>
      </c>
      <c r="O2226">
        <v>3240</v>
      </c>
      <c r="P2226" t="s">
        <v>315</v>
      </c>
      <c r="S2226">
        <v>2</v>
      </c>
      <c r="T2226">
        <v>22</v>
      </c>
      <c r="U2226" t="s">
        <v>130</v>
      </c>
      <c r="V2226">
        <v>78</v>
      </c>
      <c r="W2226" t="s">
        <v>634</v>
      </c>
      <c r="X2226" t="s">
        <v>280</v>
      </c>
      <c r="Y2226">
        <v>240</v>
      </c>
      <c r="AA2226" t="s">
        <v>94</v>
      </c>
      <c r="AB2226">
        <v>7.59</v>
      </c>
      <c r="AC2226" t="s">
        <v>85</v>
      </c>
      <c r="AD2226" t="s">
        <v>236</v>
      </c>
      <c r="AE2226" t="s">
        <v>138</v>
      </c>
      <c r="AI2226">
        <v>5</v>
      </c>
      <c r="AV2226" t="s">
        <v>88</v>
      </c>
      <c r="AW2226">
        <v>3240</v>
      </c>
      <c r="AZ2226">
        <v>0</v>
      </c>
      <c r="BA2226">
        <v>7.59</v>
      </c>
    </row>
    <row r="2227" spans="1:53" hidden="1" x14ac:dyDescent="0.3">
      <c r="A2227" t="s">
        <v>623</v>
      </c>
      <c r="C2227" t="s">
        <v>251</v>
      </c>
      <c r="D2227" t="s">
        <v>81</v>
      </c>
      <c r="E2227">
        <v>10000000</v>
      </c>
      <c r="H2227">
        <v>9.6</v>
      </c>
      <c r="I2227" t="s">
        <v>56</v>
      </c>
      <c r="J2227">
        <v>9.6000000000000002E-4</v>
      </c>
      <c r="K2227" t="s">
        <v>57</v>
      </c>
      <c r="N2227" t="s">
        <v>635</v>
      </c>
      <c r="O2227">
        <v>3089</v>
      </c>
      <c r="P2227" t="s">
        <v>315</v>
      </c>
      <c r="S2227">
        <v>2</v>
      </c>
      <c r="T2227">
        <v>22</v>
      </c>
      <c r="U2227" t="s">
        <v>334</v>
      </c>
      <c r="V2227">
        <v>76</v>
      </c>
      <c r="W2227" t="s">
        <v>631</v>
      </c>
      <c r="X2227" t="s">
        <v>280</v>
      </c>
      <c r="Y2227">
        <v>120</v>
      </c>
      <c r="AB2227">
        <v>0.59</v>
      </c>
      <c r="AC2227" t="s">
        <v>85</v>
      </c>
      <c r="AD2227" t="s">
        <v>503</v>
      </c>
      <c r="AE2227" t="s">
        <v>138</v>
      </c>
      <c r="AI2227">
        <v>5</v>
      </c>
      <c r="AT2227" t="s">
        <v>221</v>
      </c>
      <c r="AV2227" t="s">
        <v>88</v>
      </c>
      <c r="AW2227">
        <v>3089</v>
      </c>
    </row>
    <row r="2228" spans="1:53" hidden="1" x14ac:dyDescent="0.3">
      <c r="A2228" t="s">
        <v>623</v>
      </c>
      <c r="C2228" t="s">
        <v>251</v>
      </c>
      <c r="D2228" t="s">
        <v>81</v>
      </c>
      <c r="E2228">
        <v>10000000</v>
      </c>
      <c r="H2228">
        <v>9.6</v>
      </c>
      <c r="I2228" t="s">
        <v>56</v>
      </c>
      <c r="J2228">
        <v>9.6000000000000002E-4</v>
      </c>
      <c r="K2228" t="s">
        <v>57</v>
      </c>
      <c r="N2228" t="s">
        <v>635</v>
      </c>
      <c r="O2228">
        <v>3089</v>
      </c>
      <c r="P2228" t="s">
        <v>315</v>
      </c>
      <c r="S2228">
        <v>2</v>
      </c>
      <c r="T2228">
        <v>22</v>
      </c>
      <c r="U2228" t="s">
        <v>334</v>
      </c>
      <c r="V2228">
        <v>76</v>
      </c>
      <c r="W2228" t="s">
        <v>631</v>
      </c>
      <c r="X2228" t="s">
        <v>280</v>
      </c>
      <c r="Y2228">
        <v>180</v>
      </c>
      <c r="AB2228">
        <v>1.88</v>
      </c>
      <c r="AC2228" t="s">
        <v>85</v>
      </c>
      <c r="AD2228" t="s">
        <v>440</v>
      </c>
      <c r="AE2228" t="s">
        <v>138</v>
      </c>
      <c r="AI2228">
        <v>5</v>
      </c>
      <c r="AT2228" t="s">
        <v>221</v>
      </c>
      <c r="AV2228" t="s">
        <v>88</v>
      </c>
      <c r="AW2228">
        <v>3089</v>
      </c>
    </row>
    <row r="2229" spans="1:53" hidden="1" x14ac:dyDescent="0.3">
      <c r="A2229" t="s">
        <v>623</v>
      </c>
      <c r="C2229" t="s">
        <v>251</v>
      </c>
      <c r="D2229" t="s">
        <v>81</v>
      </c>
      <c r="E2229">
        <v>10000000</v>
      </c>
      <c r="H2229">
        <v>9.6</v>
      </c>
      <c r="I2229" t="s">
        <v>56</v>
      </c>
      <c r="J2229">
        <v>9.6000000000000002E-4</v>
      </c>
      <c r="K2229" t="s">
        <v>57</v>
      </c>
      <c r="N2229" t="s">
        <v>635</v>
      </c>
      <c r="O2229">
        <v>3089</v>
      </c>
      <c r="P2229" t="s">
        <v>315</v>
      </c>
      <c r="S2229">
        <v>2</v>
      </c>
      <c r="T2229">
        <v>22</v>
      </c>
      <c r="U2229" t="s">
        <v>334</v>
      </c>
      <c r="V2229">
        <v>76</v>
      </c>
      <c r="W2229" t="s">
        <v>631</v>
      </c>
      <c r="X2229" t="s">
        <v>280</v>
      </c>
      <c r="Y2229">
        <v>240</v>
      </c>
      <c r="AB2229">
        <v>2.93</v>
      </c>
      <c r="AC2229" t="s">
        <v>85</v>
      </c>
      <c r="AD2229" t="s">
        <v>636</v>
      </c>
      <c r="AE2229" t="s">
        <v>138</v>
      </c>
      <c r="AI2229">
        <v>5</v>
      </c>
      <c r="AT2229" t="s">
        <v>221</v>
      </c>
      <c r="AV2229" t="s">
        <v>88</v>
      </c>
      <c r="AW2229">
        <v>3089</v>
      </c>
    </row>
    <row r="2230" spans="1:53" hidden="1" x14ac:dyDescent="0.3">
      <c r="A2230" t="s">
        <v>623</v>
      </c>
      <c r="C2230" t="s">
        <v>251</v>
      </c>
      <c r="D2230" t="s">
        <v>81</v>
      </c>
      <c r="E2230">
        <v>10000000</v>
      </c>
      <c r="H2230">
        <v>9.6</v>
      </c>
      <c r="I2230" t="s">
        <v>56</v>
      </c>
      <c r="J2230">
        <v>9.6000000000000002E-4</v>
      </c>
      <c r="K2230" t="s">
        <v>57</v>
      </c>
      <c r="N2230" t="s">
        <v>635</v>
      </c>
      <c r="O2230">
        <v>3089</v>
      </c>
      <c r="P2230" t="s">
        <v>315</v>
      </c>
      <c r="S2230">
        <v>2</v>
      </c>
      <c r="T2230">
        <v>22</v>
      </c>
      <c r="U2230" t="s">
        <v>334</v>
      </c>
      <c r="V2230">
        <v>76</v>
      </c>
      <c r="W2230" t="s">
        <v>634</v>
      </c>
      <c r="X2230" t="s">
        <v>280</v>
      </c>
      <c r="Y2230">
        <v>120</v>
      </c>
      <c r="AA2230" t="s">
        <v>94</v>
      </c>
      <c r="AB2230">
        <v>7.73</v>
      </c>
      <c r="AC2230" t="s">
        <v>85</v>
      </c>
      <c r="AD2230" t="s">
        <v>227</v>
      </c>
      <c r="AE2230" t="s">
        <v>138</v>
      </c>
      <c r="AI2230">
        <v>5</v>
      </c>
      <c r="AV2230" t="s">
        <v>88</v>
      </c>
      <c r="AW2230">
        <v>3089</v>
      </c>
      <c r="AZ2230">
        <v>0</v>
      </c>
      <c r="BA2230">
        <v>7.73</v>
      </c>
    </row>
    <row r="2231" spans="1:53" hidden="1" x14ac:dyDescent="0.3">
      <c r="A2231" t="s">
        <v>623</v>
      </c>
      <c r="C2231" t="s">
        <v>251</v>
      </c>
      <c r="D2231" t="s">
        <v>81</v>
      </c>
      <c r="E2231">
        <v>10000000</v>
      </c>
      <c r="H2231">
        <v>9.6</v>
      </c>
      <c r="I2231" t="s">
        <v>56</v>
      </c>
      <c r="J2231">
        <v>9.6000000000000002E-4</v>
      </c>
      <c r="K2231" t="s">
        <v>57</v>
      </c>
      <c r="N2231" t="s">
        <v>635</v>
      </c>
      <c r="O2231">
        <v>3089</v>
      </c>
      <c r="P2231" t="s">
        <v>315</v>
      </c>
      <c r="S2231">
        <v>2</v>
      </c>
      <c r="T2231">
        <v>22</v>
      </c>
      <c r="U2231" t="s">
        <v>334</v>
      </c>
      <c r="V2231">
        <v>76</v>
      </c>
      <c r="W2231" t="s">
        <v>634</v>
      </c>
      <c r="X2231" t="s">
        <v>280</v>
      </c>
      <c r="Y2231">
        <v>180</v>
      </c>
      <c r="AA2231" t="s">
        <v>94</v>
      </c>
      <c r="AB2231">
        <v>7.57</v>
      </c>
      <c r="AC2231" t="s">
        <v>85</v>
      </c>
      <c r="AD2231" t="s">
        <v>240</v>
      </c>
      <c r="AE2231" t="s">
        <v>138</v>
      </c>
      <c r="AI2231">
        <v>5</v>
      </c>
      <c r="AV2231" t="s">
        <v>88</v>
      </c>
      <c r="AW2231">
        <v>3089</v>
      </c>
      <c r="AZ2231">
        <v>0</v>
      </c>
      <c r="BA2231">
        <v>7.57</v>
      </c>
    </row>
    <row r="2232" spans="1:53" hidden="1" x14ac:dyDescent="0.3">
      <c r="A2232" t="s">
        <v>623</v>
      </c>
      <c r="C2232" t="s">
        <v>251</v>
      </c>
      <c r="D2232" t="s">
        <v>81</v>
      </c>
      <c r="E2232">
        <v>10000000</v>
      </c>
      <c r="H2232">
        <v>9.6</v>
      </c>
      <c r="I2232" t="s">
        <v>56</v>
      </c>
      <c r="J2232">
        <v>9.6000000000000002E-4</v>
      </c>
      <c r="K2232" t="s">
        <v>57</v>
      </c>
      <c r="N2232" t="s">
        <v>635</v>
      </c>
      <c r="O2232">
        <v>3089</v>
      </c>
      <c r="P2232" t="s">
        <v>315</v>
      </c>
      <c r="S2232">
        <v>2</v>
      </c>
      <c r="T2232">
        <v>22</v>
      </c>
      <c r="U2232" t="s">
        <v>334</v>
      </c>
      <c r="V2232">
        <v>76</v>
      </c>
      <c r="W2232" t="s">
        <v>634</v>
      </c>
      <c r="X2232" t="s">
        <v>280</v>
      </c>
      <c r="Y2232">
        <v>240</v>
      </c>
      <c r="AA2232" t="s">
        <v>94</v>
      </c>
      <c r="AB2232">
        <v>7.77</v>
      </c>
      <c r="AC2232" t="s">
        <v>85</v>
      </c>
      <c r="AD2232" t="s">
        <v>235</v>
      </c>
      <c r="AE2232" t="s">
        <v>138</v>
      </c>
      <c r="AI2232">
        <v>5</v>
      </c>
      <c r="AV2232" t="s">
        <v>88</v>
      </c>
      <c r="AW2232">
        <v>3089</v>
      </c>
      <c r="AZ2232">
        <v>0</v>
      </c>
      <c r="BA2232">
        <v>7.77</v>
      </c>
    </row>
    <row r="2233" spans="1:53" hidden="1" x14ac:dyDescent="0.3">
      <c r="A2233" t="s">
        <v>623</v>
      </c>
      <c r="C2233" t="s">
        <v>251</v>
      </c>
      <c r="D2233" t="s">
        <v>81</v>
      </c>
      <c r="E2233">
        <v>10000000</v>
      </c>
      <c r="H2233">
        <v>9.6</v>
      </c>
      <c r="I2233" t="s">
        <v>56</v>
      </c>
      <c r="J2233">
        <v>9.6000000000000002E-4</v>
      </c>
      <c r="K2233" t="s">
        <v>57</v>
      </c>
      <c r="N2233" t="s">
        <v>637</v>
      </c>
      <c r="O2233">
        <v>3108</v>
      </c>
      <c r="P2233" t="s">
        <v>315</v>
      </c>
      <c r="S2233">
        <v>2</v>
      </c>
      <c r="T2233">
        <v>22</v>
      </c>
      <c r="U2233" t="s">
        <v>130</v>
      </c>
      <c r="V2233">
        <v>86</v>
      </c>
      <c r="W2233" t="s">
        <v>631</v>
      </c>
      <c r="X2233" t="s">
        <v>280</v>
      </c>
      <c r="Y2233">
        <v>120</v>
      </c>
      <c r="AB2233">
        <v>0.84</v>
      </c>
      <c r="AC2233" t="s">
        <v>85</v>
      </c>
      <c r="AD2233" t="s">
        <v>553</v>
      </c>
      <c r="AE2233" t="s">
        <v>138</v>
      </c>
      <c r="AI2233">
        <v>5</v>
      </c>
      <c r="AT2233" t="s">
        <v>221</v>
      </c>
      <c r="AV2233" t="s">
        <v>88</v>
      </c>
      <c r="AW2233">
        <v>3108</v>
      </c>
    </row>
    <row r="2234" spans="1:53" hidden="1" x14ac:dyDescent="0.3">
      <c r="A2234" t="s">
        <v>623</v>
      </c>
      <c r="C2234" t="s">
        <v>251</v>
      </c>
      <c r="D2234" t="s">
        <v>81</v>
      </c>
      <c r="E2234">
        <v>10000000</v>
      </c>
      <c r="H2234">
        <v>9.6</v>
      </c>
      <c r="I2234" t="s">
        <v>56</v>
      </c>
      <c r="J2234">
        <v>9.6000000000000002E-4</v>
      </c>
      <c r="K2234" t="s">
        <v>57</v>
      </c>
      <c r="N2234" t="s">
        <v>637</v>
      </c>
      <c r="O2234">
        <v>3108</v>
      </c>
      <c r="P2234" t="s">
        <v>315</v>
      </c>
      <c r="S2234">
        <v>2</v>
      </c>
      <c r="T2234">
        <v>22</v>
      </c>
      <c r="U2234" t="s">
        <v>130</v>
      </c>
      <c r="V2234">
        <v>86</v>
      </c>
      <c r="W2234" t="s">
        <v>631</v>
      </c>
      <c r="X2234" t="s">
        <v>280</v>
      </c>
      <c r="Y2234">
        <v>180</v>
      </c>
      <c r="AB2234">
        <v>2.2999999999999901</v>
      </c>
      <c r="AC2234" t="s">
        <v>85</v>
      </c>
      <c r="AD2234" t="s">
        <v>638</v>
      </c>
      <c r="AE2234" t="s">
        <v>138</v>
      </c>
      <c r="AI2234">
        <v>5</v>
      </c>
      <c r="AT2234" t="s">
        <v>221</v>
      </c>
      <c r="AV2234" t="s">
        <v>88</v>
      </c>
      <c r="AW2234">
        <v>3108</v>
      </c>
    </row>
    <row r="2235" spans="1:53" hidden="1" x14ac:dyDescent="0.3">
      <c r="A2235" t="s">
        <v>623</v>
      </c>
      <c r="C2235" t="s">
        <v>251</v>
      </c>
      <c r="D2235" t="s">
        <v>81</v>
      </c>
      <c r="E2235">
        <v>10000000</v>
      </c>
      <c r="H2235">
        <v>9.6</v>
      </c>
      <c r="I2235" t="s">
        <v>56</v>
      </c>
      <c r="J2235">
        <v>9.6000000000000002E-4</v>
      </c>
      <c r="K2235" t="s">
        <v>57</v>
      </c>
      <c r="N2235" t="s">
        <v>637</v>
      </c>
      <c r="O2235">
        <v>3108</v>
      </c>
      <c r="P2235" t="s">
        <v>315</v>
      </c>
      <c r="S2235">
        <v>2</v>
      </c>
      <c r="T2235">
        <v>22</v>
      </c>
      <c r="U2235" t="s">
        <v>130</v>
      </c>
      <c r="V2235">
        <v>86</v>
      </c>
      <c r="W2235" t="s">
        <v>631</v>
      </c>
      <c r="X2235" t="s">
        <v>280</v>
      </c>
      <c r="Y2235">
        <v>240</v>
      </c>
      <c r="AB2235">
        <v>3.68</v>
      </c>
      <c r="AC2235" t="s">
        <v>85</v>
      </c>
      <c r="AD2235" t="s">
        <v>639</v>
      </c>
      <c r="AE2235" t="s">
        <v>138</v>
      </c>
      <c r="AI2235">
        <v>5</v>
      </c>
      <c r="AT2235" t="s">
        <v>221</v>
      </c>
      <c r="AV2235" t="s">
        <v>88</v>
      </c>
      <c r="AW2235">
        <v>3108</v>
      </c>
    </row>
    <row r="2236" spans="1:53" hidden="1" x14ac:dyDescent="0.3">
      <c r="A2236" t="s">
        <v>623</v>
      </c>
      <c r="C2236" t="s">
        <v>251</v>
      </c>
      <c r="D2236" t="s">
        <v>81</v>
      </c>
      <c r="E2236">
        <v>10000000</v>
      </c>
      <c r="H2236">
        <v>9.6</v>
      </c>
      <c r="I2236" t="s">
        <v>56</v>
      </c>
      <c r="J2236">
        <v>9.6000000000000002E-4</v>
      </c>
      <c r="K2236" t="s">
        <v>57</v>
      </c>
      <c r="N2236" t="s">
        <v>637</v>
      </c>
      <c r="O2236">
        <v>3108</v>
      </c>
      <c r="P2236" t="s">
        <v>315</v>
      </c>
      <c r="S2236">
        <v>2</v>
      </c>
      <c r="T2236">
        <v>22</v>
      </c>
      <c r="U2236" t="s">
        <v>130</v>
      </c>
      <c r="V2236">
        <v>86</v>
      </c>
      <c r="W2236" t="s">
        <v>634</v>
      </c>
      <c r="X2236" t="s">
        <v>280</v>
      </c>
      <c r="Y2236">
        <v>120</v>
      </c>
      <c r="AA2236" t="s">
        <v>94</v>
      </c>
      <c r="AB2236">
        <v>7.51</v>
      </c>
      <c r="AC2236" t="s">
        <v>85</v>
      </c>
      <c r="AD2236" t="s">
        <v>227</v>
      </c>
      <c r="AE2236" t="s">
        <v>138</v>
      </c>
      <c r="AI2236">
        <v>5</v>
      </c>
      <c r="AV2236" t="s">
        <v>88</v>
      </c>
      <c r="AW2236">
        <v>3108</v>
      </c>
      <c r="AZ2236">
        <v>0</v>
      </c>
      <c r="BA2236">
        <v>7.51</v>
      </c>
    </row>
    <row r="2237" spans="1:53" hidden="1" x14ac:dyDescent="0.3">
      <c r="A2237" t="s">
        <v>623</v>
      </c>
      <c r="C2237" t="s">
        <v>251</v>
      </c>
      <c r="D2237" t="s">
        <v>81</v>
      </c>
      <c r="E2237">
        <v>10000000</v>
      </c>
      <c r="H2237">
        <v>9.6</v>
      </c>
      <c r="I2237" t="s">
        <v>56</v>
      </c>
      <c r="J2237">
        <v>9.6000000000000002E-4</v>
      </c>
      <c r="K2237" t="s">
        <v>57</v>
      </c>
      <c r="N2237" t="s">
        <v>637</v>
      </c>
      <c r="O2237">
        <v>3108</v>
      </c>
      <c r="P2237" t="s">
        <v>315</v>
      </c>
      <c r="S2237">
        <v>2</v>
      </c>
      <c r="T2237">
        <v>22</v>
      </c>
      <c r="U2237" t="s">
        <v>130</v>
      </c>
      <c r="V2237">
        <v>86</v>
      </c>
      <c r="W2237" t="s">
        <v>634</v>
      </c>
      <c r="X2237" t="s">
        <v>280</v>
      </c>
      <c r="Y2237">
        <v>180</v>
      </c>
      <c r="AA2237" t="s">
        <v>94</v>
      </c>
      <c r="AB2237">
        <v>7.58</v>
      </c>
      <c r="AC2237" t="s">
        <v>85</v>
      </c>
      <c r="AD2237" t="s">
        <v>236</v>
      </c>
      <c r="AE2237" t="s">
        <v>138</v>
      </c>
      <c r="AI2237">
        <v>5</v>
      </c>
      <c r="AV2237" t="s">
        <v>88</v>
      </c>
      <c r="AW2237">
        <v>3108</v>
      </c>
      <c r="AZ2237">
        <v>0</v>
      </c>
      <c r="BA2237">
        <v>7.58</v>
      </c>
    </row>
    <row r="2238" spans="1:53" hidden="1" x14ac:dyDescent="0.3">
      <c r="A2238" t="s">
        <v>623</v>
      </c>
      <c r="C2238" t="s">
        <v>251</v>
      </c>
      <c r="D2238" t="s">
        <v>81</v>
      </c>
      <c r="E2238">
        <v>10000000</v>
      </c>
      <c r="H2238">
        <v>9.6</v>
      </c>
      <c r="I2238" t="s">
        <v>56</v>
      </c>
      <c r="J2238">
        <v>9.6000000000000002E-4</v>
      </c>
      <c r="K2238" t="s">
        <v>57</v>
      </c>
      <c r="N2238" t="s">
        <v>637</v>
      </c>
      <c r="O2238">
        <v>3108</v>
      </c>
      <c r="P2238" t="s">
        <v>315</v>
      </c>
      <c r="S2238">
        <v>2</v>
      </c>
      <c r="T2238">
        <v>22</v>
      </c>
      <c r="U2238" t="s">
        <v>130</v>
      </c>
      <c r="V2238">
        <v>86</v>
      </c>
      <c r="W2238" t="s">
        <v>634</v>
      </c>
      <c r="X2238" t="s">
        <v>280</v>
      </c>
      <c r="Y2238">
        <v>240</v>
      </c>
      <c r="AA2238" t="s">
        <v>94</v>
      </c>
      <c r="AB2238">
        <v>7.57</v>
      </c>
      <c r="AC2238" t="s">
        <v>85</v>
      </c>
      <c r="AD2238" t="s">
        <v>236</v>
      </c>
      <c r="AE2238" t="s">
        <v>138</v>
      </c>
      <c r="AI2238">
        <v>5</v>
      </c>
      <c r="AV2238" t="s">
        <v>88</v>
      </c>
      <c r="AW2238">
        <v>3108</v>
      </c>
      <c r="AZ2238">
        <v>0</v>
      </c>
      <c r="BA2238">
        <v>7.57</v>
      </c>
    </row>
    <row r="2239" spans="1:53" hidden="1" x14ac:dyDescent="0.3">
      <c r="A2239" t="s">
        <v>623</v>
      </c>
      <c r="C2239" t="s">
        <v>251</v>
      </c>
      <c r="D2239" t="s">
        <v>81</v>
      </c>
      <c r="E2239">
        <v>10000000</v>
      </c>
      <c r="H2239">
        <v>9.6</v>
      </c>
      <c r="I2239" t="s">
        <v>56</v>
      </c>
      <c r="J2239">
        <v>9.6000000000000002E-4</v>
      </c>
      <c r="K2239" t="s">
        <v>57</v>
      </c>
      <c r="N2239" t="s">
        <v>640</v>
      </c>
      <c r="O2239">
        <v>3170</v>
      </c>
      <c r="P2239" t="s">
        <v>315</v>
      </c>
      <c r="S2239">
        <v>2</v>
      </c>
      <c r="T2239">
        <v>22</v>
      </c>
      <c r="U2239" t="s">
        <v>334</v>
      </c>
      <c r="V2239">
        <v>86</v>
      </c>
      <c r="W2239" t="s">
        <v>631</v>
      </c>
      <c r="X2239" t="s">
        <v>280</v>
      </c>
      <c r="Y2239">
        <v>120</v>
      </c>
      <c r="AB2239">
        <v>0.69</v>
      </c>
      <c r="AC2239" t="s">
        <v>85</v>
      </c>
      <c r="AD2239" t="s">
        <v>490</v>
      </c>
      <c r="AE2239" t="s">
        <v>138</v>
      </c>
      <c r="AI2239">
        <v>5</v>
      </c>
      <c r="AT2239" t="s">
        <v>221</v>
      </c>
      <c r="AV2239" t="s">
        <v>88</v>
      </c>
      <c r="AW2239">
        <v>3170</v>
      </c>
    </row>
    <row r="2240" spans="1:53" hidden="1" x14ac:dyDescent="0.3">
      <c r="A2240" t="s">
        <v>623</v>
      </c>
      <c r="C2240" t="s">
        <v>251</v>
      </c>
      <c r="D2240" t="s">
        <v>81</v>
      </c>
      <c r="E2240">
        <v>10000000</v>
      </c>
      <c r="H2240">
        <v>9.6</v>
      </c>
      <c r="I2240" t="s">
        <v>56</v>
      </c>
      <c r="J2240">
        <v>9.6000000000000002E-4</v>
      </c>
      <c r="K2240" t="s">
        <v>57</v>
      </c>
      <c r="N2240" t="s">
        <v>640</v>
      </c>
      <c r="O2240">
        <v>3170</v>
      </c>
      <c r="P2240" t="s">
        <v>315</v>
      </c>
      <c r="S2240">
        <v>2</v>
      </c>
      <c r="T2240">
        <v>22</v>
      </c>
      <c r="U2240" t="s">
        <v>334</v>
      </c>
      <c r="V2240">
        <v>86</v>
      </c>
      <c r="W2240" t="s">
        <v>631</v>
      </c>
      <c r="X2240" t="s">
        <v>280</v>
      </c>
      <c r="Y2240">
        <v>180</v>
      </c>
      <c r="AB2240">
        <v>1.38</v>
      </c>
      <c r="AC2240" t="s">
        <v>85</v>
      </c>
      <c r="AD2240" t="s">
        <v>493</v>
      </c>
      <c r="AE2240" t="s">
        <v>138</v>
      </c>
      <c r="AI2240">
        <v>5</v>
      </c>
      <c r="AT2240" t="s">
        <v>221</v>
      </c>
      <c r="AV2240" t="s">
        <v>88</v>
      </c>
      <c r="AW2240">
        <v>3170</v>
      </c>
    </row>
    <row r="2241" spans="1:53" hidden="1" x14ac:dyDescent="0.3">
      <c r="A2241" t="s">
        <v>623</v>
      </c>
      <c r="C2241" t="s">
        <v>251</v>
      </c>
      <c r="D2241" t="s">
        <v>81</v>
      </c>
      <c r="E2241">
        <v>10000000</v>
      </c>
      <c r="H2241">
        <v>9.6</v>
      </c>
      <c r="I2241" t="s">
        <v>56</v>
      </c>
      <c r="J2241">
        <v>9.6000000000000002E-4</v>
      </c>
      <c r="K2241" t="s">
        <v>57</v>
      </c>
      <c r="N2241" t="s">
        <v>640</v>
      </c>
      <c r="O2241">
        <v>3170</v>
      </c>
      <c r="P2241" t="s">
        <v>315</v>
      </c>
      <c r="S2241">
        <v>2</v>
      </c>
      <c r="T2241">
        <v>22</v>
      </c>
      <c r="U2241" t="s">
        <v>334</v>
      </c>
      <c r="V2241">
        <v>86</v>
      </c>
      <c r="W2241" t="s">
        <v>631</v>
      </c>
      <c r="X2241" t="s">
        <v>280</v>
      </c>
      <c r="Y2241">
        <v>240</v>
      </c>
      <c r="AB2241">
        <v>3.72</v>
      </c>
      <c r="AC2241" t="s">
        <v>85</v>
      </c>
      <c r="AD2241" t="s">
        <v>432</v>
      </c>
      <c r="AE2241" t="s">
        <v>138</v>
      </c>
      <c r="AI2241">
        <v>5</v>
      </c>
      <c r="AT2241" t="s">
        <v>221</v>
      </c>
      <c r="AV2241" t="s">
        <v>88</v>
      </c>
      <c r="AW2241">
        <v>3170</v>
      </c>
    </row>
    <row r="2242" spans="1:53" hidden="1" x14ac:dyDescent="0.3">
      <c r="A2242" t="s">
        <v>623</v>
      </c>
      <c r="C2242" t="s">
        <v>251</v>
      </c>
      <c r="D2242" t="s">
        <v>81</v>
      </c>
      <c r="E2242">
        <v>10000000</v>
      </c>
      <c r="H2242">
        <v>9.6</v>
      </c>
      <c r="I2242" t="s">
        <v>56</v>
      </c>
      <c r="J2242">
        <v>9.6000000000000002E-4</v>
      </c>
      <c r="K2242" t="s">
        <v>57</v>
      </c>
      <c r="N2242" t="s">
        <v>640</v>
      </c>
      <c r="O2242">
        <v>3170</v>
      </c>
      <c r="P2242" t="s">
        <v>315</v>
      </c>
      <c r="S2242">
        <v>2</v>
      </c>
      <c r="T2242">
        <v>22</v>
      </c>
      <c r="U2242" t="s">
        <v>334</v>
      </c>
      <c r="V2242">
        <v>86</v>
      </c>
      <c r="W2242" t="s">
        <v>634</v>
      </c>
      <c r="X2242" t="s">
        <v>280</v>
      </c>
      <c r="Y2242">
        <v>120</v>
      </c>
      <c r="AA2242" t="s">
        <v>94</v>
      </c>
      <c r="AB2242">
        <v>7.68</v>
      </c>
      <c r="AC2242" t="s">
        <v>85</v>
      </c>
      <c r="AD2242" t="s">
        <v>236</v>
      </c>
      <c r="AE2242" t="s">
        <v>138</v>
      </c>
      <c r="AI2242">
        <v>5</v>
      </c>
      <c r="AV2242" t="s">
        <v>88</v>
      </c>
      <c r="AW2242">
        <v>3170</v>
      </c>
      <c r="AZ2242">
        <v>0</v>
      </c>
      <c r="BA2242">
        <v>7.68</v>
      </c>
    </row>
    <row r="2243" spans="1:53" hidden="1" x14ac:dyDescent="0.3">
      <c r="A2243" t="s">
        <v>623</v>
      </c>
      <c r="C2243" t="s">
        <v>251</v>
      </c>
      <c r="D2243" t="s">
        <v>81</v>
      </c>
      <c r="E2243">
        <v>10000000</v>
      </c>
      <c r="H2243">
        <v>9.6</v>
      </c>
      <c r="I2243" t="s">
        <v>56</v>
      </c>
      <c r="J2243">
        <v>9.6000000000000002E-4</v>
      </c>
      <c r="K2243" t="s">
        <v>57</v>
      </c>
      <c r="N2243" t="s">
        <v>640</v>
      </c>
      <c r="O2243">
        <v>3170</v>
      </c>
      <c r="P2243" t="s">
        <v>315</v>
      </c>
      <c r="S2243">
        <v>2</v>
      </c>
      <c r="T2243">
        <v>22</v>
      </c>
      <c r="U2243" t="s">
        <v>334</v>
      </c>
      <c r="V2243">
        <v>86</v>
      </c>
      <c r="W2243" t="s">
        <v>634</v>
      </c>
      <c r="X2243" t="s">
        <v>280</v>
      </c>
      <c r="Y2243">
        <v>180</v>
      </c>
      <c r="AA2243" t="s">
        <v>94</v>
      </c>
      <c r="AB2243">
        <v>7.73</v>
      </c>
      <c r="AC2243" t="s">
        <v>85</v>
      </c>
      <c r="AD2243" t="s">
        <v>235</v>
      </c>
      <c r="AE2243" t="s">
        <v>138</v>
      </c>
      <c r="AI2243">
        <v>5</v>
      </c>
      <c r="AV2243" t="s">
        <v>88</v>
      </c>
      <c r="AW2243">
        <v>3170</v>
      </c>
      <c r="AZ2243">
        <v>0</v>
      </c>
      <c r="BA2243">
        <v>7.73</v>
      </c>
    </row>
    <row r="2244" spans="1:53" hidden="1" x14ac:dyDescent="0.3">
      <c r="A2244" t="s">
        <v>623</v>
      </c>
      <c r="C2244" t="s">
        <v>251</v>
      </c>
      <c r="D2244" t="s">
        <v>81</v>
      </c>
      <c r="E2244">
        <v>10000000</v>
      </c>
      <c r="H2244">
        <v>9.6</v>
      </c>
      <c r="I2244" t="s">
        <v>56</v>
      </c>
      <c r="J2244">
        <v>9.6000000000000002E-4</v>
      </c>
      <c r="K2244" t="s">
        <v>57</v>
      </c>
      <c r="N2244" t="s">
        <v>640</v>
      </c>
      <c r="O2244">
        <v>3170</v>
      </c>
      <c r="P2244" t="s">
        <v>315</v>
      </c>
      <c r="S2244">
        <v>2</v>
      </c>
      <c r="T2244">
        <v>22</v>
      </c>
      <c r="U2244" t="s">
        <v>334</v>
      </c>
      <c r="V2244">
        <v>86</v>
      </c>
      <c r="W2244" t="s">
        <v>634</v>
      </c>
      <c r="X2244" t="s">
        <v>280</v>
      </c>
      <c r="Y2244">
        <v>240</v>
      </c>
      <c r="AA2244" t="s">
        <v>94</v>
      </c>
      <c r="AB2244">
        <v>7.72</v>
      </c>
      <c r="AC2244" t="s">
        <v>85</v>
      </c>
      <c r="AD2244" t="s">
        <v>232</v>
      </c>
      <c r="AE2244" t="s">
        <v>138</v>
      </c>
      <c r="AI2244">
        <v>5</v>
      </c>
      <c r="AV2244" t="s">
        <v>88</v>
      </c>
      <c r="AW2244">
        <v>3170</v>
      </c>
      <c r="AZ2244">
        <v>0</v>
      </c>
      <c r="BA2244">
        <v>7.72</v>
      </c>
    </row>
    <row r="2245" spans="1:53" hidden="1" x14ac:dyDescent="0.3">
      <c r="A2245" t="s">
        <v>641</v>
      </c>
      <c r="C2245" t="s">
        <v>251</v>
      </c>
      <c r="D2245" t="s">
        <v>81</v>
      </c>
      <c r="E2245">
        <v>10000000</v>
      </c>
      <c r="H2245">
        <v>14.25</v>
      </c>
      <c r="I2245" t="s">
        <v>56</v>
      </c>
      <c r="J2245">
        <v>1.4250000000000001E-3</v>
      </c>
      <c r="K2245" t="s">
        <v>57</v>
      </c>
      <c r="N2245" t="s">
        <v>642</v>
      </c>
      <c r="O2245">
        <v>212</v>
      </c>
      <c r="P2245" t="s">
        <v>262</v>
      </c>
      <c r="S2245" t="s">
        <v>643</v>
      </c>
      <c r="T2245">
        <v>22</v>
      </c>
      <c r="U2245" t="s">
        <v>644</v>
      </c>
      <c r="V2245">
        <v>45</v>
      </c>
      <c r="W2245" t="s">
        <v>147</v>
      </c>
      <c r="X2245" t="s">
        <v>280</v>
      </c>
      <c r="Y2245">
        <v>2160</v>
      </c>
      <c r="AB2245">
        <v>3.14</v>
      </c>
      <c r="AC2245" t="s">
        <v>85</v>
      </c>
      <c r="AD2245" t="s">
        <v>106</v>
      </c>
      <c r="AE2245" t="s">
        <v>138</v>
      </c>
      <c r="AI2245">
        <v>5</v>
      </c>
      <c r="AJ2245" t="s">
        <v>201</v>
      </c>
      <c r="AT2245" t="s">
        <v>150</v>
      </c>
      <c r="AV2245" t="s">
        <v>88</v>
      </c>
      <c r="AX2245">
        <v>212</v>
      </c>
    </row>
    <row r="2246" spans="1:53" hidden="1" x14ac:dyDescent="0.3">
      <c r="A2246" t="s">
        <v>641</v>
      </c>
      <c r="C2246" t="s">
        <v>251</v>
      </c>
      <c r="D2246" t="s">
        <v>81</v>
      </c>
      <c r="E2246">
        <v>10000000</v>
      </c>
      <c r="H2246">
        <v>14.25</v>
      </c>
      <c r="I2246" t="s">
        <v>56</v>
      </c>
      <c r="J2246">
        <v>1.4250000000000001E-3</v>
      </c>
      <c r="K2246" t="s">
        <v>57</v>
      </c>
      <c r="N2246" t="s">
        <v>642</v>
      </c>
      <c r="O2246">
        <v>212</v>
      </c>
      <c r="P2246" t="s">
        <v>262</v>
      </c>
      <c r="S2246" t="s">
        <v>643</v>
      </c>
      <c r="T2246">
        <v>22</v>
      </c>
      <c r="U2246" t="s">
        <v>644</v>
      </c>
      <c r="V2246">
        <v>45</v>
      </c>
      <c r="W2246" t="s">
        <v>468</v>
      </c>
      <c r="X2246" t="s">
        <v>280</v>
      </c>
      <c r="Y2246">
        <v>2160</v>
      </c>
      <c r="AB2246">
        <v>3.47</v>
      </c>
      <c r="AC2246" t="s">
        <v>85</v>
      </c>
      <c r="AD2246" t="s">
        <v>240</v>
      </c>
      <c r="AE2246" t="s">
        <v>138</v>
      </c>
      <c r="AI2246">
        <v>5</v>
      </c>
      <c r="AJ2246" t="s">
        <v>201</v>
      </c>
      <c r="AT2246" t="s">
        <v>318</v>
      </c>
      <c r="AV2246" t="s">
        <v>88</v>
      </c>
      <c r="AX2246">
        <v>212</v>
      </c>
    </row>
    <row r="2247" spans="1:53" hidden="1" x14ac:dyDescent="0.3">
      <c r="A2247" t="s">
        <v>641</v>
      </c>
      <c r="C2247" t="s">
        <v>251</v>
      </c>
      <c r="D2247" t="s">
        <v>81</v>
      </c>
      <c r="E2247">
        <v>10000000</v>
      </c>
      <c r="H2247">
        <v>14.25</v>
      </c>
      <c r="I2247" t="s">
        <v>56</v>
      </c>
      <c r="J2247">
        <v>1.4250000000000001E-3</v>
      </c>
      <c r="K2247" t="s">
        <v>57</v>
      </c>
      <c r="N2247" t="s">
        <v>642</v>
      </c>
      <c r="O2247">
        <v>212</v>
      </c>
      <c r="P2247" t="s">
        <v>262</v>
      </c>
      <c r="S2247" t="s">
        <v>643</v>
      </c>
      <c r="T2247">
        <v>22</v>
      </c>
      <c r="U2247" t="s">
        <v>644</v>
      </c>
      <c r="V2247">
        <v>45</v>
      </c>
      <c r="W2247" t="s">
        <v>72</v>
      </c>
      <c r="X2247" t="s">
        <v>280</v>
      </c>
      <c r="Y2247">
        <v>2160</v>
      </c>
      <c r="AB2247">
        <v>4.18</v>
      </c>
      <c r="AC2247" t="s">
        <v>85</v>
      </c>
      <c r="AD2247" t="s">
        <v>328</v>
      </c>
      <c r="AE2247" t="s">
        <v>138</v>
      </c>
      <c r="AI2247">
        <v>5</v>
      </c>
      <c r="AJ2247" t="s">
        <v>201</v>
      </c>
      <c r="AT2247" t="s">
        <v>73</v>
      </c>
      <c r="AV2247" t="s">
        <v>88</v>
      </c>
      <c r="AX2247">
        <v>212</v>
      </c>
    </row>
    <row r="2248" spans="1:53" hidden="1" x14ac:dyDescent="0.3">
      <c r="A2248" t="s">
        <v>641</v>
      </c>
      <c r="C2248" t="s">
        <v>251</v>
      </c>
      <c r="D2248" t="s">
        <v>81</v>
      </c>
      <c r="E2248">
        <v>10000000</v>
      </c>
      <c r="H2248">
        <v>14.25</v>
      </c>
      <c r="I2248" t="s">
        <v>56</v>
      </c>
      <c r="J2248">
        <v>1.4250000000000001E-3</v>
      </c>
      <c r="K2248" t="s">
        <v>57</v>
      </c>
      <c r="N2248" t="s">
        <v>642</v>
      </c>
      <c r="O2248">
        <v>212</v>
      </c>
      <c r="P2248" t="s">
        <v>262</v>
      </c>
      <c r="S2248" t="s">
        <v>643</v>
      </c>
      <c r="T2248">
        <v>22</v>
      </c>
      <c r="U2248" t="s">
        <v>644</v>
      </c>
      <c r="V2248">
        <v>45</v>
      </c>
      <c r="W2248" t="s">
        <v>465</v>
      </c>
      <c r="X2248" t="s">
        <v>280</v>
      </c>
      <c r="Y2248">
        <v>2160</v>
      </c>
      <c r="AA2248" t="s">
        <v>94</v>
      </c>
      <c r="AB2248">
        <v>7.04</v>
      </c>
      <c r="AC2248" t="s">
        <v>85</v>
      </c>
      <c r="AD2248" t="s">
        <v>237</v>
      </c>
      <c r="AE2248" t="s">
        <v>138</v>
      </c>
      <c r="AI2248">
        <v>5</v>
      </c>
      <c r="AJ2248" t="s">
        <v>201</v>
      </c>
      <c r="AT2248" t="s">
        <v>79</v>
      </c>
      <c r="AV2248" t="s">
        <v>88</v>
      </c>
      <c r="AX2248">
        <v>212</v>
      </c>
      <c r="AZ2248">
        <v>0</v>
      </c>
      <c r="BA2248">
        <v>7.04</v>
      </c>
    </row>
    <row r="2249" spans="1:53" hidden="1" x14ac:dyDescent="0.3">
      <c r="A2249" t="s">
        <v>641</v>
      </c>
      <c r="C2249" t="s">
        <v>251</v>
      </c>
      <c r="D2249" t="s">
        <v>81</v>
      </c>
      <c r="E2249">
        <v>10000000</v>
      </c>
      <c r="H2249">
        <v>14.25</v>
      </c>
      <c r="I2249" t="s">
        <v>56</v>
      </c>
      <c r="J2249">
        <v>1.4250000000000001E-3</v>
      </c>
      <c r="K2249" t="s">
        <v>57</v>
      </c>
      <c r="N2249" t="s">
        <v>642</v>
      </c>
      <c r="O2249">
        <v>212</v>
      </c>
      <c r="P2249" t="s">
        <v>262</v>
      </c>
      <c r="S2249" t="s">
        <v>643</v>
      </c>
      <c r="T2249">
        <v>22</v>
      </c>
      <c r="U2249" t="s">
        <v>644</v>
      </c>
      <c r="V2249">
        <v>45</v>
      </c>
      <c r="W2249" t="s">
        <v>540</v>
      </c>
      <c r="X2249" t="s">
        <v>280</v>
      </c>
      <c r="Y2249">
        <v>2160</v>
      </c>
      <c r="AB2249">
        <v>2.16</v>
      </c>
      <c r="AC2249" t="s">
        <v>85</v>
      </c>
      <c r="AD2249" t="s">
        <v>433</v>
      </c>
      <c r="AE2249" t="s">
        <v>138</v>
      </c>
      <c r="AI2249">
        <v>5</v>
      </c>
      <c r="AJ2249" t="s">
        <v>201</v>
      </c>
      <c r="AT2249" t="s">
        <v>212</v>
      </c>
      <c r="AV2249" t="s">
        <v>88</v>
      </c>
      <c r="AX2249">
        <v>212</v>
      </c>
    </row>
    <row r="2250" spans="1:53" hidden="1" x14ac:dyDescent="0.3">
      <c r="A2250" t="s">
        <v>641</v>
      </c>
      <c r="C2250" t="s">
        <v>251</v>
      </c>
      <c r="D2250" t="s">
        <v>81</v>
      </c>
      <c r="E2250">
        <v>10000000</v>
      </c>
      <c r="H2250">
        <v>14.25</v>
      </c>
      <c r="I2250" t="s">
        <v>56</v>
      </c>
      <c r="J2250">
        <v>1.4250000000000001E-3</v>
      </c>
      <c r="K2250" t="s">
        <v>57</v>
      </c>
      <c r="N2250" t="s">
        <v>642</v>
      </c>
      <c r="O2250">
        <v>212</v>
      </c>
      <c r="P2250" t="s">
        <v>262</v>
      </c>
      <c r="S2250" t="s">
        <v>643</v>
      </c>
      <c r="T2250">
        <v>22</v>
      </c>
      <c r="U2250" t="s">
        <v>644</v>
      </c>
      <c r="V2250">
        <v>45</v>
      </c>
      <c r="W2250" t="s">
        <v>549</v>
      </c>
      <c r="X2250" t="s">
        <v>280</v>
      </c>
      <c r="Y2250">
        <v>2160</v>
      </c>
      <c r="AA2250" t="s">
        <v>94</v>
      </c>
      <c r="AB2250">
        <v>6.17</v>
      </c>
      <c r="AC2250" t="s">
        <v>85</v>
      </c>
      <c r="AD2250" t="s">
        <v>437</v>
      </c>
      <c r="AE2250" t="s">
        <v>138</v>
      </c>
      <c r="AI2250">
        <v>5</v>
      </c>
      <c r="AJ2250" t="s">
        <v>201</v>
      </c>
      <c r="AT2250" t="s">
        <v>77</v>
      </c>
      <c r="AV2250" t="s">
        <v>88</v>
      </c>
      <c r="AX2250">
        <v>212</v>
      </c>
      <c r="AZ2250">
        <v>0</v>
      </c>
      <c r="BA2250">
        <v>6.17</v>
      </c>
    </row>
    <row r="2251" spans="1:53" hidden="1" x14ac:dyDescent="0.3">
      <c r="A2251" t="s">
        <v>641</v>
      </c>
      <c r="C2251" t="s">
        <v>251</v>
      </c>
      <c r="D2251" t="s">
        <v>81</v>
      </c>
      <c r="E2251">
        <v>10000000</v>
      </c>
      <c r="H2251">
        <v>14.25</v>
      </c>
      <c r="I2251" t="s">
        <v>56</v>
      </c>
      <c r="J2251">
        <v>1.4250000000000001E-3</v>
      </c>
      <c r="K2251" t="s">
        <v>57</v>
      </c>
      <c r="N2251" t="s">
        <v>642</v>
      </c>
      <c r="O2251">
        <v>212</v>
      </c>
      <c r="P2251" t="s">
        <v>262</v>
      </c>
      <c r="S2251" t="s">
        <v>643</v>
      </c>
      <c r="T2251">
        <v>22</v>
      </c>
      <c r="U2251" t="s">
        <v>644</v>
      </c>
      <c r="V2251">
        <v>45</v>
      </c>
      <c r="W2251" t="s">
        <v>147</v>
      </c>
      <c r="X2251" t="s">
        <v>280</v>
      </c>
      <c r="Y2251">
        <v>2880</v>
      </c>
      <c r="AB2251">
        <v>3</v>
      </c>
      <c r="AC2251" t="s">
        <v>85</v>
      </c>
      <c r="AD2251" t="s">
        <v>321</v>
      </c>
      <c r="AE2251" t="s">
        <v>138</v>
      </c>
      <c r="AI2251">
        <v>5</v>
      </c>
      <c r="AJ2251" t="s">
        <v>201</v>
      </c>
      <c r="AT2251" t="s">
        <v>150</v>
      </c>
      <c r="AV2251" t="s">
        <v>88</v>
      </c>
      <c r="AX2251">
        <v>212</v>
      </c>
    </row>
    <row r="2252" spans="1:53" hidden="1" x14ac:dyDescent="0.3">
      <c r="A2252" t="s">
        <v>641</v>
      </c>
      <c r="C2252" t="s">
        <v>251</v>
      </c>
      <c r="D2252" t="s">
        <v>81</v>
      </c>
      <c r="E2252">
        <v>10000000</v>
      </c>
      <c r="H2252">
        <v>14.25</v>
      </c>
      <c r="I2252" t="s">
        <v>56</v>
      </c>
      <c r="J2252">
        <v>1.4250000000000001E-3</v>
      </c>
      <c r="K2252" t="s">
        <v>57</v>
      </c>
      <c r="N2252" t="s">
        <v>642</v>
      </c>
      <c r="O2252">
        <v>212</v>
      </c>
      <c r="P2252" t="s">
        <v>262</v>
      </c>
      <c r="S2252" t="s">
        <v>643</v>
      </c>
      <c r="T2252">
        <v>22</v>
      </c>
      <c r="U2252" t="s">
        <v>644</v>
      </c>
      <c r="V2252">
        <v>45</v>
      </c>
      <c r="W2252" t="s">
        <v>468</v>
      </c>
      <c r="X2252" t="s">
        <v>280</v>
      </c>
      <c r="Y2252">
        <v>2880</v>
      </c>
      <c r="AA2252" t="s">
        <v>94</v>
      </c>
      <c r="AB2252">
        <v>6.76</v>
      </c>
      <c r="AC2252" t="s">
        <v>85</v>
      </c>
      <c r="AD2252" t="s">
        <v>231</v>
      </c>
      <c r="AE2252" t="s">
        <v>138</v>
      </c>
      <c r="AI2252">
        <v>5</v>
      </c>
      <c r="AJ2252" t="s">
        <v>201</v>
      </c>
      <c r="AT2252" t="s">
        <v>318</v>
      </c>
      <c r="AV2252" t="s">
        <v>88</v>
      </c>
      <c r="AX2252">
        <v>212</v>
      </c>
      <c r="AZ2252">
        <v>0</v>
      </c>
      <c r="BA2252">
        <v>6.76</v>
      </c>
    </row>
    <row r="2253" spans="1:53" hidden="1" x14ac:dyDescent="0.3">
      <c r="A2253" t="s">
        <v>641</v>
      </c>
      <c r="C2253" t="s">
        <v>251</v>
      </c>
      <c r="D2253" t="s">
        <v>81</v>
      </c>
      <c r="E2253">
        <v>10000000</v>
      </c>
      <c r="H2253">
        <v>14.25</v>
      </c>
      <c r="I2253" t="s">
        <v>56</v>
      </c>
      <c r="J2253">
        <v>1.4250000000000001E-3</v>
      </c>
      <c r="K2253" t="s">
        <v>57</v>
      </c>
      <c r="N2253" t="s">
        <v>642</v>
      </c>
      <c r="O2253">
        <v>212</v>
      </c>
      <c r="P2253" t="s">
        <v>262</v>
      </c>
      <c r="S2253" t="s">
        <v>643</v>
      </c>
      <c r="T2253">
        <v>22</v>
      </c>
      <c r="U2253" t="s">
        <v>644</v>
      </c>
      <c r="V2253">
        <v>45</v>
      </c>
      <c r="W2253" t="s">
        <v>72</v>
      </c>
      <c r="X2253" t="s">
        <v>280</v>
      </c>
      <c r="Y2253">
        <v>2880</v>
      </c>
      <c r="AB2253">
        <v>6.35</v>
      </c>
      <c r="AC2253" t="s">
        <v>85</v>
      </c>
      <c r="AD2253" t="s">
        <v>489</v>
      </c>
      <c r="AE2253" t="s">
        <v>138</v>
      </c>
      <c r="AI2253">
        <v>5</v>
      </c>
      <c r="AJ2253" t="s">
        <v>201</v>
      </c>
      <c r="AT2253" t="s">
        <v>73</v>
      </c>
      <c r="AV2253" t="s">
        <v>88</v>
      </c>
      <c r="AX2253">
        <v>212</v>
      </c>
    </row>
    <row r="2254" spans="1:53" hidden="1" x14ac:dyDescent="0.3">
      <c r="A2254" t="s">
        <v>641</v>
      </c>
      <c r="C2254" t="s">
        <v>251</v>
      </c>
      <c r="D2254" t="s">
        <v>81</v>
      </c>
      <c r="E2254">
        <v>10000000</v>
      </c>
      <c r="H2254">
        <v>14.25</v>
      </c>
      <c r="I2254" t="s">
        <v>56</v>
      </c>
      <c r="J2254">
        <v>1.4250000000000001E-3</v>
      </c>
      <c r="K2254" t="s">
        <v>57</v>
      </c>
      <c r="N2254" t="s">
        <v>642</v>
      </c>
      <c r="O2254">
        <v>212</v>
      </c>
      <c r="P2254" t="s">
        <v>262</v>
      </c>
      <c r="S2254" t="s">
        <v>643</v>
      </c>
      <c r="T2254">
        <v>22</v>
      </c>
      <c r="U2254" t="s">
        <v>644</v>
      </c>
      <c r="V2254">
        <v>45</v>
      </c>
      <c r="W2254" t="s">
        <v>465</v>
      </c>
      <c r="X2254" t="s">
        <v>280</v>
      </c>
      <c r="Y2254">
        <v>2880</v>
      </c>
      <c r="AA2254" t="s">
        <v>94</v>
      </c>
      <c r="AB2254">
        <v>7.21</v>
      </c>
      <c r="AC2254" t="s">
        <v>85</v>
      </c>
      <c r="AD2254" t="s">
        <v>248</v>
      </c>
      <c r="AE2254" t="s">
        <v>138</v>
      </c>
      <c r="AI2254">
        <v>5</v>
      </c>
      <c r="AJ2254" t="s">
        <v>201</v>
      </c>
      <c r="AT2254" t="s">
        <v>79</v>
      </c>
      <c r="AV2254" t="s">
        <v>88</v>
      </c>
      <c r="AX2254">
        <v>212</v>
      </c>
      <c r="AZ2254">
        <v>0</v>
      </c>
      <c r="BA2254">
        <v>7.21</v>
      </c>
    </row>
    <row r="2255" spans="1:53" hidden="1" x14ac:dyDescent="0.3">
      <c r="A2255" t="s">
        <v>641</v>
      </c>
      <c r="C2255" t="s">
        <v>251</v>
      </c>
      <c r="D2255" t="s">
        <v>81</v>
      </c>
      <c r="E2255">
        <v>10000000</v>
      </c>
      <c r="H2255">
        <v>14.25</v>
      </c>
      <c r="I2255" t="s">
        <v>56</v>
      </c>
      <c r="J2255">
        <v>1.4250000000000001E-3</v>
      </c>
      <c r="K2255" t="s">
        <v>57</v>
      </c>
      <c r="N2255" t="s">
        <v>642</v>
      </c>
      <c r="O2255">
        <v>212</v>
      </c>
      <c r="P2255" t="s">
        <v>262</v>
      </c>
      <c r="S2255" t="s">
        <v>643</v>
      </c>
      <c r="T2255">
        <v>22</v>
      </c>
      <c r="U2255" t="s">
        <v>644</v>
      </c>
      <c r="V2255">
        <v>45</v>
      </c>
      <c r="W2255" t="s">
        <v>540</v>
      </c>
      <c r="X2255" t="s">
        <v>280</v>
      </c>
      <c r="Y2255">
        <v>2880</v>
      </c>
      <c r="AB2255">
        <v>2.82</v>
      </c>
      <c r="AC2255" t="s">
        <v>85</v>
      </c>
      <c r="AD2255" t="s">
        <v>645</v>
      </c>
      <c r="AE2255" t="s">
        <v>138</v>
      </c>
      <c r="AI2255">
        <v>5</v>
      </c>
      <c r="AJ2255" t="s">
        <v>201</v>
      </c>
      <c r="AT2255" t="s">
        <v>212</v>
      </c>
      <c r="AV2255" t="s">
        <v>88</v>
      </c>
      <c r="AX2255">
        <v>212</v>
      </c>
    </row>
    <row r="2256" spans="1:53" hidden="1" x14ac:dyDescent="0.3">
      <c r="A2256" t="s">
        <v>641</v>
      </c>
      <c r="C2256" t="s">
        <v>251</v>
      </c>
      <c r="D2256" t="s">
        <v>81</v>
      </c>
      <c r="E2256">
        <v>10000000</v>
      </c>
      <c r="H2256">
        <v>14.25</v>
      </c>
      <c r="I2256" t="s">
        <v>56</v>
      </c>
      <c r="J2256">
        <v>1.4250000000000001E-3</v>
      </c>
      <c r="K2256" t="s">
        <v>57</v>
      </c>
      <c r="N2256" t="s">
        <v>642</v>
      </c>
      <c r="O2256">
        <v>212</v>
      </c>
      <c r="P2256" t="s">
        <v>262</v>
      </c>
      <c r="S2256" t="s">
        <v>643</v>
      </c>
      <c r="T2256">
        <v>22</v>
      </c>
      <c r="U2256" t="s">
        <v>644</v>
      </c>
      <c r="V2256">
        <v>45</v>
      </c>
      <c r="W2256" t="s">
        <v>549</v>
      </c>
      <c r="X2256" t="s">
        <v>280</v>
      </c>
      <c r="Y2256">
        <v>2880</v>
      </c>
      <c r="AA2256" t="s">
        <v>94</v>
      </c>
      <c r="AB2256">
        <v>6.89</v>
      </c>
      <c r="AC2256" t="s">
        <v>85</v>
      </c>
      <c r="AD2256" t="s">
        <v>240</v>
      </c>
      <c r="AE2256" t="s">
        <v>138</v>
      </c>
      <c r="AI2256">
        <v>5</v>
      </c>
      <c r="AJ2256" t="s">
        <v>201</v>
      </c>
      <c r="AT2256" t="s">
        <v>77</v>
      </c>
      <c r="AV2256" t="s">
        <v>88</v>
      </c>
      <c r="AX2256">
        <v>212</v>
      </c>
      <c r="AZ2256">
        <v>0</v>
      </c>
      <c r="BA2256">
        <v>6.89</v>
      </c>
    </row>
    <row r="2257" spans="1:53" hidden="1" x14ac:dyDescent="0.3">
      <c r="A2257" t="s">
        <v>641</v>
      </c>
      <c r="C2257" t="s">
        <v>251</v>
      </c>
      <c r="D2257" t="s">
        <v>81</v>
      </c>
      <c r="E2257">
        <v>10000000</v>
      </c>
      <c r="H2257">
        <v>14.25</v>
      </c>
      <c r="I2257" t="s">
        <v>56</v>
      </c>
      <c r="J2257">
        <v>1.4250000000000001E-3</v>
      </c>
      <c r="K2257" t="s">
        <v>57</v>
      </c>
      <c r="N2257" t="s">
        <v>642</v>
      </c>
      <c r="O2257">
        <v>212</v>
      </c>
      <c r="P2257" t="s">
        <v>262</v>
      </c>
      <c r="S2257" t="s">
        <v>643</v>
      </c>
      <c r="T2257">
        <v>22</v>
      </c>
      <c r="U2257" t="s">
        <v>644</v>
      </c>
      <c r="V2257">
        <v>75</v>
      </c>
      <c r="W2257" t="s">
        <v>147</v>
      </c>
      <c r="X2257" t="s">
        <v>280</v>
      </c>
      <c r="Y2257">
        <v>2160</v>
      </c>
      <c r="AA2257" t="s">
        <v>94</v>
      </c>
      <c r="AB2257">
        <v>7.92</v>
      </c>
      <c r="AC2257" t="s">
        <v>85</v>
      </c>
      <c r="AD2257" t="s">
        <v>227</v>
      </c>
      <c r="AE2257" t="s">
        <v>138</v>
      </c>
      <c r="AI2257">
        <v>5</v>
      </c>
      <c r="AJ2257" t="s">
        <v>201</v>
      </c>
      <c r="AT2257" t="s">
        <v>150</v>
      </c>
      <c r="AV2257" t="s">
        <v>88</v>
      </c>
      <c r="AX2257">
        <v>212</v>
      </c>
      <c r="AZ2257">
        <v>0</v>
      </c>
      <c r="BA2257">
        <v>7.92</v>
      </c>
    </row>
    <row r="2258" spans="1:53" hidden="1" x14ac:dyDescent="0.3">
      <c r="A2258" t="s">
        <v>641</v>
      </c>
      <c r="C2258" t="s">
        <v>251</v>
      </c>
      <c r="D2258" t="s">
        <v>81</v>
      </c>
      <c r="E2258">
        <v>10000000</v>
      </c>
      <c r="H2258">
        <v>14.25</v>
      </c>
      <c r="I2258" t="s">
        <v>56</v>
      </c>
      <c r="J2258">
        <v>1.4250000000000001E-3</v>
      </c>
      <c r="K2258" t="s">
        <v>57</v>
      </c>
      <c r="N2258" t="s">
        <v>642</v>
      </c>
      <c r="O2258">
        <v>212</v>
      </c>
      <c r="P2258" t="s">
        <v>262</v>
      </c>
      <c r="S2258" t="s">
        <v>643</v>
      </c>
      <c r="T2258">
        <v>22</v>
      </c>
      <c r="U2258" t="s">
        <v>644</v>
      </c>
      <c r="V2258">
        <v>75</v>
      </c>
      <c r="W2258" t="s">
        <v>468</v>
      </c>
      <c r="X2258" t="s">
        <v>280</v>
      </c>
      <c r="Y2258">
        <v>2160</v>
      </c>
      <c r="AA2258" t="s">
        <v>94</v>
      </c>
      <c r="AB2258">
        <v>7.07</v>
      </c>
      <c r="AC2258" t="s">
        <v>85</v>
      </c>
      <c r="AD2258" t="s">
        <v>235</v>
      </c>
      <c r="AE2258" t="s">
        <v>138</v>
      </c>
      <c r="AI2258">
        <v>5</v>
      </c>
      <c r="AJ2258" t="s">
        <v>201</v>
      </c>
      <c r="AT2258" t="s">
        <v>318</v>
      </c>
      <c r="AV2258" t="s">
        <v>88</v>
      </c>
      <c r="AX2258">
        <v>212</v>
      </c>
      <c r="AZ2258">
        <v>0</v>
      </c>
      <c r="BA2258">
        <v>7.07</v>
      </c>
    </row>
    <row r="2259" spans="1:53" hidden="1" x14ac:dyDescent="0.3">
      <c r="A2259" t="s">
        <v>641</v>
      </c>
      <c r="C2259" t="s">
        <v>251</v>
      </c>
      <c r="D2259" t="s">
        <v>81</v>
      </c>
      <c r="E2259">
        <v>10000000</v>
      </c>
      <c r="H2259">
        <v>14.25</v>
      </c>
      <c r="I2259" t="s">
        <v>56</v>
      </c>
      <c r="J2259">
        <v>1.4250000000000001E-3</v>
      </c>
      <c r="K2259" t="s">
        <v>57</v>
      </c>
      <c r="N2259" t="s">
        <v>642</v>
      </c>
      <c r="O2259">
        <v>212</v>
      </c>
      <c r="P2259" t="s">
        <v>262</v>
      </c>
      <c r="S2259" t="s">
        <v>643</v>
      </c>
      <c r="T2259">
        <v>22</v>
      </c>
      <c r="U2259" t="s">
        <v>644</v>
      </c>
      <c r="V2259">
        <v>75</v>
      </c>
      <c r="W2259" t="s">
        <v>72</v>
      </c>
      <c r="X2259" t="s">
        <v>280</v>
      </c>
      <c r="Y2259">
        <v>2160</v>
      </c>
      <c r="AA2259" t="s">
        <v>94</v>
      </c>
      <c r="AB2259">
        <v>7.93</v>
      </c>
      <c r="AC2259" t="s">
        <v>85</v>
      </c>
      <c r="AD2259" t="s">
        <v>227</v>
      </c>
      <c r="AE2259" t="s">
        <v>138</v>
      </c>
      <c r="AI2259">
        <v>5</v>
      </c>
      <c r="AJ2259" t="s">
        <v>201</v>
      </c>
      <c r="AT2259" t="s">
        <v>73</v>
      </c>
      <c r="AV2259" t="s">
        <v>88</v>
      </c>
      <c r="AX2259">
        <v>212</v>
      </c>
      <c r="AZ2259">
        <v>0</v>
      </c>
      <c r="BA2259">
        <v>7.93</v>
      </c>
    </row>
    <row r="2260" spans="1:53" hidden="1" x14ac:dyDescent="0.3">
      <c r="A2260" t="s">
        <v>641</v>
      </c>
      <c r="C2260" t="s">
        <v>251</v>
      </c>
      <c r="D2260" t="s">
        <v>81</v>
      </c>
      <c r="E2260">
        <v>10000000</v>
      </c>
      <c r="H2260">
        <v>14.25</v>
      </c>
      <c r="I2260" t="s">
        <v>56</v>
      </c>
      <c r="J2260">
        <v>1.4250000000000001E-3</v>
      </c>
      <c r="K2260" t="s">
        <v>57</v>
      </c>
      <c r="N2260" t="s">
        <v>642</v>
      </c>
      <c r="O2260">
        <v>212</v>
      </c>
      <c r="P2260" t="s">
        <v>262</v>
      </c>
      <c r="S2260" t="s">
        <v>643</v>
      </c>
      <c r="T2260">
        <v>22</v>
      </c>
      <c r="U2260" t="s">
        <v>644</v>
      </c>
      <c r="V2260">
        <v>75</v>
      </c>
      <c r="W2260" t="s">
        <v>465</v>
      </c>
      <c r="X2260" t="s">
        <v>280</v>
      </c>
      <c r="Y2260">
        <v>2160</v>
      </c>
      <c r="AA2260" t="s">
        <v>94</v>
      </c>
      <c r="AB2260">
        <v>7.76</v>
      </c>
      <c r="AC2260" t="s">
        <v>85</v>
      </c>
      <c r="AD2260" t="s">
        <v>227</v>
      </c>
      <c r="AE2260" t="s">
        <v>138</v>
      </c>
      <c r="AI2260">
        <v>5</v>
      </c>
      <c r="AJ2260" t="s">
        <v>201</v>
      </c>
      <c r="AT2260" t="s">
        <v>79</v>
      </c>
      <c r="AV2260" t="s">
        <v>88</v>
      </c>
      <c r="AX2260">
        <v>212</v>
      </c>
      <c r="AZ2260">
        <v>0</v>
      </c>
      <c r="BA2260">
        <v>7.76</v>
      </c>
    </row>
    <row r="2261" spans="1:53" hidden="1" x14ac:dyDescent="0.3">
      <c r="A2261" t="s">
        <v>641</v>
      </c>
      <c r="C2261" t="s">
        <v>251</v>
      </c>
      <c r="D2261" t="s">
        <v>81</v>
      </c>
      <c r="E2261">
        <v>10000000</v>
      </c>
      <c r="H2261">
        <v>14.25</v>
      </c>
      <c r="I2261" t="s">
        <v>56</v>
      </c>
      <c r="J2261">
        <v>1.4250000000000001E-3</v>
      </c>
      <c r="K2261" t="s">
        <v>57</v>
      </c>
      <c r="N2261" t="s">
        <v>642</v>
      </c>
      <c r="O2261">
        <v>212</v>
      </c>
      <c r="P2261" t="s">
        <v>262</v>
      </c>
      <c r="S2261" t="s">
        <v>643</v>
      </c>
      <c r="T2261">
        <v>22</v>
      </c>
      <c r="U2261" t="s">
        <v>644</v>
      </c>
      <c r="V2261">
        <v>75</v>
      </c>
      <c r="W2261" t="s">
        <v>540</v>
      </c>
      <c r="X2261" t="s">
        <v>280</v>
      </c>
      <c r="Y2261">
        <v>2160</v>
      </c>
      <c r="AA2261" t="s">
        <v>94</v>
      </c>
      <c r="AB2261">
        <v>7.02</v>
      </c>
      <c r="AC2261" t="s">
        <v>85</v>
      </c>
      <c r="AD2261" t="s">
        <v>418</v>
      </c>
      <c r="AE2261" t="s">
        <v>138</v>
      </c>
      <c r="AI2261">
        <v>5</v>
      </c>
      <c r="AJ2261" t="s">
        <v>201</v>
      </c>
      <c r="AT2261" t="s">
        <v>212</v>
      </c>
      <c r="AV2261" t="s">
        <v>88</v>
      </c>
      <c r="AX2261">
        <v>212</v>
      </c>
      <c r="AZ2261">
        <v>0</v>
      </c>
      <c r="BA2261">
        <v>7.02</v>
      </c>
    </row>
    <row r="2262" spans="1:53" hidden="1" x14ac:dyDescent="0.3">
      <c r="A2262" t="s">
        <v>641</v>
      </c>
      <c r="C2262" t="s">
        <v>251</v>
      </c>
      <c r="D2262" t="s">
        <v>81</v>
      </c>
      <c r="E2262">
        <v>10000000</v>
      </c>
      <c r="H2262">
        <v>14.25</v>
      </c>
      <c r="I2262" t="s">
        <v>56</v>
      </c>
      <c r="J2262">
        <v>1.4250000000000001E-3</v>
      </c>
      <c r="K2262" t="s">
        <v>57</v>
      </c>
      <c r="N2262" t="s">
        <v>642</v>
      </c>
      <c r="O2262">
        <v>212</v>
      </c>
      <c r="P2262" t="s">
        <v>262</v>
      </c>
      <c r="S2262" t="s">
        <v>643</v>
      </c>
      <c r="T2262">
        <v>22</v>
      </c>
      <c r="U2262" t="s">
        <v>644</v>
      </c>
      <c r="V2262">
        <v>75</v>
      </c>
      <c r="W2262" t="s">
        <v>549</v>
      </c>
      <c r="X2262" t="s">
        <v>280</v>
      </c>
      <c r="Y2262">
        <v>2160</v>
      </c>
      <c r="AA2262" t="s">
        <v>94</v>
      </c>
      <c r="AB2262">
        <v>7.51</v>
      </c>
      <c r="AC2262" t="s">
        <v>85</v>
      </c>
      <c r="AD2262" t="s">
        <v>103</v>
      </c>
      <c r="AE2262" t="s">
        <v>138</v>
      </c>
      <c r="AI2262">
        <v>5</v>
      </c>
      <c r="AJ2262" t="s">
        <v>201</v>
      </c>
      <c r="AT2262" t="s">
        <v>77</v>
      </c>
      <c r="AV2262" t="s">
        <v>88</v>
      </c>
      <c r="AX2262">
        <v>212</v>
      </c>
      <c r="AZ2262">
        <v>0</v>
      </c>
      <c r="BA2262">
        <v>7.51</v>
      </c>
    </row>
    <row r="2263" spans="1:53" hidden="1" x14ac:dyDescent="0.3">
      <c r="A2263" t="s">
        <v>641</v>
      </c>
      <c r="C2263" t="s">
        <v>251</v>
      </c>
      <c r="D2263" t="s">
        <v>81</v>
      </c>
      <c r="E2263">
        <v>10000000</v>
      </c>
      <c r="H2263">
        <v>14.25</v>
      </c>
      <c r="I2263" t="s">
        <v>56</v>
      </c>
      <c r="J2263">
        <v>1.4250000000000001E-3</v>
      </c>
      <c r="K2263" t="s">
        <v>57</v>
      </c>
      <c r="N2263" t="s">
        <v>642</v>
      </c>
      <c r="O2263">
        <v>212</v>
      </c>
      <c r="P2263" t="s">
        <v>262</v>
      </c>
      <c r="S2263" t="s">
        <v>643</v>
      </c>
      <c r="T2263">
        <v>27</v>
      </c>
      <c r="U2263" t="s">
        <v>644</v>
      </c>
      <c r="V2263">
        <v>45</v>
      </c>
      <c r="W2263" t="s">
        <v>147</v>
      </c>
      <c r="X2263" t="s">
        <v>280</v>
      </c>
      <c r="Y2263">
        <v>2160</v>
      </c>
      <c r="AB2263">
        <v>4.8600000000000003</v>
      </c>
      <c r="AC2263" t="s">
        <v>85</v>
      </c>
      <c r="AD2263" t="s">
        <v>326</v>
      </c>
      <c r="AE2263" t="s">
        <v>138</v>
      </c>
      <c r="AI2263">
        <v>5</v>
      </c>
      <c r="AJ2263" t="s">
        <v>201</v>
      </c>
      <c r="AT2263" t="s">
        <v>150</v>
      </c>
      <c r="AV2263" t="s">
        <v>88</v>
      </c>
      <c r="AX2263">
        <v>212</v>
      </c>
    </row>
    <row r="2264" spans="1:53" hidden="1" x14ac:dyDescent="0.3">
      <c r="A2264" t="s">
        <v>641</v>
      </c>
      <c r="C2264" t="s">
        <v>251</v>
      </c>
      <c r="D2264" t="s">
        <v>81</v>
      </c>
      <c r="E2264">
        <v>10000000</v>
      </c>
      <c r="H2264">
        <v>14.25</v>
      </c>
      <c r="I2264" t="s">
        <v>56</v>
      </c>
      <c r="J2264">
        <v>1.4250000000000001E-3</v>
      </c>
      <c r="K2264" t="s">
        <v>57</v>
      </c>
      <c r="N2264" t="s">
        <v>642</v>
      </c>
      <c r="O2264">
        <v>212</v>
      </c>
      <c r="P2264" t="s">
        <v>262</v>
      </c>
      <c r="S2264" t="s">
        <v>643</v>
      </c>
      <c r="T2264">
        <v>27</v>
      </c>
      <c r="U2264" t="s">
        <v>644</v>
      </c>
      <c r="V2264">
        <v>45</v>
      </c>
      <c r="W2264" t="s">
        <v>468</v>
      </c>
      <c r="X2264" t="s">
        <v>280</v>
      </c>
      <c r="Y2264">
        <v>2160</v>
      </c>
      <c r="AB2264">
        <v>6.41</v>
      </c>
      <c r="AC2264" t="s">
        <v>85</v>
      </c>
      <c r="AD2264" t="s">
        <v>582</v>
      </c>
      <c r="AE2264" t="s">
        <v>138</v>
      </c>
      <c r="AI2264">
        <v>5</v>
      </c>
      <c r="AJ2264" t="s">
        <v>201</v>
      </c>
      <c r="AT2264" t="s">
        <v>318</v>
      </c>
      <c r="AV2264" t="s">
        <v>88</v>
      </c>
      <c r="AX2264">
        <v>212</v>
      </c>
    </row>
    <row r="2265" spans="1:53" hidden="1" x14ac:dyDescent="0.3">
      <c r="A2265" t="s">
        <v>641</v>
      </c>
      <c r="C2265" t="s">
        <v>251</v>
      </c>
      <c r="D2265" t="s">
        <v>81</v>
      </c>
      <c r="E2265">
        <v>10000000</v>
      </c>
      <c r="H2265">
        <v>14.25</v>
      </c>
      <c r="I2265" t="s">
        <v>56</v>
      </c>
      <c r="J2265">
        <v>1.4250000000000001E-3</v>
      </c>
      <c r="K2265" t="s">
        <v>57</v>
      </c>
      <c r="N2265" t="s">
        <v>642</v>
      </c>
      <c r="O2265">
        <v>212</v>
      </c>
      <c r="P2265" t="s">
        <v>262</v>
      </c>
      <c r="S2265" t="s">
        <v>643</v>
      </c>
      <c r="T2265">
        <v>27</v>
      </c>
      <c r="U2265" t="s">
        <v>644</v>
      </c>
      <c r="V2265">
        <v>45</v>
      </c>
      <c r="W2265" t="s">
        <v>72</v>
      </c>
      <c r="X2265" t="s">
        <v>280</v>
      </c>
      <c r="Y2265">
        <v>2160</v>
      </c>
      <c r="AA2265" t="s">
        <v>94</v>
      </c>
      <c r="AB2265">
        <v>7.95</v>
      </c>
      <c r="AC2265" t="s">
        <v>85</v>
      </c>
      <c r="AD2265" t="s">
        <v>232</v>
      </c>
      <c r="AE2265" t="s">
        <v>138</v>
      </c>
      <c r="AI2265">
        <v>5</v>
      </c>
      <c r="AJ2265" t="s">
        <v>201</v>
      </c>
      <c r="AT2265" t="s">
        <v>73</v>
      </c>
      <c r="AV2265" t="s">
        <v>88</v>
      </c>
      <c r="AX2265">
        <v>212</v>
      </c>
      <c r="AZ2265">
        <v>0</v>
      </c>
      <c r="BA2265">
        <v>7.95</v>
      </c>
    </row>
    <row r="2266" spans="1:53" hidden="1" x14ac:dyDescent="0.3">
      <c r="A2266" t="s">
        <v>641</v>
      </c>
      <c r="C2266" t="s">
        <v>251</v>
      </c>
      <c r="D2266" t="s">
        <v>81</v>
      </c>
      <c r="E2266">
        <v>200000</v>
      </c>
      <c r="H2266">
        <v>14.25</v>
      </c>
      <c r="I2266" t="s">
        <v>56</v>
      </c>
      <c r="J2266">
        <v>1.4250000000000001E-3</v>
      </c>
      <c r="K2266" t="s">
        <v>57</v>
      </c>
      <c r="N2266" t="s">
        <v>642</v>
      </c>
      <c r="O2266">
        <v>212</v>
      </c>
      <c r="P2266" t="s">
        <v>262</v>
      </c>
      <c r="S2266" t="s">
        <v>643</v>
      </c>
      <c r="T2266">
        <v>27</v>
      </c>
      <c r="U2266" t="s">
        <v>644</v>
      </c>
      <c r="V2266">
        <v>45</v>
      </c>
      <c r="W2266" t="s">
        <v>465</v>
      </c>
      <c r="X2266" t="s">
        <v>280</v>
      </c>
      <c r="Y2266">
        <v>2160</v>
      </c>
      <c r="AA2266" t="s">
        <v>94</v>
      </c>
      <c r="AB2266">
        <v>7.5</v>
      </c>
      <c r="AC2266" t="s">
        <v>85</v>
      </c>
      <c r="AD2266" t="s">
        <v>236</v>
      </c>
      <c r="AE2266" t="s">
        <v>138</v>
      </c>
      <c r="AI2266">
        <v>5</v>
      </c>
      <c r="AJ2266" t="s">
        <v>201</v>
      </c>
      <c r="AT2266" t="s">
        <v>79</v>
      </c>
      <c r="AV2266" t="s">
        <v>88</v>
      </c>
      <c r="AX2266">
        <v>212</v>
      </c>
      <c r="AZ2266">
        <v>0</v>
      </c>
      <c r="BA2266">
        <v>7.5</v>
      </c>
    </row>
    <row r="2267" spans="1:53" hidden="1" x14ac:dyDescent="0.3">
      <c r="A2267" t="s">
        <v>641</v>
      </c>
      <c r="C2267" t="s">
        <v>251</v>
      </c>
      <c r="D2267" t="s">
        <v>81</v>
      </c>
      <c r="E2267">
        <v>200000</v>
      </c>
      <c r="H2267">
        <v>14.25</v>
      </c>
      <c r="I2267" t="s">
        <v>56</v>
      </c>
      <c r="J2267">
        <v>1.4250000000000001E-3</v>
      </c>
      <c r="K2267" t="s">
        <v>57</v>
      </c>
      <c r="N2267" t="s">
        <v>642</v>
      </c>
      <c r="O2267">
        <v>212</v>
      </c>
      <c r="P2267" t="s">
        <v>262</v>
      </c>
      <c r="S2267" t="s">
        <v>643</v>
      </c>
      <c r="T2267">
        <v>27</v>
      </c>
      <c r="U2267" t="s">
        <v>644</v>
      </c>
      <c r="V2267">
        <v>45</v>
      </c>
      <c r="W2267" t="s">
        <v>540</v>
      </c>
      <c r="X2267" t="s">
        <v>280</v>
      </c>
      <c r="Y2267">
        <v>2160</v>
      </c>
      <c r="AB2267">
        <v>5.93</v>
      </c>
      <c r="AC2267" t="s">
        <v>85</v>
      </c>
      <c r="AD2267" t="s">
        <v>646</v>
      </c>
      <c r="AE2267" t="s">
        <v>138</v>
      </c>
      <c r="AI2267">
        <v>5</v>
      </c>
      <c r="AJ2267" t="s">
        <v>201</v>
      </c>
      <c r="AT2267" t="s">
        <v>212</v>
      </c>
      <c r="AV2267" t="s">
        <v>88</v>
      </c>
      <c r="AX2267">
        <v>212</v>
      </c>
    </row>
    <row r="2268" spans="1:53" hidden="1" x14ac:dyDescent="0.3">
      <c r="A2268" t="s">
        <v>641</v>
      </c>
      <c r="C2268" t="s">
        <v>251</v>
      </c>
      <c r="D2268" t="s">
        <v>81</v>
      </c>
      <c r="E2268">
        <v>200000</v>
      </c>
      <c r="H2268">
        <v>14.25</v>
      </c>
      <c r="I2268" t="s">
        <v>56</v>
      </c>
      <c r="J2268">
        <v>1.4250000000000001E-3</v>
      </c>
      <c r="K2268" t="s">
        <v>57</v>
      </c>
      <c r="N2268" t="s">
        <v>642</v>
      </c>
      <c r="O2268">
        <v>212</v>
      </c>
      <c r="P2268" t="s">
        <v>262</v>
      </c>
      <c r="S2268" t="s">
        <v>643</v>
      </c>
      <c r="T2268">
        <v>27</v>
      </c>
      <c r="U2268" t="s">
        <v>644</v>
      </c>
      <c r="V2268">
        <v>45</v>
      </c>
      <c r="W2268" t="s">
        <v>549</v>
      </c>
      <c r="X2268" t="s">
        <v>280</v>
      </c>
      <c r="Y2268">
        <v>2160</v>
      </c>
      <c r="AA2268" t="s">
        <v>94</v>
      </c>
      <c r="AB2268">
        <v>7.23</v>
      </c>
      <c r="AC2268" t="s">
        <v>85</v>
      </c>
      <c r="AD2268" t="s">
        <v>242</v>
      </c>
      <c r="AE2268" t="s">
        <v>138</v>
      </c>
      <c r="AI2268">
        <v>5</v>
      </c>
      <c r="AJ2268" t="s">
        <v>201</v>
      </c>
      <c r="AT2268" t="s">
        <v>77</v>
      </c>
      <c r="AV2268" t="s">
        <v>88</v>
      </c>
      <c r="AX2268">
        <v>212</v>
      </c>
      <c r="AZ2268">
        <v>0</v>
      </c>
      <c r="BA2268">
        <v>7.23</v>
      </c>
    </row>
    <row r="2269" spans="1:53" hidden="1" x14ac:dyDescent="0.3">
      <c r="A2269" t="s">
        <v>641</v>
      </c>
      <c r="C2269" t="s">
        <v>251</v>
      </c>
      <c r="D2269" t="s">
        <v>81</v>
      </c>
      <c r="E2269">
        <v>200000</v>
      </c>
      <c r="H2269">
        <v>14.25</v>
      </c>
      <c r="I2269" t="s">
        <v>56</v>
      </c>
      <c r="J2269">
        <v>1.4250000000000001E-3</v>
      </c>
      <c r="K2269" t="s">
        <v>57</v>
      </c>
      <c r="N2269" t="s">
        <v>642</v>
      </c>
      <c r="O2269">
        <v>212</v>
      </c>
      <c r="P2269" t="s">
        <v>262</v>
      </c>
      <c r="S2269" t="s">
        <v>643</v>
      </c>
      <c r="T2269">
        <v>22</v>
      </c>
      <c r="U2269" t="s">
        <v>644</v>
      </c>
      <c r="V2269">
        <v>75</v>
      </c>
      <c r="W2269" t="s">
        <v>147</v>
      </c>
      <c r="X2269" t="s">
        <v>280</v>
      </c>
      <c r="Y2269">
        <v>1440</v>
      </c>
      <c r="AB2269">
        <v>2.54</v>
      </c>
      <c r="AC2269" t="s">
        <v>85</v>
      </c>
      <c r="AD2269" t="s">
        <v>494</v>
      </c>
      <c r="AE2269" t="s">
        <v>138</v>
      </c>
      <c r="AI2269">
        <v>5</v>
      </c>
      <c r="AJ2269" t="s">
        <v>201</v>
      </c>
      <c r="AT2269" t="s">
        <v>150</v>
      </c>
      <c r="AV2269" t="s">
        <v>88</v>
      </c>
      <c r="AX2269">
        <v>212</v>
      </c>
    </row>
    <row r="2270" spans="1:53" hidden="1" x14ac:dyDescent="0.3">
      <c r="A2270" t="s">
        <v>641</v>
      </c>
      <c r="C2270" t="s">
        <v>251</v>
      </c>
      <c r="D2270" t="s">
        <v>81</v>
      </c>
      <c r="E2270">
        <v>200000</v>
      </c>
      <c r="H2270">
        <v>14.25</v>
      </c>
      <c r="I2270" t="s">
        <v>56</v>
      </c>
      <c r="J2270">
        <v>1.4250000000000001E-3</v>
      </c>
      <c r="K2270" t="s">
        <v>57</v>
      </c>
      <c r="N2270" t="s">
        <v>642</v>
      </c>
      <c r="O2270">
        <v>212</v>
      </c>
      <c r="P2270" t="s">
        <v>262</v>
      </c>
      <c r="S2270" t="s">
        <v>643</v>
      </c>
      <c r="T2270">
        <v>22</v>
      </c>
      <c r="U2270" t="s">
        <v>644</v>
      </c>
      <c r="V2270">
        <v>75</v>
      </c>
      <c r="W2270" t="s">
        <v>468</v>
      </c>
      <c r="X2270" t="s">
        <v>280</v>
      </c>
      <c r="Y2270">
        <v>1440</v>
      </c>
      <c r="AB2270">
        <v>2.7</v>
      </c>
      <c r="AC2270" t="s">
        <v>85</v>
      </c>
      <c r="AD2270" t="s">
        <v>517</v>
      </c>
      <c r="AE2270" t="s">
        <v>138</v>
      </c>
      <c r="AI2270">
        <v>5</v>
      </c>
      <c r="AJ2270" t="s">
        <v>201</v>
      </c>
      <c r="AT2270" t="s">
        <v>318</v>
      </c>
      <c r="AV2270" t="s">
        <v>88</v>
      </c>
      <c r="AX2270">
        <v>212</v>
      </c>
    </row>
    <row r="2271" spans="1:53" hidden="1" x14ac:dyDescent="0.3">
      <c r="A2271" t="s">
        <v>641</v>
      </c>
      <c r="C2271" t="s">
        <v>251</v>
      </c>
      <c r="D2271" t="s">
        <v>81</v>
      </c>
      <c r="E2271">
        <v>200000</v>
      </c>
      <c r="H2271">
        <v>14.25</v>
      </c>
      <c r="I2271" t="s">
        <v>56</v>
      </c>
      <c r="J2271">
        <v>1.4250000000000001E-3</v>
      </c>
      <c r="K2271" t="s">
        <v>57</v>
      </c>
      <c r="N2271" t="s">
        <v>642</v>
      </c>
      <c r="O2271">
        <v>212</v>
      </c>
      <c r="P2271" t="s">
        <v>262</v>
      </c>
      <c r="S2271" t="s">
        <v>643</v>
      </c>
      <c r="T2271">
        <v>22</v>
      </c>
      <c r="U2271" t="s">
        <v>644</v>
      </c>
      <c r="V2271">
        <v>75</v>
      </c>
      <c r="W2271" t="s">
        <v>72</v>
      </c>
      <c r="X2271" t="s">
        <v>280</v>
      </c>
      <c r="Y2271">
        <v>1440</v>
      </c>
      <c r="AB2271">
        <v>3.31</v>
      </c>
      <c r="AC2271" t="s">
        <v>85</v>
      </c>
      <c r="AD2271" t="s">
        <v>496</v>
      </c>
      <c r="AE2271" t="s">
        <v>138</v>
      </c>
      <c r="AI2271">
        <v>5</v>
      </c>
      <c r="AJ2271" t="s">
        <v>201</v>
      </c>
      <c r="AT2271" t="s">
        <v>73</v>
      </c>
      <c r="AV2271" t="s">
        <v>88</v>
      </c>
      <c r="AX2271">
        <v>212</v>
      </c>
    </row>
    <row r="2272" spans="1:53" hidden="1" x14ac:dyDescent="0.3">
      <c r="A2272" t="s">
        <v>641</v>
      </c>
      <c r="C2272" t="s">
        <v>251</v>
      </c>
      <c r="D2272" t="s">
        <v>81</v>
      </c>
      <c r="E2272">
        <v>200000</v>
      </c>
      <c r="H2272">
        <v>14.25</v>
      </c>
      <c r="I2272" t="s">
        <v>56</v>
      </c>
      <c r="J2272">
        <v>1.4250000000000001E-3</v>
      </c>
      <c r="K2272" t="s">
        <v>57</v>
      </c>
      <c r="N2272" t="s">
        <v>642</v>
      </c>
      <c r="O2272">
        <v>212</v>
      </c>
      <c r="P2272" t="s">
        <v>262</v>
      </c>
      <c r="S2272" t="s">
        <v>643</v>
      </c>
      <c r="T2272">
        <v>22</v>
      </c>
      <c r="U2272" t="s">
        <v>644</v>
      </c>
      <c r="V2272">
        <v>75</v>
      </c>
      <c r="W2272" t="s">
        <v>465</v>
      </c>
      <c r="X2272" t="s">
        <v>280</v>
      </c>
      <c r="Y2272">
        <v>1440</v>
      </c>
      <c r="AB2272">
        <v>2.69</v>
      </c>
      <c r="AC2272" t="s">
        <v>85</v>
      </c>
      <c r="AD2272" t="s">
        <v>106</v>
      </c>
      <c r="AE2272" t="s">
        <v>138</v>
      </c>
      <c r="AI2272">
        <v>5</v>
      </c>
      <c r="AJ2272" t="s">
        <v>201</v>
      </c>
      <c r="AT2272" t="s">
        <v>79</v>
      </c>
      <c r="AV2272" t="s">
        <v>88</v>
      </c>
      <c r="AX2272">
        <v>212</v>
      </c>
    </row>
    <row r="2273" spans="1:53" hidden="1" x14ac:dyDescent="0.3">
      <c r="A2273" t="s">
        <v>641</v>
      </c>
      <c r="C2273" t="s">
        <v>251</v>
      </c>
      <c r="D2273" t="s">
        <v>81</v>
      </c>
      <c r="E2273">
        <v>200000</v>
      </c>
      <c r="H2273">
        <v>14.25</v>
      </c>
      <c r="I2273" t="s">
        <v>56</v>
      </c>
      <c r="J2273">
        <v>1.4250000000000001E-3</v>
      </c>
      <c r="K2273" t="s">
        <v>57</v>
      </c>
      <c r="N2273" t="s">
        <v>642</v>
      </c>
      <c r="O2273">
        <v>212</v>
      </c>
      <c r="P2273" t="s">
        <v>262</v>
      </c>
      <c r="S2273" t="s">
        <v>643</v>
      </c>
      <c r="T2273">
        <v>22</v>
      </c>
      <c r="U2273" t="s">
        <v>644</v>
      </c>
      <c r="V2273">
        <v>75</v>
      </c>
      <c r="W2273" t="s">
        <v>540</v>
      </c>
      <c r="X2273" t="s">
        <v>280</v>
      </c>
      <c r="Y2273">
        <v>1440</v>
      </c>
      <c r="AB2273">
        <v>2.99</v>
      </c>
      <c r="AC2273" t="s">
        <v>85</v>
      </c>
      <c r="AD2273" t="s">
        <v>98</v>
      </c>
      <c r="AE2273" t="s">
        <v>138</v>
      </c>
      <c r="AI2273">
        <v>5</v>
      </c>
      <c r="AJ2273" t="s">
        <v>201</v>
      </c>
      <c r="AT2273" t="s">
        <v>212</v>
      </c>
      <c r="AV2273" t="s">
        <v>88</v>
      </c>
      <c r="AX2273">
        <v>212</v>
      </c>
    </row>
    <row r="2274" spans="1:53" hidden="1" x14ac:dyDescent="0.3">
      <c r="A2274" t="s">
        <v>641</v>
      </c>
      <c r="C2274" t="s">
        <v>251</v>
      </c>
      <c r="D2274" t="s">
        <v>81</v>
      </c>
      <c r="E2274">
        <v>200000</v>
      </c>
      <c r="H2274">
        <v>14.25</v>
      </c>
      <c r="I2274" t="s">
        <v>56</v>
      </c>
      <c r="J2274">
        <v>1.4250000000000001E-3</v>
      </c>
      <c r="K2274" t="s">
        <v>57</v>
      </c>
      <c r="N2274" t="s">
        <v>642</v>
      </c>
      <c r="O2274">
        <v>212</v>
      </c>
      <c r="P2274" t="s">
        <v>262</v>
      </c>
      <c r="S2274" t="s">
        <v>643</v>
      </c>
      <c r="T2274">
        <v>22</v>
      </c>
      <c r="U2274" t="s">
        <v>644</v>
      </c>
      <c r="V2274">
        <v>75</v>
      </c>
      <c r="W2274" t="s">
        <v>549</v>
      </c>
      <c r="X2274" t="s">
        <v>280</v>
      </c>
      <c r="Y2274">
        <v>1440</v>
      </c>
      <c r="AB2274">
        <v>3.41</v>
      </c>
      <c r="AC2274" t="s">
        <v>85</v>
      </c>
      <c r="AD2274" t="s">
        <v>500</v>
      </c>
      <c r="AE2274" t="s">
        <v>138</v>
      </c>
      <c r="AI2274">
        <v>5</v>
      </c>
      <c r="AJ2274" t="s">
        <v>201</v>
      </c>
      <c r="AT2274" t="s">
        <v>77</v>
      </c>
      <c r="AV2274" t="s">
        <v>88</v>
      </c>
      <c r="AX2274">
        <v>212</v>
      </c>
    </row>
    <row r="2275" spans="1:53" hidden="1" x14ac:dyDescent="0.3">
      <c r="A2275" t="s">
        <v>641</v>
      </c>
      <c r="C2275" t="s">
        <v>251</v>
      </c>
      <c r="D2275" t="s">
        <v>81</v>
      </c>
      <c r="E2275">
        <v>200000</v>
      </c>
      <c r="H2275">
        <v>14.25</v>
      </c>
      <c r="I2275" t="s">
        <v>56</v>
      </c>
      <c r="J2275">
        <v>1.4250000000000001E-3</v>
      </c>
      <c r="K2275" t="s">
        <v>57</v>
      </c>
      <c r="N2275" t="s">
        <v>642</v>
      </c>
      <c r="O2275">
        <v>212</v>
      </c>
      <c r="P2275" t="s">
        <v>262</v>
      </c>
      <c r="S2275" t="s">
        <v>643</v>
      </c>
      <c r="T2275">
        <v>27</v>
      </c>
      <c r="U2275" t="s">
        <v>644</v>
      </c>
      <c r="V2275">
        <v>45</v>
      </c>
      <c r="W2275" t="s">
        <v>147</v>
      </c>
      <c r="X2275" t="s">
        <v>280</v>
      </c>
      <c r="Y2275">
        <v>2880</v>
      </c>
      <c r="AB2275">
        <v>3.49</v>
      </c>
      <c r="AC2275" t="s">
        <v>85</v>
      </c>
      <c r="AD2275" t="s">
        <v>100</v>
      </c>
      <c r="AE2275" t="s">
        <v>138</v>
      </c>
      <c r="AI2275">
        <v>5</v>
      </c>
      <c r="AJ2275" t="s">
        <v>201</v>
      </c>
      <c r="AT2275" t="s">
        <v>150</v>
      </c>
      <c r="AV2275" t="s">
        <v>88</v>
      </c>
      <c r="AX2275">
        <v>212</v>
      </c>
    </row>
    <row r="2276" spans="1:53" hidden="1" x14ac:dyDescent="0.3">
      <c r="A2276" t="s">
        <v>641</v>
      </c>
      <c r="C2276" t="s">
        <v>251</v>
      </c>
      <c r="D2276" t="s">
        <v>81</v>
      </c>
      <c r="E2276">
        <v>200000</v>
      </c>
      <c r="H2276">
        <v>14.25</v>
      </c>
      <c r="I2276" t="s">
        <v>56</v>
      </c>
      <c r="J2276">
        <v>1.4250000000000001E-3</v>
      </c>
      <c r="K2276" t="s">
        <v>57</v>
      </c>
      <c r="N2276" t="s">
        <v>642</v>
      </c>
      <c r="O2276">
        <v>212</v>
      </c>
      <c r="P2276" t="s">
        <v>262</v>
      </c>
      <c r="S2276" t="s">
        <v>643</v>
      </c>
      <c r="T2276">
        <v>27</v>
      </c>
      <c r="U2276" t="s">
        <v>644</v>
      </c>
      <c r="V2276">
        <v>45</v>
      </c>
      <c r="W2276" t="s">
        <v>468</v>
      </c>
      <c r="X2276" t="s">
        <v>280</v>
      </c>
      <c r="Y2276">
        <v>2880</v>
      </c>
      <c r="AB2276">
        <v>4</v>
      </c>
      <c r="AC2276" t="s">
        <v>85</v>
      </c>
      <c r="AD2276" t="s">
        <v>488</v>
      </c>
      <c r="AE2276" t="s">
        <v>138</v>
      </c>
      <c r="AI2276">
        <v>5</v>
      </c>
      <c r="AJ2276" t="s">
        <v>201</v>
      </c>
      <c r="AT2276" t="s">
        <v>318</v>
      </c>
      <c r="AV2276" t="s">
        <v>88</v>
      </c>
      <c r="AX2276">
        <v>212</v>
      </c>
    </row>
    <row r="2277" spans="1:53" hidden="1" x14ac:dyDescent="0.3">
      <c r="A2277" t="s">
        <v>641</v>
      </c>
      <c r="C2277" t="s">
        <v>251</v>
      </c>
      <c r="D2277" t="s">
        <v>81</v>
      </c>
      <c r="E2277">
        <v>200000</v>
      </c>
      <c r="H2277">
        <v>14.25</v>
      </c>
      <c r="I2277" t="s">
        <v>56</v>
      </c>
      <c r="J2277">
        <v>1.4250000000000001E-3</v>
      </c>
      <c r="K2277" t="s">
        <v>57</v>
      </c>
      <c r="N2277" t="s">
        <v>642</v>
      </c>
      <c r="O2277">
        <v>212</v>
      </c>
      <c r="P2277" t="s">
        <v>262</v>
      </c>
      <c r="S2277" t="s">
        <v>643</v>
      </c>
      <c r="T2277">
        <v>27</v>
      </c>
      <c r="U2277" t="s">
        <v>644</v>
      </c>
      <c r="V2277">
        <v>45</v>
      </c>
      <c r="W2277" t="s">
        <v>72</v>
      </c>
      <c r="X2277" t="s">
        <v>280</v>
      </c>
      <c r="Y2277">
        <v>2880</v>
      </c>
      <c r="AB2277">
        <v>6.6</v>
      </c>
      <c r="AC2277" t="s">
        <v>85</v>
      </c>
      <c r="AD2277" t="s">
        <v>534</v>
      </c>
      <c r="AE2277" t="s">
        <v>138</v>
      </c>
      <c r="AI2277">
        <v>5</v>
      </c>
      <c r="AJ2277" t="s">
        <v>201</v>
      </c>
      <c r="AT2277" t="s">
        <v>73</v>
      </c>
      <c r="AV2277" t="s">
        <v>88</v>
      </c>
      <c r="AX2277">
        <v>212</v>
      </c>
    </row>
    <row r="2278" spans="1:53" hidden="1" x14ac:dyDescent="0.3">
      <c r="A2278" t="s">
        <v>641</v>
      </c>
      <c r="C2278" t="s">
        <v>251</v>
      </c>
      <c r="D2278" t="s">
        <v>81</v>
      </c>
      <c r="E2278">
        <v>200000</v>
      </c>
      <c r="H2278">
        <v>14.25</v>
      </c>
      <c r="I2278" t="s">
        <v>56</v>
      </c>
      <c r="J2278">
        <v>1.4250000000000001E-3</v>
      </c>
      <c r="K2278" t="s">
        <v>57</v>
      </c>
      <c r="N2278" t="s">
        <v>642</v>
      </c>
      <c r="O2278">
        <v>212</v>
      </c>
      <c r="P2278" t="s">
        <v>262</v>
      </c>
      <c r="S2278" t="s">
        <v>643</v>
      </c>
      <c r="T2278">
        <v>27</v>
      </c>
      <c r="U2278" t="s">
        <v>644</v>
      </c>
      <c r="V2278">
        <v>45</v>
      </c>
      <c r="W2278" t="s">
        <v>465</v>
      </c>
      <c r="X2278" t="s">
        <v>280</v>
      </c>
      <c r="Y2278">
        <v>2880</v>
      </c>
      <c r="AA2278" t="s">
        <v>94</v>
      </c>
      <c r="AB2278">
        <v>7.34</v>
      </c>
      <c r="AC2278" t="s">
        <v>85</v>
      </c>
      <c r="AD2278" t="s">
        <v>490</v>
      </c>
      <c r="AE2278" t="s">
        <v>138</v>
      </c>
      <c r="AI2278">
        <v>5</v>
      </c>
      <c r="AJ2278" t="s">
        <v>201</v>
      </c>
      <c r="AT2278" t="s">
        <v>79</v>
      </c>
      <c r="AV2278" t="s">
        <v>88</v>
      </c>
      <c r="AX2278">
        <v>212</v>
      </c>
      <c r="AZ2278">
        <v>0</v>
      </c>
      <c r="BA2278">
        <v>7.34</v>
      </c>
    </row>
    <row r="2279" spans="1:53" hidden="1" x14ac:dyDescent="0.3">
      <c r="A2279" t="s">
        <v>641</v>
      </c>
      <c r="C2279" t="s">
        <v>251</v>
      </c>
      <c r="D2279" t="s">
        <v>81</v>
      </c>
      <c r="E2279">
        <v>200000</v>
      </c>
      <c r="H2279">
        <v>14.25</v>
      </c>
      <c r="I2279" t="s">
        <v>56</v>
      </c>
      <c r="J2279">
        <v>1.4250000000000001E-3</v>
      </c>
      <c r="K2279" t="s">
        <v>57</v>
      </c>
      <c r="N2279" t="s">
        <v>642</v>
      </c>
      <c r="O2279">
        <v>212</v>
      </c>
      <c r="P2279" t="s">
        <v>262</v>
      </c>
      <c r="S2279" t="s">
        <v>643</v>
      </c>
      <c r="T2279">
        <v>27</v>
      </c>
      <c r="U2279" t="s">
        <v>644</v>
      </c>
      <c r="V2279">
        <v>45</v>
      </c>
      <c r="W2279" t="s">
        <v>540</v>
      </c>
      <c r="X2279" t="s">
        <v>280</v>
      </c>
      <c r="Y2279">
        <v>2880</v>
      </c>
      <c r="AB2279">
        <v>1.86</v>
      </c>
      <c r="AC2279" t="s">
        <v>85</v>
      </c>
      <c r="AD2279" t="s">
        <v>228</v>
      </c>
      <c r="AE2279" t="s">
        <v>138</v>
      </c>
      <c r="AI2279">
        <v>5</v>
      </c>
      <c r="AJ2279" t="s">
        <v>201</v>
      </c>
      <c r="AT2279" t="s">
        <v>212</v>
      </c>
      <c r="AV2279" t="s">
        <v>88</v>
      </c>
      <c r="AX2279">
        <v>212</v>
      </c>
    </row>
    <row r="2280" spans="1:53" hidden="1" x14ac:dyDescent="0.3">
      <c r="A2280" t="s">
        <v>641</v>
      </c>
      <c r="C2280" t="s">
        <v>251</v>
      </c>
      <c r="D2280" t="s">
        <v>81</v>
      </c>
      <c r="E2280">
        <v>200000</v>
      </c>
      <c r="H2280">
        <v>14.25</v>
      </c>
      <c r="I2280" t="s">
        <v>56</v>
      </c>
      <c r="J2280">
        <v>1.4250000000000001E-3</v>
      </c>
      <c r="K2280" t="s">
        <v>57</v>
      </c>
      <c r="N2280" t="s">
        <v>642</v>
      </c>
      <c r="O2280">
        <v>212</v>
      </c>
      <c r="P2280" t="s">
        <v>262</v>
      </c>
      <c r="S2280" t="s">
        <v>643</v>
      </c>
      <c r="T2280">
        <v>27</v>
      </c>
      <c r="U2280" t="s">
        <v>644</v>
      </c>
      <c r="V2280">
        <v>45</v>
      </c>
      <c r="W2280" t="s">
        <v>549</v>
      </c>
      <c r="X2280" t="s">
        <v>280</v>
      </c>
      <c r="Y2280">
        <v>2880</v>
      </c>
      <c r="AA2280" t="s">
        <v>94</v>
      </c>
      <c r="AB2280">
        <v>6.84</v>
      </c>
      <c r="AC2280" t="s">
        <v>85</v>
      </c>
      <c r="AD2280" t="s">
        <v>103</v>
      </c>
      <c r="AE2280" t="s">
        <v>138</v>
      </c>
      <c r="AI2280">
        <v>5</v>
      </c>
      <c r="AJ2280" t="s">
        <v>201</v>
      </c>
      <c r="AT2280" t="s">
        <v>77</v>
      </c>
      <c r="AV2280" t="s">
        <v>88</v>
      </c>
      <c r="AX2280">
        <v>212</v>
      </c>
      <c r="AZ2280">
        <v>0</v>
      </c>
      <c r="BA2280">
        <v>6.84</v>
      </c>
    </row>
    <row r="2281" spans="1:53" hidden="1" x14ac:dyDescent="0.3">
      <c r="A2281" t="s">
        <v>641</v>
      </c>
      <c r="C2281" t="s">
        <v>251</v>
      </c>
      <c r="D2281" t="s">
        <v>81</v>
      </c>
      <c r="E2281">
        <v>200000</v>
      </c>
      <c r="H2281">
        <v>14.25</v>
      </c>
      <c r="I2281" t="s">
        <v>56</v>
      </c>
      <c r="J2281">
        <v>1.4250000000000001E-3</v>
      </c>
      <c r="K2281" t="s">
        <v>57</v>
      </c>
      <c r="N2281" t="s">
        <v>642</v>
      </c>
      <c r="O2281">
        <v>212</v>
      </c>
      <c r="P2281" t="s">
        <v>262</v>
      </c>
      <c r="S2281" t="s">
        <v>643</v>
      </c>
      <c r="T2281">
        <v>27</v>
      </c>
      <c r="U2281" t="s">
        <v>644</v>
      </c>
      <c r="V2281">
        <v>75</v>
      </c>
      <c r="W2281" t="s">
        <v>147</v>
      </c>
      <c r="X2281" t="s">
        <v>280</v>
      </c>
      <c r="Y2281">
        <v>1440</v>
      </c>
      <c r="AB2281">
        <v>4.42</v>
      </c>
      <c r="AC2281" t="s">
        <v>85</v>
      </c>
      <c r="AD2281" t="s">
        <v>483</v>
      </c>
      <c r="AE2281" t="s">
        <v>138</v>
      </c>
      <c r="AI2281">
        <v>5</v>
      </c>
      <c r="AJ2281" t="s">
        <v>201</v>
      </c>
      <c r="AT2281" t="s">
        <v>150</v>
      </c>
      <c r="AV2281" t="s">
        <v>88</v>
      </c>
      <c r="AX2281">
        <v>212</v>
      </c>
    </row>
    <row r="2282" spans="1:53" hidden="1" x14ac:dyDescent="0.3">
      <c r="A2282" t="s">
        <v>641</v>
      </c>
      <c r="C2282" t="s">
        <v>251</v>
      </c>
      <c r="D2282" t="s">
        <v>81</v>
      </c>
      <c r="E2282">
        <v>200000</v>
      </c>
      <c r="H2282">
        <v>14.25</v>
      </c>
      <c r="I2282" t="s">
        <v>56</v>
      </c>
      <c r="J2282">
        <v>1.4250000000000001E-3</v>
      </c>
      <c r="K2282" t="s">
        <v>57</v>
      </c>
      <c r="N2282" t="s">
        <v>642</v>
      </c>
      <c r="O2282">
        <v>212</v>
      </c>
      <c r="P2282" t="s">
        <v>262</v>
      </c>
      <c r="S2282" t="s">
        <v>643</v>
      </c>
      <c r="T2282">
        <v>27</v>
      </c>
      <c r="U2282" t="s">
        <v>644</v>
      </c>
      <c r="V2282">
        <v>75</v>
      </c>
      <c r="W2282" t="s">
        <v>468</v>
      </c>
      <c r="X2282" t="s">
        <v>280</v>
      </c>
      <c r="Y2282">
        <v>1440</v>
      </c>
      <c r="AA2282" t="s">
        <v>94</v>
      </c>
      <c r="AB2282">
        <v>7.14</v>
      </c>
      <c r="AC2282" t="s">
        <v>85</v>
      </c>
      <c r="AD2282" t="s">
        <v>418</v>
      </c>
      <c r="AE2282" t="s">
        <v>138</v>
      </c>
      <c r="AI2282">
        <v>5</v>
      </c>
      <c r="AJ2282" t="s">
        <v>201</v>
      </c>
      <c r="AT2282" t="s">
        <v>318</v>
      </c>
      <c r="AV2282" t="s">
        <v>88</v>
      </c>
      <c r="AX2282">
        <v>212</v>
      </c>
      <c r="AZ2282">
        <v>0</v>
      </c>
      <c r="BA2282">
        <v>7.14</v>
      </c>
    </row>
    <row r="2283" spans="1:53" hidden="1" x14ac:dyDescent="0.3">
      <c r="A2283" t="s">
        <v>641</v>
      </c>
      <c r="C2283" t="s">
        <v>251</v>
      </c>
      <c r="D2283" t="s">
        <v>81</v>
      </c>
      <c r="E2283">
        <v>200000</v>
      </c>
      <c r="H2283">
        <v>14.25</v>
      </c>
      <c r="I2283" t="s">
        <v>56</v>
      </c>
      <c r="J2283">
        <v>1.4250000000000001E-3</v>
      </c>
      <c r="K2283" t="s">
        <v>57</v>
      </c>
      <c r="N2283" t="s">
        <v>642</v>
      </c>
      <c r="O2283">
        <v>212</v>
      </c>
      <c r="P2283" t="s">
        <v>262</v>
      </c>
      <c r="S2283" t="s">
        <v>643</v>
      </c>
      <c r="T2283">
        <v>27</v>
      </c>
      <c r="U2283" t="s">
        <v>644</v>
      </c>
      <c r="V2283">
        <v>75</v>
      </c>
      <c r="W2283" t="s">
        <v>72</v>
      </c>
      <c r="X2283" t="s">
        <v>280</v>
      </c>
      <c r="Y2283">
        <v>1440</v>
      </c>
      <c r="AB2283">
        <v>7.4</v>
      </c>
      <c r="AC2283" t="s">
        <v>85</v>
      </c>
      <c r="AD2283" t="s">
        <v>647</v>
      </c>
      <c r="AE2283" t="s">
        <v>138</v>
      </c>
      <c r="AI2283">
        <v>5</v>
      </c>
      <c r="AJ2283" t="s">
        <v>201</v>
      </c>
      <c r="AT2283" t="s">
        <v>73</v>
      </c>
      <c r="AV2283" t="s">
        <v>88</v>
      </c>
      <c r="AX2283">
        <v>212</v>
      </c>
    </row>
    <row r="2284" spans="1:53" hidden="1" x14ac:dyDescent="0.3">
      <c r="A2284" t="s">
        <v>641</v>
      </c>
      <c r="C2284" t="s">
        <v>251</v>
      </c>
      <c r="D2284" t="s">
        <v>81</v>
      </c>
      <c r="E2284">
        <v>200000</v>
      </c>
      <c r="H2284">
        <v>14.25</v>
      </c>
      <c r="I2284" t="s">
        <v>56</v>
      </c>
      <c r="J2284">
        <v>1.4250000000000001E-3</v>
      </c>
      <c r="K2284" t="s">
        <v>57</v>
      </c>
      <c r="N2284" t="s">
        <v>642</v>
      </c>
      <c r="O2284">
        <v>212</v>
      </c>
      <c r="P2284" t="s">
        <v>262</v>
      </c>
      <c r="S2284" t="s">
        <v>643</v>
      </c>
      <c r="T2284">
        <v>27</v>
      </c>
      <c r="U2284" t="s">
        <v>644</v>
      </c>
      <c r="V2284">
        <v>75</v>
      </c>
      <c r="W2284" t="s">
        <v>465</v>
      </c>
      <c r="X2284" t="s">
        <v>280</v>
      </c>
      <c r="Y2284">
        <v>1440</v>
      </c>
      <c r="AA2284" t="s">
        <v>94</v>
      </c>
      <c r="AB2284">
        <v>7.79</v>
      </c>
      <c r="AC2284" t="s">
        <v>85</v>
      </c>
      <c r="AD2284" t="s">
        <v>235</v>
      </c>
      <c r="AE2284" t="s">
        <v>138</v>
      </c>
      <c r="AI2284">
        <v>5</v>
      </c>
      <c r="AJ2284" t="s">
        <v>201</v>
      </c>
      <c r="AT2284" t="s">
        <v>79</v>
      </c>
      <c r="AV2284" t="s">
        <v>88</v>
      </c>
      <c r="AX2284">
        <v>212</v>
      </c>
      <c r="AZ2284">
        <v>0</v>
      </c>
      <c r="BA2284">
        <v>7.79</v>
      </c>
    </row>
    <row r="2285" spans="1:53" hidden="1" x14ac:dyDescent="0.3">
      <c r="A2285" t="s">
        <v>641</v>
      </c>
      <c r="C2285" t="s">
        <v>251</v>
      </c>
      <c r="D2285" t="s">
        <v>81</v>
      </c>
      <c r="E2285">
        <v>200000</v>
      </c>
      <c r="H2285">
        <v>14.25</v>
      </c>
      <c r="I2285" t="s">
        <v>56</v>
      </c>
      <c r="J2285">
        <v>1.4250000000000001E-3</v>
      </c>
      <c r="K2285" t="s">
        <v>57</v>
      </c>
      <c r="N2285" t="s">
        <v>642</v>
      </c>
      <c r="O2285">
        <v>212</v>
      </c>
      <c r="P2285" t="s">
        <v>262</v>
      </c>
      <c r="S2285" t="s">
        <v>643</v>
      </c>
      <c r="T2285">
        <v>27</v>
      </c>
      <c r="U2285" t="s">
        <v>644</v>
      </c>
      <c r="V2285">
        <v>75</v>
      </c>
      <c r="W2285" t="s">
        <v>540</v>
      </c>
      <c r="X2285" t="s">
        <v>280</v>
      </c>
      <c r="Y2285">
        <v>1440</v>
      </c>
      <c r="AB2285">
        <v>6.29</v>
      </c>
      <c r="AC2285" t="s">
        <v>85</v>
      </c>
      <c r="AD2285" t="s">
        <v>648</v>
      </c>
      <c r="AE2285" t="s">
        <v>138</v>
      </c>
      <c r="AI2285">
        <v>5</v>
      </c>
      <c r="AJ2285" t="s">
        <v>201</v>
      </c>
      <c r="AT2285" t="s">
        <v>212</v>
      </c>
      <c r="AV2285" t="s">
        <v>88</v>
      </c>
      <c r="AX2285">
        <v>212</v>
      </c>
    </row>
    <row r="2286" spans="1:53" hidden="1" x14ac:dyDescent="0.3">
      <c r="A2286" t="s">
        <v>641</v>
      </c>
      <c r="C2286" t="s">
        <v>251</v>
      </c>
      <c r="D2286" t="s">
        <v>81</v>
      </c>
      <c r="E2286">
        <v>200000</v>
      </c>
      <c r="H2286">
        <v>14.25</v>
      </c>
      <c r="I2286" t="s">
        <v>56</v>
      </c>
      <c r="J2286">
        <v>1.4250000000000001E-3</v>
      </c>
      <c r="K2286" t="s">
        <v>57</v>
      </c>
      <c r="N2286" t="s">
        <v>642</v>
      </c>
      <c r="O2286">
        <v>212</v>
      </c>
      <c r="P2286" t="s">
        <v>262</v>
      </c>
      <c r="S2286" t="s">
        <v>643</v>
      </c>
      <c r="T2286">
        <v>27</v>
      </c>
      <c r="U2286" t="s">
        <v>644</v>
      </c>
      <c r="V2286">
        <v>75</v>
      </c>
      <c r="W2286" t="s">
        <v>549</v>
      </c>
      <c r="X2286" t="s">
        <v>280</v>
      </c>
      <c r="Y2286">
        <v>1440</v>
      </c>
      <c r="AA2286" t="s">
        <v>94</v>
      </c>
      <c r="AB2286">
        <v>7.17</v>
      </c>
      <c r="AC2286" t="s">
        <v>85</v>
      </c>
      <c r="AD2286" t="s">
        <v>321</v>
      </c>
      <c r="AE2286" t="s">
        <v>138</v>
      </c>
      <c r="AI2286">
        <v>5</v>
      </c>
      <c r="AJ2286" t="s">
        <v>201</v>
      </c>
      <c r="AT2286" t="s">
        <v>77</v>
      </c>
      <c r="AV2286" t="s">
        <v>88</v>
      </c>
      <c r="AX2286">
        <v>212</v>
      </c>
      <c r="AZ2286">
        <v>0</v>
      </c>
      <c r="BA2286">
        <v>7.17</v>
      </c>
    </row>
    <row r="2287" spans="1:53" hidden="1" x14ac:dyDescent="0.3">
      <c r="A2287" t="s">
        <v>641</v>
      </c>
      <c r="C2287" t="s">
        <v>251</v>
      </c>
      <c r="D2287" t="s">
        <v>81</v>
      </c>
      <c r="E2287">
        <v>200000</v>
      </c>
      <c r="H2287">
        <v>14.25</v>
      </c>
      <c r="I2287" t="s">
        <v>56</v>
      </c>
      <c r="J2287">
        <v>1.4250000000000001E-3</v>
      </c>
      <c r="K2287" t="s">
        <v>57</v>
      </c>
      <c r="N2287" t="s">
        <v>642</v>
      </c>
      <c r="O2287">
        <v>212</v>
      </c>
      <c r="P2287" t="s">
        <v>262</v>
      </c>
      <c r="S2287" t="s">
        <v>643</v>
      </c>
      <c r="T2287">
        <v>27</v>
      </c>
      <c r="U2287" t="s">
        <v>644</v>
      </c>
      <c r="V2287">
        <v>45</v>
      </c>
      <c r="W2287" t="s">
        <v>147</v>
      </c>
      <c r="X2287" t="s">
        <v>280</v>
      </c>
      <c r="Y2287">
        <v>2880</v>
      </c>
      <c r="AB2287">
        <v>2.29</v>
      </c>
      <c r="AC2287" t="s">
        <v>85</v>
      </c>
      <c r="AD2287" t="s">
        <v>314</v>
      </c>
      <c r="AE2287" t="s">
        <v>138</v>
      </c>
      <c r="AI2287">
        <v>5</v>
      </c>
      <c r="AJ2287" t="s">
        <v>201</v>
      </c>
      <c r="AT2287" t="s">
        <v>150</v>
      </c>
      <c r="AV2287" t="s">
        <v>88</v>
      </c>
      <c r="AX2287">
        <v>212</v>
      </c>
    </row>
    <row r="2288" spans="1:53" hidden="1" x14ac:dyDescent="0.3">
      <c r="A2288" t="s">
        <v>641</v>
      </c>
      <c r="C2288" t="s">
        <v>251</v>
      </c>
      <c r="D2288" t="s">
        <v>81</v>
      </c>
      <c r="E2288">
        <v>200000</v>
      </c>
      <c r="H2288">
        <v>14.25</v>
      </c>
      <c r="I2288" t="s">
        <v>56</v>
      </c>
      <c r="J2288">
        <v>1.4250000000000001E-3</v>
      </c>
      <c r="K2288" t="s">
        <v>57</v>
      </c>
      <c r="N2288" t="s">
        <v>642</v>
      </c>
      <c r="O2288">
        <v>212</v>
      </c>
      <c r="P2288" t="s">
        <v>262</v>
      </c>
      <c r="S2288" t="s">
        <v>643</v>
      </c>
      <c r="T2288">
        <v>27</v>
      </c>
      <c r="U2288" t="s">
        <v>644</v>
      </c>
      <c r="V2288">
        <v>45</v>
      </c>
      <c r="W2288" t="s">
        <v>468</v>
      </c>
      <c r="X2288" t="s">
        <v>280</v>
      </c>
      <c r="Y2288">
        <v>2880</v>
      </c>
      <c r="AB2288">
        <v>3.29</v>
      </c>
      <c r="AC2288" t="s">
        <v>85</v>
      </c>
      <c r="AD2288" t="s">
        <v>92</v>
      </c>
      <c r="AE2288" t="s">
        <v>138</v>
      </c>
      <c r="AI2288">
        <v>5</v>
      </c>
      <c r="AJ2288" t="s">
        <v>201</v>
      </c>
      <c r="AT2288" t="s">
        <v>318</v>
      </c>
      <c r="AV2288" t="s">
        <v>88</v>
      </c>
      <c r="AX2288">
        <v>212</v>
      </c>
    </row>
    <row r="2289" spans="1:53" hidden="1" x14ac:dyDescent="0.3">
      <c r="A2289" t="s">
        <v>641</v>
      </c>
      <c r="C2289" t="s">
        <v>251</v>
      </c>
      <c r="D2289" t="s">
        <v>81</v>
      </c>
      <c r="E2289">
        <v>200000</v>
      </c>
      <c r="H2289">
        <v>14.25</v>
      </c>
      <c r="I2289" t="s">
        <v>56</v>
      </c>
      <c r="J2289">
        <v>1.4250000000000001E-3</v>
      </c>
      <c r="K2289" t="s">
        <v>57</v>
      </c>
      <c r="N2289" t="s">
        <v>642</v>
      </c>
      <c r="O2289">
        <v>212</v>
      </c>
      <c r="P2289" t="s">
        <v>262</v>
      </c>
      <c r="S2289" t="s">
        <v>643</v>
      </c>
      <c r="T2289">
        <v>27</v>
      </c>
      <c r="U2289" t="s">
        <v>644</v>
      </c>
      <c r="V2289">
        <v>45</v>
      </c>
      <c r="W2289" t="s">
        <v>72</v>
      </c>
      <c r="X2289" t="s">
        <v>280</v>
      </c>
      <c r="Y2289">
        <v>2880</v>
      </c>
      <c r="AB2289">
        <v>4.3099999999999898</v>
      </c>
      <c r="AC2289" t="s">
        <v>85</v>
      </c>
      <c r="AD2289" t="s">
        <v>638</v>
      </c>
      <c r="AE2289" t="s">
        <v>138</v>
      </c>
      <c r="AI2289">
        <v>5</v>
      </c>
      <c r="AJ2289" t="s">
        <v>201</v>
      </c>
      <c r="AT2289" t="s">
        <v>73</v>
      </c>
      <c r="AV2289" t="s">
        <v>88</v>
      </c>
      <c r="AX2289">
        <v>212</v>
      </c>
    </row>
    <row r="2290" spans="1:53" hidden="1" x14ac:dyDescent="0.3">
      <c r="A2290" t="s">
        <v>641</v>
      </c>
      <c r="C2290" t="s">
        <v>251</v>
      </c>
      <c r="D2290" t="s">
        <v>81</v>
      </c>
      <c r="E2290">
        <v>200000</v>
      </c>
      <c r="H2290">
        <v>14.25</v>
      </c>
      <c r="I2290" t="s">
        <v>56</v>
      </c>
      <c r="J2290">
        <v>1.4250000000000001E-3</v>
      </c>
      <c r="K2290" t="s">
        <v>57</v>
      </c>
      <c r="N2290" t="s">
        <v>642</v>
      </c>
      <c r="O2290">
        <v>212</v>
      </c>
      <c r="P2290" t="s">
        <v>262</v>
      </c>
      <c r="S2290" t="s">
        <v>643</v>
      </c>
      <c r="T2290">
        <v>27</v>
      </c>
      <c r="U2290" t="s">
        <v>644</v>
      </c>
      <c r="V2290">
        <v>45</v>
      </c>
      <c r="W2290" t="s">
        <v>465</v>
      </c>
      <c r="X2290" t="s">
        <v>280</v>
      </c>
      <c r="Y2290">
        <v>2880</v>
      </c>
      <c r="AA2290" t="s">
        <v>94</v>
      </c>
      <c r="AB2290">
        <v>7.6</v>
      </c>
      <c r="AC2290" t="s">
        <v>85</v>
      </c>
      <c r="AD2290" t="s">
        <v>236</v>
      </c>
      <c r="AE2290" t="s">
        <v>138</v>
      </c>
      <c r="AI2290">
        <v>5</v>
      </c>
      <c r="AJ2290" t="s">
        <v>201</v>
      </c>
      <c r="AT2290" t="s">
        <v>79</v>
      </c>
      <c r="AV2290" t="s">
        <v>88</v>
      </c>
      <c r="AX2290">
        <v>212</v>
      </c>
      <c r="AZ2290">
        <v>0</v>
      </c>
      <c r="BA2290">
        <v>7.6</v>
      </c>
    </row>
    <row r="2291" spans="1:53" hidden="1" x14ac:dyDescent="0.3">
      <c r="A2291" t="s">
        <v>641</v>
      </c>
      <c r="C2291" t="s">
        <v>251</v>
      </c>
      <c r="D2291" t="s">
        <v>81</v>
      </c>
      <c r="E2291">
        <v>200000</v>
      </c>
      <c r="H2291">
        <v>14.25</v>
      </c>
      <c r="I2291" t="s">
        <v>56</v>
      </c>
      <c r="J2291">
        <v>1.4250000000000001E-3</v>
      </c>
      <c r="K2291" t="s">
        <v>57</v>
      </c>
      <c r="N2291" t="s">
        <v>642</v>
      </c>
      <c r="O2291">
        <v>212</v>
      </c>
      <c r="P2291" t="s">
        <v>262</v>
      </c>
      <c r="S2291" t="s">
        <v>643</v>
      </c>
      <c r="T2291">
        <v>27</v>
      </c>
      <c r="U2291" t="s">
        <v>644</v>
      </c>
      <c r="V2291">
        <v>45</v>
      </c>
      <c r="W2291" t="s">
        <v>540</v>
      </c>
      <c r="X2291" t="s">
        <v>280</v>
      </c>
      <c r="Y2291">
        <v>2880</v>
      </c>
      <c r="AB2291">
        <v>2.02999999999999</v>
      </c>
      <c r="AC2291" t="s">
        <v>85</v>
      </c>
      <c r="AD2291" t="s">
        <v>482</v>
      </c>
      <c r="AE2291" t="s">
        <v>138</v>
      </c>
      <c r="AI2291">
        <v>5</v>
      </c>
      <c r="AJ2291" t="s">
        <v>201</v>
      </c>
      <c r="AT2291" t="s">
        <v>212</v>
      </c>
      <c r="AV2291" t="s">
        <v>88</v>
      </c>
      <c r="AX2291">
        <v>212</v>
      </c>
    </row>
    <row r="2292" spans="1:53" hidden="1" x14ac:dyDescent="0.3">
      <c r="A2292" t="s">
        <v>641</v>
      </c>
      <c r="C2292" t="s">
        <v>251</v>
      </c>
      <c r="D2292" t="s">
        <v>81</v>
      </c>
      <c r="E2292">
        <v>200000</v>
      </c>
      <c r="H2292">
        <v>14.25</v>
      </c>
      <c r="I2292" t="s">
        <v>56</v>
      </c>
      <c r="J2292">
        <v>1.4250000000000001E-3</v>
      </c>
      <c r="K2292" t="s">
        <v>57</v>
      </c>
      <c r="N2292" t="s">
        <v>642</v>
      </c>
      <c r="O2292">
        <v>212</v>
      </c>
      <c r="P2292" t="s">
        <v>262</v>
      </c>
      <c r="S2292" t="s">
        <v>643</v>
      </c>
      <c r="T2292">
        <v>27</v>
      </c>
      <c r="U2292" t="s">
        <v>644</v>
      </c>
      <c r="V2292">
        <v>45</v>
      </c>
      <c r="W2292" t="s">
        <v>549</v>
      </c>
      <c r="X2292" t="s">
        <v>280</v>
      </c>
      <c r="Y2292">
        <v>2880</v>
      </c>
      <c r="AA2292" t="s">
        <v>94</v>
      </c>
      <c r="AB2292">
        <v>6.94</v>
      </c>
      <c r="AC2292" t="s">
        <v>85</v>
      </c>
      <c r="AD2292" t="s">
        <v>248</v>
      </c>
      <c r="AE2292" t="s">
        <v>138</v>
      </c>
      <c r="AI2292">
        <v>5</v>
      </c>
      <c r="AJ2292" t="s">
        <v>201</v>
      </c>
      <c r="AT2292" t="s">
        <v>77</v>
      </c>
      <c r="AV2292" t="s">
        <v>88</v>
      </c>
      <c r="AX2292">
        <v>212</v>
      </c>
      <c r="AZ2292">
        <v>0</v>
      </c>
      <c r="BA2292">
        <v>6.94</v>
      </c>
    </row>
    <row r="2293" spans="1:53" hidden="1" x14ac:dyDescent="0.3">
      <c r="A2293" t="s">
        <v>641</v>
      </c>
      <c r="C2293" t="s">
        <v>251</v>
      </c>
      <c r="D2293" t="s">
        <v>81</v>
      </c>
      <c r="E2293">
        <v>200000</v>
      </c>
      <c r="H2293">
        <v>14.25</v>
      </c>
      <c r="I2293" t="s">
        <v>56</v>
      </c>
      <c r="J2293">
        <v>1.4250000000000001E-3</v>
      </c>
      <c r="K2293" t="s">
        <v>57</v>
      </c>
      <c r="N2293" t="s">
        <v>642</v>
      </c>
      <c r="O2293">
        <v>212</v>
      </c>
      <c r="P2293" t="s">
        <v>262</v>
      </c>
      <c r="S2293" t="s">
        <v>643</v>
      </c>
      <c r="T2293">
        <v>27</v>
      </c>
      <c r="U2293" t="s">
        <v>644</v>
      </c>
      <c r="V2293">
        <v>75</v>
      </c>
      <c r="W2293" t="s">
        <v>147</v>
      </c>
      <c r="X2293" t="s">
        <v>280</v>
      </c>
      <c r="Y2293">
        <v>2160</v>
      </c>
      <c r="AA2293" t="s">
        <v>94</v>
      </c>
      <c r="AB2293">
        <v>7.74</v>
      </c>
      <c r="AC2293" t="s">
        <v>85</v>
      </c>
      <c r="AD2293" t="s">
        <v>314</v>
      </c>
      <c r="AE2293" t="s">
        <v>138</v>
      </c>
      <c r="AI2293">
        <v>5</v>
      </c>
      <c r="AJ2293" t="s">
        <v>201</v>
      </c>
      <c r="AT2293" t="s">
        <v>150</v>
      </c>
      <c r="AV2293" t="s">
        <v>88</v>
      </c>
      <c r="AX2293">
        <v>212</v>
      </c>
      <c r="AZ2293">
        <v>0</v>
      </c>
      <c r="BA2293">
        <v>7.74</v>
      </c>
    </row>
    <row r="2294" spans="1:53" hidden="1" x14ac:dyDescent="0.3">
      <c r="A2294" t="s">
        <v>641</v>
      </c>
      <c r="C2294" t="s">
        <v>251</v>
      </c>
      <c r="D2294" t="s">
        <v>81</v>
      </c>
      <c r="E2294">
        <v>200000</v>
      </c>
      <c r="H2294">
        <v>14.25</v>
      </c>
      <c r="I2294" t="s">
        <v>56</v>
      </c>
      <c r="J2294">
        <v>1.4250000000000001E-3</v>
      </c>
      <c r="K2294" t="s">
        <v>57</v>
      </c>
      <c r="N2294" t="s">
        <v>642</v>
      </c>
      <c r="O2294">
        <v>212</v>
      </c>
      <c r="P2294" t="s">
        <v>262</v>
      </c>
      <c r="S2294" t="s">
        <v>643</v>
      </c>
      <c r="T2294">
        <v>27</v>
      </c>
      <c r="U2294" t="s">
        <v>644</v>
      </c>
      <c r="V2294">
        <v>75</v>
      </c>
      <c r="W2294" t="s">
        <v>468</v>
      </c>
      <c r="X2294" t="s">
        <v>280</v>
      </c>
      <c r="Y2294">
        <v>2160</v>
      </c>
      <c r="AA2294" t="s">
        <v>94</v>
      </c>
      <c r="AB2294">
        <v>7.07</v>
      </c>
      <c r="AC2294" t="s">
        <v>85</v>
      </c>
      <c r="AD2294" t="s">
        <v>237</v>
      </c>
      <c r="AE2294" t="s">
        <v>138</v>
      </c>
      <c r="AI2294">
        <v>5</v>
      </c>
      <c r="AJ2294" t="s">
        <v>201</v>
      </c>
      <c r="AT2294" t="s">
        <v>318</v>
      </c>
      <c r="AV2294" t="s">
        <v>88</v>
      </c>
      <c r="AX2294">
        <v>212</v>
      </c>
      <c r="AZ2294">
        <v>0</v>
      </c>
      <c r="BA2294">
        <v>7.07</v>
      </c>
    </row>
    <row r="2295" spans="1:53" hidden="1" x14ac:dyDescent="0.3">
      <c r="A2295" t="s">
        <v>641</v>
      </c>
      <c r="C2295" t="s">
        <v>251</v>
      </c>
      <c r="D2295" t="s">
        <v>81</v>
      </c>
      <c r="E2295">
        <v>200000</v>
      </c>
      <c r="H2295">
        <v>14.25</v>
      </c>
      <c r="I2295" t="s">
        <v>56</v>
      </c>
      <c r="J2295">
        <v>1.4250000000000001E-3</v>
      </c>
      <c r="K2295" t="s">
        <v>57</v>
      </c>
      <c r="N2295" t="s">
        <v>642</v>
      </c>
      <c r="O2295">
        <v>212</v>
      </c>
      <c r="P2295" t="s">
        <v>262</v>
      </c>
      <c r="S2295" t="s">
        <v>643</v>
      </c>
      <c r="T2295">
        <v>27</v>
      </c>
      <c r="U2295" t="s">
        <v>644</v>
      </c>
      <c r="V2295">
        <v>75</v>
      </c>
      <c r="W2295" t="s">
        <v>72</v>
      </c>
      <c r="X2295" t="s">
        <v>280</v>
      </c>
      <c r="Y2295">
        <v>2160</v>
      </c>
      <c r="AA2295" t="s">
        <v>94</v>
      </c>
      <c r="AB2295">
        <v>8.0399999999999903</v>
      </c>
      <c r="AC2295" t="s">
        <v>85</v>
      </c>
      <c r="AD2295" t="s">
        <v>232</v>
      </c>
      <c r="AE2295" t="s">
        <v>138</v>
      </c>
      <c r="AI2295">
        <v>5</v>
      </c>
      <c r="AJ2295" t="s">
        <v>201</v>
      </c>
      <c r="AT2295" t="s">
        <v>73</v>
      </c>
      <c r="AV2295" t="s">
        <v>88</v>
      </c>
      <c r="AX2295">
        <v>212</v>
      </c>
      <c r="AZ2295">
        <v>0</v>
      </c>
      <c r="BA2295">
        <v>8.0399999999999903</v>
      </c>
    </row>
    <row r="2296" spans="1:53" hidden="1" x14ac:dyDescent="0.3">
      <c r="A2296" t="s">
        <v>641</v>
      </c>
      <c r="C2296" t="s">
        <v>251</v>
      </c>
      <c r="D2296" t="s">
        <v>81</v>
      </c>
      <c r="E2296">
        <v>200000</v>
      </c>
      <c r="H2296">
        <v>14.25</v>
      </c>
      <c r="I2296" t="s">
        <v>56</v>
      </c>
      <c r="J2296">
        <v>1.4250000000000001E-3</v>
      </c>
      <c r="K2296" t="s">
        <v>57</v>
      </c>
      <c r="N2296" t="s">
        <v>642</v>
      </c>
      <c r="O2296">
        <v>212</v>
      </c>
      <c r="P2296" t="s">
        <v>262</v>
      </c>
      <c r="S2296" t="s">
        <v>643</v>
      </c>
      <c r="T2296">
        <v>27</v>
      </c>
      <c r="U2296" t="s">
        <v>644</v>
      </c>
      <c r="V2296">
        <v>75</v>
      </c>
      <c r="W2296" t="s">
        <v>540</v>
      </c>
      <c r="X2296" t="s">
        <v>280</v>
      </c>
      <c r="Y2296">
        <v>2160</v>
      </c>
      <c r="AA2296" t="s">
        <v>94</v>
      </c>
      <c r="AB2296">
        <v>6.92</v>
      </c>
      <c r="AC2296" t="s">
        <v>85</v>
      </c>
      <c r="AD2296" t="s">
        <v>237</v>
      </c>
      <c r="AE2296" t="s">
        <v>138</v>
      </c>
      <c r="AI2296">
        <v>5</v>
      </c>
      <c r="AJ2296" t="s">
        <v>201</v>
      </c>
      <c r="AT2296" t="s">
        <v>212</v>
      </c>
      <c r="AV2296" t="s">
        <v>88</v>
      </c>
      <c r="AX2296">
        <v>212</v>
      </c>
      <c r="AZ2296">
        <v>0</v>
      </c>
      <c r="BA2296">
        <v>6.92</v>
      </c>
    </row>
    <row r="2297" spans="1:53" hidden="1" x14ac:dyDescent="0.3">
      <c r="A2297" t="s">
        <v>641</v>
      </c>
      <c r="C2297" t="s">
        <v>251</v>
      </c>
      <c r="D2297" t="s">
        <v>81</v>
      </c>
      <c r="E2297">
        <v>200000</v>
      </c>
      <c r="H2297">
        <v>14.25</v>
      </c>
      <c r="I2297" t="s">
        <v>56</v>
      </c>
      <c r="J2297">
        <v>1.4250000000000001E-3</v>
      </c>
      <c r="K2297" t="s">
        <v>57</v>
      </c>
      <c r="N2297" t="s">
        <v>642</v>
      </c>
      <c r="O2297">
        <v>300</v>
      </c>
      <c r="P2297" t="s">
        <v>262</v>
      </c>
      <c r="S2297" t="s">
        <v>643</v>
      </c>
      <c r="T2297">
        <v>22</v>
      </c>
      <c r="U2297" t="s">
        <v>644</v>
      </c>
      <c r="V2297">
        <v>45</v>
      </c>
      <c r="W2297" t="s">
        <v>147</v>
      </c>
      <c r="X2297" t="s">
        <v>280</v>
      </c>
      <c r="Y2297">
        <v>2880</v>
      </c>
      <c r="AB2297">
        <v>3.11</v>
      </c>
      <c r="AC2297" t="s">
        <v>85</v>
      </c>
      <c r="AD2297" t="s">
        <v>521</v>
      </c>
      <c r="AE2297" t="s">
        <v>138</v>
      </c>
      <c r="AI2297">
        <v>5</v>
      </c>
      <c r="AJ2297" t="s">
        <v>201</v>
      </c>
      <c r="AT2297" t="s">
        <v>150</v>
      </c>
      <c r="AV2297" t="s">
        <v>88</v>
      </c>
      <c r="AX2297">
        <v>300</v>
      </c>
    </row>
    <row r="2298" spans="1:53" hidden="1" x14ac:dyDescent="0.3">
      <c r="A2298" t="s">
        <v>641</v>
      </c>
      <c r="C2298" t="s">
        <v>251</v>
      </c>
      <c r="D2298" t="s">
        <v>81</v>
      </c>
      <c r="E2298">
        <v>200000</v>
      </c>
      <c r="H2298">
        <v>14.25</v>
      </c>
      <c r="I2298" t="s">
        <v>56</v>
      </c>
      <c r="J2298">
        <v>1.4250000000000001E-3</v>
      </c>
      <c r="K2298" t="s">
        <v>57</v>
      </c>
      <c r="N2298" t="s">
        <v>642</v>
      </c>
      <c r="O2298">
        <v>300</v>
      </c>
      <c r="P2298" t="s">
        <v>262</v>
      </c>
      <c r="S2298" t="s">
        <v>643</v>
      </c>
      <c r="T2298">
        <v>22</v>
      </c>
      <c r="U2298" t="s">
        <v>644</v>
      </c>
      <c r="V2298">
        <v>45</v>
      </c>
      <c r="W2298" t="s">
        <v>468</v>
      </c>
      <c r="X2298" t="s">
        <v>280</v>
      </c>
      <c r="Y2298">
        <v>2880</v>
      </c>
      <c r="AA2298" t="s">
        <v>94</v>
      </c>
      <c r="AB2298">
        <v>7.23</v>
      </c>
      <c r="AC2298" t="s">
        <v>85</v>
      </c>
      <c r="AD2298" t="s">
        <v>227</v>
      </c>
      <c r="AE2298" t="s">
        <v>138</v>
      </c>
      <c r="AI2298">
        <v>5</v>
      </c>
      <c r="AJ2298" t="s">
        <v>201</v>
      </c>
      <c r="AT2298" t="s">
        <v>318</v>
      </c>
      <c r="AV2298" t="s">
        <v>88</v>
      </c>
      <c r="AX2298">
        <v>300</v>
      </c>
      <c r="AZ2298">
        <v>0</v>
      </c>
      <c r="BA2298">
        <v>7.23</v>
      </c>
    </row>
    <row r="2299" spans="1:53" hidden="1" x14ac:dyDescent="0.3">
      <c r="A2299" t="s">
        <v>641</v>
      </c>
      <c r="C2299" t="s">
        <v>251</v>
      </c>
      <c r="D2299" t="s">
        <v>81</v>
      </c>
      <c r="E2299">
        <v>200000</v>
      </c>
      <c r="H2299">
        <v>14.25</v>
      </c>
      <c r="I2299" t="s">
        <v>56</v>
      </c>
      <c r="J2299">
        <v>1.4250000000000001E-3</v>
      </c>
      <c r="K2299" t="s">
        <v>57</v>
      </c>
      <c r="N2299" t="s">
        <v>642</v>
      </c>
      <c r="O2299">
        <v>300</v>
      </c>
      <c r="P2299" t="s">
        <v>262</v>
      </c>
      <c r="S2299" t="s">
        <v>643</v>
      </c>
      <c r="T2299">
        <v>22</v>
      </c>
      <c r="U2299" t="s">
        <v>644</v>
      </c>
      <c r="V2299">
        <v>45</v>
      </c>
      <c r="W2299" t="s">
        <v>72</v>
      </c>
      <c r="X2299" t="s">
        <v>280</v>
      </c>
      <c r="Y2299">
        <v>2880</v>
      </c>
      <c r="AB2299">
        <v>4.5999999999999899</v>
      </c>
      <c r="AC2299" t="s">
        <v>85</v>
      </c>
      <c r="AD2299" t="s">
        <v>649</v>
      </c>
      <c r="AE2299" t="s">
        <v>138</v>
      </c>
      <c r="AI2299">
        <v>5</v>
      </c>
      <c r="AJ2299" t="s">
        <v>201</v>
      </c>
      <c r="AT2299" t="s">
        <v>73</v>
      </c>
      <c r="AV2299" t="s">
        <v>88</v>
      </c>
      <c r="AX2299">
        <v>300</v>
      </c>
    </row>
    <row r="2300" spans="1:53" hidden="1" x14ac:dyDescent="0.3">
      <c r="A2300" t="s">
        <v>641</v>
      </c>
      <c r="C2300" t="s">
        <v>251</v>
      </c>
      <c r="D2300" t="s">
        <v>81</v>
      </c>
      <c r="E2300">
        <v>200000</v>
      </c>
      <c r="H2300">
        <v>14.25</v>
      </c>
      <c r="I2300" t="s">
        <v>56</v>
      </c>
      <c r="J2300">
        <v>1.4250000000000001E-3</v>
      </c>
      <c r="K2300" t="s">
        <v>57</v>
      </c>
      <c r="N2300" t="s">
        <v>642</v>
      </c>
      <c r="O2300">
        <v>300</v>
      </c>
      <c r="P2300" t="s">
        <v>262</v>
      </c>
      <c r="S2300" t="s">
        <v>643</v>
      </c>
      <c r="T2300">
        <v>22</v>
      </c>
      <c r="U2300" t="s">
        <v>644</v>
      </c>
      <c r="V2300">
        <v>45</v>
      </c>
      <c r="W2300" t="s">
        <v>540</v>
      </c>
      <c r="X2300" t="s">
        <v>280</v>
      </c>
      <c r="Y2300">
        <v>2880</v>
      </c>
      <c r="AB2300">
        <v>2.95</v>
      </c>
      <c r="AC2300" t="s">
        <v>85</v>
      </c>
      <c r="AD2300" t="s">
        <v>225</v>
      </c>
      <c r="AE2300" t="s">
        <v>138</v>
      </c>
      <c r="AI2300">
        <v>5</v>
      </c>
      <c r="AJ2300" t="s">
        <v>201</v>
      </c>
      <c r="AT2300" t="s">
        <v>212</v>
      </c>
      <c r="AV2300" t="s">
        <v>88</v>
      </c>
      <c r="AX2300">
        <v>300</v>
      </c>
    </row>
    <row r="2301" spans="1:53" hidden="1" x14ac:dyDescent="0.3">
      <c r="A2301" t="s">
        <v>641</v>
      </c>
      <c r="C2301" t="s">
        <v>251</v>
      </c>
      <c r="D2301" t="s">
        <v>81</v>
      </c>
      <c r="E2301">
        <v>200000</v>
      </c>
      <c r="H2301">
        <v>14.25</v>
      </c>
      <c r="I2301" t="s">
        <v>56</v>
      </c>
      <c r="J2301">
        <v>1.4250000000000001E-3</v>
      </c>
      <c r="K2301" t="s">
        <v>57</v>
      </c>
      <c r="N2301" t="s">
        <v>642</v>
      </c>
      <c r="O2301">
        <v>212</v>
      </c>
      <c r="P2301" t="s">
        <v>262</v>
      </c>
      <c r="S2301" t="s">
        <v>643</v>
      </c>
      <c r="T2301">
        <v>22</v>
      </c>
      <c r="U2301" t="s">
        <v>644</v>
      </c>
      <c r="V2301">
        <v>45</v>
      </c>
      <c r="W2301" t="s">
        <v>147</v>
      </c>
      <c r="X2301" t="s">
        <v>280</v>
      </c>
      <c r="Y2301">
        <v>3600</v>
      </c>
      <c r="AB2301">
        <v>3.9</v>
      </c>
      <c r="AC2301" t="s">
        <v>85</v>
      </c>
      <c r="AD2301" t="s">
        <v>524</v>
      </c>
      <c r="AE2301" t="s">
        <v>138</v>
      </c>
      <c r="AI2301">
        <v>5</v>
      </c>
      <c r="AJ2301" t="s">
        <v>201</v>
      </c>
      <c r="AT2301" t="s">
        <v>150</v>
      </c>
      <c r="AV2301" t="s">
        <v>88</v>
      </c>
      <c r="AX2301">
        <v>212</v>
      </c>
    </row>
    <row r="2302" spans="1:53" hidden="1" x14ac:dyDescent="0.3">
      <c r="A2302" t="s">
        <v>641</v>
      </c>
      <c r="C2302" t="s">
        <v>251</v>
      </c>
      <c r="D2302" t="s">
        <v>81</v>
      </c>
      <c r="E2302">
        <v>200000</v>
      </c>
      <c r="H2302">
        <v>14.25</v>
      </c>
      <c r="I2302" t="s">
        <v>56</v>
      </c>
      <c r="J2302">
        <v>1.4250000000000001E-3</v>
      </c>
      <c r="K2302" t="s">
        <v>57</v>
      </c>
      <c r="N2302" t="s">
        <v>642</v>
      </c>
      <c r="O2302">
        <v>212</v>
      </c>
      <c r="P2302" t="s">
        <v>262</v>
      </c>
      <c r="S2302" t="s">
        <v>643</v>
      </c>
      <c r="T2302">
        <v>22</v>
      </c>
      <c r="U2302" t="s">
        <v>644</v>
      </c>
      <c r="V2302">
        <v>45</v>
      </c>
      <c r="W2302" t="s">
        <v>468</v>
      </c>
      <c r="X2302" t="s">
        <v>280</v>
      </c>
      <c r="Y2302">
        <v>3600</v>
      </c>
      <c r="AA2302" t="s">
        <v>94</v>
      </c>
      <c r="AB2302">
        <v>7.16</v>
      </c>
      <c r="AC2302" t="s">
        <v>85</v>
      </c>
      <c r="AD2302" t="s">
        <v>418</v>
      </c>
      <c r="AE2302" t="s">
        <v>138</v>
      </c>
      <c r="AI2302">
        <v>5</v>
      </c>
      <c r="AJ2302" t="s">
        <v>201</v>
      </c>
      <c r="AT2302" t="s">
        <v>318</v>
      </c>
      <c r="AV2302" t="s">
        <v>88</v>
      </c>
      <c r="AX2302">
        <v>212</v>
      </c>
      <c r="AZ2302">
        <v>0</v>
      </c>
      <c r="BA2302">
        <v>7.16</v>
      </c>
    </row>
    <row r="2303" spans="1:53" hidden="1" x14ac:dyDescent="0.3">
      <c r="A2303" t="s">
        <v>641</v>
      </c>
      <c r="C2303" t="s">
        <v>251</v>
      </c>
      <c r="D2303" t="s">
        <v>81</v>
      </c>
      <c r="E2303">
        <v>200000</v>
      </c>
      <c r="H2303">
        <v>14.25</v>
      </c>
      <c r="I2303" t="s">
        <v>56</v>
      </c>
      <c r="J2303">
        <v>1.4250000000000001E-3</v>
      </c>
      <c r="K2303" t="s">
        <v>57</v>
      </c>
      <c r="N2303" t="s">
        <v>642</v>
      </c>
      <c r="O2303">
        <v>212</v>
      </c>
      <c r="P2303" t="s">
        <v>262</v>
      </c>
      <c r="S2303" t="s">
        <v>643</v>
      </c>
      <c r="T2303">
        <v>22</v>
      </c>
      <c r="U2303" t="s">
        <v>644</v>
      </c>
      <c r="V2303">
        <v>45</v>
      </c>
      <c r="W2303" t="s">
        <v>72</v>
      </c>
      <c r="X2303" t="s">
        <v>280</v>
      </c>
      <c r="Y2303">
        <v>3600</v>
      </c>
      <c r="AB2303">
        <v>3.41</v>
      </c>
      <c r="AC2303" t="s">
        <v>85</v>
      </c>
      <c r="AD2303" t="s">
        <v>234</v>
      </c>
      <c r="AE2303" t="s">
        <v>138</v>
      </c>
      <c r="AI2303">
        <v>5</v>
      </c>
      <c r="AJ2303" t="s">
        <v>201</v>
      </c>
      <c r="AT2303" t="s">
        <v>73</v>
      </c>
      <c r="AV2303" t="s">
        <v>88</v>
      </c>
      <c r="AX2303">
        <v>212</v>
      </c>
    </row>
    <row r="2304" spans="1:53" hidden="1" x14ac:dyDescent="0.3">
      <c r="A2304" t="s">
        <v>641</v>
      </c>
      <c r="C2304" t="s">
        <v>251</v>
      </c>
      <c r="D2304" t="s">
        <v>81</v>
      </c>
      <c r="E2304">
        <v>200000</v>
      </c>
      <c r="H2304">
        <v>14.25</v>
      </c>
      <c r="I2304" t="s">
        <v>56</v>
      </c>
      <c r="J2304">
        <v>1.4250000000000001E-3</v>
      </c>
      <c r="K2304" t="s">
        <v>57</v>
      </c>
      <c r="N2304" t="s">
        <v>642</v>
      </c>
      <c r="O2304">
        <v>212</v>
      </c>
      <c r="P2304" t="s">
        <v>262</v>
      </c>
      <c r="S2304" t="s">
        <v>643</v>
      </c>
      <c r="T2304">
        <v>22</v>
      </c>
      <c r="U2304" t="s">
        <v>644</v>
      </c>
      <c r="V2304">
        <v>45</v>
      </c>
      <c r="W2304" t="s">
        <v>540</v>
      </c>
      <c r="X2304" t="s">
        <v>280</v>
      </c>
      <c r="Y2304">
        <v>3600</v>
      </c>
      <c r="AB2304">
        <v>3.03</v>
      </c>
      <c r="AC2304" t="s">
        <v>85</v>
      </c>
      <c r="AD2304" t="s">
        <v>243</v>
      </c>
      <c r="AE2304" t="s">
        <v>138</v>
      </c>
      <c r="AI2304">
        <v>5</v>
      </c>
      <c r="AJ2304" t="s">
        <v>201</v>
      </c>
      <c r="AT2304" t="s">
        <v>212</v>
      </c>
      <c r="AV2304" t="s">
        <v>88</v>
      </c>
      <c r="AX2304">
        <v>212</v>
      </c>
    </row>
    <row r="2305" spans="1:53" hidden="1" x14ac:dyDescent="0.3">
      <c r="A2305" t="s">
        <v>641</v>
      </c>
      <c r="C2305" t="s">
        <v>251</v>
      </c>
      <c r="D2305" t="s">
        <v>81</v>
      </c>
      <c r="E2305">
        <v>200000</v>
      </c>
      <c r="H2305">
        <v>14.25</v>
      </c>
      <c r="I2305" t="s">
        <v>56</v>
      </c>
      <c r="J2305">
        <v>1.4250000000000001E-3</v>
      </c>
      <c r="K2305" t="s">
        <v>57</v>
      </c>
      <c r="N2305" t="s">
        <v>642</v>
      </c>
      <c r="O2305">
        <v>212</v>
      </c>
      <c r="P2305" t="s">
        <v>262</v>
      </c>
      <c r="S2305" t="s">
        <v>643</v>
      </c>
      <c r="T2305">
        <v>32</v>
      </c>
      <c r="U2305" t="s">
        <v>644</v>
      </c>
      <c r="V2305">
        <v>75</v>
      </c>
      <c r="W2305" t="s">
        <v>147</v>
      </c>
      <c r="X2305" t="s">
        <v>280</v>
      </c>
      <c r="Y2305">
        <v>1440</v>
      </c>
      <c r="AA2305" t="s">
        <v>94</v>
      </c>
      <c r="AB2305">
        <v>7.61</v>
      </c>
      <c r="AC2305" t="s">
        <v>85</v>
      </c>
      <c r="AD2305" t="s">
        <v>365</v>
      </c>
      <c r="AE2305" t="s">
        <v>138</v>
      </c>
      <c r="AI2305">
        <v>5</v>
      </c>
      <c r="AJ2305" t="s">
        <v>201</v>
      </c>
      <c r="AT2305" t="s">
        <v>150</v>
      </c>
      <c r="AV2305" t="s">
        <v>88</v>
      </c>
      <c r="AX2305">
        <v>212</v>
      </c>
      <c r="AZ2305">
        <v>0</v>
      </c>
      <c r="BA2305">
        <v>7.61</v>
      </c>
    </row>
    <row r="2306" spans="1:53" hidden="1" x14ac:dyDescent="0.3">
      <c r="A2306" t="s">
        <v>641</v>
      </c>
      <c r="C2306" t="s">
        <v>251</v>
      </c>
      <c r="D2306" t="s">
        <v>81</v>
      </c>
      <c r="E2306">
        <v>200000</v>
      </c>
      <c r="H2306">
        <v>14.25</v>
      </c>
      <c r="I2306" t="s">
        <v>56</v>
      </c>
      <c r="J2306">
        <v>1.4250000000000001E-3</v>
      </c>
      <c r="K2306" t="s">
        <v>57</v>
      </c>
      <c r="N2306" t="s">
        <v>642</v>
      </c>
      <c r="O2306">
        <v>212</v>
      </c>
      <c r="P2306" t="s">
        <v>262</v>
      </c>
      <c r="S2306" t="s">
        <v>643</v>
      </c>
      <c r="T2306">
        <v>32</v>
      </c>
      <c r="U2306" t="s">
        <v>644</v>
      </c>
      <c r="V2306">
        <v>75</v>
      </c>
      <c r="W2306" t="s">
        <v>468</v>
      </c>
      <c r="X2306" t="s">
        <v>280</v>
      </c>
      <c r="Y2306">
        <v>1440</v>
      </c>
      <c r="AA2306" t="s">
        <v>94</v>
      </c>
      <c r="AB2306">
        <v>7.04</v>
      </c>
      <c r="AC2306" t="s">
        <v>85</v>
      </c>
      <c r="AD2306" t="s">
        <v>236</v>
      </c>
      <c r="AE2306" t="s">
        <v>138</v>
      </c>
      <c r="AI2306">
        <v>5</v>
      </c>
      <c r="AJ2306" t="s">
        <v>201</v>
      </c>
      <c r="AT2306" t="s">
        <v>318</v>
      </c>
      <c r="AV2306" t="s">
        <v>88</v>
      </c>
      <c r="AX2306">
        <v>212</v>
      </c>
      <c r="AZ2306">
        <v>0</v>
      </c>
      <c r="BA2306">
        <v>7.04</v>
      </c>
    </row>
    <row r="2307" spans="1:53" hidden="1" x14ac:dyDescent="0.3">
      <c r="A2307" t="s">
        <v>641</v>
      </c>
      <c r="C2307" t="s">
        <v>251</v>
      </c>
      <c r="D2307" t="s">
        <v>81</v>
      </c>
      <c r="E2307">
        <v>200000</v>
      </c>
      <c r="H2307">
        <v>14.25</v>
      </c>
      <c r="I2307" t="s">
        <v>56</v>
      </c>
      <c r="J2307">
        <v>1.4250000000000001E-3</v>
      </c>
      <c r="K2307" t="s">
        <v>57</v>
      </c>
      <c r="N2307" t="s">
        <v>642</v>
      </c>
      <c r="O2307">
        <v>212</v>
      </c>
      <c r="P2307" t="s">
        <v>262</v>
      </c>
      <c r="S2307" t="s">
        <v>643</v>
      </c>
      <c r="T2307">
        <v>32</v>
      </c>
      <c r="U2307" t="s">
        <v>644</v>
      </c>
      <c r="V2307">
        <v>75</v>
      </c>
      <c r="W2307" t="s">
        <v>72</v>
      </c>
      <c r="X2307" t="s">
        <v>280</v>
      </c>
      <c r="Y2307">
        <v>1440</v>
      </c>
      <c r="AA2307" t="s">
        <v>94</v>
      </c>
      <c r="AB2307">
        <v>7.91</v>
      </c>
      <c r="AC2307" t="s">
        <v>85</v>
      </c>
      <c r="AD2307" t="s">
        <v>418</v>
      </c>
      <c r="AE2307" t="s">
        <v>138</v>
      </c>
      <c r="AI2307">
        <v>5</v>
      </c>
      <c r="AJ2307" t="s">
        <v>201</v>
      </c>
      <c r="AT2307" t="s">
        <v>73</v>
      </c>
      <c r="AV2307" t="s">
        <v>88</v>
      </c>
      <c r="AX2307">
        <v>212</v>
      </c>
      <c r="AZ2307">
        <v>0</v>
      </c>
      <c r="BA2307">
        <v>7.91</v>
      </c>
    </row>
    <row r="2308" spans="1:53" hidden="1" x14ac:dyDescent="0.3">
      <c r="A2308" t="s">
        <v>641</v>
      </c>
      <c r="C2308" t="s">
        <v>251</v>
      </c>
      <c r="D2308" t="s">
        <v>81</v>
      </c>
      <c r="E2308">
        <v>200000</v>
      </c>
      <c r="H2308">
        <v>14.25</v>
      </c>
      <c r="I2308" t="s">
        <v>56</v>
      </c>
      <c r="J2308">
        <v>1.4250000000000001E-3</v>
      </c>
      <c r="K2308" t="s">
        <v>57</v>
      </c>
      <c r="N2308" t="s">
        <v>642</v>
      </c>
      <c r="O2308">
        <v>212</v>
      </c>
      <c r="P2308" t="s">
        <v>262</v>
      </c>
      <c r="S2308" t="s">
        <v>643</v>
      </c>
      <c r="T2308">
        <v>32</v>
      </c>
      <c r="U2308" t="s">
        <v>644</v>
      </c>
      <c r="V2308">
        <v>75</v>
      </c>
      <c r="W2308" t="s">
        <v>540</v>
      </c>
      <c r="X2308" t="s">
        <v>280</v>
      </c>
      <c r="Y2308">
        <v>1440</v>
      </c>
      <c r="AA2308" t="s">
        <v>94</v>
      </c>
      <c r="AB2308">
        <v>6.89</v>
      </c>
      <c r="AC2308" t="s">
        <v>85</v>
      </c>
      <c r="AD2308" t="s">
        <v>314</v>
      </c>
      <c r="AE2308" t="s">
        <v>138</v>
      </c>
      <c r="AI2308">
        <v>5</v>
      </c>
      <c r="AJ2308" t="s">
        <v>201</v>
      </c>
      <c r="AT2308" t="s">
        <v>212</v>
      </c>
      <c r="AV2308" t="s">
        <v>88</v>
      </c>
      <c r="AX2308">
        <v>212</v>
      </c>
      <c r="AZ2308">
        <v>0</v>
      </c>
      <c r="BA2308">
        <v>6.89</v>
      </c>
    </row>
    <row r="2309" spans="1:53" hidden="1" x14ac:dyDescent="0.3">
      <c r="A2309" t="s">
        <v>641</v>
      </c>
      <c r="C2309" t="s">
        <v>251</v>
      </c>
      <c r="D2309" t="s">
        <v>81</v>
      </c>
      <c r="E2309">
        <v>200000</v>
      </c>
      <c r="H2309">
        <v>14.25</v>
      </c>
      <c r="I2309" t="s">
        <v>56</v>
      </c>
      <c r="J2309">
        <v>1.4250000000000001E-3</v>
      </c>
      <c r="K2309" t="s">
        <v>57</v>
      </c>
      <c r="N2309" t="s">
        <v>642</v>
      </c>
      <c r="O2309">
        <v>212</v>
      </c>
      <c r="P2309" t="s">
        <v>262</v>
      </c>
      <c r="S2309" t="s">
        <v>643</v>
      </c>
      <c r="T2309">
        <v>32</v>
      </c>
      <c r="U2309" t="s">
        <v>644</v>
      </c>
      <c r="V2309">
        <v>45</v>
      </c>
      <c r="W2309" t="s">
        <v>147</v>
      </c>
      <c r="X2309" t="s">
        <v>280</v>
      </c>
      <c r="Y2309">
        <v>2880</v>
      </c>
      <c r="AB2309">
        <v>2.27999999999999</v>
      </c>
      <c r="AC2309" t="s">
        <v>85</v>
      </c>
      <c r="AD2309" t="s">
        <v>480</v>
      </c>
      <c r="AE2309" t="s">
        <v>138</v>
      </c>
      <c r="AI2309">
        <v>5</v>
      </c>
      <c r="AJ2309" t="s">
        <v>201</v>
      </c>
      <c r="AT2309" t="s">
        <v>150</v>
      </c>
      <c r="AV2309" t="s">
        <v>88</v>
      </c>
      <c r="AX2309">
        <v>212</v>
      </c>
    </row>
    <row r="2310" spans="1:53" hidden="1" x14ac:dyDescent="0.3">
      <c r="A2310" t="s">
        <v>641</v>
      </c>
      <c r="C2310" t="s">
        <v>251</v>
      </c>
      <c r="D2310" t="s">
        <v>81</v>
      </c>
      <c r="E2310">
        <v>200000</v>
      </c>
      <c r="H2310">
        <v>14.25</v>
      </c>
      <c r="I2310" t="s">
        <v>56</v>
      </c>
      <c r="J2310">
        <v>1.4250000000000001E-3</v>
      </c>
      <c r="K2310" t="s">
        <v>57</v>
      </c>
      <c r="N2310" t="s">
        <v>642</v>
      </c>
      <c r="O2310">
        <v>212</v>
      </c>
      <c r="P2310" t="s">
        <v>262</v>
      </c>
      <c r="S2310" t="s">
        <v>643</v>
      </c>
      <c r="T2310">
        <v>32</v>
      </c>
      <c r="U2310" t="s">
        <v>644</v>
      </c>
      <c r="V2310">
        <v>45</v>
      </c>
      <c r="W2310" t="s">
        <v>468</v>
      </c>
      <c r="X2310" t="s">
        <v>280</v>
      </c>
      <c r="Y2310">
        <v>2880</v>
      </c>
      <c r="AB2310">
        <v>3.93</v>
      </c>
      <c r="AC2310" t="s">
        <v>85</v>
      </c>
      <c r="AD2310" t="s">
        <v>108</v>
      </c>
      <c r="AE2310" t="s">
        <v>138</v>
      </c>
      <c r="AI2310">
        <v>5</v>
      </c>
      <c r="AJ2310" t="s">
        <v>201</v>
      </c>
      <c r="AT2310" t="s">
        <v>318</v>
      </c>
      <c r="AV2310" t="s">
        <v>88</v>
      </c>
      <c r="AX2310">
        <v>212</v>
      </c>
    </row>
    <row r="2311" spans="1:53" hidden="1" x14ac:dyDescent="0.3">
      <c r="A2311" t="s">
        <v>641</v>
      </c>
      <c r="C2311" t="s">
        <v>251</v>
      </c>
      <c r="D2311" t="s">
        <v>81</v>
      </c>
      <c r="E2311">
        <v>200000</v>
      </c>
      <c r="H2311">
        <v>14.25</v>
      </c>
      <c r="I2311" t="s">
        <v>56</v>
      </c>
      <c r="J2311">
        <v>1.4250000000000001E-3</v>
      </c>
      <c r="K2311" t="s">
        <v>57</v>
      </c>
      <c r="N2311" t="s">
        <v>642</v>
      </c>
      <c r="O2311">
        <v>212</v>
      </c>
      <c r="P2311" t="s">
        <v>262</v>
      </c>
      <c r="S2311" t="s">
        <v>643</v>
      </c>
      <c r="T2311">
        <v>32</v>
      </c>
      <c r="U2311" t="s">
        <v>644</v>
      </c>
      <c r="V2311">
        <v>45</v>
      </c>
      <c r="W2311" t="s">
        <v>72</v>
      </c>
      <c r="X2311" t="s">
        <v>280</v>
      </c>
      <c r="Y2311">
        <v>2880</v>
      </c>
      <c r="AB2311">
        <v>4.6500000000000004</v>
      </c>
      <c r="AC2311" t="s">
        <v>85</v>
      </c>
      <c r="AD2311" t="s">
        <v>243</v>
      </c>
      <c r="AE2311" t="s">
        <v>138</v>
      </c>
      <c r="AI2311">
        <v>5</v>
      </c>
      <c r="AJ2311" t="s">
        <v>201</v>
      </c>
      <c r="AT2311" t="s">
        <v>73</v>
      </c>
      <c r="AV2311" t="s">
        <v>88</v>
      </c>
      <c r="AX2311">
        <v>212</v>
      </c>
    </row>
    <row r="2312" spans="1:53" hidden="1" x14ac:dyDescent="0.3">
      <c r="A2312" t="s">
        <v>641</v>
      </c>
      <c r="C2312" t="s">
        <v>251</v>
      </c>
      <c r="D2312" t="s">
        <v>81</v>
      </c>
      <c r="E2312">
        <v>200000</v>
      </c>
      <c r="H2312">
        <v>14.25</v>
      </c>
      <c r="I2312" t="s">
        <v>56</v>
      </c>
      <c r="J2312">
        <v>1.4250000000000001E-3</v>
      </c>
      <c r="K2312" t="s">
        <v>57</v>
      </c>
      <c r="N2312" t="s">
        <v>642</v>
      </c>
      <c r="O2312">
        <v>212</v>
      </c>
      <c r="P2312" t="s">
        <v>262</v>
      </c>
      <c r="S2312" t="s">
        <v>643</v>
      </c>
      <c r="T2312">
        <v>32</v>
      </c>
      <c r="U2312" t="s">
        <v>644</v>
      </c>
      <c r="V2312">
        <v>45</v>
      </c>
      <c r="W2312" t="s">
        <v>540</v>
      </c>
      <c r="X2312" t="s">
        <v>280</v>
      </c>
      <c r="Y2312">
        <v>2880</v>
      </c>
      <c r="AB2312">
        <v>2.4700000000000002</v>
      </c>
      <c r="AC2312" t="s">
        <v>85</v>
      </c>
      <c r="AD2312" t="s">
        <v>650</v>
      </c>
      <c r="AE2312" t="s">
        <v>138</v>
      </c>
      <c r="AI2312">
        <v>5</v>
      </c>
      <c r="AJ2312" t="s">
        <v>201</v>
      </c>
      <c r="AT2312" t="s">
        <v>212</v>
      </c>
      <c r="AV2312" t="s">
        <v>88</v>
      </c>
      <c r="AX2312">
        <v>212</v>
      </c>
    </row>
    <row r="2313" spans="1:53" hidden="1" x14ac:dyDescent="0.3">
      <c r="A2313" t="s">
        <v>641</v>
      </c>
      <c r="C2313" t="s">
        <v>251</v>
      </c>
      <c r="D2313" t="s">
        <v>81</v>
      </c>
      <c r="E2313">
        <v>200000</v>
      </c>
      <c r="H2313">
        <v>14.25</v>
      </c>
      <c r="I2313" t="s">
        <v>56</v>
      </c>
      <c r="J2313">
        <v>1.4250000000000001E-3</v>
      </c>
      <c r="K2313" t="s">
        <v>57</v>
      </c>
      <c r="N2313" t="s">
        <v>642</v>
      </c>
      <c r="O2313">
        <v>300</v>
      </c>
      <c r="P2313" t="s">
        <v>262</v>
      </c>
      <c r="S2313" t="s">
        <v>643</v>
      </c>
      <c r="T2313">
        <v>22</v>
      </c>
      <c r="U2313" t="s">
        <v>644</v>
      </c>
      <c r="V2313">
        <v>75</v>
      </c>
      <c r="W2313" t="s">
        <v>147</v>
      </c>
      <c r="X2313" t="s">
        <v>280</v>
      </c>
      <c r="Y2313">
        <v>1440</v>
      </c>
      <c r="AA2313" t="s">
        <v>94</v>
      </c>
      <c r="AB2313">
        <v>7.62</v>
      </c>
      <c r="AC2313" t="s">
        <v>85</v>
      </c>
      <c r="AD2313" t="s">
        <v>365</v>
      </c>
      <c r="AE2313" t="s">
        <v>138</v>
      </c>
      <c r="AI2313">
        <v>5</v>
      </c>
      <c r="AJ2313" t="s">
        <v>201</v>
      </c>
      <c r="AT2313" t="s">
        <v>150</v>
      </c>
      <c r="AV2313" t="s">
        <v>88</v>
      </c>
      <c r="AX2313">
        <v>300</v>
      </c>
      <c r="AZ2313">
        <v>0</v>
      </c>
      <c r="BA2313">
        <v>7.62</v>
      </c>
    </row>
    <row r="2314" spans="1:53" hidden="1" x14ac:dyDescent="0.3">
      <c r="A2314" t="s">
        <v>641</v>
      </c>
      <c r="C2314" t="s">
        <v>251</v>
      </c>
      <c r="D2314" t="s">
        <v>81</v>
      </c>
      <c r="E2314">
        <v>1100000</v>
      </c>
      <c r="H2314">
        <v>14.25</v>
      </c>
      <c r="I2314" t="s">
        <v>56</v>
      </c>
      <c r="J2314">
        <v>1.4250000000000001E-3</v>
      </c>
      <c r="K2314" t="s">
        <v>57</v>
      </c>
      <c r="N2314" t="s">
        <v>642</v>
      </c>
      <c r="O2314">
        <v>300</v>
      </c>
      <c r="P2314" t="s">
        <v>262</v>
      </c>
      <c r="S2314" t="s">
        <v>643</v>
      </c>
      <c r="T2314">
        <v>22</v>
      </c>
      <c r="U2314" t="s">
        <v>644</v>
      </c>
      <c r="V2314">
        <v>75</v>
      </c>
      <c r="W2314" t="s">
        <v>468</v>
      </c>
      <c r="X2314" t="s">
        <v>280</v>
      </c>
      <c r="Y2314">
        <v>1440</v>
      </c>
      <c r="AB2314">
        <v>6.72</v>
      </c>
      <c r="AC2314" t="s">
        <v>85</v>
      </c>
      <c r="AD2314" t="s">
        <v>651</v>
      </c>
      <c r="AE2314" t="s">
        <v>138</v>
      </c>
      <c r="AI2314">
        <v>5</v>
      </c>
      <c r="AJ2314" t="s">
        <v>201</v>
      </c>
      <c r="AT2314" t="s">
        <v>318</v>
      </c>
      <c r="AV2314" t="s">
        <v>88</v>
      </c>
      <c r="AX2314">
        <v>300</v>
      </c>
    </row>
    <row r="2315" spans="1:53" hidden="1" x14ac:dyDescent="0.3">
      <c r="A2315" t="s">
        <v>641</v>
      </c>
      <c r="C2315" t="s">
        <v>251</v>
      </c>
      <c r="D2315" t="s">
        <v>81</v>
      </c>
      <c r="E2315">
        <v>1100000</v>
      </c>
      <c r="H2315">
        <v>14.25</v>
      </c>
      <c r="I2315" t="s">
        <v>56</v>
      </c>
      <c r="J2315">
        <v>1.4250000000000001E-3</v>
      </c>
      <c r="K2315" t="s">
        <v>57</v>
      </c>
      <c r="N2315" t="s">
        <v>642</v>
      </c>
      <c r="O2315">
        <v>300</v>
      </c>
      <c r="P2315" t="s">
        <v>262</v>
      </c>
      <c r="S2315" t="s">
        <v>643</v>
      </c>
      <c r="T2315">
        <v>22</v>
      </c>
      <c r="U2315" t="s">
        <v>644</v>
      </c>
      <c r="V2315">
        <v>75</v>
      </c>
      <c r="W2315" t="s">
        <v>72</v>
      </c>
      <c r="X2315" t="s">
        <v>280</v>
      </c>
      <c r="Y2315">
        <v>1440</v>
      </c>
      <c r="AA2315" t="s">
        <v>94</v>
      </c>
      <c r="AB2315">
        <v>8.02</v>
      </c>
      <c r="AC2315" t="s">
        <v>85</v>
      </c>
      <c r="AD2315" t="s">
        <v>232</v>
      </c>
      <c r="AE2315" t="s">
        <v>138</v>
      </c>
      <c r="AI2315">
        <v>5</v>
      </c>
      <c r="AJ2315" t="s">
        <v>201</v>
      </c>
      <c r="AT2315" t="s">
        <v>73</v>
      </c>
      <c r="AV2315" t="s">
        <v>88</v>
      </c>
      <c r="AX2315">
        <v>300</v>
      </c>
      <c r="AZ2315">
        <v>0</v>
      </c>
      <c r="BA2315">
        <v>8.02</v>
      </c>
    </row>
    <row r="2316" spans="1:53" hidden="1" x14ac:dyDescent="0.3">
      <c r="A2316" t="s">
        <v>641</v>
      </c>
      <c r="C2316" t="s">
        <v>251</v>
      </c>
      <c r="D2316" t="s">
        <v>81</v>
      </c>
      <c r="E2316">
        <v>1100000</v>
      </c>
      <c r="H2316">
        <v>14.25</v>
      </c>
      <c r="I2316" t="s">
        <v>56</v>
      </c>
      <c r="J2316">
        <v>1.4250000000000001E-3</v>
      </c>
      <c r="K2316" t="s">
        <v>57</v>
      </c>
      <c r="N2316" t="s">
        <v>642</v>
      </c>
      <c r="O2316">
        <v>300</v>
      </c>
      <c r="P2316" t="s">
        <v>262</v>
      </c>
      <c r="S2316" t="s">
        <v>643</v>
      </c>
      <c r="T2316">
        <v>22</v>
      </c>
      <c r="U2316" t="s">
        <v>644</v>
      </c>
      <c r="V2316">
        <v>75</v>
      </c>
      <c r="W2316" t="s">
        <v>540</v>
      </c>
      <c r="X2316" t="s">
        <v>280</v>
      </c>
      <c r="Y2316">
        <v>1440</v>
      </c>
      <c r="AA2316" t="s">
        <v>94</v>
      </c>
      <c r="AB2316">
        <v>7.04</v>
      </c>
      <c r="AC2316" t="s">
        <v>85</v>
      </c>
      <c r="AD2316" t="s">
        <v>231</v>
      </c>
      <c r="AE2316" t="s">
        <v>138</v>
      </c>
      <c r="AI2316">
        <v>5</v>
      </c>
      <c r="AJ2316" t="s">
        <v>201</v>
      </c>
      <c r="AT2316" t="s">
        <v>212</v>
      </c>
      <c r="AV2316" t="s">
        <v>88</v>
      </c>
      <c r="AX2316">
        <v>300</v>
      </c>
      <c r="AZ2316">
        <v>0</v>
      </c>
      <c r="BA2316">
        <v>7.04</v>
      </c>
    </row>
    <row r="2317" spans="1:53" hidden="1" x14ac:dyDescent="0.3">
      <c r="A2317" t="s">
        <v>641</v>
      </c>
      <c r="C2317" t="s">
        <v>251</v>
      </c>
      <c r="D2317" t="s">
        <v>81</v>
      </c>
      <c r="E2317">
        <v>1100000</v>
      </c>
      <c r="H2317">
        <v>14.25</v>
      </c>
      <c r="I2317" t="s">
        <v>56</v>
      </c>
      <c r="J2317">
        <v>1.4250000000000001E-3</v>
      </c>
      <c r="K2317" t="s">
        <v>57</v>
      </c>
      <c r="N2317" t="s">
        <v>642</v>
      </c>
      <c r="O2317">
        <v>300</v>
      </c>
      <c r="P2317" t="s">
        <v>262</v>
      </c>
      <c r="S2317" t="s">
        <v>643</v>
      </c>
      <c r="T2317">
        <v>22</v>
      </c>
      <c r="U2317" t="s">
        <v>644</v>
      </c>
      <c r="V2317">
        <v>45</v>
      </c>
      <c r="W2317" t="s">
        <v>147</v>
      </c>
      <c r="X2317" t="s">
        <v>280</v>
      </c>
      <c r="Y2317">
        <v>3600</v>
      </c>
      <c r="AB2317">
        <v>3.25</v>
      </c>
      <c r="AC2317" t="s">
        <v>85</v>
      </c>
      <c r="AD2317" t="s">
        <v>632</v>
      </c>
      <c r="AE2317" t="s">
        <v>138</v>
      </c>
      <c r="AI2317">
        <v>5</v>
      </c>
      <c r="AJ2317" t="s">
        <v>201</v>
      </c>
      <c r="AT2317" t="s">
        <v>150</v>
      </c>
      <c r="AV2317" t="s">
        <v>88</v>
      </c>
      <c r="AX2317">
        <v>300</v>
      </c>
    </row>
    <row r="2318" spans="1:53" hidden="1" x14ac:dyDescent="0.3">
      <c r="A2318" t="s">
        <v>641</v>
      </c>
      <c r="C2318" t="s">
        <v>251</v>
      </c>
      <c r="D2318" t="s">
        <v>81</v>
      </c>
      <c r="E2318">
        <v>1100000</v>
      </c>
      <c r="H2318">
        <v>14.25</v>
      </c>
      <c r="I2318" t="s">
        <v>56</v>
      </c>
      <c r="J2318">
        <v>1.4250000000000001E-3</v>
      </c>
      <c r="K2318" t="s">
        <v>57</v>
      </c>
      <c r="N2318" t="s">
        <v>642</v>
      </c>
      <c r="O2318">
        <v>300</v>
      </c>
      <c r="P2318" t="s">
        <v>262</v>
      </c>
      <c r="S2318" t="s">
        <v>643</v>
      </c>
      <c r="T2318">
        <v>22</v>
      </c>
      <c r="U2318" t="s">
        <v>644</v>
      </c>
      <c r="V2318">
        <v>45</v>
      </c>
      <c r="W2318" t="s">
        <v>468</v>
      </c>
      <c r="X2318" t="s">
        <v>280</v>
      </c>
      <c r="Y2318">
        <v>3600</v>
      </c>
      <c r="AB2318">
        <v>5.36</v>
      </c>
      <c r="AC2318" t="s">
        <v>85</v>
      </c>
      <c r="AD2318" t="s">
        <v>336</v>
      </c>
      <c r="AE2318" t="s">
        <v>138</v>
      </c>
      <c r="AI2318">
        <v>5</v>
      </c>
      <c r="AJ2318" t="s">
        <v>201</v>
      </c>
      <c r="AT2318" t="s">
        <v>318</v>
      </c>
      <c r="AV2318" t="s">
        <v>88</v>
      </c>
      <c r="AX2318">
        <v>300</v>
      </c>
    </row>
    <row r="2319" spans="1:53" hidden="1" x14ac:dyDescent="0.3">
      <c r="A2319" t="s">
        <v>641</v>
      </c>
      <c r="C2319" t="s">
        <v>251</v>
      </c>
      <c r="D2319" t="s">
        <v>81</v>
      </c>
      <c r="E2319">
        <v>1100000</v>
      </c>
      <c r="H2319">
        <v>14.25</v>
      </c>
      <c r="I2319" t="s">
        <v>56</v>
      </c>
      <c r="J2319">
        <v>1.4250000000000001E-3</v>
      </c>
      <c r="K2319" t="s">
        <v>57</v>
      </c>
      <c r="N2319" t="s">
        <v>642</v>
      </c>
      <c r="O2319">
        <v>300</v>
      </c>
      <c r="P2319" t="s">
        <v>262</v>
      </c>
      <c r="S2319" t="s">
        <v>643</v>
      </c>
      <c r="T2319">
        <v>22</v>
      </c>
      <c r="U2319" t="s">
        <v>644</v>
      </c>
      <c r="V2319">
        <v>45</v>
      </c>
      <c r="W2319" t="s">
        <v>72</v>
      </c>
      <c r="X2319" t="s">
        <v>280</v>
      </c>
      <c r="Y2319">
        <v>3600</v>
      </c>
      <c r="AB2319">
        <v>5.3</v>
      </c>
      <c r="AC2319" t="s">
        <v>85</v>
      </c>
      <c r="AD2319" t="s">
        <v>652</v>
      </c>
      <c r="AE2319" t="s">
        <v>138</v>
      </c>
      <c r="AI2319">
        <v>5</v>
      </c>
      <c r="AJ2319" t="s">
        <v>201</v>
      </c>
      <c r="AT2319" t="s">
        <v>73</v>
      </c>
      <c r="AV2319" t="s">
        <v>88</v>
      </c>
      <c r="AX2319">
        <v>300</v>
      </c>
    </row>
    <row r="2320" spans="1:53" hidden="1" x14ac:dyDescent="0.3">
      <c r="A2320" t="s">
        <v>641</v>
      </c>
      <c r="C2320" t="s">
        <v>251</v>
      </c>
      <c r="D2320" t="s">
        <v>81</v>
      </c>
      <c r="E2320">
        <v>1100000</v>
      </c>
      <c r="H2320">
        <v>14.25</v>
      </c>
      <c r="I2320" t="s">
        <v>56</v>
      </c>
      <c r="J2320">
        <v>1.4250000000000001E-3</v>
      </c>
      <c r="K2320" t="s">
        <v>57</v>
      </c>
      <c r="N2320" t="s">
        <v>642</v>
      </c>
      <c r="O2320">
        <v>300</v>
      </c>
      <c r="P2320" t="s">
        <v>262</v>
      </c>
      <c r="S2320" t="s">
        <v>643</v>
      </c>
      <c r="T2320">
        <v>22</v>
      </c>
      <c r="U2320" t="s">
        <v>644</v>
      </c>
      <c r="V2320">
        <v>45</v>
      </c>
      <c r="W2320" t="s">
        <v>540</v>
      </c>
      <c r="X2320" t="s">
        <v>280</v>
      </c>
      <c r="Y2320">
        <v>3600</v>
      </c>
      <c r="AB2320">
        <v>2.38</v>
      </c>
      <c r="AC2320" t="s">
        <v>85</v>
      </c>
      <c r="AD2320" t="s">
        <v>650</v>
      </c>
      <c r="AE2320" t="s">
        <v>138</v>
      </c>
      <c r="AI2320">
        <v>5</v>
      </c>
      <c r="AJ2320" t="s">
        <v>201</v>
      </c>
      <c r="AT2320" t="s">
        <v>212</v>
      </c>
      <c r="AV2320" t="s">
        <v>88</v>
      </c>
      <c r="AX2320">
        <v>300</v>
      </c>
    </row>
    <row r="2321" spans="1:53" hidden="1" x14ac:dyDescent="0.3">
      <c r="A2321" t="s">
        <v>641</v>
      </c>
      <c r="C2321" t="s">
        <v>251</v>
      </c>
      <c r="D2321" t="s">
        <v>81</v>
      </c>
      <c r="E2321">
        <v>1100000</v>
      </c>
      <c r="H2321">
        <v>14.25</v>
      </c>
      <c r="I2321" t="s">
        <v>56</v>
      </c>
      <c r="J2321">
        <v>1.4250000000000001E-3</v>
      </c>
      <c r="K2321" t="s">
        <v>57</v>
      </c>
      <c r="N2321" t="s">
        <v>642</v>
      </c>
      <c r="O2321">
        <v>212</v>
      </c>
      <c r="P2321" t="s">
        <v>262</v>
      </c>
      <c r="S2321" t="s">
        <v>643</v>
      </c>
      <c r="T2321">
        <v>32</v>
      </c>
      <c r="U2321" t="s">
        <v>644</v>
      </c>
      <c r="V2321">
        <v>45</v>
      </c>
      <c r="W2321" t="s">
        <v>147</v>
      </c>
      <c r="X2321" t="s">
        <v>280</v>
      </c>
      <c r="Y2321">
        <v>3600</v>
      </c>
      <c r="AB2321">
        <v>3.03</v>
      </c>
      <c r="AC2321" t="s">
        <v>85</v>
      </c>
      <c r="AD2321" t="s">
        <v>652</v>
      </c>
      <c r="AE2321" t="s">
        <v>138</v>
      </c>
      <c r="AI2321">
        <v>5</v>
      </c>
      <c r="AJ2321" t="s">
        <v>201</v>
      </c>
      <c r="AT2321" t="s">
        <v>150</v>
      </c>
      <c r="AV2321" t="s">
        <v>88</v>
      </c>
      <c r="AX2321">
        <v>212</v>
      </c>
    </row>
    <row r="2322" spans="1:53" hidden="1" x14ac:dyDescent="0.3">
      <c r="A2322" t="s">
        <v>641</v>
      </c>
      <c r="C2322" t="s">
        <v>251</v>
      </c>
      <c r="D2322" t="s">
        <v>81</v>
      </c>
      <c r="E2322">
        <v>1100000</v>
      </c>
      <c r="H2322">
        <v>14.25</v>
      </c>
      <c r="I2322" t="s">
        <v>56</v>
      </c>
      <c r="J2322">
        <v>1.4250000000000001E-3</v>
      </c>
      <c r="K2322" t="s">
        <v>57</v>
      </c>
      <c r="N2322" t="s">
        <v>642</v>
      </c>
      <c r="O2322">
        <v>212</v>
      </c>
      <c r="P2322" t="s">
        <v>262</v>
      </c>
      <c r="S2322" t="s">
        <v>643</v>
      </c>
      <c r="T2322">
        <v>32</v>
      </c>
      <c r="U2322" t="s">
        <v>644</v>
      </c>
      <c r="V2322">
        <v>45</v>
      </c>
      <c r="W2322" t="s">
        <v>468</v>
      </c>
      <c r="X2322" t="s">
        <v>280</v>
      </c>
      <c r="Y2322">
        <v>3600</v>
      </c>
      <c r="AB2322">
        <v>4.3600000000000003</v>
      </c>
      <c r="AC2322" t="s">
        <v>85</v>
      </c>
      <c r="AD2322" t="s">
        <v>653</v>
      </c>
      <c r="AE2322" t="s">
        <v>138</v>
      </c>
      <c r="AI2322">
        <v>5</v>
      </c>
      <c r="AJ2322" t="s">
        <v>201</v>
      </c>
      <c r="AT2322" t="s">
        <v>318</v>
      </c>
      <c r="AV2322" t="s">
        <v>88</v>
      </c>
      <c r="AX2322">
        <v>212</v>
      </c>
    </row>
    <row r="2323" spans="1:53" hidden="1" x14ac:dyDescent="0.3">
      <c r="A2323" t="s">
        <v>641</v>
      </c>
      <c r="C2323" t="s">
        <v>251</v>
      </c>
      <c r="D2323" t="s">
        <v>81</v>
      </c>
      <c r="E2323">
        <v>1100000</v>
      </c>
      <c r="H2323">
        <v>14.25</v>
      </c>
      <c r="I2323" t="s">
        <v>56</v>
      </c>
      <c r="J2323">
        <v>1.4250000000000001E-3</v>
      </c>
      <c r="K2323" t="s">
        <v>57</v>
      </c>
      <c r="N2323" t="s">
        <v>642</v>
      </c>
      <c r="O2323">
        <v>212</v>
      </c>
      <c r="P2323" t="s">
        <v>262</v>
      </c>
      <c r="S2323" t="s">
        <v>643</v>
      </c>
      <c r="T2323">
        <v>32</v>
      </c>
      <c r="U2323" t="s">
        <v>644</v>
      </c>
      <c r="V2323">
        <v>45</v>
      </c>
      <c r="W2323" t="s">
        <v>72</v>
      </c>
      <c r="X2323" t="s">
        <v>280</v>
      </c>
      <c r="Y2323">
        <v>3600</v>
      </c>
      <c r="AB2323">
        <v>5.29</v>
      </c>
      <c r="AC2323" t="s">
        <v>85</v>
      </c>
      <c r="AD2323" t="s">
        <v>519</v>
      </c>
      <c r="AE2323" t="s">
        <v>138</v>
      </c>
      <c r="AI2323">
        <v>5</v>
      </c>
      <c r="AJ2323" t="s">
        <v>201</v>
      </c>
      <c r="AT2323" t="s">
        <v>73</v>
      </c>
      <c r="AV2323" t="s">
        <v>88</v>
      </c>
      <c r="AX2323">
        <v>212</v>
      </c>
    </row>
    <row r="2324" spans="1:53" hidden="1" x14ac:dyDescent="0.3">
      <c r="A2324" t="s">
        <v>641</v>
      </c>
      <c r="C2324" t="s">
        <v>251</v>
      </c>
      <c r="D2324" t="s">
        <v>81</v>
      </c>
      <c r="E2324">
        <v>1100000</v>
      </c>
      <c r="H2324">
        <v>14.25</v>
      </c>
      <c r="I2324" t="s">
        <v>56</v>
      </c>
      <c r="J2324">
        <v>1.4250000000000001E-3</v>
      </c>
      <c r="K2324" t="s">
        <v>57</v>
      </c>
      <c r="N2324" t="s">
        <v>642</v>
      </c>
      <c r="O2324">
        <v>212</v>
      </c>
      <c r="P2324" t="s">
        <v>262</v>
      </c>
      <c r="S2324" t="s">
        <v>643</v>
      </c>
      <c r="T2324">
        <v>32</v>
      </c>
      <c r="U2324" t="s">
        <v>644</v>
      </c>
      <c r="V2324">
        <v>45</v>
      </c>
      <c r="W2324" t="s">
        <v>540</v>
      </c>
      <c r="X2324" t="s">
        <v>280</v>
      </c>
      <c r="Y2324">
        <v>3600</v>
      </c>
      <c r="AB2324">
        <v>2.4</v>
      </c>
      <c r="AC2324" t="s">
        <v>85</v>
      </c>
      <c r="AD2324" t="s">
        <v>531</v>
      </c>
      <c r="AE2324" t="s">
        <v>138</v>
      </c>
      <c r="AI2324">
        <v>5</v>
      </c>
      <c r="AJ2324" t="s">
        <v>201</v>
      </c>
      <c r="AT2324" t="s">
        <v>212</v>
      </c>
      <c r="AV2324" t="s">
        <v>88</v>
      </c>
      <c r="AX2324">
        <v>212</v>
      </c>
    </row>
    <row r="2325" spans="1:53" hidden="1" x14ac:dyDescent="0.3">
      <c r="A2325" t="s">
        <v>641</v>
      </c>
      <c r="C2325" t="s">
        <v>251</v>
      </c>
      <c r="D2325" t="s">
        <v>81</v>
      </c>
      <c r="E2325">
        <v>1100000</v>
      </c>
      <c r="H2325">
        <v>14.25</v>
      </c>
      <c r="I2325" t="s">
        <v>56</v>
      </c>
      <c r="J2325">
        <v>1.4250000000000001E-3</v>
      </c>
      <c r="K2325" t="s">
        <v>57</v>
      </c>
      <c r="N2325" t="s">
        <v>642</v>
      </c>
      <c r="O2325">
        <v>300</v>
      </c>
      <c r="P2325" t="s">
        <v>262</v>
      </c>
      <c r="S2325" t="s">
        <v>643</v>
      </c>
      <c r="T2325">
        <v>27</v>
      </c>
      <c r="U2325" t="s">
        <v>644</v>
      </c>
      <c r="V2325">
        <v>75</v>
      </c>
      <c r="W2325" t="s">
        <v>147</v>
      </c>
      <c r="X2325" t="s">
        <v>280</v>
      </c>
      <c r="Y2325">
        <v>1080</v>
      </c>
      <c r="AB2325">
        <v>7.58</v>
      </c>
      <c r="AC2325" t="s">
        <v>85</v>
      </c>
      <c r="AD2325" t="s">
        <v>328</v>
      </c>
      <c r="AE2325" t="s">
        <v>138</v>
      </c>
      <c r="AI2325">
        <v>5</v>
      </c>
      <c r="AJ2325" t="s">
        <v>201</v>
      </c>
      <c r="AT2325" t="s">
        <v>150</v>
      </c>
      <c r="AV2325" t="s">
        <v>88</v>
      </c>
      <c r="AX2325">
        <v>300</v>
      </c>
    </row>
    <row r="2326" spans="1:53" hidden="1" x14ac:dyDescent="0.3">
      <c r="A2326" t="s">
        <v>641</v>
      </c>
      <c r="C2326" t="s">
        <v>251</v>
      </c>
      <c r="D2326" t="s">
        <v>81</v>
      </c>
      <c r="E2326">
        <v>1100000</v>
      </c>
      <c r="H2326">
        <v>14.25</v>
      </c>
      <c r="I2326" t="s">
        <v>56</v>
      </c>
      <c r="J2326">
        <v>1.4250000000000001E-3</v>
      </c>
      <c r="K2326" t="s">
        <v>57</v>
      </c>
      <c r="N2326" t="s">
        <v>642</v>
      </c>
      <c r="O2326">
        <v>300</v>
      </c>
      <c r="P2326" t="s">
        <v>262</v>
      </c>
      <c r="S2326" t="s">
        <v>643</v>
      </c>
      <c r="T2326">
        <v>27</v>
      </c>
      <c r="U2326" t="s">
        <v>644</v>
      </c>
      <c r="V2326">
        <v>75</v>
      </c>
      <c r="W2326" t="s">
        <v>468</v>
      </c>
      <c r="X2326" t="s">
        <v>280</v>
      </c>
      <c r="Y2326">
        <v>1080</v>
      </c>
      <c r="AB2326">
        <v>6.29</v>
      </c>
      <c r="AC2326" t="s">
        <v>85</v>
      </c>
      <c r="AD2326" t="s">
        <v>651</v>
      </c>
      <c r="AE2326" t="s">
        <v>138</v>
      </c>
      <c r="AI2326">
        <v>5</v>
      </c>
      <c r="AJ2326" t="s">
        <v>201</v>
      </c>
      <c r="AT2326" t="s">
        <v>318</v>
      </c>
      <c r="AV2326" t="s">
        <v>88</v>
      </c>
      <c r="AX2326">
        <v>300</v>
      </c>
    </row>
    <row r="2327" spans="1:53" hidden="1" x14ac:dyDescent="0.3">
      <c r="A2327" t="s">
        <v>641</v>
      </c>
      <c r="C2327" t="s">
        <v>251</v>
      </c>
      <c r="D2327" t="s">
        <v>81</v>
      </c>
      <c r="E2327">
        <v>1100000</v>
      </c>
      <c r="H2327">
        <v>14.25</v>
      </c>
      <c r="I2327" t="s">
        <v>56</v>
      </c>
      <c r="J2327">
        <v>1.4250000000000001E-3</v>
      </c>
      <c r="K2327" t="s">
        <v>57</v>
      </c>
      <c r="N2327" t="s">
        <v>642</v>
      </c>
      <c r="O2327">
        <v>300</v>
      </c>
      <c r="P2327" t="s">
        <v>262</v>
      </c>
      <c r="S2327" t="s">
        <v>643</v>
      </c>
      <c r="T2327">
        <v>27</v>
      </c>
      <c r="U2327" t="s">
        <v>644</v>
      </c>
      <c r="V2327">
        <v>75</v>
      </c>
      <c r="W2327" t="s">
        <v>72</v>
      </c>
      <c r="X2327" t="s">
        <v>280</v>
      </c>
      <c r="Y2327">
        <v>1080</v>
      </c>
      <c r="AA2327" t="s">
        <v>94</v>
      </c>
      <c r="AB2327">
        <v>8.11</v>
      </c>
      <c r="AC2327" t="s">
        <v>85</v>
      </c>
      <c r="AD2327" t="s">
        <v>227</v>
      </c>
      <c r="AE2327" t="s">
        <v>138</v>
      </c>
      <c r="AI2327">
        <v>5</v>
      </c>
      <c r="AJ2327" t="s">
        <v>201</v>
      </c>
      <c r="AT2327" t="s">
        <v>73</v>
      </c>
      <c r="AV2327" t="s">
        <v>88</v>
      </c>
      <c r="AX2327">
        <v>300</v>
      </c>
      <c r="AZ2327">
        <v>0</v>
      </c>
      <c r="BA2327">
        <v>8.11</v>
      </c>
    </row>
    <row r="2328" spans="1:53" hidden="1" x14ac:dyDescent="0.3">
      <c r="A2328" t="s">
        <v>641</v>
      </c>
      <c r="C2328" t="s">
        <v>251</v>
      </c>
      <c r="D2328" t="s">
        <v>81</v>
      </c>
      <c r="E2328">
        <v>1100000</v>
      </c>
      <c r="H2328">
        <v>14.25</v>
      </c>
      <c r="I2328" t="s">
        <v>56</v>
      </c>
      <c r="J2328">
        <v>1.4250000000000001E-3</v>
      </c>
      <c r="K2328" t="s">
        <v>57</v>
      </c>
      <c r="N2328" t="s">
        <v>642</v>
      </c>
      <c r="O2328">
        <v>300</v>
      </c>
      <c r="P2328" t="s">
        <v>262</v>
      </c>
      <c r="S2328" t="s">
        <v>643</v>
      </c>
      <c r="T2328">
        <v>27</v>
      </c>
      <c r="U2328" t="s">
        <v>644</v>
      </c>
      <c r="V2328">
        <v>75</v>
      </c>
      <c r="W2328" t="s">
        <v>540</v>
      </c>
      <c r="X2328" t="s">
        <v>280</v>
      </c>
      <c r="Y2328">
        <v>1080</v>
      </c>
      <c r="AA2328" t="s">
        <v>94</v>
      </c>
      <c r="AB2328">
        <v>6.92</v>
      </c>
      <c r="AC2328" t="s">
        <v>85</v>
      </c>
      <c r="AD2328" t="s">
        <v>418</v>
      </c>
      <c r="AE2328" t="s">
        <v>138</v>
      </c>
      <c r="AI2328">
        <v>5</v>
      </c>
      <c r="AJ2328" t="s">
        <v>201</v>
      </c>
      <c r="AT2328" t="s">
        <v>212</v>
      </c>
      <c r="AV2328" t="s">
        <v>88</v>
      </c>
      <c r="AX2328">
        <v>300</v>
      </c>
      <c r="AZ2328">
        <v>0</v>
      </c>
      <c r="BA2328">
        <v>6.92</v>
      </c>
    </row>
    <row r="2329" spans="1:53" hidden="1" x14ac:dyDescent="0.3">
      <c r="A2329" t="s">
        <v>641</v>
      </c>
      <c r="C2329" t="s">
        <v>251</v>
      </c>
      <c r="D2329" t="s">
        <v>81</v>
      </c>
      <c r="E2329">
        <v>1100000</v>
      </c>
      <c r="H2329">
        <v>14.25</v>
      </c>
      <c r="I2329" t="s">
        <v>56</v>
      </c>
      <c r="J2329">
        <v>1.4250000000000001E-3</v>
      </c>
      <c r="K2329" t="s">
        <v>57</v>
      </c>
      <c r="N2329" t="s">
        <v>642</v>
      </c>
      <c r="O2329">
        <v>300</v>
      </c>
      <c r="P2329" t="s">
        <v>262</v>
      </c>
      <c r="S2329" t="s">
        <v>643</v>
      </c>
      <c r="T2329">
        <v>27</v>
      </c>
      <c r="U2329" t="s">
        <v>644</v>
      </c>
      <c r="V2329">
        <v>45</v>
      </c>
      <c r="W2329" t="s">
        <v>147</v>
      </c>
      <c r="X2329" t="s">
        <v>280</v>
      </c>
      <c r="Y2329">
        <v>3600</v>
      </c>
      <c r="AB2329">
        <v>3.01</v>
      </c>
      <c r="AC2329" t="s">
        <v>85</v>
      </c>
      <c r="AD2329" t="s">
        <v>521</v>
      </c>
      <c r="AE2329" t="s">
        <v>138</v>
      </c>
      <c r="AI2329">
        <v>5</v>
      </c>
      <c r="AJ2329" t="s">
        <v>201</v>
      </c>
      <c r="AT2329" t="s">
        <v>150</v>
      </c>
      <c r="AV2329" t="s">
        <v>88</v>
      </c>
      <c r="AX2329">
        <v>300</v>
      </c>
    </row>
    <row r="2330" spans="1:53" hidden="1" x14ac:dyDescent="0.3">
      <c r="A2330" t="s">
        <v>641</v>
      </c>
      <c r="C2330" t="s">
        <v>251</v>
      </c>
      <c r="D2330" t="s">
        <v>81</v>
      </c>
      <c r="E2330">
        <v>1100000</v>
      </c>
      <c r="H2330">
        <v>14.25</v>
      </c>
      <c r="I2330" t="s">
        <v>56</v>
      </c>
      <c r="J2330">
        <v>1.4250000000000001E-3</v>
      </c>
      <c r="K2330" t="s">
        <v>57</v>
      </c>
      <c r="N2330" t="s">
        <v>642</v>
      </c>
      <c r="O2330">
        <v>300</v>
      </c>
      <c r="P2330" t="s">
        <v>262</v>
      </c>
      <c r="S2330" t="s">
        <v>643</v>
      </c>
      <c r="T2330">
        <v>27</v>
      </c>
      <c r="U2330" t="s">
        <v>644</v>
      </c>
      <c r="V2330">
        <v>45</v>
      </c>
      <c r="W2330" t="s">
        <v>468</v>
      </c>
      <c r="X2330" t="s">
        <v>280</v>
      </c>
      <c r="Y2330">
        <v>3600</v>
      </c>
      <c r="AB2330">
        <v>4.3600000000000003</v>
      </c>
      <c r="AC2330" t="s">
        <v>85</v>
      </c>
      <c r="AD2330" t="s">
        <v>585</v>
      </c>
      <c r="AE2330" t="s">
        <v>138</v>
      </c>
      <c r="AI2330">
        <v>5</v>
      </c>
      <c r="AJ2330" t="s">
        <v>201</v>
      </c>
      <c r="AT2330" t="s">
        <v>318</v>
      </c>
      <c r="AV2330" t="s">
        <v>88</v>
      </c>
      <c r="AX2330">
        <v>300</v>
      </c>
    </row>
    <row r="2331" spans="1:53" hidden="1" x14ac:dyDescent="0.3">
      <c r="A2331" t="s">
        <v>641</v>
      </c>
      <c r="C2331" t="s">
        <v>251</v>
      </c>
      <c r="D2331" t="s">
        <v>81</v>
      </c>
      <c r="E2331">
        <v>1100000</v>
      </c>
      <c r="H2331">
        <v>14.25</v>
      </c>
      <c r="I2331" t="s">
        <v>56</v>
      </c>
      <c r="J2331">
        <v>1.4250000000000001E-3</v>
      </c>
      <c r="K2331" t="s">
        <v>57</v>
      </c>
      <c r="N2331" t="s">
        <v>642</v>
      </c>
      <c r="O2331">
        <v>300</v>
      </c>
      <c r="P2331" t="s">
        <v>262</v>
      </c>
      <c r="S2331" t="s">
        <v>643</v>
      </c>
      <c r="T2331">
        <v>27</v>
      </c>
      <c r="U2331" t="s">
        <v>644</v>
      </c>
      <c r="V2331">
        <v>45</v>
      </c>
      <c r="W2331" t="s">
        <v>72</v>
      </c>
      <c r="X2331" t="s">
        <v>280</v>
      </c>
      <c r="Y2331">
        <v>3600</v>
      </c>
      <c r="AB2331">
        <v>5.28</v>
      </c>
      <c r="AC2331" t="s">
        <v>85</v>
      </c>
      <c r="AD2331" t="s">
        <v>654</v>
      </c>
      <c r="AE2331" t="s">
        <v>138</v>
      </c>
      <c r="AI2331">
        <v>5</v>
      </c>
      <c r="AJ2331" t="s">
        <v>201</v>
      </c>
      <c r="AT2331" t="s">
        <v>73</v>
      </c>
      <c r="AV2331" t="s">
        <v>88</v>
      </c>
      <c r="AX2331">
        <v>300</v>
      </c>
    </row>
    <row r="2332" spans="1:53" hidden="1" x14ac:dyDescent="0.3">
      <c r="A2332" t="s">
        <v>641</v>
      </c>
      <c r="C2332" t="s">
        <v>251</v>
      </c>
      <c r="D2332" t="s">
        <v>81</v>
      </c>
      <c r="E2332">
        <v>1100000</v>
      </c>
      <c r="H2332">
        <v>14.25</v>
      </c>
      <c r="I2332" t="s">
        <v>56</v>
      </c>
      <c r="J2332">
        <v>1.4250000000000001E-3</v>
      </c>
      <c r="K2332" t="s">
        <v>57</v>
      </c>
      <c r="N2332" t="s">
        <v>642</v>
      </c>
      <c r="O2332">
        <v>300</v>
      </c>
      <c r="P2332" t="s">
        <v>262</v>
      </c>
      <c r="S2332" t="s">
        <v>643</v>
      </c>
      <c r="T2332">
        <v>27</v>
      </c>
      <c r="U2332" t="s">
        <v>644</v>
      </c>
      <c r="V2332">
        <v>45</v>
      </c>
      <c r="W2332" t="s">
        <v>540</v>
      </c>
      <c r="X2332" t="s">
        <v>280</v>
      </c>
      <c r="Y2332">
        <v>3600</v>
      </c>
      <c r="AB2332">
        <v>2.71</v>
      </c>
      <c r="AC2332" t="s">
        <v>85</v>
      </c>
      <c r="AD2332" t="s">
        <v>645</v>
      </c>
      <c r="AE2332" t="s">
        <v>138</v>
      </c>
      <c r="AI2332">
        <v>5</v>
      </c>
      <c r="AJ2332" t="s">
        <v>201</v>
      </c>
      <c r="AT2332" t="s">
        <v>212</v>
      </c>
      <c r="AV2332" t="s">
        <v>88</v>
      </c>
      <c r="AX2332">
        <v>300</v>
      </c>
    </row>
    <row r="2333" spans="1:53" hidden="1" x14ac:dyDescent="0.3">
      <c r="A2333" t="s">
        <v>641</v>
      </c>
      <c r="C2333" t="s">
        <v>251</v>
      </c>
      <c r="D2333" t="s">
        <v>81</v>
      </c>
      <c r="E2333">
        <v>1100000</v>
      </c>
      <c r="H2333">
        <v>14.25</v>
      </c>
      <c r="I2333" t="s">
        <v>56</v>
      </c>
      <c r="J2333">
        <v>1.4250000000000001E-3</v>
      </c>
      <c r="K2333" t="s">
        <v>57</v>
      </c>
      <c r="N2333" t="s">
        <v>642</v>
      </c>
      <c r="O2333">
        <v>212</v>
      </c>
      <c r="P2333" t="s">
        <v>262</v>
      </c>
      <c r="S2333" t="s">
        <v>643</v>
      </c>
      <c r="T2333">
        <v>32</v>
      </c>
      <c r="U2333" t="s">
        <v>644</v>
      </c>
      <c r="V2333">
        <v>45</v>
      </c>
      <c r="W2333" t="s">
        <v>147</v>
      </c>
      <c r="X2333" t="s">
        <v>280</v>
      </c>
      <c r="Y2333">
        <v>4320</v>
      </c>
      <c r="AB2333">
        <v>2.72</v>
      </c>
      <c r="AC2333" t="s">
        <v>85</v>
      </c>
      <c r="AD2333" t="s">
        <v>527</v>
      </c>
      <c r="AE2333" t="s">
        <v>138</v>
      </c>
      <c r="AI2333">
        <v>5</v>
      </c>
      <c r="AJ2333" t="s">
        <v>201</v>
      </c>
      <c r="AT2333" t="s">
        <v>150</v>
      </c>
      <c r="AV2333" t="s">
        <v>88</v>
      </c>
      <c r="AX2333">
        <v>212</v>
      </c>
    </row>
    <row r="2334" spans="1:53" hidden="1" x14ac:dyDescent="0.3">
      <c r="A2334" t="s">
        <v>641</v>
      </c>
      <c r="C2334" t="s">
        <v>251</v>
      </c>
      <c r="D2334" t="s">
        <v>81</v>
      </c>
      <c r="E2334">
        <v>1100000</v>
      </c>
      <c r="H2334">
        <v>14.25</v>
      </c>
      <c r="I2334" t="s">
        <v>56</v>
      </c>
      <c r="J2334">
        <v>1.4250000000000001E-3</v>
      </c>
      <c r="K2334" t="s">
        <v>57</v>
      </c>
      <c r="N2334" t="s">
        <v>642</v>
      </c>
      <c r="O2334">
        <v>212</v>
      </c>
      <c r="P2334" t="s">
        <v>262</v>
      </c>
      <c r="S2334" t="s">
        <v>643</v>
      </c>
      <c r="T2334">
        <v>32</v>
      </c>
      <c r="U2334" t="s">
        <v>644</v>
      </c>
      <c r="V2334">
        <v>45</v>
      </c>
      <c r="W2334" t="s">
        <v>468</v>
      </c>
      <c r="X2334" t="s">
        <v>280</v>
      </c>
      <c r="Y2334">
        <v>4320</v>
      </c>
      <c r="AB2334">
        <v>5.2</v>
      </c>
      <c r="AC2334" t="s">
        <v>85</v>
      </c>
      <c r="AD2334" t="s">
        <v>655</v>
      </c>
      <c r="AE2334" t="s">
        <v>138</v>
      </c>
      <c r="AI2334">
        <v>5</v>
      </c>
      <c r="AJ2334" t="s">
        <v>201</v>
      </c>
      <c r="AT2334" t="s">
        <v>318</v>
      </c>
      <c r="AV2334" t="s">
        <v>88</v>
      </c>
      <c r="AX2334">
        <v>212</v>
      </c>
    </row>
    <row r="2335" spans="1:53" hidden="1" x14ac:dyDescent="0.3">
      <c r="A2335" t="s">
        <v>641</v>
      </c>
      <c r="C2335" t="s">
        <v>251</v>
      </c>
      <c r="D2335" t="s">
        <v>81</v>
      </c>
      <c r="E2335">
        <v>1100000</v>
      </c>
      <c r="H2335">
        <v>14.25</v>
      </c>
      <c r="I2335" t="s">
        <v>56</v>
      </c>
      <c r="J2335">
        <v>1.4250000000000001E-3</v>
      </c>
      <c r="K2335" t="s">
        <v>57</v>
      </c>
      <c r="N2335" t="s">
        <v>642</v>
      </c>
      <c r="O2335">
        <v>212</v>
      </c>
      <c r="P2335" t="s">
        <v>262</v>
      </c>
      <c r="S2335" t="s">
        <v>643</v>
      </c>
      <c r="T2335">
        <v>32</v>
      </c>
      <c r="U2335" t="s">
        <v>644</v>
      </c>
      <c r="V2335">
        <v>45</v>
      </c>
      <c r="W2335" t="s">
        <v>72</v>
      </c>
      <c r="X2335" t="s">
        <v>280</v>
      </c>
      <c r="Y2335">
        <v>4320</v>
      </c>
      <c r="AB2335">
        <v>6.02</v>
      </c>
      <c r="AC2335" t="s">
        <v>85</v>
      </c>
      <c r="AD2335" t="s">
        <v>107</v>
      </c>
      <c r="AE2335" t="s">
        <v>138</v>
      </c>
      <c r="AI2335">
        <v>5</v>
      </c>
      <c r="AJ2335" t="s">
        <v>201</v>
      </c>
      <c r="AT2335" t="s">
        <v>73</v>
      </c>
      <c r="AV2335" t="s">
        <v>88</v>
      </c>
      <c r="AX2335">
        <v>212</v>
      </c>
    </row>
    <row r="2336" spans="1:53" hidden="1" x14ac:dyDescent="0.3">
      <c r="A2336" t="s">
        <v>641</v>
      </c>
      <c r="C2336" t="s">
        <v>251</v>
      </c>
      <c r="D2336" t="s">
        <v>81</v>
      </c>
      <c r="E2336">
        <v>1100000</v>
      </c>
      <c r="H2336">
        <v>14.25</v>
      </c>
      <c r="I2336" t="s">
        <v>56</v>
      </c>
      <c r="J2336">
        <v>1.4250000000000001E-3</v>
      </c>
      <c r="K2336" t="s">
        <v>57</v>
      </c>
      <c r="N2336" t="s">
        <v>642</v>
      </c>
      <c r="O2336">
        <v>212</v>
      </c>
      <c r="P2336" t="s">
        <v>262</v>
      </c>
      <c r="S2336" t="s">
        <v>643</v>
      </c>
      <c r="T2336">
        <v>32</v>
      </c>
      <c r="U2336" t="s">
        <v>644</v>
      </c>
      <c r="V2336">
        <v>45</v>
      </c>
      <c r="W2336" t="s">
        <v>540</v>
      </c>
      <c r="X2336" t="s">
        <v>280</v>
      </c>
      <c r="Y2336">
        <v>4320</v>
      </c>
      <c r="AB2336">
        <v>2.21</v>
      </c>
      <c r="AC2336" t="s">
        <v>85</v>
      </c>
      <c r="AD2336" t="s">
        <v>487</v>
      </c>
      <c r="AE2336" t="s">
        <v>138</v>
      </c>
      <c r="AI2336">
        <v>5</v>
      </c>
      <c r="AJ2336" t="s">
        <v>201</v>
      </c>
      <c r="AT2336" t="s">
        <v>212</v>
      </c>
      <c r="AV2336" t="s">
        <v>88</v>
      </c>
      <c r="AX2336">
        <v>212</v>
      </c>
    </row>
    <row r="2337" spans="1:53" hidden="1" x14ac:dyDescent="0.3">
      <c r="A2337" t="s">
        <v>641</v>
      </c>
      <c r="C2337" t="s">
        <v>251</v>
      </c>
      <c r="D2337" t="s">
        <v>81</v>
      </c>
      <c r="E2337">
        <v>1100000</v>
      </c>
      <c r="H2337">
        <v>14.25</v>
      </c>
      <c r="I2337" t="s">
        <v>56</v>
      </c>
      <c r="J2337">
        <v>1.4250000000000001E-3</v>
      </c>
      <c r="K2337" t="s">
        <v>57</v>
      </c>
      <c r="N2337" t="s">
        <v>642</v>
      </c>
      <c r="O2337">
        <v>300</v>
      </c>
      <c r="P2337" t="s">
        <v>262</v>
      </c>
      <c r="S2337" t="s">
        <v>643</v>
      </c>
      <c r="T2337">
        <v>32</v>
      </c>
      <c r="U2337" t="s">
        <v>644</v>
      </c>
      <c r="V2337">
        <v>45</v>
      </c>
      <c r="W2337" t="s">
        <v>147</v>
      </c>
      <c r="X2337" t="s">
        <v>280</v>
      </c>
      <c r="Y2337">
        <v>3600</v>
      </c>
      <c r="AB2337">
        <v>2.84</v>
      </c>
      <c r="AC2337" t="s">
        <v>85</v>
      </c>
      <c r="AD2337" t="s">
        <v>632</v>
      </c>
      <c r="AE2337" t="s">
        <v>138</v>
      </c>
      <c r="AI2337">
        <v>5</v>
      </c>
      <c r="AJ2337" t="s">
        <v>201</v>
      </c>
      <c r="AT2337" t="s">
        <v>150</v>
      </c>
      <c r="AV2337" t="s">
        <v>88</v>
      </c>
      <c r="AX2337">
        <v>300</v>
      </c>
    </row>
    <row r="2338" spans="1:53" hidden="1" x14ac:dyDescent="0.3">
      <c r="A2338" t="s">
        <v>641</v>
      </c>
      <c r="C2338" t="s">
        <v>251</v>
      </c>
      <c r="D2338" t="s">
        <v>81</v>
      </c>
      <c r="E2338">
        <v>1100000</v>
      </c>
      <c r="H2338">
        <v>14.25</v>
      </c>
      <c r="I2338" t="s">
        <v>56</v>
      </c>
      <c r="J2338">
        <v>1.4250000000000001E-3</v>
      </c>
      <c r="K2338" t="s">
        <v>57</v>
      </c>
      <c r="N2338" t="s">
        <v>642</v>
      </c>
      <c r="O2338">
        <v>300</v>
      </c>
      <c r="P2338" t="s">
        <v>262</v>
      </c>
      <c r="S2338" t="s">
        <v>643</v>
      </c>
      <c r="T2338">
        <v>32</v>
      </c>
      <c r="U2338" t="s">
        <v>644</v>
      </c>
      <c r="V2338">
        <v>45</v>
      </c>
      <c r="W2338" t="s">
        <v>468</v>
      </c>
      <c r="X2338" t="s">
        <v>280</v>
      </c>
      <c r="Y2338">
        <v>3600</v>
      </c>
      <c r="AB2338">
        <v>3.6</v>
      </c>
      <c r="AC2338" t="s">
        <v>85</v>
      </c>
      <c r="AD2338" t="s">
        <v>508</v>
      </c>
      <c r="AE2338" t="s">
        <v>138</v>
      </c>
      <c r="AI2338">
        <v>5</v>
      </c>
      <c r="AJ2338" t="s">
        <v>201</v>
      </c>
      <c r="AT2338" t="s">
        <v>318</v>
      </c>
      <c r="AV2338" t="s">
        <v>88</v>
      </c>
      <c r="AX2338">
        <v>300</v>
      </c>
    </row>
    <row r="2339" spans="1:53" hidden="1" x14ac:dyDescent="0.3">
      <c r="A2339" t="s">
        <v>641</v>
      </c>
      <c r="C2339" t="s">
        <v>251</v>
      </c>
      <c r="D2339" t="s">
        <v>81</v>
      </c>
      <c r="E2339">
        <v>1100000</v>
      </c>
      <c r="H2339">
        <v>14.25</v>
      </c>
      <c r="I2339" t="s">
        <v>56</v>
      </c>
      <c r="J2339">
        <v>1.4250000000000001E-3</v>
      </c>
      <c r="K2339" t="s">
        <v>57</v>
      </c>
      <c r="N2339" t="s">
        <v>642</v>
      </c>
      <c r="O2339">
        <v>300</v>
      </c>
      <c r="P2339" t="s">
        <v>262</v>
      </c>
      <c r="S2339" t="s">
        <v>643</v>
      </c>
      <c r="T2339">
        <v>32</v>
      </c>
      <c r="U2339" t="s">
        <v>644</v>
      </c>
      <c r="V2339">
        <v>45</v>
      </c>
      <c r="W2339" t="s">
        <v>72</v>
      </c>
      <c r="X2339" t="s">
        <v>280</v>
      </c>
      <c r="Y2339">
        <v>3600</v>
      </c>
      <c r="AB2339">
        <v>5.82</v>
      </c>
      <c r="AC2339" t="s">
        <v>85</v>
      </c>
      <c r="AD2339" t="s">
        <v>535</v>
      </c>
      <c r="AE2339" t="s">
        <v>138</v>
      </c>
      <c r="AI2339">
        <v>5</v>
      </c>
      <c r="AJ2339" t="s">
        <v>201</v>
      </c>
      <c r="AT2339" t="s">
        <v>73</v>
      </c>
      <c r="AV2339" t="s">
        <v>88</v>
      </c>
      <c r="AX2339">
        <v>300</v>
      </c>
    </row>
    <row r="2340" spans="1:53" hidden="1" x14ac:dyDescent="0.3">
      <c r="A2340" t="s">
        <v>641</v>
      </c>
      <c r="C2340" t="s">
        <v>251</v>
      </c>
      <c r="D2340" t="s">
        <v>81</v>
      </c>
      <c r="E2340">
        <v>1100000</v>
      </c>
      <c r="H2340">
        <v>14.25</v>
      </c>
      <c r="I2340" t="s">
        <v>56</v>
      </c>
      <c r="J2340">
        <v>1.4250000000000001E-3</v>
      </c>
      <c r="K2340" t="s">
        <v>57</v>
      </c>
      <c r="N2340" t="s">
        <v>642</v>
      </c>
      <c r="O2340">
        <v>300</v>
      </c>
      <c r="P2340" t="s">
        <v>262</v>
      </c>
      <c r="S2340" t="s">
        <v>643</v>
      </c>
      <c r="T2340">
        <v>32</v>
      </c>
      <c r="U2340" t="s">
        <v>644</v>
      </c>
      <c r="V2340">
        <v>45</v>
      </c>
      <c r="W2340" t="s">
        <v>540</v>
      </c>
      <c r="X2340" t="s">
        <v>280</v>
      </c>
      <c r="Y2340">
        <v>3600</v>
      </c>
      <c r="AB2340">
        <v>2.27</v>
      </c>
      <c r="AC2340" t="s">
        <v>85</v>
      </c>
      <c r="AD2340" t="s">
        <v>225</v>
      </c>
      <c r="AE2340" t="s">
        <v>138</v>
      </c>
      <c r="AI2340">
        <v>5</v>
      </c>
      <c r="AJ2340" t="s">
        <v>201</v>
      </c>
      <c r="AT2340" t="s">
        <v>212</v>
      </c>
      <c r="AV2340" t="s">
        <v>88</v>
      </c>
      <c r="AX2340">
        <v>300</v>
      </c>
    </row>
    <row r="2341" spans="1:53" hidden="1" x14ac:dyDescent="0.3">
      <c r="A2341" t="s">
        <v>641</v>
      </c>
      <c r="C2341" t="s">
        <v>251</v>
      </c>
      <c r="D2341" t="s">
        <v>81</v>
      </c>
      <c r="E2341">
        <v>1100000</v>
      </c>
      <c r="H2341">
        <v>14.25</v>
      </c>
      <c r="I2341" t="s">
        <v>56</v>
      </c>
      <c r="J2341">
        <v>1.4250000000000001E-3</v>
      </c>
      <c r="K2341" t="s">
        <v>57</v>
      </c>
      <c r="N2341" t="s">
        <v>642</v>
      </c>
      <c r="O2341">
        <v>212</v>
      </c>
      <c r="P2341" t="s">
        <v>262</v>
      </c>
      <c r="S2341" t="s">
        <v>643</v>
      </c>
      <c r="T2341">
        <v>22</v>
      </c>
      <c r="U2341" t="s">
        <v>644</v>
      </c>
      <c r="V2341">
        <v>45</v>
      </c>
      <c r="W2341" t="s">
        <v>147</v>
      </c>
      <c r="X2341" t="s">
        <v>280</v>
      </c>
      <c r="Y2341">
        <v>2160</v>
      </c>
      <c r="AA2341" t="s">
        <v>94</v>
      </c>
      <c r="AB2341">
        <v>7.72</v>
      </c>
      <c r="AC2341" t="s">
        <v>85</v>
      </c>
      <c r="AD2341" t="s">
        <v>365</v>
      </c>
      <c r="AE2341" t="s">
        <v>138</v>
      </c>
      <c r="AI2341">
        <v>5</v>
      </c>
      <c r="AJ2341" t="s">
        <v>201</v>
      </c>
      <c r="AT2341" t="s">
        <v>150</v>
      </c>
      <c r="AV2341" t="s">
        <v>88</v>
      </c>
      <c r="AX2341">
        <v>212</v>
      </c>
      <c r="AZ2341">
        <v>0</v>
      </c>
      <c r="BA2341">
        <v>7.72</v>
      </c>
    </row>
    <row r="2342" spans="1:53" hidden="1" x14ac:dyDescent="0.3">
      <c r="A2342" t="s">
        <v>641</v>
      </c>
      <c r="C2342" t="s">
        <v>251</v>
      </c>
      <c r="D2342" t="s">
        <v>81</v>
      </c>
      <c r="E2342">
        <v>1100000</v>
      </c>
      <c r="H2342">
        <v>14.25</v>
      </c>
      <c r="I2342" t="s">
        <v>56</v>
      </c>
      <c r="J2342">
        <v>1.4250000000000001E-3</v>
      </c>
      <c r="K2342" t="s">
        <v>57</v>
      </c>
      <c r="N2342" t="s">
        <v>642</v>
      </c>
      <c r="O2342">
        <v>212</v>
      </c>
      <c r="P2342" t="s">
        <v>262</v>
      </c>
      <c r="S2342" t="s">
        <v>643</v>
      </c>
      <c r="T2342">
        <v>22</v>
      </c>
      <c r="U2342" t="s">
        <v>644</v>
      </c>
      <c r="V2342">
        <v>45</v>
      </c>
      <c r="W2342" t="s">
        <v>468</v>
      </c>
      <c r="X2342" t="s">
        <v>280</v>
      </c>
      <c r="Y2342">
        <v>2160</v>
      </c>
      <c r="AB2342">
        <v>4.8899999999999899</v>
      </c>
      <c r="AC2342" t="s">
        <v>85</v>
      </c>
      <c r="AD2342" t="s">
        <v>326</v>
      </c>
      <c r="AE2342" t="s">
        <v>138</v>
      </c>
      <c r="AI2342">
        <v>5</v>
      </c>
      <c r="AJ2342" t="s">
        <v>201</v>
      </c>
      <c r="AT2342" t="s">
        <v>318</v>
      </c>
      <c r="AV2342" t="s">
        <v>88</v>
      </c>
      <c r="AX2342">
        <v>212</v>
      </c>
    </row>
    <row r="2343" spans="1:53" hidden="1" x14ac:dyDescent="0.3">
      <c r="A2343" t="s">
        <v>641</v>
      </c>
      <c r="C2343" t="s">
        <v>251</v>
      </c>
      <c r="D2343" t="s">
        <v>81</v>
      </c>
      <c r="E2343">
        <v>1100000</v>
      </c>
      <c r="H2343">
        <v>14.25</v>
      </c>
      <c r="I2343" t="s">
        <v>56</v>
      </c>
      <c r="J2343">
        <v>1.4250000000000001E-3</v>
      </c>
      <c r="K2343" t="s">
        <v>57</v>
      </c>
      <c r="N2343" t="s">
        <v>642</v>
      </c>
      <c r="O2343">
        <v>212</v>
      </c>
      <c r="P2343" t="s">
        <v>262</v>
      </c>
      <c r="S2343" t="s">
        <v>643</v>
      </c>
      <c r="T2343">
        <v>22</v>
      </c>
      <c r="U2343" t="s">
        <v>644</v>
      </c>
      <c r="V2343">
        <v>45</v>
      </c>
      <c r="W2343" t="s">
        <v>72</v>
      </c>
      <c r="X2343" t="s">
        <v>280</v>
      </c>
      <c r="Y2343">
        <v>2160</v>
      </c>
      <c r="AB2343">
        <v>6.77</v>
      </c>
      <c r="AC2343" t="s">
        <v>85</v>
      </c>
      <c r="AD2343" t="s">
        <v>585</v>
      </c>
      <c r="AE2343" t="s">
        <v>138</v>
      </c>
      <c r="AI2343">
        <v>5</v>
      </c>
      <c r="AJ2343" t="s">
        <v>201</v>
      </c>
      <c r="AT2343" t="s">
        <v>73</v>
      </c>
      <c r="AV2343" t="s">
        <v>88</v>
      </c>
      <c r="AX2343">
        <v>212</v>
      </c>
    </row>
    <row r="2344" spans="1:53" hidden="1" x14ac:dyDescent="0.3">
      <c r="A2344" t="s">
        <v>641</v>
      </c>
      <c r="C2344" t="s">
        <v>251</v>
      </c>
      <c r="D2344" t="s">
        <v>81</v>
      </c>
      <c r="E2344">
        <v>1100000</v>
      </c>
      <c r="H2344">
        <v>14.25</v>
      </c>
      <c r="I2344" t="s">
        <v>56</v>
      </c>
      <c r="J2344">
        <v>1.4250000000000001E-3</v>
      </c>
      <c r="K2344" t="s">
        <v>57</v>
      </c>
      <c r="N2344" t="s">
        <v>642</v>
      </c>
      <c r="O2344">
        <v>212</v>
      </c>
      <c r="P2344" t="s">
        <v>262</v>
      </c>
      <c r="S2344" t="s">
        <v>643</v>
      </c>
      <c r="T2344">
        <v>22</v>
      </c>
      <c r="U2344" t="s">
        <v>644</v>
      </c>
      <c r="V2344">
        <v>45</v>
      </c>
      <c r="W2344" t="s">
        <v>465</v>
      </c>
      <c r="X2344" t="s">
        <v>280</v>
      </c>
      <c r="Y2344">
        <v>2160</v>
      </c>
      <c r="AA2344" t="s">
        <v>94</v>
      </c>
      <c r="AB2344">
        <v>7.82</v>
      </c>
      <c r="AC2344" t="s">
        <v>85</v>
      </c>
      <c r="AD2344" t="s">
        <v>235</v>
      </c>
      <c r="AE2344" t="s">
        <v>138</v>
      </c>
      <c r="AI2344">
        <v>5</v>
      </c>
      <c r="AJ2344" t="s">
        <v>201</v>
      </c>
      <c r="AT2344" t="s">
        <v>79</v>
      </c>
      <c r="AV2344" t="s">
        <v>88</v>
      </c>
      <c r="AX2344">
        <v>212</v>
      </c>
      <c r="AZ2344">
        <v>0</v>
      </c>
      <c r="BA2344">
        <v>7.82</v>
      </c>
    </row>
    <row r="2345" spans="1:53" hidden="1" x14ac:dyDescent="0.3">
      <c r="A2345" t="s">
        <v>641</v>
      </c>
      <c r="C2345" t="s">
        <v>251</v>
      </c>
      <c r="D2345" t="s">
        <v>81</v>
      </c>
      <c r="E2345">
        <v>1100000</v>
      </c>
      <c r="H2345">
        <v>14.25</v>
      </c>
      <c r="I2345" t="s">
        <v>56</v>
      </c>
      <c r="J2345">
        <v>1.4250000000000001E-3</v>
      </c>
      <c r="K2345" t="s">
        <v>57</v>
      </c>
      <c r="N2345" t="s">
        <v>642</v>
      </c>
      <c r="O2345">
        <v>212</v>
      </c>
      <c r="P2345" t="s">
        <v>262</v>
      </c>
      <c r="S2345" t="s">
        <v>643</v>
      </c>
      <c r="T2345">
        <v>22</v>
      </c>
      <c r="U2345" t="s">
        <v>644</v>
      </c>
      <c r="V2345">
        <v>45</v>
      </c>
      <c r="W2345" t="s">
        <v>540</v>
      </c>
      <c r="X2345" t="s">
        <v>280</v>
      </c>
      <c r="Y2345">
        <v>2160</v>
      </c>
      <c r="AA2345" t="s">
        <v>94</v>
      </c>
      <c r="AB2345">
        <v>5.75</v>
      </c>
      <c r="AC2345" t="s">
        <v>85</v>
      </c>
      <c r="AD2345" t="s">
        <v>493</v>
      </c>
      <c r="AE2345" t="s">
        <v>138</v>
      </c>
      <c r="AI2345">
        <v>5</v>
      </c>
      <c r="AJ2345" t="s">
        <v>201</v>
      </c>
      <c r="AT2345" t="s">
        <v>212</v>
      </c>
      <c r="AV2345" t="s">
        <v>88</v>
      </c>
      <c r="AX2345">
        <v>212</v>
      </c>
      <c r="AZ2345">
        <v>0</v>
      </c>
      <c r="BA2345">
        <v>5.75</v>
      </c>
    </row>
    <row r="2346" spans="1:53" hidden="1" x14ac:dyDescent="0.3">
      <c r="A2346" t="s">
        <v>641</v>
      </c>
      <c r="C2346" t="s">
        <v>251</v>
      </c>
      <c r="D2346" t="s">
        <v>81</v>
      </c>
      <c r="E2346">
        <v>1100000</v>
      </c>
      <c r="H2346">
        <v>14.25</v>
      </c>
      <c r="I2346" t="s">
        <v>56</v>
      </c>
      <c r="J2346">
        <v>1.4250000000000001E-3</v>
      </c>
      <c r="K2346" t="s">
        <v>57</v>
      </c>
      <c r="N2346" t="s">
        <v>642</v>
      </c>
      <c r="O2346">
        <v>212</v>
      </c>
      <c r="P2346" t="s">
        <v>262</v>
      </c>
      <c r="S2346" t="s">
        <v>643</v>
      </c>
      <c r="T2346">
        <v>22</v>
      </c>
      <c r="U2346" t="s">
        <v>644</v>
      </c>
      <c r="V2346">
        <v>45</v>
      </c>
      <c r="W2346" t="s">
        <v>549</v>
      </c>
      <c r="X2346" t="s">
        <v>280</v>
      </c>
      <c r="Y2346">
        <v>2160</v>
      </c>
      <c r="AA2346" t="s">
        <v>94</v>
      </c>
      <c r="AB2346">
        <v>6.78</v>
      </c>
      <c r="AC2346" t="s">
        <v>85</v>
      </c>
      <c r="AD2346" t="s">
        <v>654</v>
      </c>
      <c r="AE2346" t="s">
        <v>138</v>
      </c>
      <c r="AI2346">
        <v>5</v>
      </c>
      <c r="AJ2346" t="s">
        <v>201</v>
      </c>
      <c r="AT2346" t="s">
        <v>77</v>
      </c>
      <c r="AV2346" t="s">
        <v>88</v>
      </c>
      <c r="AX2346">
        <v>212</v>
      </c>
      <c r="AZ2346">
        <v>0</v>
      </c>
      <c r="BA2346">
        <v>6.78</v>
      </c>
    </row>
    <row r="2347" spans="1:53" hidden="1" x14ac:dyDescent="0.3">
      <c r="A2347" t="s">
        <v>641</v>
      </c>
      <c r="C2347" t="s">
        <v>251</v>
      </c>
      <c r="D2347" t="s">
        <v>81</v>
      </c>
      <c r="E2347">
        <v>1100000</v>
      </c>
      <c r="H2347">
        <v>14.25</v>
      </c>
      <c r="I2347" t="s">
        <v>56</v>
      </c>
      <c r="J2347">
        <v>1.4250000000000001E-3</v>
      </c>
      <c r="K2347" t="s">
        <v>57</v>
      </c>
      <c r="N2347" t="s">
        <v>642</v>
      </c>
      <c r="O2347">
        <v>212</v>
      </c>
      <c r="P2347" t="s">
        <v>262</v>
      </c>
      <c r="S2347" t="s">
        <v>643</v>
      </c>
      <c r="T2347">
        <v>22</v>
      </c>
      <c r="U2347" t="s">
        <v>644</v>
      </c>
      <c r="V2347">
        <v>45</v>
      </c>
      <c r="W2347" t="s">
        <v>147</v>
      </c>
      <c r="X2347" t="s">
        <v>280</v>
      </c>
      <c r="Y2347">
        <v>2880</v>
      </c>
      <c r="AA2347" t="s">
        <v>94</v>
      </c>
      <c r="AB2347">
        <v>7.76</v>
      </c>
      <c r="AC2347" t="s">
        <v>85</v>
      </c>
      <c r="AD2347" t="s">
        <v>418</v>
      </c>
      <c r="AE2347" t="s">
        <v>138</v>
      </c>
      <c r="AI2347">
        <v>5</v>
      </c>
      <c r="AJ2347" t="s">
        <v>201</v>
      </c>
      <c r="AT2347" t="s">
        <v>150</v>
      </c>
      <c r="AV2347" t="s">
        <v>88</v>
      </c>
      <c r="AX2347">
        <v>212</v>
      </c>
      <c r="AZ2347">
        <v>0</v>
      </c>
      <c r="BA2347">
        <v>7.76</v>
      </c>
    </row>
    <row r="2348" spans="1:53" hidden="1" x14ac:dyDescent="0.3">
      <c r="A2348" t="s">
        <v>641</v>
      </c>
      <c r="C2348" t="s">
        <v>251</v>
      </c>
      <c r="D2348" t="s">
        <v>81</v>
      </c>
      <c r="E2348">
        <v>1100000</v>
      </c>
      <c r="H2348">
        <v>14.25</v>
      </c>
      <c r="I2348" t="s">
        <v>56</v>
      </c>
      <c r="J2348">
        <v>1.4250000000000001E-3</v>
      </c>
      <c r="K2348" t="s">
        <v>57</v>
      </c>
      <c r="N2348" t="s">
        <v>642</v>
      </c>
      <c r="O2348">
        <v>212</v>
      </c>
      <c r="P2348" t="s">
        <v>262</v>
      </c>
      <c r="S2348" t="s">
        <v>643</v>
      </c>
      <c r="T2348">
        <v>22</v>
      </c>
      <c r="U2348" t="s">
        <v>644</v>
      </c>
      <c r="V2348">
        <v>45</v>
      </c>
      <c r="W2348" t="s">
        <v>468</v>
      </c>
      <c r="X2348" t="s">
        <v>280</v>
      </c>
      <c r="Y2348">
        <v>2880</v>
      </c>
      <c r="AA2348" t="s">
        <v>94</v>
      </c>
      <c r="AB2348">
        <v>5</v>
      </c>
      <c r="AC2348" t="s">
        <v>85</v>
      </c>
      <c r="AD2348" t="s">
        <v>505</v>
      </c>
      <c r="AE2348" t="s">
        <v>138</v>
      </c>
      <c r="AI2348">
        <v>5</v>
      </c>
      <c r="AJ2348" t="s">
        <v>201</v>
      </c>
      <c r="AT2348" t="s">
        <v>318</v>
      </c>
      <c r="AV2348" t="s">
        <v>88</v>
      </c>
      <c r="AX2348">
        <v>212</v>
      </c>
      <c r="AZ2348">
        <v>0</v>
      </c>
      <c r="BA2348">
        <v>5</v>
      </c>
    </row>
    <row r="2349" spans="1:53" hidden="1" x14ac:dyDescent="0.3">
      <c r="A2349" t="s">
        <v>641</v>
      </c>
      <c r="C2349" t="s">
        <v>251</v>
      </c>
      <c r="D2349" t="s">
        <v>81</v>
      </c>
      <c r="E2349">
        <v>1100000</v>
      </c>
      <c r="H2349">
        <v>14.25</v>
      </c>
      <c r="I2349" t="s">
        <v>56</v>
      </c>
      <c r="J2349">
        <v>1.4250000000000001E-3</v>
      </c>
      <c r="K2349" t="s">
        <v>57</v>
      </c>
      <c r="N2349" t="s">
        <v>642</v>
      </c>
      <c r="O2349">
        <v>212</v>
      </c>
      <c r="P2349" t="s">
        <v>262</v>
      </c>
      <c r="S2349" t="s">
        <v>643</v>
      </c>
      <c r="T2349">
        <v>22</v>
      </c>
      <c r="U2349" t="s">
        <v>644</v>
      </c>
      <c r="V2349">
        <v>45</v>
      </c>
      <c r="W2349" t="s">
        <v>72</v>
      </c>
      <c r="X2349" t="s">
        <v>280</v>
      </c>
      <c r="Y2349">
        <v>2880</v>
      </c>
      <c r="AA2349" t="s">
        <v>94</v>
      </c>
      <c r="AB2349">
        <v>7.19</v>
      </c>
      <c r="AC2349" t="s">
        <v>85</v>
      </c>
      <c r="AD2349" t="s">
        <v>490</v>
      </c>
      <c r="AE2349" t="s">
        <v>138</v>
      </c>
      <c r="AI2349">
        <v>5</v>
      </c>
      <c r="AJ2349" t="s">
        <v>201</v>
      </c>
      <c r="AT2349" t="s">
        <v>73</v>
      </c>
      <c r="AV2349" t="s">
        <v>88</v>
      </c>
      <c r="AX2349">
        <v>212</v>
      </c>
      <c r="AZ2349">
        <v>0</v>
      </c>
      <c r="BA2349">
        <v>7.19</v>
      </c>
    </row>
    <row r="2350" spans="1:53" hidden="1" x14ac:dyDescent="0.3">
      <c r="A2350" t="s">
        <v>641</v>
      </c>
      <c r="C2350" t="s">
        <v>251</v>
      </c>
      <c r="D2350" t="s">
        <v>81</v>
      </c>
      <c r="E2350">
        <v>1100000</v>
      </c>
      <c r="H2350">
        <v>14.25</v>
      </c>
      <c r="I2350" t="s">
        <v>56</v>
      </c>
      <c r="J2350">
        <v>1.4250000000000001E-3</v>
      </c>
      <c r="K2350" t="s">
        <v>57</v>
      </c>
      <c r="N2350" t="s">
        <v>642</v>
      </c>
      <c r="O2350">
        <v>212</v>
      </c>
      <c r="P2350" t="s">
        <v>262</v>
      </c>
      <c r="S2350" t="s">
        <v>643</v>
      </c>
      <c r="T2350">
        <v>22</v>
      </c>
      <c r="U2350" t="s">
        <v>644</v>
      </c>
      <c r="V2350">
        <v>45</v>
      </c>
      <c r="W2350" t="s">
        <v>465</v>
      </c>
      <c r="X2350" t="s">
        <v>280</v>
      </c>
      <c r="Y2350">
        <v>2880</v>
      </c>
      <c r="AA2350" t="s">
        <v>94</v>
      </c>
      <c r="AB2350">
        <v>7.43</v>
      </c>
      <c r="AC2350" t="s">
        <v>85</v>
      </c>
      <c r="AD2350" t="s">
        <v>238</v>
      </c>
      <c r="AE2350" t="s">
        <v>138</v>
      </c>
      <c r="AI2350">
        <v>5</v>
      </c>
      <c r="AJ2350" t="s">
        <v>201</v>
      </c>
      <c r="AT2350" t="s">
        <v>79</v>
      </c>
      <c r="AV2350" t="s">
        <v>88</v>
      </c>
      <c r="AX2350">
        <v>212</v>
      </c>
      <c r="AZ2350">
        <v>0</v>
      </c>
      <c r="BA2350">
        <v>7.43</v>
      </c>
    </row>
    <row r="2351" spans="1:53" hidden="1" x14ac:dyDescent="0.3">
      <c r="A2351" t="s">
        <v>641</v>
      </c>
      <c r="C2351" t="s">
        <v>251</v>
      </c>
      <c r="D2351" t="s">
        <v>81</v>
      </c>
      <c r="E2351">
        <v>1100000</v>
      </c>
      <c r="H2351">
        <v>14.25</v>
      </c>
      <c r="I2351" t="s">
        <v>56</v>
      </c>
      <c r="J2351">
        <v>1.4250000000000001E-3</v>
      </c>
      <c r="K2351" t="s">
        <v>57</v>
      </c>
      <c r="N2351" t="s">
        <v>642</v>
      </c>
      <c r="O2351">
        <v>212</v>
      </c>
      <c r="P2351" t="s">
        <v>262</v>
      </c>
      <c r="S2351" t="s">
        <v>643</v>
      </c>
      <c r="T2351">
        <v>22</v>
      </c>
      <c r="U2351" t="s">
        <v>644</v>
      </c>
      <c r="V2351">
        <v>45</v>
      </c>
      <c r="W2351" t="s">
        <v>540</v>
      </c>
      <c r="X2351" t="s">
        <v>280</v>
      </c>
      <c r="Y2351">
        <v>2880</v>
      </c>
      <c r="AA2351" t="s">
        <v>94</v>
      </c>
      <c r="AB2351">
        <v>5.37</v>
      </c>
      <c r="AC2351" t="s">
        <v>85</v>
      </c>
      <c r="AD2351" t="s">
        <v>585</v>
      </c>
      <c r="AE2351" t="s">
        <v>138</v>
      </c>
      <c r="AI2351">
        <v>5</v>
      </c>
      <c r="AJ2351" t="s">
        <v>201</v>
      </c>
      <c r="AT2351" t="s">
        <v>212</v>
      </c>
      <c r="AV2351" t="s">
        <v>88</v>
      </c>
      <c r="AX2351">
        <v>212</v>
      </c>
      <c r="AZ2351">
        <v>0</v>
      </c>
      <c r="BA2351">
        <v>5.37</v>
      </c>
    </row>
    <row r="2352" spans="1:53" hidden="1" x14ac:dyDescent="0.3">
      <c r="A2352" t="s">
        <v>641</v>
      </c>
      <c r="C2352" t="s">
        <v>251</v>
      </c>
      <c r="D2352" t="s">
        <v>81</v>
      </c>
      <c r="E2352">
        <v>1100000</v>
      </c>
      <c r="H2352">
        <v>14.25</v>
      </c>
      <c r="I2352" t="s">
        <v>56</v>
      </c>
      <c r="J2352">
        <v>1.4250000000000001E-3</v>
      </c>
      <c r="K2352" t="s">
        <v>57</v>
      </c>
      <c r="N2352" t="s">
        <v>642</v>
      </c>
      <c r="O2352">
        <v>212</v>
      </c>
      <c r="P2352" t="s">
        <v>262</v>
      </c>
      <c r="S2352" t="s">
        <v>643</v>
      </c>
      <c r="T2352">
        <v>22</v>
      </c>
      <c r="U2352" t="s">
        <v>644</v>
      </c>
      <c r="V2352">
        <v>45</v>
      </c>
      <c r="W2352" t="s">
        <v>549</v>
      </c>
      <c r="X2352" t="s">
        <v>280</v>
      </c>
      <c r="Y2352">
        <v>2880</v>
      </c>
      <c r="AA2352" t="s">
        <v>94</v>
      </c>
      <c r="AB2352">
        <v>6.85</v>
      </c>
      <c r="AC2352" t="s">
        <v>85</v>
      </c>
      <c r="AD2352" t="s">
        <v>103</v>
      </c>
      <c r="AE2352" t="s">
        <v>138</v>
      </c>
      <c r="AI2352">
        <v>5</v>
      </c>
      <c r="AJ2352" t="s">
        <v>201</v>
      </c>
      <c r="AT2352" t="s">
        <v>77</v>
      </c>
      <c r="AV2352" t="s">
        <v>88</v>
      </c>
      <c r="AX2352">
        <v>212</v>
      </c>
      <c r="AZ2352">
        <v>0</v>
      </c>
      <c r="BA2352">
        <v>6.85</v>
      </c>
    </row>
    <row r="2353" spans="1:53" hidden="1" x14ac:dyDescent="0.3">
      <c r="A2353" t="s">
        <v>641</v>
      </c>
      <c r="C2353" t="s">
        <v>251</v>
      </c>
      <c r="D2353" t="s">
        <v>81</v>
      </c>
      <c r="E2353">
        <v>1100000</v>
      </c>
      <c r="H2353">
        <v>14.25</v>
      </c>
      <c r="I2353" t="s">
        <v>56</v>
      </c>
      <c r="J2353">
        <v>1.4250000000000001E-3</v>
      </c>
      <c r="K2353" t="s">
        <v>57</v>
      </c>
      <c r="N2353" t="s">
        <v>642</v>
      </c>
      <c r="O2353">
        <v>212</v>
      </c>
      <c r="P2353" t="s">
        <v>262</v>
      </c>
      <c r="S2353" t="s">
        <v>643</v>
      </c>
      <c r="T2353">
        <v>22</v>
      </c>
      <c r="U2353" t="s">
        <v>644</v>
      </c>
      <c r="V2353">
        <v>75</v>
      </c>
      <c r="W2353" t="s">
        <v>147</v>
      </c>
      <c r="X2353" t="s">
        <v>280</v>
      </c>
      <c r="Y2353">
        <v>2160</v>
      </c>
      <c r="AB2353">
        <v>0.6</v>
      </c>
      <c r="AC2353" t="s">
        <v>85</v>
      </c>
      <c r="AD2353" t="s">
        <v>321</v>
      </c>
      <c r="AE2353" t="s">
        <v>138</v>
      </c>
      <c r="AI2353">
        <v>5</v>
      </c>
      <c r="AJ2353" t="s">
        <v>201</v>
      </c>
      <c r="AT2353" t="s">
        <v>150</v>
      </c>
      <c r="AV2353" t="s">
        <v>88</v>
      </c>
      <c r="AX2353">
        <v>212</v>
      </c>
    </row>
    <row r="2354" spans="1:53" hidden="1" x14ac:dyDescent="0.3">
      <c r="A2354" t="s">
        <v>641</v>
      </c>
      <c r="C2354" t="s">
        <v>251</v>
      </c>
      <c r="D2354" t="s">
        <v>81</v>
      </c>
      <c r="E2354">
        <v>1100000</v>
      </c>
      <c r="H2354">
        <v>14.25</v>
      </c>
      <c r="I2354" t="s">
        <v>56</v>
      </c>
      <c r="J2354">
        <v>1.4250000000000001E-3</v>
      </c>
      <c r="K2354" t="s">
        <v>57</v>
      </c>
      <c r="N2354" t="s">
        <v>642</v>
      </c>
      <c r="O2354">
        <v>212</v>
      </c>
      <c r="P2354" t="s">
        <v>262</v>
      </c>
      <c r="S2354" t="s">
        <v>643</v>
      </c>
      <c r="T2354">
        <v>22</v>
      </c>
      <c r="U2354" t="s">
        <v>644</v>
      </c>
      <c r="V2354">
        <v>75</v>
      </c>
      <c r="W2354" t="s">
        <v>468</v>
      </c>
      <c r="X2354" t="s">
        <v>280</v>
      </c>
      <c r="Y2354">
        <v>2160</v>
      </c>
      <c r="AB2354">
        <v>1.1200000000000001</v>
      </c>
      <c r="AC2354" t="s">
        <v>85</v>
      </c>
      <c r="AD2354" t="s">
        <v>527</v>
      </c>
      <c r="AE2354" t="s">
        <v>138</v>
      </c>
      <c r="AI2354">
        <v>5</v>
      </c>
      <c r="AJ2354" t="s">
        <v>201</v>
      </c>
      <c r="AT2354" t="s">
        <v>318</v>
      </c>
      <c r="AV2354" t="s">
        <v>88</v>
      </c>
      <c r="AX2354">
        <v>212</v>
      </c>
    </row>
    <row r="2355" spans="1:53" hidden="1" x14ac:dyDescent="0.3">
      <c r="A2355" t="s">
        <v>641</v>
      </c>
      <c r="C2355" t="s">
        <v>251</v>
      </c>
      <c r="D2355" t="s">
        <v>81</v>
      </c>
      <c r="E2355">
        <v>1000000</v>
      </c>
      <c r="H2355">
        <v>14.25</v>
      </c>
      <c r="I2355" t="s">
        <v>56</v>
      </c>
      <c r="J2355">
        <v>1.4250000000000001E-3</v>
      </c>
      <c r="K2355" t="s">
        <v>57</v>
      </c>
      <c r="N2355" t="s">
        <v>642</v>
      </c>
      <c r="O2355">
        <v>212</v>
      </c>
      <c r="P2355" t="s">
        <v>262</v>
      </c>
      <c r="S2355" t="s">
        <v>643</v>
      </c>
      <c r="T2355">
        <v>22</v>
      </c>
      <c r="U2355" t="s">
        <v>644</v>
      </c>
      <c r="V2355">
        <v>75</v>
      </c>
      <c r="W2355" t="s">
        <v>72</v>
      </c>
      <c r="X2355" t="s">
        <v>280</v>
      </c>
      <c r="Y2355">
        <v>2160</v>
      </c>
      <c r="AB2355">
        <v>1.56</v>
      </c>
      <c r="AC2355" t="s">
        <v>85</v>
      </c>
      <c r="AD2355" t="s">
        <v>490</v>
      </c>
      <c r="AE2355" t="s">
        <v>138</v>
      </c>
      <c r="AI2355">
        <v>5</v>
      </c>
      <c r="AJ2355" t="s">
        <v>201</v>
      </c>
      <c r="AT2355" t="s">
        <v>73</v>
      </c>
      <c r="AV2355" t="s">
        <v>88</v>
      </c>
      <c r="AX2355">
        <v>212</v>
      </c>
    </row>
    <row r="2356" spans="1:53" hidden="1" x14ac:dyDescent="0.3">
      <c r="A2356" t="s">
        <v>641</v>
      </c>
      <c r="C2356" t="s">
        <v>251</v>
      </c>
      <c r="D2356" t="s">
        <v>81</v>
      </c>
      <c r="E2356">
        <v>1000000</v>
      </c>
      <c r="H2356">
        <v>14.25</v>
      </c>
      <c r="I2356" t="s">
        <v>56</v>
      </c>
      <c r="J2356">
        <v>1.4250000000000001E-3</v>
      </c>
      <c r="K2356" t="s">
        <v>57</v>
      </c>
      <c r="N2356" t="s">
        <v>642</v>
      </c>
      <c r="O2356">
        <v>212</v>
      </c>
      <c r="P2356" t="s">
        <v>262</v>
      </c>
      <c r="S2356" t="s">
        <v>643</v>
      </c>
      <c r="T2356">
        <v>22</v>
      </c>
      <c r="U2356" t="s">
        <v>644</v>
      </c>
      <c r="V2356">
        <v>75</v>
      </c>
      <c r="W2356" t="s">
        <v>465</v>
      </c>
      <c r="X2356" t="s">
        <v>280</v>
      </c>
      <c r="Y2356">
        <v>2160</v>
      </c>
      <c r="AB2356">
        <v>0.88</v>
      </c>
      <c r="AC2356" t="s">
        <v>85</v>
      </c>
      <c r="AD2356" t="s">
        <v>103</v>
      </c>
      <c r="AE2356" t="s">
        <v>138</v>
      </c>
      <c r="AI2356">
        <v>5</v>
      </c>
      <c r="AJ2356" t="s">
        <v>201</v>
      </c>
      <c r="AT2356" t="s">
        <v>79</v>
      </c>
      <c r="AV2356" t="s">
        <v>88</v>
      </c>
      <c r="AX2356">
        <v>212</v>
      </c>
    </row>
    <row r="2357" spans="1:53" hidden="1" x14ac:dyDescent="0.3">
      <c r="A2357" t="s">
        <v>641</v>
      </c>
      <c r="C2357" t="s">
        <v>251</v>
      </c>
      <c r="D2357" t="s">
        <v>81</v>
      </c>
      <c r="E2357">
        <v>1000000</v>
      </c>
      <c r="H2357">
        <v>14.25</v>
      </c>
      <c r="I2357" t="s">
        <v>56</v>
      </c>
      <c r="J2357">
        <v>1.4250000000000001E-3</v>
      </c>
      <c r="K2357" t="s">
        <v>57</v>
      </c>
      <c r="N2357" t="s">
        <v>642</v>
      </c>
      <c r="O2357">
        <v>212</v>
      </c>
      <c r="P2357" t="s">
        <v>262</v>
      </c>
      <c r="S2357" t="s">
        <v>643</v>
      </c>
      <c r="T2357">
        <v>22</v>
      </c>
      <c r="U2357" t="s">
        <v>644</v>
      </c>
      <c r="V2357">
        <v>75</v>
      </c>
      <c r="W2357" t="s">
        <v>540</v>
      </c>
      <c r="X2357" t="s">
        <v>280</v>
      </c>
      <c r="Y2357">
        <v>2160</v>
      </c>
      <c r="AB2357">
        <v>1.8</v>
      </c>
      <c r="AC2357" t="s">
        <v>85</v>
      </c>
      <c r="AD2357" t="s">
        <v>242</v>
      </c>
      <c r="AE2357" t="s">
        <v>138</v>
      </c>
      <c r="AI2357">
        <v>5</v>
      </c>
      <c r="AJ2357" t="s">
        <v>201</v>
      </c>
      <c r="AT2357" t="s">
        <v>212</v>
      </c>
      <c r="AV2357" t="s">
        <v>88</v>
      </c>
      <c r="AX2357">
        <v>212</v>
      </c>
    </row>
    <row r="2358" spans="1:53" hidden="1" x14ac:dyDescent="0.3">
      <c r="A2358" t="s">
        <v>641</v>
      </c>
      <c r="C2358" t="s">
        <v>251</v>
      </c>
      <c r="D2358" t="s">
        <v>81</v>
      </c>
      <c r="E2358">
        <v>1000000</v>
      </c>
      <c r="H2358">
        <v>14.25</v>
      </c>
      <c r="I2358" t="s">
        <v>56</v>
      </c>
      <c r="J2358">
        <v>1.4250000000000001E-3</v>
      </c>
      <c r="K2358" t="s">
        <v>57</v>
      </c>
      <c r="N2358" t="s">
        <v>642</v>
      </c>
      <c r="O2358">
        <v>212</v>
      </c>
      <c r="P2358" t="s">
        <v>262</v>
      </c>
      <c r="S2358" t="s">
        <v>643</v>
      </c>
      <c r="T2358">
        <v>22</v>
      </c>
      <c r="U2358" t="s">
        <v>644</v>
      </c>
      <c r="V2358">
        <v>75</v>
      </c>
      <c r="W2358" t="s">
        <v>549</v>
      </c>
      <c r="X2358" t="s">
        <v>280</v>
      </c>
      <c r="Y2358">
        <v>2160</v>
      </c>
      <c r="AB2358">
        <v>1.26</v>
      </c>
      <c r="AC2358" t="s">
        <v>85</v>
      </c>
      <c r="AD2358" t="s">
        <v>433</v>
      </c>
      <c r="AE2358" t="s">
        <v>138</v>
      </c>
      <c r="AI2358">
        <v>5</v>
      </c>
      <c r="AJ2358" t="s">
        <v>201</v>
      </c>
      <c r="AT2358" t="s">
        <v>77</v>
      </c>
      <c r="AV2358" t="s">
        <v>88</v>
      </c>
      <c r="AX2358">
        <v>212</v>
      </c>
    </row>
    <row r="2359" spans="1:53" hidden="1" x14ac:dyDescent="0.3">
      <c r="A2359" t="s">
        <v>641</v>
      </c>
      <c r="C2359" t="s">
        <v>251</v>
      </c>
      <c r="D2359" t="s">
        <v>81</v>
      </c>
      <c r="E2359">
        <v>1000000</v>
      </c>
      <c r="H2359">
        <v>14.25</v>
      </c>
      <c r="I2359" t="s">
        <v>56</v>
      </c>
      <c r="J2359">
        <v>1.4250000000000001E-3</v>
      </c>
      <c r="K2359" t="s">
        <v>57</v>
      </c>
      <c r="N2359" t="s">
        <v>642</v>
      </c>
      <c r="O2359">
        <v>212</v>
      </c>
      <c r="P2359" t="s">
        <v>262</v>
      </c>
      <c r="S2359" t="s">
        <v>643</v>
      </c>
      <c r="T2359">
        <v>27</v>
      </c>
      <c r="U2359" t="s">
        <v>644</v>
      </c>
      <c r="V2359">
        <v>45</v>
      </c>
      <c r="W2359" t="s">
        <v>147</v>
      </c>
      <c r="X2359" t="s">
        <v>280</v>
      </c>
      <c r="Y2359">
        <v>2160</v>
      </c>
      <c r="AB2359">
        <v>1.97</v>
      </c>
      <c r="AC2359" t="s">
        <v>85</v>
      </c>
      <c r="AD2359" t="s">
        <v>219</v>
      </c>
      <c r="AE2359" t="s">
        <v>138</v>
      </c>
      <c r="AI2359">
        <v>5</v>
      </c>
      <c r="AJ2359" t="s">
        <v>201</v>
      </c>
      <c r="AT2359" t="s">
        <v>150</v>
      </c>
      <c r="AV2359" t="s">
        <v>88</v>
      </c>
      <c r="AX2359">
        <v>212</v>
      </c>
    </row>
    <row r="2360" spans="1:53" hidden="1" x14ac:dyDescent="0.3">
      <c r="A2360" t="s">
        <v>641</v>
      </c>
      <c r="C2360" t="s">
        <v>251</v>
      </c>
      <c r="D2360" t="s">
        <v>81</v>
      </c>
      <c r="E2360">
        <v>1000000</v>
      </c>
      <c r="H2360">
        <v>14.25</v>
      </c>
      <c r="I2360" t="s">
        <v>56</v>
      </c>
      <c r="J2360">
        <v>1.4250000000000001E-3</v>
      </c>
      <c r="K2360" t="s">
        <v>57</v>
      </c>
      <c r="N2360" t="s">
        <v>642</v>
      </c>
      <c r="O2360">
        <v>212</v>
      </c>
      <c r="P2360" t="s">
        <v>262</v>
      </c>
      <c r="S2360" t="s">
        <v>643</v>
      </c>
      <c r="T2360">
        <v>27</v>
      </c>
      <c r="U2360" t="s">
        <v>644</v>
      </c>
      <c r="V2360">
        <v>45</v>
      </c>
      <c r="W2360" t="s">
        <v>468</v>
      </c>
      <c r="X2360" t="s">
        <v>280</v>
      </c>
      <c r="Y2360">
        <v>2160</v>
      </c>
      <c r="AB2360">
        <v>5.57</v>
      </c>
      <c r="AC2360" t="s">
        <v>85</v>
      </c>
      <c r="AD2360" t="s">
        <v>582</v>
      </c>
      <c r="AE2360" t="s">
        <v>138</v>
      </c>
      <c r="AI2360">
        <v>5</v>
      </c>
      <c r="AJ2360" t="s">
        <v>201</v>
      </c>
      <c r="AT2360" t="s">
        <v>318</v>
      </c>
      <c r="AV2360" t="s">
        <v>88</v>
      </c>
      <c r="AX2360">
        <v>212</v>
      </c>
    </row>
    <row r="2361" spans="1:53" hidden="1" x14ac:dyDescent="0.3">
      <c r="A2361" t="s">
        <v>641</v>
      </c>
      <c r="C2361" t="s">
        <v>251</v>
      </c>
      <c r="D2361" t="s">
        <v>81</v>
      </c>
      <c r="E2361">
        <v>1000000</v>
      </c>
      <c r="H2361">
        <v>14.25</v>
      </c>
      <c r="I2361" t="s">
        <v>56</v>
      </c>
      <c r="J2361">
        <v>1.4250000000000001E-3</v>
      </c>
      <c r="K2361" t="s">
        <v>57</v>
      </c>
      <c r="N2361" t="s">
        <v>642</v>
      </c>
      <c r="O2361">
        <v>212</v>
      </c>
      <c r="P2361" t="s">
        <v>262</v>
      </c>
      <c r="S2361" t="s">
        <v>643</v>
      </c>
      <c r="T2361">
        <v>27</v>
      </c>
      <c r="U2361" t="s">
        <v>644</v>
      </c>
      <c r="V2361">
        <v>45</v>
      </c>
      <c r="W2361" t="s">
        <v>72</v>
      </c>
      <c r="X2361" t="s">
        <v>280</v>
      </c>
      <c r="Y2361">
        <v>2160</v>
      </c>
      <c r="AB2361">
        <v>4.8899999999999899</v>
      </c>
      <c r="AC2361" t="s">
        <v>85</v>
      </c>
      <c r="AD2361" t="s">
        <v>529</v>
      </c>
      <c r="AE2361" t="s">
        <v>138</v>
      </c>
      <c r="AI2361">
        <v>5</v>
      </c>
      <c r="AJ2361" t="s">
        <v>201</v>
      </c>
      <c r="AT2361" t="s">
        <v>73</v>
      </c>
      <c r="AV2361" t="s">
        <v>88</v>
      </c>
      <c r="AX2361">
        <v>212</v>
      </c>
    </row>
    <row r="2362" spans="1:53" hidden="1" x14ac:dyDescent="0.3">
      <c r="A2362" t="s">
        <v>641</v>
      </c>
      <c r="C2362" t="s">
        <v>251</v>
      </c>
      <c r="D2362" t="s">
        <v>81</v>
      </c>
      <c r="E2362">
        <v>1000000</v>
      </c>
      <c r="H2362">
        <v>14.25</v>
      </c>
      <c r="I2362" t="s">
        <v>56</v>
      </c>
      <c r="J2362">
        <v>1.4250000000000001E-3</v>
      </c>
      <c r="K2362" t="s">
        <v>57</v>
      </c>
      <c r="N2362" t="s">
        <v>642</v>
      </c>
      <c r="O2362">
        <v>212</v>
      </c>
      <c r="P2362" t="s">
        <v>262</v>
      </c>
      <c r="S2362" t="s">
        <v>643</v>
      </c>
      <c r="T2362">
        <v>27</v>
      </c>
      <c r="U2362" t="s">
        <v>644</v>
      </c>
      <c r="V2362">
        <v>45</v>
      </c>
      <c r="W2362" t="s">
        <v>465</v>
      </c>
      <c r="X2362" t="s">
        <v>280</v>
      </c>
      <c r="Y2362">
        <v>2160</v>
      </c>
      <c r="AA2362" t="s">
        <v>94</v>
      </c>
      <c r="AB2362">
        <v>7.77</v>
      </c>
      <c r="AC2362" t="s">
        <v>85</v>
      </c>
      <c r="AD2362" t="s">
        <v>237</v>
      </c>
      <c r="AE2362" t="s">
        <v>138</v>
      </c>
      <c r="AI2362">
        <v>5</v>
      </c>
      <c r="AJ2362" t="s">
        <v>201</v>
      </c>
      <c r="AT2362" t="s">
        <v>79</v>
      </c>
      <c r="AV2362" t="s">
        <v>88</v>
      </c>
      <c r="AX2362">
        <v>212</v>
      </c>
      <c r="AZ2362">
        <v>0</v>
      </c>
      <c r="BA2362">
        <v>7.77</v>
      </c>
    </row>
    <row r="2363" spans="1:53" hidden="1" x14ac:dyDescent="0.3">
      <c r="A2363" t="s">
        <v>641</v>
      </c>
      <c r="C2363" t="s">
        <v>251</v>
      </c>
      <c r="D2363" t="s">
        <v>81</v>
      </c>
      <c r="E2363">
        <v>1000000</v>
      </c>
      <c r="H2363">
        <v>14.25</v>
      </c>
      <c r="I2363" t="s">
        <v>56</v>
      </c>
      <c r="J2363">
        <v>1.4250000000000001E-3</v>
      </c>
      <c r="K2363" t="s">
        <v>57</v>
      </c>
      <c r="N2363" t="s">
        <v>642</v>
      </c>
      <c r="O2363">
        <v>212</v>
      </c>
      <c r="P2363" t="s">
        <v>262</v>
      </c>
      <c r="S2363" t="s">
        <v>643</v>
      </c>
      <c r="T2363">
        <v>27</v>
      </c>
      <c r="U2363" t="s">
        <v>644</v>
      </c>
      <c r="V2363">
        <v>45</v>
      </c>
      <c r="W2363" t="s">
        <v>540</v>
      </c>
      <c r="X2363" t="s">
        <v>280</v>
      </c>
      <c r="Y2363">
        <v>2160</v>
      </c>
      <c r="AB2363">
        <v>5.08</v>
      </c>
      <c r="AC2363" t="s">
        <v>85</v>
      </c>
      <c r="AD2363" t="s">
        <v>656</v>
      </c>
      <c r="AE2363" t="s">
        <v>138</v>
      </c>
      <c r="AI2363">
        <v>5</v>
      </c>
      <c r="AJ2363" t="s">
        <v>201</v>
      </c>
      <c r="AT2363" t="s">
        <v>212</v>
      </c>
      <c r="AV2363" t="s">
        <v>88</v>
      </c>
      <c r="AX2363">
        <v>212</v>
      </c>
    </row>
    <row r="2364" spans="1:53" hidden="1" x14ac:dyDescent="0.3">
      <c r="A2364" t="s">
        <v>641</v>
      </c>
      <c r="C2364" t="s">
        <v>251</v>
      </c>
      <c r="D2364" t="s">
        <v>81</v>
      </c>
      <c r="E2364">
        <v>1000000</v>
      </c>
      <c r="H2364">
        <v>14.25</v>
      </c>
      <c r="I2364" t="s">
        <v>56</v>
      </c>
      <c r="J2364">
        <v>1.4250000000000001E-3</v>
      </c>
      <c r="K2364" t="s">
        <v>57</v>
      </c>
      <c r="N2364" t="s">
        <v>642</v>
      </c>
      <c r="O2364">
        <v>212</v>
      </c>
      <c r="P2364" t="s">
        <v>262</v>
      </c>
      <c r="S2364" t="s">
        <v>643</v>
      </c>
      <c r="T2364">
        <v>27</v>
      </c>
      <c r="U2364" t="s">
        <v>644</v>
      </c>
      <c r="V2364">
        <v>45</v>
      </c>
      <c r="W2364" t="s">
        <v>549</v>
      </c>
      <c r="X2364" t="s">
        <v>280</v>
      </c>
      <c r="Y2364">
        <v>2160</v>
      </c>
      <c r="AA2364" t="s">
        <v>94</v>
      </c>
      <c r="AB2364">
        <v>6.88</v>
      </c>
      <c r="AC2364" t="s">
        <v>85</v>
      </c>
      <c r="AD2364" t="s">
        <v>239</v>
      </c>
      <c r="AE2364" t="s">
        <v>138</v>
      </c>
      <c r="AI2364">
        <v>5</v>
      </c>
      <c r="AJ2364" t="s">
        <v>201</v>
      </c>
      <c r="AT2364" t="s">
        <v>77</v>
      </c>
      <c r="AV2364" t="s">
        <v>88</v>
      </c>
      <c r="AX2364">
        <v>212</v>
      </c>
      <c r="AZ2364">
        <v>0</v>
      </c>
      <c r="BA2364">
        <v>6.88</v>
      </c>
    </row>
    <row r="2365" spans="1:53" hidden="1" x14ac:dyDescent="0.3">
      <c r="A2365" t="s">
        <v>641</v>
      </c>
      <c r="C2365" t="s">
        <v>251</v>
      </c>
      <c r="D2365" t="s">
        <v>81</v>
      </c>
      <c r="E2365">
        <v>1000000</v>
      </c>
      <c r="H2365">
        <v>14.25</v>
      </c>
      <c r="I2365" t="s">
        <v>56</v>
      </c>
      <c r="J2365">
        <v>1.4250000000000001E-3</v>
      </c>
      <c r="K2365" t="s">
        <v>57</v>
      </c>
      <c r="N2365" t="s">
        <v>642</v>
      </c>
      <c r="O2365">
        <v>212</v>
      </c>
      <c r="P2365" t="s">
        <v>262</v>
      </c>
      <c r="S2365" t="s">
        <v>643</v>
      </c>
      <c r="T2365">
        <v>22</v>
      </c>
      <c r="U2365" t="s">
        <v>644</v>
      </c>
      <c r="V2365">
        <v>75</v>
      </c>
      <c r="W2365" t="s">
        <v>147</v>
      </c>
      <c r="X2365" t="s">
        <v>280</v>
      </c>
      <c r="Y2365">
        <v>1440</v>
      </c>
      <c r="AB2365">
        <v>0.35</v>
      </c>
      <c r="AC2365" t="s">
        <v>85</v>
      </c>
      <c r="AD2365" t="s">
        <v>418</v>
      </c>
      <c r="AE2365" t="s">
        <v>138</v>
      </c>
      <c r="AI2365">
        <v>5</v>
      </c>
      <c r="AJ2365" t="s">
        <v>201</v>
      </c>
      <c r="AT2365" t="s">
        <v>150</v>
      </c>
      <c r="AV2365" t="s">
        <v>88</v>
      </c>
      <c r="AX2365">
        <v>212</v>
      </c>
    </row>
    <row r="2366" spans="1:53" hidden="1" x14ac:dyDescent="0.3">
      <c r="A2366" t="s">
        <v>641</v>
      </c>
      <c r="C2366" t="s">
        <v>251</v>
      </c>
      <c r="D2366" t="s">
        <v>81</v>
      </c>
      <c r="E2366">
        <v>1000000</v>
      </c>
      <c r="H2366">
        <v>14.25</v>
      </c>
      <c r="I2366" t="s">
        <v>56</v>
      </c>
      <c r="J2366">
        <v>1.4250000000000001E-3</v>
      </c>
      <c r="K2366" t="s">
        <v>57</v>
      </c>
      <c r="N2366" t="s">
        <v>642</v>
      </c>
      <c r="O2366">
        <v>212</v>
      </c>
      <c r="P2366" t="s">
        <v>262</v>
      </c>
      <c r="S2366" t="s">
        <v>643</v>
      </c>
      <c r="T2366">
        <v>22</v>
      </c>
      <c r="U2366" t="s">
        <v>644</v>
      </c>
      <c r="V2366">
        <v>75</v>
      </c>
      <c r="W2366" t="s">
        <v>468</v>
      </c>
      <c r="X2366" t="s">
        <v>280</v>
      </c>
      <c r="Y2366">
        <v>1440</v>
      </c>
      <c r="AB2366">
        <v>0.8</v>
      </c>
      <c r="AC2366" t="s">
        <v>85</v>
      </c>
      <c r="AD2366" t="s">
        <v>219</v>
      </c>
      <c r="AE2366" t="s">
        <v>138</v>
      </c>
      <c r="AI2366">
        <v>5</v>
      </c>
      <c r="AJ2366" t="s">
        <v>201</v>
      </c>
      <c r="AT2366" t="s">
        <v>318</v>
      </c>
      <c r="AV2366" t="s">
        <v>88</v>
      </c>
      <c r="AX2366">
        <v>212</v>
      </c>
    </row>
    <row r="2367" spans="1:53" hidden="1" x14ac:dyDescent="0.3">
      <c r="A2367" t="s">
        <v>641</v>
      </c>
      <c r="C2367" t="s">
        <v>251</v>
      </c>
      <c r="D2367" t="s">
        <v>81</v>
      </c>
      <c r="E2367">
        <v>1000000</v>
      </c>
      <c r="H2367">
        <v>14.25</v>
      </c>
      <c r="I2367" t="s">
        <v>56</v>
      </c>
      <c r="J2367">
        <v>1.4250000000000001E-3</v>
      </c>
      <c r="K2367" t="s">
        <v>57</v>
      </c>
      <c r="N2367" t="s">
        <v>642</v>
      </c>
      <c r="O2367">
        <v>212</v>
      </c>
      <c r="P2367" t="s">
        <v>262</v>
      </c>
      <c r="S2367" t="s">
        <v>643</v>
      </c>
      <c r="T2367">
        <v>22</v>
      </c>
      <c r="U2367" t="s">
        <v>644</v>
      </c>
      <c r="V2367">
        <v>75</v>
      </c>
      <c r="W2367" t="s">
        <v>72</v>
      </c>
      <c r="X2367" t="s">
        <v>280</v>
      </c>
      <c r="Y2367">
        <v>1440</v>
      </c>
      <c r="AB2367">
        <v>0.68</v>
      </c>
      <c r="AC2367" t="s">
        <v>85</v>
      </c>
      <c r="AD2367" t="s">
        <v>248</v>
      </c>
      <c r="AE2367" t="s">
        <v>138</v>
      </c>
      <c r="AI2367">
        <v>5</v>
      </c>
      <c r="AJ2367" t="s">
        <v>201</v>
      </c>
      <c r="AT2367" t="s">
        <v>73</v>
      </c>
      <c r="AV2367" t="s">
        <v>88</v>
      </c>
      <c r="AX2367">
        <v>212</v>
      </c>
    </row>
    <row r="2368" spans="1:53" hidden="1" x14ac:dyDescent="0.3">
      <c r="A2368" t="s">
        <v>641</v>
      </c>
      <c r="C2368" t="s">
        <v>251</v>
      </c>
      <c r="D2368" t="s">
        <v>81</v>
      </c>
      <c r="E2368">
        <v>1000000</v>
      </c>
      <c r="H2368">
        <v>14.25</v>
      </c>
      <c r="I2368" t="s">
        <v>56</v>
      </c>
      <c r="J2368">
        <v>1.4250000000000001E-3</v>
      </c>
      <c r="K2368" t="s">
        <v>57</v>
      </c>
      <c r="N2368" t="s">
        <v>642</v>
      </c>
      <c r="O2368">
        <v>212</v>
      </c>
      <c r="P2368" t="s">
        <v>262</v>
      </c>
      <c r="S2368" t="s">
        <v>643</v>
      </c>
      <c r="T2368">
        <v>22</v>
      </c>
      <c r="U2368" t="s">
        <v>644</v>
      </c>
      <c r="V2368">
        <v>75</v>
      </c>
      <c r="W2368" t="s">
        <v>465</v>
      </c>
      <c r="X2368" t="s">
        <v>280</v>
      </c>
      <c r="Y2368">
        <v>1440</v>
      </c>
      <c r="AB2368">
        <v>0.61</v>
      </c>
      <c r="AC2368" t="s">
        <v>85</v>
      </c>
      <c r="AD2368" t="s">
        <v>227</v>
      </c>
      <c r="AE2368" t="s">
        <v>138</v>
      </c>
      <c r="AI2368">
        <v>5</v>
      </c>
      <c r="AJ2368" t="s">
        <v>201</v>
      </c>
      <c r="AT2368" t="s">
        <v>79</v>
      </c>
      <c r="AV2368" t="s">
        <v>88</v>
      </c>
      <c r="AX2368">
        <v>212</v>
      </c>
    </row>
    <row r="2369" spans="1:53" hidden="1" x14ac:dyDescent="0.3">
      <c r="A2369" t="s">
        <v>641</v>
      </c>
      <c r="C2369" t="s">
        <v>251</v>
      </c>
      <c r="D2369" t="s">
        <v>81</v>
      </c>
      <c r="E2369">
        <v>1000000</v>
      </c>
      <c r="H2369">
        <v>14.25</v>
      </c>
      <c r="I2369" t="s">
        <v>56</v>
      </c>
      <c r="J2369">
        <v>1.4250000000000001E-3</v>
      </c>
      <c r="K2369" t="s">
        <v>57</v>
      </c>
      <c r="N2369" t="s">
        <v>642</v>
      </c>
      <c r="O2369">
        <v>212</v>
      </c>
      <c r="P2369" t="s">
        <v>262</v>
      </c>
      <c r="S2369" t="s">
        <v>643</v>
      </c>
      <c r="T2369">
        <v>22</v>
      </c>
      <c r="U2369" t="s">
        <v>644</v>
      </c>
      <c r="V2369">
        <v>75</v>
      </c>
      <c r="W2369" t="s">
        <v>540</v>
      </c>
      <c r="X2369" t="s">
        <v>280</v>
      </c>
      <c r="Y2369">
        <v>1440</v>
      </c>
      <c r="AB2369">
        <v>0.84</v>
      </c>
      <c r="AC2369" t="s">
        <v>85</v>
      </c>
      <c r="AD2369" t="s">
        <v>228</v>
      </c>
      <c r="AE2369" t="s">
        <v>138</v>
      </c>
      <c r="AI2369">
        <v>5</v>
      </c>
      <c r="AJ2369" t="s">
        <v>201</v>
      </c>
      <c r="AT2369" t="s">
        <v>212</v>
      </c>
      <c r="AV2369" t="s">
        <v>88</v>
      </c>
      <c r="AX2369">
        <v>212</v>
      </c>
    </row>
    <row r="2370" spans="1:53" hidden="1" x14ac:dyDescent="0.3">
      <c r="A2370" t="s">
        <v>641</v>
      </c>
      <c r="C2370" t="s">
        <v>251</v>
      </c>
      <c r="D2370" t="s">
        <v>81</v>
      </c>
      <c r="E2370">
        <v>1000000</v>
      </c>
      <c r="H2370">
        <v>14.25</v>
      </c>
      <c r="I2370" t="s">
        <v>56</v>
      </c>
      <c r="J2370">
        <v>1.4250000000000001E-3</v>
      </c>
      <c r="K2370" t="s">
        <v>57</v>
      </c>
      <c r="N2370" t="s">
        <v>642</v>
      </c>
      <c r="O2370">
        <v>212</v>
      </c>
      <c r="P2370" t="s">
        <v>262</v>
      </c>
      <c r="S2370" t="s">
        <v>643</v>
      </c>
      <c r="T2370">
        <v>22</v>
      </c>
      <c r="U2370" t="s">
        <v>644</v>
      </c>
      <c r="V2370">
        <v>75</v>
      </c>
      <c r="W2370" t="s">
        <v>549</v>
      </c>
      <c r="X2370" t="s">
        <v>280</v>
      </c>
      <c r="Y2370">
        <v>1440</v>
      </c>
      <c r="AB2370">
        <v>1.1599999999999899</v>
      </c>
      <c r="AC2370" t="s">
        <v>85</v>
      </c>
      <c r="AD2370" t="s">
        <v>234</v>
      </c>
      <c r="AE2370" t="s">
        <v>138</v>
      </c>
      <c r="AI2370">
        <v>5</v>
      </c>
      <c r="AJ2370" t="s">
        <v>201</v>
      </c>
      <c r="AT2370" t="s">
        <v>77</v>
      </c>
      <c r="AV2370" t="s">
        <v>88</v>
      </c>
      <c r="AX2370">
        <v>212</v>
      </c>
    </row>
    <row r="2371" spans="1:53" hidden="1" x14ac:dyDescent="0.3">
      <c r="A2371" t="s">
        <v>641</v>
      </c>
      <c r="C2371" t="s">
        <v>251</v>
      </c>
      <c r="D2371" t="s">
        <v>81</v>
      </c>
      <c r="E2371">
        <v>1000000</v>
      </c>
      <c r="H2371">
        <v>14.25</v>
      </c>
      <c r="I2371" t="s">
        <v>56</v>
      </c>
      <c r="J2371">
        <v>1.4250000000000001E-3</v>
      </c>
      <c r="K2371" t="s">
        <v>57</v>
      </c>
      <c r="N2371" t="s">
        <v>642</v>
      </c>
      <c r="O2371">
        <v>212</v>
      </c>
      <c r="P2371" t="s">
        <v>262</v>
      </c>
      <c r="S2371" t="s">
        <v>643</v>
      </c>
      <c r="T2371">
        <v>27</v>
      </c>
      <c r="U2371" t="s">
        <v>644</v>
      </c>
      <c r="V2371">
        <v>75</v>
      </c>
      <c r="W2371" t="s">
        <v>147</v>
      </c>
      <c r="X2371" t="s">
        <v>280</v>
      </c>
      <c r="Y2371">
        <v>2160</v>
      </c>
      <c r="AB2371">
        <v>2.79</v>
      </c>
      <c r="AC2371" t="s">
        <v>85</v>
      </c>
      <c r="AD2371" t="s">
        <v>531</v>
      </c>
      <c r="AE2371" t="s">
        <v>138</v>
      </c>
      <c r="AI2371">
        <v>5</v>
      </c>
      <c r="AJ2371" t="s">
        <v>201</v>
      </c>
      <c r="AT2371" t="s">
        <v>150</v>
      </c>
      <c r="AV2371" t="s">
        <v>88</v>
      </c>
      <c r="AX2371">
        <v>212</v>
      </c>
    </row>
    <row r="2372" spans="1:53" hidden="1" x14ac:dyDescent="0.3">
      <c r="A2372" t="s">
        <v>641</v>
      </c>
      <c r="C2372" t="s">
        <v>251</v>
      </c>
      <c r="D2372" t="s">
        <v>81</v>
      </c>
      <c r="E2372">
        <v>1000000</v>
      </c>
      <c r="H2372">
        <v>14.25</v>
      </c>
      <c r="I2372" t="s">
        <v>56</v>
      </c>
      <c r="J2372">
        <v>1.4250000000000001E-3</v>
      </c>
      <c r="K2372" t="s">
        <v>57</v>
      </c>
      <c r="N2372" t="s">
        <v>642</v>
      </c>
      <c r="O2372">
        <v>212</v>
      </c>
      <c r="P2372" t="s">
        <v>262</v>
      </c>
      <c r="S2372" t="s">
        <v>643</v>
      </c>
      <c r="T2372">
        <v>27</v>
      </c>
      <c r="U2372" t="s">
        <v>644</v>
      </c>
      <c r="V2372">
        <v>75</v>
      </c>
      <c r="W2372" t="s">
        <v>468</v>
      </c>
      <c r="X2372" t="s">
        <v>280</v>
      </c>
      <c r="Y2372">
        <v>2160</v>
      </c>
      <c r="AA2372" t="s">
        <v>94</v>
      </c>
      <c r="AB2372">
        <v>6.48</v>
      </c>
      <c r="AC2372" t="s">
        <v>85</v>
      </c>
      <c r="AD2372" t="s">
        <v>106</v>
      </c>
      <c r="AE2372" t="s">
        <v>138</v>
      </c>
      <c r="AI2372">
        <v>5</v>
      </c>
      <c r="AJ2372" t="s">
        <v>201</v>
      </c>
      <c r="AT2372" t="s">
        <v>318</v>
      </c>
      <c r="AV2372" t="s">
        <v>88</v>
      </c>
      <c r="AX2372">
        <v>212</v>
      </c>
      <c r="AZ2372">
        <v>0</v>
      </c>
      <c r="BA2372">
        <v>6.48</v>
      </c>
    </row>
    <row r="2373" spans="1:53" hidden="1" x14ac:dyDescent="0.3">
      <c r="A2373" t="s">
        <v>641</v>
      </c>
      <c r="C2373" t="s">
        <v>251</v>
      </c>
      <c r="D2373" t="s">
        <v>81</v>
      </c>
      <c r="E2373">
        <v>1000000</v>
      </c>
      <c r="H2373">
        <v>14.25</v>
      </c>
      <c r="I2373" t="s">
        <v>56</v>
      </c>
      <c r="J2373">
        <v>1.4250000000000001E-3</v>
      </c>
      <c r="K2373" t="s">
        <v>57</v>
      </c>
      <c r="N2373" t="s">
        <v>642</v>
      </c>
      <c r="O2373">
        <v>212</v>
      </c>
      <c r="P2373" t="s">
        <v>262</v>
      </c>
      <c r="S2373" t="s">
        <v>643</v>
      </c>
      <c r="T2373">
        <v>27</v>
      </c>
      <c r="U2373" t="s">
        <v>644</v>
      </c>
      <c r="V2373">
        <v>75</v>
      </c>
      <c r="W2373" t="s">
        <v>72</v>
      </c>
      <c r="X2373" t="s">
        <v>280</v>
      </c>
      <c r="Y2373">
        <v>2160</v>
      </c>
      <c r="AA2373" t="s">
        <v>94</v>
      </c>
      <c r="AB2373">
        <v>7.91</v>
      </c>
      <c r="AC2373" t="s">
        <v>85</v>
      </c>
      <c r="AD2373" t="s">
        <v>237</v>
      </c>
      <c r="AE2373" t="s">
        <v>138</v>
      </c>
      <c r="AI2373">
        <v>5</v>
      </c>
      <c r="AJ2373" t="s">
        <v>201</v>
      </c>
      <c r="AT2373" t="s">
        <v>73</v>
      </c>
      <c r="AV2373" t="s">
        <v>88</v>
      </c>
      <c r="AX2373">
        <v>212</v>
      </c>
      <c r="AZ2373">
        <v>0</v>
      </c>
      <c r="BA2373">
        <v>7.91</v>
      </c>
    </row>
    <row r="2374" spans="1:53" hidden="1" x14ac:dyDescent="0.3">
      <c r="A2374" t="s">
        <v>641</v>
      </c>
      <c r="C2374" t="s">
        <v>251</v>
      </c>
      <c r="D2374" t="s">
        <v>81</v>
      </c>
      <c r="E2374">
        <v>1000000</v>
      </c>
      <c r="H2374">
        <v>14.25</v>
      </c>
      <c r="I2374" t="s">
        <v>56</v>
      </c>
      <c r="J2374">
        <v>1.4250000000000001E-3</v>
      </c>
      <c r="K2374" t="s">
        <v>57</v>
      </c>
      <c r="N2374" t="s">
        <v>642</v>
      </c>
      <c r="O2374">
        <v>212</v>
      </c>
      <c r="P2374" t="s">
        <v>262</v>
      </c>
      <c r="S2374" t="s">
        <v>643</v>
      </c>
      <c r="T2374">
        <v>27</v>
      </c>
      <c r="U2374" t="s">
        <v>644</v>
      </c>
      <c r="V2374">
        <v>75</v>
      </c>
      <c r="W2374" t="s">
        <v>540</v>
      </c>
      <c r="X2374" t="s">
        <v>280</v>
      </c>
      <c r="Y2374">
        <v>2160</v>
      </c>
      <c r="AB2374">
        <v>5.26</v>
      </c>
      <c r="AC2374" t="s">
        <v>85</v>
      </c>
      <c r="AD2374" t="s">
        <v>555</v>
      </c>
      <c r="AE2374" t="s">
        <v>138</v>
      </c>
      <c r="AI2374">
        <v>5</v>
      </c>
      <c r="AJ2374" t="s">
        <v>201</v>
      </c>
      <c r="AT2374" t="s">
        <v>212</v>
      </c>
      <c r="AV2374" t="s">
        <v>88</v>
      </c>
      <c r="AX2374">
        <v>212</v>
      </c>
    </row>
    <row r="2375" spans="1:53" hidden="1" x14ac:dyDescent="0.3">
      <c r="A2375" t="s">
        <v>641</v>
      </c>
      <c r="C2375" t="s">
        <v>251</v>
      </c>
      <c r="D2375" t="s">
        <v>81</v>
      </c>
      <c r="E2375">
        <v>1000000</v>
      </c>
      <c r="H2375">
        <v>14.25</v>
      </c>
      <c r="I2375" t="s">
        <v>56</v>
      </c>
      <c r="J2375">
        <v>1.4250000000000001E-3</v>
      </c>
      <c r="K2375" t="s">
        <v>57</v>
      </c>
      <c r="N2375" t="s">
        <v>642</v>
      </c>
      <c r="O2375">
        <v>300</v>
      </c>
      <c r="P2375" t="s">
        <v>262</v>
      </c>
      <c r="S2375" t="s">
        <v>643</v>
      </c>
      <c r="T2375">
        <v>22</v>
      </c>
      <c r="U2375" t="s">
        <v>644</v>
      </c>
      <c r="V2375">
        <v>45</v>
      </c>
      <c r="W2375" t="s">
        <v>147</v>
      </c>
      <c r="X2375" t="s">
        <v>280</v>
      </c>
      <c r="Y2375">
        <v>2880</v>
      </c>
      <c r="AB2375">
        <v>0.62</v>
      </c>
      <c r="AC2375" t="s">
        <v>85</v>
      </c>
      <c r="AD2375" t="s">
        <v>418</v>
      </c>
      <c r="AE2375" t="s">
        <v>138</v>
      </c>
      <c r="AI2375">
        <v>5</v>
      </c>
      <c r="AJ2375" t="s">
        <v>201</v>
      </c>
      <c r="AT2375" t="s">
        <v>150</v>
      </c>
      <c r="AV2375" t="s">
        <v>88</v>
      </c>
      <c r="AX2375">
        <v>300</v>
      </c>
    </row>
    <row r="2376" spans="1:53" hidden="1" x14ac:dyDescent="0.3">
      <c r="A2376" t="s">
        <v>641</v>
      </c>
      <c r="C2376" t="s">
        <v>251</v>
      </c>
      <c r="D2376" t="s">
        <v>81</v>
      </c>
      <c r="E2376">
        <v>1000000</v>
      </c>
      <c r="H2376">
        <v>14.25</v>
      </c>
      <c r="I2376" t="s">
        <v>56</v>
      </c>
      <c r="J2376">
        <v>1.4250000000000001E-3</v>
      </c>
      <c r="K2376" t="s">
        <v>57</v>
      </c>
      <c r="N2376" t="s">
        <v>642</v>
      </c>
      <c r="O2376">
        <v>300</v>
      </c>
      <c r="P2376" t="s">
        <v>262</v>
      </c>
      <c r="S2376" t="s">
        <v>643</v>
      </c>
      <c r="T2376">
        <v>22</v>
      </c>
      <c r="U2376" t="s">
        <v>644</v>
      </c>
      <c r="V2376">
        <v>45</v>
      </c>
      <c r="W2376" t="s">
        <v>468</v>
      </c>
      <c r="X2376" t="s">
        <v>280</v>
      </c>
      <c r="Y2376">
        <v>2880</v>
      </c>
      <c r="AB2376">
        <v>6.29</v>
      </c>
      <c r="AC2376" t="s">
        <v>85</v>
      </c>
      <c r="AD2376" t="s">
        <v>333</v>
      </c>
      <c r="AE2376" t="s">
        <v>138</v>
      </c>
      <c r="AI2376">
        <v>5</v>
      </c>
      <c r="AJ2376" t="s">
        <v>201</v>
      </c>
      <c r="AT2376" t="s">
        <v>318</v>
      </c>
      <c r="AV2376" t="s">
        <v>88</v>
      </c>
      <c r="AX2376">
        <v>300</v>
      </c>
    </row>
    <row r="2377" spans="1:53" hidden="1" x14ac:dyDescent="0.3">
      <c r="A2377" t="s">
        <v>641</v>
      </c>
      <c r="C2377" t="s">
        <v>251</v>
      </c>
      <c r="D2377" t="s">
        <v>81</v>
      </c>
      <c r="E2377">
        <v>1000000</v>
      </c>
      <c r="H2377">
        <v>14.25</v>
      </c>
      <c r="I2377" t="s">
        <v>56</v>
      </c>
      <c r="J2377">
        <v>1.4250000000000001E-3</v>
      </c>
      <c r="K2377" t="s">
        <v>57</v>
      </c>
      <c r="N2377" t="s">
        <v>642</v>
      </c>
      <c r="O2377">
        <v>300</v>
      </c>
      <c r="P2377" t="s">
        <v>262</v>
      </c>
      <c r="S2377" t="s">
        <v>643</v>
      </c>
      <c r="T2377">
        <v>22</v>
      </c>
      <c r="U2377" t="s">
        <v>644</v>
      </c>
      <c r="V2377">
        <v>45</v>
      </c>
      <c r="W2377" t="s">
        <v>72</v>
      </c>
      <c r="X2377" t="s">
        <v>280</v>
      </c>
      <c r="Y2377">
        <v>2880</v>
      </c>
      <c r="AB2377">
        <v>1.65</v>
      </c>
      <c r="AC2377" t="s">
        <v>85</v>
      </c>
      <c r="AD2377" t="s">
        <v>242</v>
      </c>
      <c r="AE2377" t="s">
        <v>138</v>
      </c>
      <c r="AI2377">
        <v>5</v>
      </c>
      <c r="AJ2377" t="s">
        <v>201</v>
      </c>
      <c r="AT2377" t="s">
        <v>73</v>
      </c>
      <c r="AV2377" t="s">
        <v>88</v>
      </c>
      <c r="AX2377">
        <v>300</v>
      </c>
    </row>
    <row r="2378" spans="1:53" hidden="1" x14ac:dyDescent="0.3">
      <c r="A2378" t="s">
        <v>641</v>
      </c>
      <c r="C2378" t="s">
        <v>251</v>
      </c>
      <c r="D2378" t="s">
        <v>81</v>
      </c>
      <c r="E2378">
        <v>1000000</v>
      </c>
      <c r="H2378">
        <v>14.25</v>
      </c>
      <c r="I2378" t="s">
        <v>56</v>
      </c>
      <c r="J2378">
        <v>1.4250000000000001E-3</v>
      </c>
      <c r="K2378" t="s">
        <v>57</v>
      </c>
      <c r="N2378" t="s">
        <v>642</v>
      </c>
      <c r="O2378">
        <v>300</v>
      </c>
      <c r="P2378" t="s">
        <v>262</v>
      </c>
      <c r="S2378" t="s">
        <v>643</v>
      </c>
      <c r="T2378">
        <v>22</v>
      </c>
      <c r="U2378" t="s">
        <v>644</v>
      </c>
      <c r="V2378">
        <v>45</v>
      </c>
      <c r="W2378" t="s">
        <v>540</v>
      </c>
      <c r="X2378" t="s">
        <v>280</v>
      </c>
      <c r="Y2378">
        <v>2880</v>
      </c>
      <c r="AB2378">
        <v>3.13</v>
      </c>
      <c r="AC2378" t="s">
        <v>85</v>
      </c>
      <c r="AD2378" t="s">
        <v>243</v>
      </c>
      <c r="AE2378" t="s">
        <v>138</v>
      </c>
      <c r="AI2378">
        <v>5</v>
      </c>
      <c r="AJ2378" t="s">
        <v>201</v>
      </c>
      <c r="AT2378" t="s">
        <v>212</v>
      </c>
      <c r="AV2378" t="s">
        <v>88</v>
      </c>
      <c r="AX2378">
        <v>300</v>
      </c>
    </row>
    <row r="2379" spans="1:53" hidden="1" x14ac:dyDescent="0.3">
      <c r="A2379" t="s">
        <v>641</v>
      </c>
      <c r="C2379" t="s">
        <v>251</v>
      </c>
      <c r="D2379" t="s">
        <v>81</v>
      </c>
      <c r="E2379">
        <v>12000</v>
      </c>
      <c r="H2379">
        <v>14.25</v>
      </c>
      <c r="I2379" t="s">
        <v>56</v>
      </c>
      <c r="J2379">
        <v>1.4250000000000001E-3</v>
      </c>
      <c r="K2379" t="s">
        <v>57</v>
      </c>
      <c r="N2379" t="s">
        <v>642</v>
      </c>
      <c r="O2379">
        <v>212</v>
      </c>
      <c r="P2379" t="s">
        <v>262</v>
      </c>
      <c r="S2379" t="s">
        <v>643</v>
      </c>
      <c r="T2379">
        <v>22</v>
      </c>
      <c r="U2379" t="s">
        <v>644</v>
      </c>
      <c r="V2379">
        <v>45</v>
      </c>
      <c r="W2379" t="s">
        <v>147</v>
      </c>
      <c r="X2379" t="s">
        <v>280</v>
      </c>
      <c r="Y2379">
        <v>3600</v>
      </c>
      <c r="AB2379">
        <v>0.87</v>
      </c>
      <c r="AC2379" t="s">
        <v>85</v>
      </c>
      <c r="AD2379" t="s">
        <v>240</v>
      </c>
      <c r="AE2379" t="s">
        <v>138</v>
      </c>
      <c r="AI2379">
        <v>5</v>
      </c>
      <c r="AJ2379" t="s">
        <v>201</v>
      </c>
      <c r="AT2379" t="s">
        <v>150</v>
      </c>
      <c r="AV2379" t="s">
        <v>88</v>
      </c>
      <c r="AX2379">
        <v>212</v>
      </c>
    </row>
    <row r="2380" spans="1:53" hidden="1" x14ac:dyDescent="0.3">
      <c r="A2380" t="s">
        <v>641</v>
      </c>
      <c r="C2380" t="s">
        <v>251</v>
      </c>
      <c r="D2380" t="s">
        <v>81</v>
      </c>
      <c r="E2380">
        <v>12000</v>
      </c>
      <c r="H2380">
        <v>14.25</v>
      </c>
      <c r="I2380" t="s">
        <v>56</v>
      </c>
      <c r="J2380">
        <v>1.4250000000000001E-3</v>
      </c>
      <c r="K2380" t="s">
        <v>57</v>
      </c>
      <c r="N2380" t="s">
        <v>642</v>
      </c>
      <c r="O2380">
        <v>212</v>
      </c>
      <c r="P2380" t="s">
        <v>262</v>
      </c>
      <c r="S2380" t="s">
        <v>643</v>
      </c>
      <c r="T2380">
        <v>22</v>
      </c>
      <c r="U2380" t="s">
        <v>644</v>
      </c>
      <c r="V2380">
        <v>45</v>
      </c>
      <c r="W2380" t="s">
        <v>468</v>
      </c>
      <c r="X2380" t="s">
        <v>280</v>
      </c>
      <c r="Y2380">
        <v>3600</v>
      </c>
      <c r="AB2380">
        <v>5.33</v>
      </c>
      <c r="AC2380" t="s">
        <v>85</v>
      </c>
      <c r="AD2380" t="s">
        <v>657</v>
      </c>
      <c r="AE2380" t="s">
        <v>138</v>
      </c>
      <c r="AI2380">
        <v>5</v>
      </c>
      <c r="AJ2380" t="s">
        <v>201</v>
      </c>
      <c r="AT2380" t="s">
        <v>318</v>
      </c>
      <c r="AV2380" t="s">
        <v>88</v>
      </c>
      <c r="AX2380">
        <v>212</v>
      </c>
    </row>
    <row r="2381" spans="1:53" hidden="1" x14ac:dyDescent="0.3">
      <c r="A2381" t="s">
        <v>641</v>
      </c>
      <c r="C2381" t="s">
        <v>251</v>
      </c>
      <c r="D2381" t="s">
        <v>81</v>
      </c>
      <c r="E2381">
        <v>12000</v>
      </c>
      <c r="H2381">
        <v>14.25</v>
      </c>
      <c r="I2381" t="s">
        <v>56</v>
      </c>
      <c r="J2381">
        <v>1.4250000000000001E-3</v>
      </c>
      <c r="K2381" t="s">
        <v>57</v>
      </c>
      <c r="N2381" t="s">
        <v>642</v>
      </c>
      <c r="O2381">
        <v>212</v>
      </c>
      <c r="P2381" t="s">
        <v>262</v>
      </c>
      <c r="S2381" t="s">
        <v>643</v>
      </c>
      <c r="T2381">
        <v>22</v>
      </c>
      <c r="U2381" t="s">
        <v>644</v>
      </c>
      <c r="V2381">
        <v>45</v>
      </c>
      <c r="W2381" t="s">
        <v>72</v>
      </c>
      <c r="X2381" t="s">
        <v>280</v>
      </c>
      <c r="Y2381">
        <v>3600</v>
      </c>
      <c r="AB2381">
        <v>1.3</v>
      </c>
      <c r="AC2381" t="s">
        <v>85</v>
      </c>
      <c r="AD2381" t="s">
        <v>511</v>
      </c>
      <c r="AE2381" t="s">
        <v>138</v>
      </c>
      <c r="AI2381">
        <v>5</v>
      </c>
      <c r="AJ2381" t="s">
        <v>201</v>
      </c>
      <c r="AT2381" t="s">
        <v>73</v>
      </c>
      <c r="AV2381" t="s">
        <v>88</v>
      </c>
      <c r="AX2381">
        <v>212</v>
      </c>
    </row>
    <row r="2382" spans="1:53" hidden="1" x14ac:dyDescent="0.3">
      <c r="A2382" t="s">
        <v>641</v>
      </c>
      <c r="C2382" t="s">
        <v>251</v>
      </c>
      <c r="D2382" t="s">
        <v>81</v>
      </c>
      <c r="E2382">
        <v>4600000</v>
      </c>
      <c r="H2382">
        <v>14.25</v>
      </c>
      <c r="I2382" t="s">
        <v>56</v>
      </c>
      <c r="J2382">
        <v>1.4250000000000001E-3</v>
      </c>
      <c r="K2382" t="s">
        <v>57</v>
      </c>
      <c r="N2382" t="s">
        <v>642</v>
      </c>
      <c r="O2382">
        <v>212</v>
      </c>
      <c r="P2382" t="s">
        <v>262</v>
      </c>
      <c r="S2382" t="s">
        <v>643</v>
      </c>
      <c r="T2382">
        <v>22</v>
      </c>
      <c r="U2382" t="s">
        <v>644</v>
      </c>
      <c r="V2382">
        <v>45</v>
      </c>
      <c r="W2382" t="s">
        <v>540</v>
      </c>
      <c r="X2382" t="s">
        <v>280</v>
      </c>
      <c r="Y2382">
        <v>3600</v>
      </c>
      <c r="AB2382">
        <v>3.48</v>
      </c>
      <c r="AC2382" t="s">
        <v>85</v>
      </c>
      <c r="AD2382" t="s">
        <v>517</v>
      </c>
      <c r="AE2382" t="s">
        <v>138</v>
      </c>
      <c r="AI2382">
        <v>5</v>
      </c>
      <c r="AJ2382" t="s">
        <v>201</v>
      </c>
      <c r="AT2382" t="s">
        <v>212</v>
      </c>
      <c r="AV2382" t="s">
        <v>88</v>
      </c>
      <c r="AX2382">
        <v>212</v>
      </c>
    </row>
    <row r="2383" spans="1:53" hidden="1" x14ac:dyDescent="0.3">
      <c r="A2383" t="s">
        <v>641</v>
      </c>
      <c r="C2383" t="s">
        <v>251</v>
      </c>
      <c r="D2383" t="s">
        <v>81</v>
      </c>
      <c r="E2383">
        <v>4600000</v>
      </c>
      <c r="H2383">
        <v>14.25</v>
      </c>
      <c r="I2383" t="s">
        <v>56</v>
      </c>
      <c r="J2383">
        <v>1.4250000000000001E-3</v>
      </c>
      <c r="K2383" t="s">
        <v>57</v>
      </c>
      <c r="N2383" t="s">
        <v>642</v>
      </c>
      <c r="O2383">
        <v>212</v>
      </c>
      <c r="P2383" t="s">
        <v>262</v>
      </c>
      <c r="S2383" t="s">
        <v>643</v>
      </c>
      <c r="T2383">
        <v>32</v>
      </c>
      <c r="U2383" t="s">
        <v>644</v>
      </c>
      <c r="V2383">
        <v>75</v>
      </c>
      <c r="W2383" t="s">
        <v>147</v>
      </c>
      <c r="X2383" t="s">
        <v>280</v>
      </c>
      <c r="Y2383">
        <v>1440</v>
      </c>
      <c r="AB2383">
        <v>1.73</v>
      </c>
      <c r="AC2383" t="s">
        <v>85</v>
      </c>
      <c r="AD2383" t="s">
        <v>228</v>
      </c>
      <c r="AE2383" t="s">
        <v>138</v>
      </c>
      <c r="AI2383">
        <v>5</v>
      </c>
      <c r="AJ2383" t="s">
        <v>201</v>
      </c>
      <c r="AT2383" t="s">
        <v>150</v>
      </c>
      <c r="AV2383" t="s">
        <v>88</v>
      </c>
      <c r="AX2383">
        <v>212</v>
      </c>
    </row>
    <row r="2384" spans="1:53" hidden="1" x14ac:dyDescent="0.3">
      <c r="A2384" t="s">
        <v>641</v>
      </c>
      <c r="C2384" t="s">
        <v>251</v>
      </c>
      <c r="D2384" t="s">
        <v>81</v>
      </c>
      <c r="E2384">
        <v>4600000</v>
      </c>
      <c r="H2384">
        <v>14.25</v>
      </c>
      <c r="I2384" t="s">
        <v>56</v>
      </c>
      <c r="J2384">
        <v>1.4250000000000001E-3</v>
      </c>
      <c r="K2384" t="s">
        <v>57</v>
      </c>
      <c r="N2384" t="s">
        <v>642</v>
      </c>
      <c r="O2384">
        <v>212</v>
      </c>
      <c r="P2384" t="s">
        <v>262</v>
      </c>
      <c r="S2384" t="s">
        <v>643</v>
      </c>
      <c r="T2384">
        <v>32</v>
      </c>
      <c r="U2384" t="s">
        <v>644</v>
      </c>
      <c r="V2384">
        <v>75</v>
      </c>
      <c r="W2384" t="s">
        <v>468</v>
      </c>
      <c r="X2384" t="s">
        <v>280</v>
      </c>
      <c r="Y2384">
        <v>1440</v>
      </c>
      <c r="AA2384" t="s">
        <v>94</v>
      </c>
      <c r="AB2384">
        <v>6.64</v>
      </c>
      <c r="AC2384" t="s">
        <v>85</v>
      </c>
      <c r="AD2384" t="s">
        <v>365</v>
      </c>
      <c r="AE2384" t="s">
        <v>138</v>
      </c>
      <c r="AI2384">
        <v>5</v>
      </c>
      <c r="AJ2384" t="s">
        <v>201</v>
      </c>
      <c r="AT2384" t="s">
        <v>318</v>
      </c>
      <c r="AV2384" t="s">
        <v>88</v>
      </c>
      <c r="AX2384">
        <v>212</v>
      </c>
      <c r="AZ2384">
        <v>0</v>
      </c>
      <c r="BA2384">
        <v>6.64</v>
      </c>
    </row>
    <row r="2385" spans="1:50" hidden="1" x14ac:dyDescent="0.3">
      <c r="A2385" t="s">
        <v>641</v>
      </c>
      <c r="C2385" t="s">
        <v>251</v>
      </c>
      <c r="D2385" t="s">
        <v>81</v>
      </c>
      <c r="E2385">
        <v>4600000</v>
      </c>
      <c r="H2385">
        <v>14.25</v>
      </c>
      <c r="I2385" t="s">
        <v>56</v>
      </c>
      <c r="J2385">
        <v>1.4250000000000001E-3</v>
      </c>
      <c r="K2385" t="s">
        <v>57</v>
      </c>
      <c r="N2385" t="s">
        <v>642</v>
      </c>
      <c r="O2385">
        <v>212</v>
      </c>
      <c r="P2385" t="s">
        <v>262</v>
      </c>
      <c r="S2385" t="s">
        <v>643</v>
      </c>
      <c r="T2385">
        <v>32</v>
      </c>
      <c r="U2385" t="s">
        <v>644</v>
      </c>
      <c r="V2385">
        <v>75</v>
      </c>
      <c r="W2385" t="s">
        <v>72</v>
      </c>
      <c r="X2385" t="s">
        <v>280</v>
      </c>
      <c r="Y2385">
        <v>1440</v>
      </c>
      <c r="AB2385">
        <v>7.25</v>
      </c>
      <c r="AC2385" t="s">
        <v>85</v>
      </c>
      <c r="AD2385" t="s">
        <v>497</v>
      </c>
      <c r="AE2385" t="s">
        <v>138</v>
      </c>
      <c r="AI2385">
        <v>5</v>
      </c>
      <c r="AJ2385" t="s">
        <v>201</v>
      </c>
      <c r="AT2385" t="s">
        <v>73</v>
      </c>
      <c r="AV2385" t="s">
        <v>88</v>
      </c>
      <c r="AX2385">
        <v>212</v>
      </c>
    </row>
    <row r="2386" spans="1:50" hidden="1" x14ac:dyDescent="0.3">
      <c r="A2386" t="s">
        <v>641</v>
      </c>
      <c r="C2386" t="s">
        <v>251</v>
      </c>
      <c r="D2386" t="s">
        <v>81</v>
      </c>
      <c r="E2386">
        <v>4600000</v>
      </c>
      <c r="H2386">
        <v>14.25</v>
      </c>
      <c r="I2386" t="s">
        <v>56</v>
      </c>
      <c r="J2386">
        <v>1.4250000000000001E-3</v>
      </c>
      <c r="K2386" t="s">
        <v>57</v>
      </c>
      <c r="N2386" t="s">
        <v>642</v>
      </c>
      <c r="O2386">
        <v>212</v>
      </c>
      <c r="P2386" t="s">
        <v>262</v>
      </c>
      <c r="S2386" t="s">
        <v>643</v>
      </c>
      <c r="T2386">
        <v>32</v>
      </c>
      <c r="U2386" t="s">
        <v>644</v>
      </c>
      <c r="V2386">
        <v>75</v>
      </c>
      <c r="W2386" t="s">
        <v>540</v>
      </c>
      <c r="X2386" t="s">
        <v>280</v>
      </c>
      <c r="Y2386">
        <v>1440</v>
      </c>
      <c r="AB2386">
        <v>3.69</v>
      </c>
      <c r="AC2386" t="s">
        <v>85</v>
      </c>
      <c r="AD2386" t="s">
        <v>325</v>
      </c>
      <c r="AE2386" t="s">
        <v>138</v>
      </c>
      <c r="AI2386">
        <v>5</v>
      </c>
      <c r="AJ2386" t="s">
        <v>201</v>
      </c>
      <c r="AT2386" t="s">
        <v>212</v>
      </c>
      <c r="AV2386" t="s">
        <v>88</v>
      </c>
      <c r="AX2386">
        <v>212</v>
      </c>
    </row>
    <row r="2387" spans="1:50" hidden="1" x14ac:dyDescent="0.3">
      <c r="A2387" t="s">
        <v>641</v>
      </c>
      <c r="C2387" t="s">
        <v>251</v>
      </c>
      <c r="D2387" t="s">
        <v>81</v>
      </c>
      <c r="E2387">
        <v>4600000</v>
      </c>
      <c r="H2387">
        <v>14.25</v>
      </c>
      <c r="I2387" t="s">
        <v>56</v>
      </c>
      <c r="J2387">
        <v>1.4250000000000001E-3</v>
      </c>
      <c r="K2387" t="s">
        <v>57</v>
      </c>
      <c r="N2387" t="s">
        <v>642</v>
      </c>
      <c r="O2387">
        <v>212</v>
      </c>
      <c r="P2387" t="s">
        <v>262</v>
      </c>
      <c r="S2387" t="s">
        <v>643</v>
      </c>
      <c r="T2387">
        <v>32</v>
      </c>
      <c r="U2387" t="s">
        <v>644</v>
      </c>
      <c r="V2387">
        <v>45</v>
      </c>
      <c r="W2387" t="s">
        <v>147</v>
      </c>
      <c r="X2387" t="s">
        <v>280</v>
      </c>
      <c r="Y2387">
        <v>2880</v>
      </c>
      <c r="AB2387">
        <v>0.6</v>
      </c>
      <c r="AC2387" t="s">
        <v>85</v>
      </c>
      <c r="AD2387" t="s">
        <v>240</v>
      </c>
      <c r="AE2387" t="s">
        <v>138</v>
      </c>
      <c r="AI2387">
        <v>5</v>
      </c>
      <c r="AJ2387" t="s">
        <v>201</v>
      </c>
      <c r="AT2387" t="s">
        <v>150</v>
      </c>
      <c r="AV2387" t="s">
        <v>88</v>
      </c>
      <c r="AX2387">
        <v>212</v>
      </c>
    </row>
    <row r="2388" spans="1:50" hidden="1" x14ac:dyDescent="0.3">
      <c r="A2388" t="s">
        <v>641</v>
      </c>
      <c r="C2388" t="s">
        <v>251</v>
      </c>
      <c r="D2388" t="s">
        <v>81</v>
      </c>
      <c r="E2388">
        <v>4600000</v>
      </c>
      <c r="H2388">
        <v>14.25</v>
      </c>
      <c r="I2388" t="s">
        <v>56</v>
      </c>
      <c r="J2388">
        <v>1.4250000000000001E-3</v>
      </c>
      <c r="K2388" t="s">
        <v>57</v>
      </c>
      <c r="N2388" t="s">
        <v>642</v>
      </c>
      <c r="O2388">
        <v>212</v>
      </c>
      <c r="P2388" t="s">
        <v>262</v>
      </c>
      <c r="S2388" t="s">
        <v>643</v>
      </c>
      <c r="T2388">
        <v>32</v>
      </c>
      <c r="U2388" t="s">
        <v>644</v>
      </c>
      <c r="V2388">
        <v>45</v>
      </c>
      <c r="W2388" t="s">
        <v>468</v>
      </c>
      <c r="X2388" t="s">
        <v>280</v>
      </c>
      <c r="Y2388">
        <v>2880</v>
      </c>
      <c r="AB2388">
        <v>2.67</v>
      </c>
      <c r="AC2388" t="s">
        <v>85</v>
      </c>
      <c r="AD2388" t="s">
        <v>493</v>
      </c>
      <c r="AE2388" t="s">
        <v>138</v>
      </c>
      <c r="AI2388">
        <v>5</v>
      </c>
      <c r="AJ2388" t="s">
        <v>201</v>
      </c>
      <c r="AT2388" t="s">
        <v>318</v>
      </c>
      <c r="AV2388" t="s">
        <v>88</v>
      </c>
      <c r="AX2388">
        <v>212</v>
      </c>
    </row>
    <row r="2389" spans="1:50" hidden="1" x14ac:dyDescent="0.3">
      <c r="A2389" t="s">
        <v>641</v>
      </c>
      <c r="C2389" t="s">
        <v>251</v>
      </c>
      <c r="D2389" t="s">
        <v>81</v>
      </c>
      <c r="E2389">
        <v>4600000</v>
      </c>
      <c r="H2389">
        <v>14.25</v>
      </c>
      <c r="I2389" t="s">
        <v>56</v>
      </c>
      <c r="J2389">
        <v>1.4250000000000001E-3</v>
      </c>
      <c r="K2389" t="s">
        <v>57</v>
      </c>
      <c r="N2389" t="s">
        <v>642</v>
      </c>
      <c r="O2389">
        <v>212</v>
      </c>
      <c r="P2389" t="s">
        <v>262</v>
      </c>
      <c r="S2389" t="s">
        <v>643</v>
      </c>
      <c r="T2389">
        <v>32</v>
      </c>
      <c r="U2389" t="s">
        <v>644</v>
      </c>
      <c r="V2389">
        <v>45</v>
      </c>
      <c r="W2389" t="s">
        <v>72</v>
      </c>
      <c r="X2389" t="s">
        <v>280</v>
      </c>
      <c r="Y2389">
        <v>2880</v>
      </c>
      <c r="AB2389">
        <v>1.63</v>
      </c>
      <c r="AC2389" t="s">
        <v>85</v>
      </c>
      <c r="AD2389" t="s">
        <v>487</v>
      </c>
      <c r="AE2389" t="s">
        <v>138</v>
      </c>
      <c r="AI2389">
        <v>5</v>
      </c>
      <c r="AJ2389" t="s">
        <v>201</v>
      </c>
      <c r="AT2389" t="s">
        <v>73</v>
      </c>
      <c r="AV2389" t="s">
        <v>88</v>
      </c>
      <c r="AX2389">
        <v>212</v>
      </c>
    </row>
    <row r="2390" spans="1:50" hidden="1" x14ac:dyDescent="0.3">
      <c r="A2390" t="s">
        <v>641</v>
      </c>
      <c r="C2390" t="s">
        <v>251</v>
      </c>
      <c r="D2390" t="s">
        <v>81</v>
      </c>
      <c r="E2390">
        <v>4600000</v>
      </c>
      <c r="H2390">
        <v>14.25</v>
      </c>
      <c r="I2390" t="s">
        <v>56</v>
      </c>
      <c r="J2390">
        <v>1.4250000000000001E-3</v>
      </c>
      <c r="K2390" t="s">
        <v>57</v>
      </c>
      <c r="N2390" t="s">
        <v>642</v>
      </c>
      <c r="O2390">
        <v>212</v>
      </c>
      <c r="P2390" t="s">
        <v>262</v>
      </c>
      <c r="S2390" t="s">
        <v>643</v>
      </c>
      <c r="T2390">
        <v>32</v>
      </c>
      <c r="U2390" t="s">
        <v>644</v>
      </c>
      <c r="V2390">
        <v>45</v>
      </c>
      <c r="W2390" t="s">
        <v>540</v>
      </c>
      <c r="X2390" t="s">
        <v>280</v>
      </c>
      <c r="Y2390">
        <v>2880</v>
      </c>
      <c r="AB2390">
        <v>2.06</v>
      </c>
      <c r="AC2390" t="s">
        <v>85</v>
      </c>
      <c r="AD2390" t="s">
        <v>505</v>
      </c>
      <c r="AE2390" t="s">
        <v>138</v>
      </c>
      <c r="AI2390">
        <v>5</v>
      </c>
      <c r="AJ2390" t="s">
        <v>201</v>
      </c>
      <c r="AT2390" t="s">
        <v>212</v>
      </c>
      <c r="AV2390" t="s">
        <v>88</v>
      </c>
      <c r="AX2390">
        <v>212</v>
      </c>
    </row>
    <row r="2391" spans="1:50" hidden="1" x14ac:dyDescent="0.3">
      <c r="A2391" t="s">
        <v>641</v>
      </c>
      <c r="C2391" t="s">
        <v>251</v>
      </c>
      <c r="D2391" t="s">
        <v>81</v>
      </c>
      <c r="E2391">
        <v>4600000</v>
      </c>
      <c r="H2391">
        <v>14.25</v>
      </c>
      <c r="I2391" t="s">
        <v>56</v>
      </c>
      <c r="J2391">
        <v>1.4250000000000001E-3</v>
      </c>
      <c r="K2391" t="s">
        <v>57</v>
      </c>
      <c r="N2391" t="s">
        <v>642</v>
      </c>
      <c r="O2391">
        <v>300</v>
      </c>
      <c r="P2391" t="s">
        <v>262</v>
      </c>
      <c r="S2391" t="s">
        <v>643</v>
      </c>
      <c r="T2391">
        <v>22</v>
      </c>
      <c r="U2391" t="s">
        <v>644</v>
      </c>
      <c r="V2391">
        <v>75</v>
      </c>
      <c r="W2391" t="s">
        <v>147</v>
      </c>
      <c r="X2391" t="s">
        <v>280</v>
      </c>
      <c r="Y2391">
        <v>1440</v>
      </c>
      <c r="AB2391">
        <v>1.03</v>
      </c>
      <c r="AC2391" t="s">
        <v>85</v>
      </c>
      <c r="AD2391" t="s">
        <v>511</v>
      </c>
      <c r="AE2391" t="s">
        <v>138</v>
      </c>
      <c r="AI2391">
        <v>5</v>
      </c>
      <c r="AJ2391" t="s">
        <v>201</v>
      </c>
      <c r="AT2391" t="s">
        <v>150</v>
      </c>
      <c r="AV2391" t="s">
        <v>88</v>
      </c>
      <c r="AX2391">
        <v>300</v>
      </c>
    </row>
    <row r="2392" spans="1:50" hidden="1" x14ac:dyDescent="0.3">
      <c r="A2392" t="s">
        <v>641</v>
      </c>
      <c r="C2392" t="s">
        <v>251</v>
      </c>
      <c r="D2392" t="s">
        <v>81</v>
      </c>
      <c r="E2392">
        <v>4600000</v>
      </c>
      <c r="H2392">
        <v>14.25</v>
      </c>
      <c r="I2392" t="s">
        <v>56</v>
      </c>
      <c r="J2392">
        <v>1.4250000000000001E-3</v>
      </c>
      <c r="K2392" t="s">
        <v>57</v>
      </c>
      <c r="N2392" t="s">
        <v>642</v>
      </c>
      <c r="O2392">
        <v>300</v>
      </c>
      <c r="P2392" t="s">
        <v>262</v>
      </c>
      <c r="S2392" t="s">
        <v>643</v>
      </c>
      <c r="T2392">
        <v>22</v>
      </c>
      <c r="U2392" t="s">
        <v>644</v>
      </c>
      <c r="V2392">
        <v>75</v>
      </c>
      <c r="W2392" t="s">
        <v>468</v>
      </c>
      <c r="X2392" t="s">
        <v>280</v>
      </c>
      <c r="Y2392">
        <v>1440</v>
      </c>
      <c r="AB2392">
        <v>1.36</v>
      </c>
      <c r="AC2392" t="s">
        <v>85</v>
      </c>
      <c r="AD2392" t="s">
        <v>242</v>
      </c>
      <c r="AE2392" t="s">
        <v>138</v>
      </c>
      <c r="AI2392">
        <v>5</v>
      </c>
      <c r="AJ2392" t="s">
        <v>201</v>
      </c>
      <c r="AT2392" t="s">
        <v>318</v>
      </c>
      <c r="AV2392" t="s">
        <v>88</v>
      </c>
      <c r="AX2392">
        <v>300</v>
      </c>
    </row>
    <row r="2393" spans="1:50" hidden="1" x14ac:dyDescent="0.3">
      <c r="A2393" t="s">
        <v>641</v>
      </c>
      <c r="C2393" t="s">
        <v>251</v>
      </c>
      <c r="D2393" t="s">
        <v>81</v>
      </c>
      <c r="E2393">
        <v>4600000</v>
      </c>
      <c r="H2393">
        <v>14.25</v>
      </c>
      <c r="I2393" t="s">
        <v>56</v>
      </c>
      <c r="J2393">
        <v>1.4250000000000001E-3</v>
      </c>
      <c r="K2393" t="s">
        <v>57</v>
      </c>
      <c r="N2393" t="s">
        <v>642</v>
      </c>
      <c r="O2393">
        <v>300</v>
      </c>
      <c r="P2393" t="s">
        <v>262</v>
      </c>
      <c r="S2393" t="s">
        <v>643</v>
      </c>
      <c r="T2393">
        <v>22</v>
      </c>
      <c r="U2393" t="s">
        <v>644</v>
      </c>
      <c r="V2393">
        <v>75</v>
      </c>
      <c r="W2393" t="s">
        <v>72</v>
      </c>
      <c r="X2393" t="s">
        <v>280</v>
      </c>
      <c r="Y2393">
        <v>1440</v>
      </c>
      <c r="AB2393">
        <v>0.75</v>
      </c>
      <c r="AC2393" t="s">
        <v>85</v>
      </c>
      <c r="AD2393" t="s">
        <v>238</v>
      </c>
      <c r="AE2393" t="s">
        <v>138</v>
      </c>
      <c r="AI2393">
        <v>5</v>
      </c>
      <c r="AJ2393" t="s">
        <v>201</v>
      </c>
      <c r="AT2393" t="s">
        <v>73</v>
      </c>
      <c r="AV2393" t="s">
        <v>88</v>
      </c>
      <c r="AX2393">
        <v>300</v>
      </c>
    </row>
    <row r="2394" spans="1:50" hidden="1" x14ac:dyDescent="0.3">
      <c r="A2394" t="s">
        <v>641</v>
      </c>
      <c r="C2394" t="s">
        <v>251</v>
      </c>
      <c r="D2394" t="s">
        <v>81</v>
      </c>
      <c r="E2394">
        <v>4600000</v>
      </c>
      <c r="H2394">
        <v>14.25</v>
      </c>
      <c r="I2394" t="s">
        <v>56</v>
      </c>
      <c r="J2394">
        <v>1.4250000000000001E-3</v>
      </c>
      <c r="K2394" t="s">
        <v>57</v>
      </c>
      <c r="N2394" t="s">
        <v>642</v>
      </c>
      <c r="O2394">
        <v>300</v>
      </c>
      <c r="P2394" t="s">
        <v>262</v>
      </c>
      <c r="S2394" t="s">
        <v>643</v>
      </c>
      <c r="T2394">
        <v>22</v>
      </c>
      <c r="U2394" t="s">
        <v>644</v>
      </c>
      <c r="V2394">
        <v>75</v>
      </c>
      <c r="W2394" t="s">
        <v>540</v>
      </c>
      <c r="X2394" t="s">
        <v>280</v>
      </c>
      <c r="Y2394">
        <v>1440</v>
      </c>
      <c r="AB2394">
        <v>1.63</v>
      </c>
      <c r="AC2394" t="s">
        <v>85</v>
      </c>
      <c r="AD2394" t="s">
        <v>503</v>
      </c>
      <c r="AE2394" t="s">
        <v>138</v>
      </c>
      <c r="AI2394">
        <v>5</v>
      </c>
      <c r="AJ2394" t="s">
        <v>201</v>
      </c>
      <c r="AT2394" t="s">
        <v>212</v>
      </c>
      <c r="AV2394" t="s">
        <v>88</v>
      </c>
      <c r="AX2394">
        <v>300</v>
      </c>
    </row>
    <row r="2395" spans="1:50" hidden="1" x14ac:dyDescent="0.3">
      <c r="A2395" t="s">
        <v>641</v>
      </c>
      <c r="C2395" t="s">
        <v>251</v>
      </c>
      <c r="D2395" t="s">
        <v>81</v>
      </c>
      <c r="E2395">
        <v>4600000</v>
      </c>
      <c r="H2395">
        <v>14.25</v>
      </c>
      <c r="I2395" t="s">
        <v>56</v>
      </c>
      <c r="J2395">
        <v>1.4250000000000001E-3</v>
      </c>
      <c r="K2395" t="s">
        <v>57</v>
      </c>
      <c r="N2395" t="s">
        <v>642</v>
      </c>
      <c r="O2395">
        <v>300</v>
      </c>
      <c r="P2395" t="s">
        <v>262</v>
      </c>
      <c r="S2395" t="s">
        <v>643</v>
      </c>
      <c r="T2395">
        <v>22</v>
      </c>
      <c r="U2395" t="s">
        <v>644</v>
      </c>
      <c r="V2395">
        <v>45</v>
      </c>
      <c r="W2395" t="s">
        <v>147</v>
      </c>
      <c r="X2395" t="s">
        <v>280</v>
      </c>
      <c r="Y2395">
        <v>3600</v>
      </c>
      <c r="Z2395">
        <v>12</v>
      </c>
      <c r="AB2395">
        <v>0.87</v>
      </c>
      <c r="AC2395" t="s">
        <v>85</v>
      </c>
      <c r="AD2395" t="s">
        <v>228</v>
      </c>
      <c r="AE2395" t="s">
        <v>138</v>
      </c>
      <c r="AI2395">
        <v>5</v>
      </c>
      <c r="AJ2395" t="s">
        <v>201</v>
      </c>
      <c r="AT2395" t="s">
        <v>150</v>
      </c>
      <c r="AV2395" t="s">
        <v>88</v>
      </c>
      <c r="AX2395">
        <v>300</v>
      </c>
    </row>
    <row r="2396" spans="1:50" hidden="1" x14ac:dyDescent="0.3">
      <c r="A2396" t="s">
        <v>641</v>
      </c>
      <c r="C2396" t="s">
        <v>251</v>
      </c>
      <c r="D2396" t="s">
        <v>81</v>
      </c>
      <c r="E2396">
        <v>4600000</v>
      </c>
      <c r="H2396">
        <v>14.25</v>
      </c>
      <c r="I2396" t="s">
        <v>56</v>
      </c>
      <c r="J2396">
        <v>1.4250000000000001E-3</v>
      </c>
      <c r="K2396" t="s">
        <v>57</v>
      </c>
      <c r="N2396" t="s">
        <v>642</v>
      </c>
      <c r="O2396">
        <v>300</v>
      </c>
      <c r="P2396" t="s">
        <v>262</v>
      </c>
      <c r="S2396" t="s">
        <v>643</v>
      </c>
      <c r="T2396">
        <v>22</v>
      </c>
      <c r="U2396" t="s">
        <v>644</v>
      </c>
      <c r="V2396">
        <v>45</v>
      </c>
      <c r="W2396" t="s">
        <v>468</v>
      </c>
      <c r="X2396" t="s">
        <v>280</v>
      </c>
      <c r="Y2396">
        <v>3600</v>
      </c>
      <c r="Z2396">
        <v>12</v>
      </c>
      <c r="AB2396">
        <v>5.87</v>
      </c>
      <c r="AC2396" t="s">
        <v>85</v>
      </c>
      <c r="AD2396" t="s">
        <v>658</v>
      </c>
      <c r="AE2396" t="s">
        <v>138</v>
      </c>
      <c r="AI2396">
        <v>5</v>
      </c>
      <c r="AJ2396" t="s">
        <v>201</v>
      </c>
      <c r="AT2396" t="s">
        <v>318</v>
      </c>
      <c r="AV2396" t="s">
        <v>88</v>
      </c>
      <c r="AX2396">
        <v>300</v>
      </c>
    </row>
    <row r="2397" spans="1:50" hidden="1" x14ac:dyDescent="0.3">
      <c r="A2397" t="s">
        <v>641</v>
      </c>
      <c r="C2397" t="s">
        <v>251</v>
      </c>
      <c r="D2397" t="s">
        <v>81</v>
      </c>
      <c r="E2397">
        <v>4600000</v>
      </c>
      <c r="H2397">
        <v>14.25</v>
      </c>
      <c r="I2397" t="s">
        <v>56</v>
      </c>
      <c r="J2397">
        <v>1.4250000000000001E-3</v>
      </c>
      <c r="K2397" t="s">
        <v>57</v>
      </c>
      <c r="N2397" t="s">
        <v>642</v>
      </c>
      <c r="O2397">
        <v>300</v>
      </c>
      <c r="P2397" t="s">
        <v>262</v>
      </c>
      <c r="S2397" t="s">
        <v>643</v>
      </c>
      <c r="T2397">
        <v>22</v>
      </c>
      <c r="U2397" t="s">
        <v>644</v>
      </c>
      <c r="V2397">
        <v>45</v>
      </c>
      <c r="W2397" t="s">
        <v>72</v>
      </c>
      <c r="X2397" t="s">
        <v>280</v>
      </c>
      <c r="Y2397">
        <v>3600</v>
      </c>
      <c r="Z2397">
        <v>12</v>
      </c>
      <c r="AB2397">
        <v>1.85</v>
      </c>
      <c r="AC2397" t="s">
        <v>85</v>
      </c>
      <c r="AD2397" t="s">
        <v>525</v>
      </c>
      <c r="AE2397" t="s">
        <v>138</v>
      </c>
      <c r="AI2397">
        <v>5</v>
      </c>
      <c r="AJ2397" t="s">
        <v>201</v>
      </c>
      <c r="AT2397" t="s">
        <v>73</v>
      </c>
      <c r="AV2397" t="s">
        <v>88</v>
      </c>
      <c r="AX2397">
        <v>300</v>
      </c>
    </row>
    <row r="2398" spans="1:50" hidden="1" x14ac:dyDescent="0.3">
      <c r="A2398" t="s">
        <v>641</v>
      </c>
      <c r="C2398" t="s">
        <v>251</v>
      </c>
      <c r="D2398" t="s">
        <v>81</v>
      </c>
      <c r="E2398">
        <v>4600000</v>
      </c>
      <c r="H2398">
        <v>14.25</v>
      </c>
      <c r="I2398" t="s">
        <v>56</v>
      </c>
      <c r="J2398">
        <v>1.4250000000000001E-3</v>
      </c>
      <c r="K2398" t="s">
        <v>57</v>
      </c>
      <c r="N2398" t="s">
        <v>642</v>
      </c>
      <c r="O2398">
        <v>300</v>
      </c>
      <c r="P2398" t="s">
        <v>262</v>
      </c>
      <c r="S2398" t="s">
        <v>643</v>
      </c>
      <c r="T2398">
        <v>22</v>
      </c>
      <c r="U2398" t="s">
        <v>644</v>
      </c>
      <c r="V2398">
        <v>45</v>
      </c>
      <c r="W2398" t="s">
        <v>540</v>
      </c>
      <c r="X2398" t="s">
        <v>280</v>
      </c>
      <c r="Y2398">
        <v>3600</v>
      </c>
      <c r="Z2398">
        <v>12</v>
      </c>
      <c r="AB2398">
        <v>3.6</v>
      </c>
      <c r="AC2398" t="s">
        <v>85</v>
      </c>
      <c r="AD2398" t="s">
        <v>525</v>
      </c>
      <c r="AE2398" t="s">
        <v>138</v>
      </c>
      <c r="AI2398">
        <v>5</v>
      </c>
      <c r="AJ2398" t="s">
        <v>201</v>
      </c>
      <c r="AT2398" t="s">
        <v>212</v>
      </c>
      <c r="AV2398" t="s">
        <v>88</v>
      </c>
      <c r="AX2398">
        <v>300</v>
      </c>
    </row>
    <row r="2399" spans="1:50" hidden="1" x14ac:dyDescent="0.3">
      <c r="A2399" t="s">
        <v>641</v>
      </c>
      <c r="C2399" t="s">
        <v>251</v>
      </c>
      <c r="D2399" t="s">
        <v>81</v>
      </c>
      <c r="E2399">
        <v>4600000</v>
      </c>
      <c r="H2399">
        <v>14.25</v>
      </c>
      <c r="I2399" t="s">
        <v>56</v>
      </c>
      <c r="J2399">
        <v>1.4250000000000001E-3</v>
      </c>
      <c r="K2399" t="s">
        <v>57</v>
      </c>
      <c r="N2399" t="s">
        <v>642</v>
      </c>
      <c r="O2399">
        <v>212</v>
      </c>
      <c r="P2399" t="s">
        <v>262</v>
      </c>
      <c r="S2399" t="s">
        <v>643</v>
      </c>
      <c r="T2399">
        <v>32</v>
      </c>
      <c r="U2399" t="s">
        <v>644</v>
      </c>
      <c r="V2399">
        <v>45</v>
      </c>
      <c r="W2399" t="s">
        <v>147</v>
      </c>
      <c r="X2399" t="s">
        <v>280</v>
      </c>
      <c r="Y2399">
        <v>3600</v>
      </c>
      <c r="Z2399">
        <v>12</v>
      </c>
      <c r="AB2399">
        <v>0.48</v>
      </c>
      <c r="AC2399" t="s">
        <v>85</v>
      </c>
      <c r="AD2399" t="s">
        <v>494</v>
      </c>
      <c r="AE2399" t="s">
        <v>138</v>
      </c>
      <c r="AI2399">
        <v>5</v>
      </c>
      <c r="AJ2399" t="s">
        <v>201</v>
      </c>
      <c r="AT2399" t="s">
        <v>150</v>
      </c>
      <c r="AV2399" t="s">
        <v>88</v>
      </c>
      <c r="AX2399">
        <v>212</v>
      </c>
    </row>
    <row r="2400" spans="1:50" hidden="1" x14ac:dyDescent="0.3">
      <c r="A2400" t="s">
        <v>641</v>
      </c>
      <c r="C2400" t="s">
        <v>251</v>
      </c>
      <c r="D2400" t="s">
        <v>81</v>
      </c>
      <c r="E2400">
        <v>4600000</v>
      </c>
      <c r="H2400">
        <v>14.25</v>
      </c>
      <c r="I2400" t="s">
        <v>56</v>
      </c>
      <c r="J2400">
        <v>1.4250000000000001E-3</v>
      </c>
      <c r="K2400" t="s">
        <v>57</v>
      </c>
      <c r="N2400" t="s">
        <v>642</v>
      </c>
      <c r="O2400">
        <v>212</v>
      </c>
      <c r="P2400" t="s">
        <v>262</v>
      </c>
      <c r="S2400" t="s">
        <v>643</v>
      </c>
      <c r="T2400">
        <v>32</v>
      </c>
      <c r="U2400" t="s">
        <v>644</v>
      </c>
      <c r="V2400">
        <v>45</v>
      </c>
      <c r="W2400" t="s">
        <v>468</v>
      </c>
      <c r="X2400" t="s">
        <v>280</v>
      </c>
      <c r="Y2400">
        <v>3600</v>
      </c>
      <c r="Z2400">
        <v>12</v>
      </c>
      <c r="AB2400">
        <v>2.52999999999999</v>
      </c>
      <c r="AC2400" t="s">
        <v>85</v>
      </c>
      <c r="AD2400" t="s">
        <v>423</v>
      </c>
      <c r="AE2400" t="s">
        <v>138</v>
      </c>
      <c r="AI2400">
        <v>5</v>
      </c>
      <c r="AJ2400" t="s">
        <v>201</v>
      </c>
      <c r="AT2400" t="s">
        <v>318</v>
      </c>
      <c r="AV2400" t="s">
        <v>88</v>
      </c>
      <c r="AX2400">
        <v>212</v>
      </c>
    </row>
    <row r="2401" spans="1:50" hidden="1" x14ac:dyDescent="0.3">
      <c r="A2401" t="s">
        <v>641</v>
      </c>
      <c r="C2401" t="s">
        <v>251</v>
      </c>
      <c r="D2401" t="s">
        <v>81</v>
      </c>
      <c r="E2401">
        <v>4600000</v>
      </c>
      <c r="H2401">
        <v>14.25</v>
      </c>
      <c r="I2401" t="s">
        <v>56</v>
      </c>
      <c r="J2401">
        <v>1.4250000000000001E-3</v>
      </c>
      <c r="K2401" t="s">
        <v>57</v>
      </c>
      <c r="N2401" t="s">
        <v>642</v>
      </c>
      <c r="O2401">
        <v>212</v>
      </c>
      <c r="P2401" t="s">
        <v>262</v>
      </c>
      <c r="S2401" t="s">
        <v>643</v>
      </c>
      <c r="T2401">
        <v>32</v>
      </c>
      <c r="U2401" t="s">
        <v>644</v>
      </c>
      <c r="V2401">
        <v>45</v>
      </c>
      <c r="W2401" t="s">
        <v>72</v>
      </c>
      <c r="X2401" t="s">
        <v>280</v>
      </c>
      <c r="Y2401">
        <v>3600</v>
      </c>
      <c r="Z2401">
        <v>12</v>
      </c>
      <c r="AB2401">
        <v>2.14</v>
      </c>
      <c r="AC2401" t="s">
        <v>85</v>
      </c>
      <c r="AD2401" t="s">
        <v>225</v>
      </c>
      <c r="AE2401" t="s">
        <v>138</v>
      </c>
      <c r="AI2401">
        <v>5</v>
      </c>
      <c r="AJ2401" t="s">
        <v>201</v>
      </c>
      <c r="AT2401" t="s">
        <v>73</v>
      </c>
      <c r="AV2401" t="s">
        <v>88</v>
      </c>
      <c r="AX2401">
        <v>212</v>
      </c>
    </row>
    <row r="2402" spans="1:50" hidden="1" x14ac:dyDescent="0.3">
      <c r="A2402" t="s">
        <v>641</v>
      </c>
      <c r="C2402" t="s">
        <v>251</v>
      </c>
      <c r="D2402" t="s">
        <v>81</v>
      </c>
      <c r="E2402">
        <v>4600000</v>
      </c>
      <c r="H2402">
        <v>14.25</v>
      </c>
      <c r="I2402" t="s">
        <v>56</v>
      </c>
      <c r="J2402">
        <v>1.4250000000000001E-3</v>
      </c>
      <c r="K2402" t="s">
        <v>57</v>
      </c>
      <c r="N2402" t="s">
        <v>642</v>
      </c>
      <c r="O2402">
        <v>212</v>
      </c>
      <c r="P2402" t="s">
        <v>262</v>
      </c>
      <c r="S2402" t="s">
        <v>643</v>
      </c>
      <c r="T2402">
        <v>32</v>
      </c>
      <c r="U2402" t="s">
        <v>644</v>
      </c>
      <c r="V2402">
        <v>45</v>
      </c>
      <c r="W2402" t="s">
        <v>540</v>
      </c>
      <c r="X2402" t="s">
        <v>280</v>
      </c>
      <c r="Y2402">
        <v>3600</v>
      </c>
      <c r="Z2402">
        <v>12</v>
      </c>
      <c r="AB2402">
        <v>2.2400000000000002</v>
      </c>
      <c r="AC2402" t="s">
        <v>85</v>
      </c>
      <c r="AD2402" t="s">
        <v>106</v>
      </c>
      <c r="AE2402" t="s">
        <v>138</v>
      </c>
      <c r="AI2402">
        <v>5</v>
      </c>
      <c r="AJ2402" t="s">
        <v>201</v>
      </c>
      <c r="AT2402" t="s">
        <v>212</v>
      </c>
      <c r="AV2402" t="s">
        <v>88</v>
      </c>
      <c r="AX2402">
        <v>212</v>
      </c>
    </row>
    <row r="2403" spans="1:50" hidden="1" x14ac:dyDescent="0.3">
      <c r="A2403" t="s">
        <v>641</v>
      </c>
      <c r="C2403" t="s">
        <v>251</v>
      </c>
      <c r="D2403" t="s">
        <v>81</v>
      </c>
      <c r="E2403">
        <v>4600000</v>
      </c>
      <c r="H2403">
        <v>14.25</v>
      </c>
      <c r="I2403" t="s">
        <v>56</v>
      </c>
      <c r="J2403">
        <v>1.4250000000000001E-3</v>
      </c>
      <c r="K2403" t="s">
        <v>57</v>
      </c>
      <c r="N2403" t="s">
        <v>642</v>
      </c>
      <c r="O2403">
        <v>300</v>
      </c>
      <c r="P2403" t="s">
        <v>262</v>
      </c>
      <c r="S2403" t="s">
        <v>643</v>
      </c>
      <c r="T2403">
        <v>27</v>
      </c>
      <c r="U2403" t="s">
        <v>644</v>
      </c>
      <c r="V2403">
        <v>75</v>
      </c>
      <c r="W2403" t="s">
        <v>147</v>
      </c>
      <c r="X2403" t="s">
        <v>280</v>
      </c>
      <c r="Y2403">
        <v>1080</v>
      </c>
      <c r="Z2403">
        <v>12</v>
      </c>
      <c r="AB2403">
        <v>2.68</v>
      </c>
      <c r="AC2403" t="s">
        <v>85</v>
      </c>
      <c r="AD2403" t="s">
        <v>650</v>
      </c>
      <c r="AE2403" t="s">
        <v>138</v>
      </c>
      <c r="AI2403">
        <v>5</v>
      </c>
      <c r="AJ2403" t="s">
        <v>201</v>
      </c>
      <c r="AT2403" t="s">
        <v>150</v>
      </c>
      <c r="AV2403" t="s">
        <v>88</v>
      </c>
      <c r="AX2403">
        <v>300</v>
      </c>
    </row>
    <row r="2404" spans="1:50" hidden="1" x14ac:dyDescent="0.3">
      <c r="A2404" t="s">
        <v>641</v>
      </c>
      <c r="C2404" t="s">
        <v>251</v>
      </c>
      <c r="D2404" t="s">
        <v>81</v>
      </c>
      <c r="E2404">
        <v>4600000</v>
      </c>
      <c r="H2404">
        <v>14.25</v>
      </c>
      <c r="I2404" t="s">
        <v>56</v>
      </c>
      <c r="J2404">
        <v>1.4250000000000001E-3</v>
      </c>
      <c r="K2404" t="s">
        <v>57</v>
      </c>
      <c r="N2404" t="s">
        <v>642</v>
      </c>
      <c r="O2404">
        <v>300</v>
      </c>
      <c r="P2404" t="s">
        <v>262</v>
      </c>
      <c r="S2404" t="s">
        <v>643</v>
      </c>
      <c r="T2404">
        <v>27</v>
      </c>
      <c r="U2404" t="s">
        <v>644</v>
      </c>
      <c r="V2404">
        <v>75</v>
      </c>
      <c r="W2404" t="s">
        <v>468</v>
      </c>
      <c r="X2404" t="s">
        <v>280</v>
      </c>
      <c r="Y2404">
        <v>1080</v>
      </c>
      <c r="Z2404">
        <v>12</v>
      </c>
      <c r="AB2404">
        <v>2.33</v>
      </c>
      <c r="AC2404" t="s">
        <v>85</v>
      </c>
      <c r="AD2404" t="s">
        <v>241</v>
      </c>
      <c r="AE2404" t="s">
        <v>138</v>
      </c>
      <c r="AI2404">
        <v>5</v>
      </c>
      <c r="AJ2404" t="s">
        <v>201</v>
      </c>
      <c r="AT2404" t="s">
        <v>318</v>
      </c>
      <c r="AV2404" t="s">
        <v>88</v>
      </c>
      <c r="AX2404">
        <v>300</v>
      </c>
    </row>
    <row r="2405" spans="1:50" hidden="1" x14ac:dyDescent="0.3">
      <c r="A2405" t="s">
        <v>641</v>
      </c>
      <c r="C2405" t="s">
        <v>251</v>
      </c>
      <c r="D2405" t="s">
        <v>81</v>
      </c>
      <c r="E2405">
        <v>4600000</v>
      </c>
      <c r="H2405">
        <v>14.25</v>
      </c>
      <c r="I2405" t="s">
        <v>56</v>
      </c>
      <c r="J2405">
        <v>1.4250000000000001E-3</v>
      </c>
      <c r="K2405" t="s">
        <v>57</v>
      </c>
      <c r="N2405" t="s">
        <v>642</v>
      </c>
      <c r="O2405">
        <v>300</v>
      </c>
      <c r="P2405" t="s">
        <v>262</v>
      </c>
      <c r="S2405" t="s">
        <v>643</v>
      </c>
      <c r="T2405">
        <v>27</v>
      </c>
      <c r="U2405" t="s">
        <v>644</v>
      </c>
      <c r="V2405">
        <v>75</v>
      </c>
      <c r="W2405" t="s">
        <v>72</v>
      </c>
      <c r="X2405" t="s">
        <v>280</v>
      </c>
      <c r="Y2405">
        <v>1080</v>
      </c>
      <c r="Z2405">
        <v>12</v>
      </c>
      <c r="AB2405">
        <v>1.74</v>
      </c>
      <c r="AC2405" t="s">
        <v>85</v>
      </c>
      <c r="AD2405" t="s">
        <v>219</v>
      </c>
      <c r="AE2405" t="s">
        <v>138</v>
      </c>
      <c r="AI2405">
        <v>5</v>
      </c>
      <c r="AJ2405" t="s">
        <v>201</v>
      </c>
      <c r="AT2405" t="s">
        <v>73</v>
      </c>
      <c r="AV2405" t="s">
        <v>88</v>
      </c>
      <c r="AX2405">
        <v>300</v>
      </c>
    </row>
    <row r="2406" spans="1:50" hidden="1" x14ac:dyDescent="0.3">
      <c r="A2406" t="s">
        <v>641</v>
      </c>
      <c r="C2406" t="s">
        <v>251</v>
      </c>
      <c r="D2406" t="s">
        <v>81</v>
      </c>
      <c r="E2406">
        <v>4600000</v>
      </c>
      <c r="H2406">
        <v>14.25</v>
      </c>
      <c r="I2406" t="s">
        <v>56</v>
      </c>
      <c r="J2406">
        <v>1.4250000000000001E-3</v>
      </c>
      <c r="K2406" t="s">
        <v>57</v>
      </c>
      <c r="N2406" t="s">
        <v>642</v>
      </c>
      <c r="O2406">
        <v>300</v>
      </c>
      <c r="P2406" t="s">
        <v>262</v>
      </c>
      <c r="S2406" t="s">
        <v>643</v>
      </c>
      <c r="T2406">
        <v>27</v>
      </c>
      <c r="U2406" t="s">
        <v>644</v>
      </c>
      <c r="V2406">
        <v>75</v>
      </c>
      <c r="W2406" t="s">
        <v>540</v>
      </c>
      <c r="X2406" t="s">
        <v>280</v>
      </c>
      <c r="Y2406">
        <v>1080</v>
      </c>
      <c r="Z2406">
        <v>12</v>
      </c>
      <c r="AB2406">
        <v>2.2999999999999901</v>
      </c>
      <c r="AC2406" t="s">
        <v>85</v>
      </c>
      <c r="AD2406" t="s">
        <v>517</v>
      </c>
      <c r="AE2406" t="s">
        <v>138</v>
      </c>
      <c r="AI2406">
        <v>5</v>
      </c>
      <c r="AJ2406" t="s">
        <v>201</v>
      </c>
      <c r="AT2406" t="s">
        <v>212</v>
      </c>
      <c r="AV2406" t="s">
        <v>88</v>
      </c>
      <c r="AX2406">
        <v>300</v>
      </c>
    </row>
    <row r="2407" spans="1:50" hidden="1" x14ac:dyDescent="0.3">
      <c r="A2407" t="s">
        <v>641</v>
      </c>
      <c r="C2407" t="s">
        <v>251</v>
      </c>
      <c r="D2407" t="s">
        <v>81</v>
      </c>
      <c r="E2407">
        <v>4600000</v>
      </c>
      <c r="H2407">
        <v>14.25</v>
      </c>
      <c r="I2407" t="s">
        <v>56</v>
      </c>
      <c r="J2407">
        <v>1.4250000000000001E-3</v>
      </c>
      <c r="K2407" t="s">
        <v>57</v>
      </c>
      <c r="N2407" t="s">
        <v>642</v>
      </c>
      <c r="O2407">
        <v>300</v>
      </c>
      <c r="P2407" t="s">
        <v>262</v>
      </c>
      <c r="S2407" t="s">
        <v>643</v>
      </c>
      <c r="T2407">
        <v>27</v>
      </c>
      <c r="U2407" t="s">
        <v>644</v>
      </c>
      <c r="V2407">
        <v>45</v>
      </c>
      <c r="W2407" t="s">
        <v>147</v>
      </c>
      <c r="X2407" t="s">
        <v>280</v>
      </c>
      <c r="Y2407">
        <v>3600</v>
      </c>
      <c r="Z2407">
        <v>12</v>
      </c>
      <c r="AB2407">
        <v>0.73</v>
      </c>
      <c r="AC2407" t="s">
        <v>85</v>
      </c>
      <c r="AD2407" t="s">
        <v>237</v>
      </c>
      <c r="AE2407" t="s">
        <v>138</v>
      </c>
      <c r="AI2407">
        <v>5</v>
      </c>
      <c r="AJ2407" t="s">
        <v>201</v>
      </c>
      <c r="AT2407" t="s">
        <v>150</v>
      </c>
      <c r="AV2407" t="s">
        <v>88</v>
      </c>
      <c r="AX2407">
        <v>300</v>
      </c>
    </row>
    <row r="2408" spans="1:50" hidden="1" x14ac:dyDescent="0.3">
      <c r="A2408" t="s">
        <v>641</v>
      </c>
      <c r="C2408" t="s">
        <v>251</v>
      </c>
      <c r="D2408" t="s">
        <v>81</v>
      </c>
      <c r="E2408">
        <v>4600000</v>
      </c>
      <c r="H2408">
        <v>14.25</v>
      </c>
      <c r="I2408" t="s">
        <v>56</v>
      </c>
      <c r="J2408">
        <v>1.4250000000000001E-3</v>
      </c>
      <c r="K2408" t="s">
        <v>57</v>
      </c>
      <c r="N2408" t="s">
        <v>642</v>
      </c>
      <c r="O2408">
        <v>300</v>
      </c>
      <c r="P2408" t="s">
        <v>262</v>
      </c>
      <c r="S2408" t="s">
        <v>643</v>
      </c>
      <c r="T2408">
        <v>27</v>
      </c>
      <c r="U2408" t="s">
        <v>644</v>
      </c>
      <c r="V2408">
        <v>45</v>
      </c>
      <c r="W2408" t="s">
        <v>468</v>
      </c>
      <c r="X2408" t="s">
        <v>280</v>
      </c>
      <c r="Y2408">
        <v>3600</v>
      </c>
      <c r="Z2408">
        <v>12</v>
      </c>
      <c r="AB2408">
        <v>3.38</v>
      </c>
      <c r="AC2408" t="s">
        <v>85</v>
      </c>
      <c r="AD2408" t="s">
        <v>525</v>
      </c>
      <c r="AE2408" t="s">
        <v>138</v>
      </c>
      <c r="AI2408">
        <v>5</v>
      </c>
      <c r="AJ2408" t="s">
        <v>201</v>
      </c>
      <c r="AT2408" t="s">
        <v>318</v>
      </c>
      <c r="AV2408" t="s">
        <v>88</v>
      </c>
      <c r="AX2408">
        <v>300</v>
      </c>
    </row>
    <row r="2409" spans="1:50" hidden="1" x14ac:dyDescent="0.3">
      <c r="A2409" t="s">
        <v>641</v>
      </c>
      <c r="C2409" t="s">
        <v>251</v>
      </c>
      <c r="D2409" t="s">
        <v>81</v>
      </c>
      <c r="E2409">
        <v>4600000</v>
      </c>
      <c r="H2409">
        <v>14.25</v>
      </c>
      <c r="I2409" t="s">
        <v>56</v>
      </c>
      <c r="J2409">
        <v>1.4250000000000001E-3</v>
      </c>
      <c r="K2409" t="s">
        <v>57</v>
      </c>
      <c r="N2409" t="s">
        <v>642</v>
      </c>
      <c r="O2409">
        <v>300</v>
      </c>
      <c r="P2409" t="s">
        <v>262</v>
      </c>
      <c r="S2409" t="s">
        <v>643</v>
      </c>
      <c r="T2409">
        <v>27</v>
      </c>
      <c r="U2409" t="s">
        <v>644</v>
      </c>
      <c r="V2409">
        <v>45</v>
      </c>
      <c r="W2409" t="s">
        <v>72</v>
      </c>
      <c r="X2409" t="s">
        <v>280</v>
      </c>
      <c r="Y2409">
        <v>3600</v>
      </c>
      <c r="Z2409">
        <v>1</v>
      </c>
      <c r="AB2409">
        <v>1.73</v>
      </c>
      <c r="AC2409" t="s">
        <v>85</v>
      </c>
      <c r="AD2409" t="s">
        <v>490</v>
      </c>
      <c r="AE2409" t="s">
        <v>138</v>
      </c>
      <c r="AI2409">
        <v>5</v>
      </c>
      <c r="AJ2409" t="s">
        <v>201</v>
      </c>
      <c r="AT2409" t="s">
        <v>73</v>
      </c>
      <c r="AV2409" t="s">
        <v>88</v>
      </c>
      <c r="AX2409">
        <v>300</v>
      </c>
    </row>
    <row r="2410" spans="1:50" hidden="1" x14ac:dyDescent="0.3">
      <c r="A2410" t="s">
        <v>641</v>
      </c>
      <c r="C2410" t="s">
        <v>251</v>
      </c>
      <c r="D2410" t="s">
        <v>81</v>
      </c>
      <c r="E2410">
        <v>4600000</v>
      </c>
      <c r="H2410">
        <v>14.25</v>
      </c>
      <c r="I2410" t="s">
        <v>56</v>
      </c>
      <c r="J2410">
        <v>1.4250000000000001E-3</v>
      </c>
      <c r="K2410" t="s">
        <v>57</v>
      </c>
      <c r="N2410" t="s">
        <v>642</v>
      </c>
      <c r="O2410">
        <v>300</v>
      </c>
      <c r="P2410" t="s">
        <v>262</v>
      </c>
      <c r="S2410" t="s">
        <v>643</v>
      </c>
      <c r="T2410">
        <v>27</v>
      </c>
      <c r="U2410" t="s">
        <v>644</v>
      </c>
      <c r="V2410">
        <v>45</v>
      </c>
      <c r="W2410" t="s">
        <v>540</v>
      </c>
      <c r="X2410" t="s">
        <v>280</v>
      </c>
      <c r="Y2410">
        <v>3600</v>
      </c>
      <c r="Z2410">
        <v>1</v>
      </c>
      <c r="AB2410">
        <v>2.88</v>
      </c>
      <c r="AC2410" t="s">
        <v>85</v>
      </c>
      <c r="AD2410" t="s">
        <v>225</v>
      </c>
      <c r="AE2410" t="s">
        <v>138</v>
      </c>
      <c r="AI2410">
        <v>5</v>
      </c>
      <c r="AJ2410" t="s">
        <v>201</v>
      </c>
      <c r="AT2410" t="s">
        <v>212</v>
      </c>
      <c r="AV2410" t="s">
        <v>88</v>
      </c>
      <c r="AX2410">
        <v>300</v>
      </c>
    </row>
    <row r="2411" spans="1:50" hidden="1" x14ac:dyDescent="0.3">
      <c r="A2411" t="s">
        <v>641</v>
      </c>
      <c r="C2411" t="s">
        <v>251</v>
      </c>
      <c r="D2411" t="s">
        <v>81</v>
      </c>
      <c r="E2411">
        <v>4600000</v>
      </c>
      <c r="H2411">
        <v>14.25</v>
      </c>
      <c r="I2411" t="s">
        <v>56</v>
      </c>
      <c r="J2411">
        <v>1.4250000000000001E-3</v>
      </c>
      <c r="K2411" t="s">
        <v>57</v>
      </c>
      <c r="N2411" t="s">
        <v>642</v>
      </c>
      <c r="O2411">
        <v>212</v>
      </c>
      <c r="P2411" t="s">
        <v>262</v>
      </c>
      <c r="S2411" t="s">
        <v>643</v>
      </c>
      <c r="T2411">
        <v>32</v>
      </c>
      <c r="U2411" t="s">
        <v>644</v>
      </c>
      <c r="V2411">
        <v>45</v>
      </c>
      <c r="W2411" t="s">
        <v>147</v>
      </c>
      <c r="X2411" t="s">
        <v>280</v>
      </c>
      <c r="Y2411">
        <v>4320</v>
      </c>
      <c r="Z2411">
        <v>1</v>
      </c>
      <c r="AB2411">
        <v>0.8</v>
      </c>
      <c r="AC2411" t="s">
        <v>85</v>
      </c>
      <c r="AD2411" t="s">
        <v>248</v>
      </c>
      <c r="AE2411" t="s">
        <v>138</v>
      </c>
      <c r="AI2411">
        <v>5</v>
      </c>
      <c r="AJ2411" t="s">
        <v>201</v>
      </c>
      <c r="AT2411" t="s">
        <v>150</v>
      </c>
      <c r="AV2411" t="s">
        <v>88</v>
      </c>
      <c r="AX2411">
        <v>212</v>
      </c>
    </row>
    <row r="2412" spans="1:50" hidden="1" x14ac:dyDescent="0.3">
      <c r="A2412" t="s">
        <v>641</v>
      </c>
      <c r="C2412" t="s">
        <v>251</v>
      </c>
      <c r="D2412" t="s">
        <v>81</v>
      </c>
      <c r="E2412">
        <v>4600000</v>
      </c>
      <c r="H2412">
        <v>14.25</v>
      </c>
      <c r="I2412" t="s">
        <v>56</v>
      </c>
      <c r="J2412">
        <v>1.4250000000000001E-3</v>
      </c>
      <c r="K2412" t="s">
        <v>57</v>
      </c>
      <c r="N2412" t="s">
        <v>642</v>
      </c>
      <c r="O2412">
        <v>212</v>
      </c>
      <c r="P2412" t="s">
        <v>262</v>
      </c>
      <c r="S2412" t="s">
        <v>643</v>
      </c>
      <c r="T2412">
        <v>32</v>
      </c>
      <c r="U2412" t="s">
        <v>644</v>
      </c>
      <c r="V2412">
        <v>45</v>
      </c>
      <c r="W2412" t="s">
        <v>468</v>
      </c>
      <c r="X2412" t="s">
        <v>280</v>
      </c>
      <c r="Y2412">
        <v>4320</v>
      </c>
      <c r="Z2412">
        <v>1</v>
      </c>
      <c r="AB2412">
        <v>3.46</v>
      </c>
      <c r="AC2412" t="s">
        <v>85</v>
      </c>
      <c r="AD2412" t="s">
        <v>98</v>
      </c>
      <c r="AE2412" t="s">
        <v>138</v>
      </c>
      <c r="AI2412">
        <v>5</v>
      </c>
      <c r="AJ2412" t="s">
        <v>201</v>
      </c>
      <c r="AT2412" t="s">
        <v>318</v>
      </c>
      <c r="AV2412" t="s">
        <v>88</v>
      </c>
      <c r="AX2412">
        <v>212</v>
      </c>
    </row>
    <row r="2413" spans="1:50" hidden="1" x14ac:dyDescent="0.3">
      <c r="A2413" t="s">
        <v>641</v>
      </c>
      <c r="C2413" t="s">
        <v>251</v>
      </c>
      <c r="D2413" t="s">
        <v>81</v>
      </c>
      <c r="E2413">
        <v>4600000</v>
      </c>
      <c r="H2413">
        <v>14.25</v>
      </c>
      <c r="I2413" t="s">
        <v>56</v>
      </c>
      <c r="J2413">
        <v>1.4250000000000001E-3</v>
      </c>
      <c r="K2413" t="s">
        <v>57</v>
      </c>
      <c r="N2413" t="s">
        <v>642</v>
      </c>
      <c r="O2413">
        <v>212</v>
      </c>
      <c r="P2413" t="s">
        <v>262</v>
      </c>
      <c r="S2413" t="s">
        <v>643</v>
      </c>
      <c r="T2413">
        <v>32</v>
      </c>
      <c r="U2413" t="s">
        <v>644</v>
      </c>
      <c r="V2413">
        <v>45</v>
      </c>
      <c r="W2413" t="s">
        <v>72</v>
      </c>
      <c r="X2413" t="s">
        <v>280</v>
      </c>
      <c r="Y2413">
        <v>4320</v>
      </c>
      <c r="Z2413">
        <v>1</v>
      </c>
      <c r="AB2413">
        <v>1.67</v>
      </c>
      <c r="AC2413" t="s">
        <v>85</v>
      </c>
      <c r="AD2413" t="s">
        <v>325</v>
      </c>
      <c r="AE2413" t="s">
        <v>138</v>
      </c>
      <c r="AI2413">
        <v>5</v>
      </c>
      <c r="AJ2413" t="s">
        <v>201</v>
      </c>
      <c r="AT2413" t="s">
        <v>73</v>
      </c>
      <c r="AV2413" t="s">
        <v>88</v>
      </c>
      <c r="AX2413">
        <v>212</v>
      </c>
    </row>
    <row r="2414" spans="1:50" hidden="1" x14ac:dyDescent="0.3">
      <c r="A2414" t="s">
        <v>641</v>
      </c>
      <c r="C2414" t="s">
        <v>251</v>
      </c>
      <c r="D2414" t="s">
        <v>81</v>
      </c>
      <c r="E2414">
        <v>4600000</v>
      </c>
      <c r="H2414">
        <v>14.25</v>
      </c>
      <c r="I2414" t="s">
        <v>56</v>
      </c>
      <c r="J2414">
        <v>1.4250000000000001E-3</v>
      </c>
      <c r="K2414" t="s">
        <v>57</v>
      </c>
      <c r="N2414" t="s">
        <v>642</v>
      </c>
      <c r="O2414">
        <v>212</v>
      </c>
      <c r="P2414" t="s">
        <v>262</v>
      </c>
      <c r="S2414" t="s">
        <v>643</v>
      </c>
      <c r="T2414">
        <v>32</v>
      </c>
      <c r="U2414" t="s">
        <v>644</v>
      </c>
      <c r="V2414">
        <v>45</v>
      </c>
      <c r="W2414" t="s">
        <v>540</v>
      </c>
      <c r="X2414" t="s">
        <v>280</v>
      </c>
      <c r="Y2414">
        <v>4320</v>
      </c>
      <c r="Z2414">
        <v>1</v>
      </c>
      <c r="AB2414">
        <v>1.98</v>
      </c>
      <c r="AC2414" t="s">
        <v>85</v>
      </c>
      <c r="AD2414" t="s">
        <v>507</v>
      </c>
      <c r="AE2414" t="s">
        <v>138</v>
      </c>
      <c r="AI2414">
        <v>5</v>
      </c>
      <c r="AJ2414" t="s">
        <v>201</v>
      </c>
      <c r="AT2414" t="s">
        <v>212</v>
      </c>
      <c r="AV2414" t="s">
        <v>88</v>
      </c>
      <c r="AX2414">
        <v>212</v>
      </c>
    </row>
    <row r="2415" spans="1:50" hidden="1" x14ac:dyDescent="0.3">
      <c r="A2415" t="s">
        <v>641</v>
      </c>
      <c r="C2415" t="s">
        <v>251</v>
      </c>
      <c r="D2415" t="s">
        <v>81</v>
      </c>
      <c r="E2415">
        <v>4600000</v>
      </c>
      <c r="H2415">
        <v>14.25</v>
      </c>
      <c r="I2415" t="s">
        <v>56</v>
      </c>
      <c r="J2415">
        <v>1.4250000000000001E-3</v>
      </c>
      <c r="K2415" t="s">
        <v>57</v>
      </c>
      <c r="N2415" t="s">
        <v>642</v>
      </c>
      <c r="O2415">
        <v>300</v>
      </c>
      <c r="P2415" t="s">
        <v>262</v>
      </c>
      <c r="S2415" t="s">
        <v>643</v>
      </c>
      <c r="T2415">
        <v>32</v>
      </c>
      <c r="U2415" t="s">
        <v>644</v>
      </c>
      <c r="V2415">
        <v>45</v>
      </c>
      <c r="W2415" t="s">
        <v>147</v>
      </c>
      <c r="X2415" t="s">
        <v>280</v>
      </c>
      <c r="Y2415">
        <v>3600</v>
      </c>
      <c r="Z2415">
        <v>1</v>
      </c>
      <c r="AB2415">
        <v>0.44</v>
      </c>
      <c r="AC2415" t="s">
        <v>85</v>
      </c>
      <c r="AD2415" t="s">
        <v>490</v>
      </c>
      <c r="AE2415" t="s">
        <v>138</v>
      </c>
      <c r="AI2415">
        <v>5</v>
      </c>
      <c r="AJ2415" t="s">
        <v>201</v>
      </c>
      <c r="AT2415" t="s">
        <v>150</v>
      </c>
      <c r="AV2415" t="s">
        <v>88</v>
      </c>
      <c r="AX2415">
        <v>300</v>
      </c>
    </row>
    <row r="2416" spans="1:50" hidden="1" x14ac:dyDescent="0.3">
      <c r="A2416" t="s">
        <v>641</v>
      </c>
      <c r="C2416" t="s">
        <v>251</v>
      </c>
      <c r="D2416" t="s">
        <v>81</v>
      </c>
      <c r="E2416">
        <v>4600000</v>
      </c>
      <c r="H2416">
        <v>14.25</v>
      </c>
      <c r="I2416" t="s">
        <v>56</v>
      </c>
      <c r="J2416">
        <v>1.4250000000000001E-3</v>
      </c>
      <c r="K2416" t="s">
        <v>57</v>
      </c>
      <c r="N2416" t="s">
        <v>642</v>
      </c>
      <c r="O2416">
        <v>300</v>
      </c>
      <c r="P2416" t="s">
        <v>262</v>
      </c>
      <c r="S2416" t="s">
        <v>643</v>
      </c>
      <c r="T2416">
        <v>32</v>
      </c>
      <c r="U2416" t="s">
        <v>644</v>
      </c>
      <c r="V2416">
        <v>45</v>
      </c>
      <c r="W2416" t="s">
        <v>468</v>
      </c>
      <c r="X2416" t="s">
        <v>280</v>
      </c>
      <c r="Y2416">
        <v>3600</v>
      </c>
      <c r="Z2416">
        <v>1</v>
      </c>
      <c r="AB2416">
        <v>3.19</v>
      </c>
      <c r="AC2416" t="s">
        <v>85</v>
      </c>
      <c r="AD2416" t="s">
        <v>423</v>
      </c>
      <c r="AE2416" t="s">
        <v>138</v>
      </c>
      <c r="AI2416">
        <v>5</v>
      </c>
      <c r="AJ2416" t="s">
        <v>201</v>
      </c>
      <c r="AT2416" t="s">
        <v>318</v>
      </c>
      <c r="AV2416" t="s">
        <v>88</v>
      </c>
      <c r="AX2416">
        <v>300</v>
      </c>
    </row>
    <row r="2417" spans="1:53" hidden="1" x14ac:dyDescent="0.3">
      <c r="A2417" t="s">
        <v>641</v>
      </c>
      <c r="C2417" t="s">
        <v>251</v>
      </c>
      <c r="D2417" t="s">
        <v>81</v>
      </c>
      <c r="E2417">
        <v>4600000</v>
      </c>
      <c r="H2417">
        <v>14.25</v>
      </c>
      <c r="I2417" t="s">
        <v>56</v>
      </c>
      <c r="J2417">
        <v>1.4250000000000001E-3</v>
      </c>
      <c r="K2417" t="s">
        <v>57</v>
      </c>
      <c r="N2417" t="s">
        <v>642</v>
      </c>
      <c r="O2417">
        <v>300</v>
      </c>
      <c r="P2417" t="s">
        <v>262</v>
      </c>
      <c r="S2417" t="s">
        <v>643</v>
      </c>
      <c r="T2417">
        <v>32</v>
      </c>
      <c r="U2417" t="s">
        <v>644</v>
      </c>
      <c r="V2417">
        <v>45</v>
      </c>
      <c r="W2417" t="s">
        <v>72</v>
      </c>
      <c r="X2417" t="s">
        <v>280</v>
      </c>
      <c r="Y2417">
        <v>3600</v>
      </c>
      <c r="Z2417">
        <v>1</v>
      </c>
      <c r="AB2417">
        <v>1.89</v>
      </c>
      <c r="AC2417" t="s">
        <v>85</v>
      </c>
      <c r="AD2417" t="s">
        <v>225</v>
      </c>
      <c r="AE2417" t="s">
        <v>138</v>
      </c>
      <c r="AI2417">
        <v>5</v>
      </c>
      <c r="AJ2417" t="s">
        <v>201</v>
      </c>
      <c r="AT2417" t="s">
        <v>73</v>
      </c>
      <c r="AV2417" t="s">
        <v>88</v>
      </c>
      <c r="AX2417">
        <v>300</v>
      </c>
    </row>
    <row r="2418" spans="1:53" hidden="1" x14ac:dyDescent="0.3">
      <c r="A2418" t="s">
        <v>641</v>
      </c>
      <c r="C2418" t="s">
        <v>251</v>
      </c>
      <c r="D2418" t="s">
        <v>81</v>
      </c>
      <c r="E2418">
        <v>4600000</v>
      </c>
      <c r="H2418">
        <v>14.25</v>
      </c>
      <c r="I2418" t="s">
        <v>56</v>
      </c>
      <c r="J2418">
        <v>1.4250000000000001E-3</v>
      </c>
      <c r="K2418" t="s">
        <v>57</v>
      </c>
      <c r="N2418" t="s">
        <v>642</v>
      </c>
      <c r="O2418">
        <v>300</v>
      </c>
      <c r="P2418" t="s">
        <v>262</v>
      </c>
      <c r="S2418" t="s">
        <v>643</v>
      </c>
      <c r="T2418">
        <v>32</v>
      </c>
      <c r="U2418" t="s">
        <v>644</v>
      </c>
      <c r="V2418">
        <v>45</v>
      </c>
      <c r="W2418" t="s">
        <v>540</v>
      </c>
      <c r="X2418" t="s">
        <v>280</v>
      </c>
      <c r="Y2418">
        <v>3600</v>
      </c>
      <c r="Z2418">
        <v>1</v>
      </c>
      <c r="AB2418">
        <v>2.96</v>
      </c>
      <c r="AC2418" t="s">
        <v>85</v>
      </c>
      <c r="AD2418" t="s">
        <v>433</v>
      </c>
      <c r="AE2418" t="s">
        <v>138</v>
      </c>
      <c r="AI2418">
        <v>5</v>
      </c>
      <c r="AJ2418" t="s">
        <v>201</v>
      </c>
      <c r="AT2418" t="s">
        <v>212</v>
      </c>
      <c r="AV2418" t="s">
        <v>88</v>
      </c>
      <c r="AX2418">
        <v>300</v>
      </c>
    </row>
    <row r="2419" spans="1:53" hidden="1" x14ac:dyDescent="0.3">
      <c r="A2419" t="s">
        <v>641</v>
      </c>
      <c r="C2419" t="s">
        <v>251</v>
      </c>
      <c r="D2419" t="s">
        <v>81</v>
      </c>
      <c r="E2419">
        <v>4600000</v>
      </c>
      <c r="H2419">
        <v>14.25</v>
      </c>
      <c r="I2419" t="s">
        <v>56</v>
      </c>
      <c r="J2419">
        <v>1.4250000000000001E-3</v>
      </c>
      <c r="K2419" t="s">
        <v>57</v>
      </c>
      <c r="N2419" t="s">
        <v>642</v>
      </c>
      <c r="O2419">
        <v>212</v>
      </c>
      <c r="P2419" t="s">
        <v>262</v>
      </c>
      <c r="S2419" t="s">
        <v>643</v>
      </c>
      <c r="T2419">
        <v>27</v>
      </c>
      <c r="U2419" t="s">
        <v>644</v>
      </c>
      <c r="V2419">
        <v>45</v>
      </c>
      <c r="W2419" t="s">
        <v>147</v>
      </c>
      <c r="X2419" t="s">
        <v>280</v>
      </c>
      <c r="Y2419">
        <v>2880</v>
      </c>
      <c r="Z2419">
        <v>1</v>
      </c>
      <c r="AA2419" t="s">
        <v>94</v>
      </c>
      <c r="AB2419">
        <v>6.97</v>
      </c>
      <c r="AC2419" t="s">
        <v>85</v>
      </c>
      <c r="AD2419" t="s">
        <v>103</v>
      </c>
      <c r="AE2419" t="s">
        <v>138</v>
      </c>
      <c r="AI2419">
        <v>5</v>
      </c>
      <c r="AJ2419" t="s">
        <v>201</v>
      </c>
      <c r="AT2419" t="s">
        <v>150</v>
      </c>
      <c r="AV2419" t="s">
        <v>88</v>
      </c>
      <c r="AX2419">
        <v>212</v>
      </c>
      <c r="AZ2419">
        <v>0</v>
      </c>
      <c r="BA2419">
        <v>6.97</v>
      </c>
    </row>
    <row r="2420" spans="1:53" hidden="1" x14ac:dyDescent="0.3">
      <c r="A2420" t="s">
        <v>641</v>
      </c>
      <c r="C2420" t="s">
        <v>251</v>
      </c>
      <c r="D2420" t="s">
        <v>81</v>
      </c>
      <c r="E2420">
        <v>4600000</v>
      </c>
      <c r="H2420">
        <v>14.25</v>
      </c>
      <c r="I2420" t="s">
        <v>56</v>
      </c>
      <c r="J2420">
        <v>1.4250000000000001E-3</v>
      </c>
      <c r="K2420" t="s">
        <v>57</v>
      </c>
      <c r="N2420" t="s">
        <v>642</v>
      </c>
      <c r="O2420">
        <v>212</v>
      </c>
      <c r="P2420" t="s">
        <v>262</v>
      </c>
      <c r="S2420" t="s">
        <v>643</v>
      </c>
      <c r="T2420">
        <v>27</v>
      </c>
      <c r="U2420" t="s">
        <v>644</v>
      </c>
      <c r="V2420">
        <v>45</v>
      </c>
      <c r="W2420" t="s">
        <v>468</v>
      </c>
      <c r="X2420" t="s">
        <v>280</v>
      </c>
      <c r="Y2420">
        <v>2880</v>
      </c>
      <c r="Z2420">
        <v>1</v>
      </c>
      <c r="AA2420" t="s">
        <v>94</v>
      </c>
      <c r="AB2420">
        <v>7</v>
      </c>
      <c r="AC2420" t="s">
        <v>85</v>
      </c>
      <c r="AD2420" t="s">
        <v>418</v>
      </c>
      <c r="AE2420" t="s">
        <v>138</v>
      </c>
      <c r="AI2420">
        <v>5</v>
      </c>
      <c r="AJ2420" t="s">
        <v>201</v>
      </c>
      <c r="AT2420" t="s">
        <v>318</v>
      </c>
      <c r="AV2420" t="s">
        <v>88</v>
      </c>
      <c r="AX2420">
        <v>212</v>
      </c>
      <c r="AZ2420">
        <v>0</v>
      </c>
      <c r="BA2420">
        <v>7</v>
      </c>
    </row>
    <row r="2421" spans="1:53" hidden="1" x14ac:dyDescent="0.3">
      <c r="A2421" t="s">
        <v>641</v>
      </c>
      <c r="C2421" t="s">
        <v>251</v>
      </c>
      <c r="D2421" t="s">
        <v>81</v>
      </c>
      <c r="E2421">
        <v>4600000</v>
      </c>
      <c r="H2421">
        <v>14.25</v>
      </c>
      <c r="I2421" t="s">
        <v>56</v>
      </c>
      <c r="J2421">
        <v>1.4250000000000001E-3</v>
      </c>
      <c r="K2421" t="s">
        <v>57</v>
      </c>
      <c r="N2421" t="s">
        <v>642</v>
      </c>
      <c r="O2421">
        <v>212</v>
      </c>
      <c r="P2421" t="s">
        <v>262</v>
      </c>
      <c r="S2421" t="s">
        <v>643</v>
      </c>
      <c r="T2421">
        <v>27</v>
      </c>
      <c r="U2421" t="s">
        <v>644</v>
      </c>
      <c r="V2421">
        <v>45</v>
      </c>
      <c r="W2421" t="s">
        <v>72</v>
      </c>
      <c r="X2421" t="s">
        <v>280</v>
      </c>
      <c r="Y2421">
        <v>2880</v>
      </c>
      <c r="Z2421">
        <v>1</v>
      </c>
      <c r="AA2421" t="s">
        <v>94</v>
      </c>
      <c r="AB2421">
        <v>7.87</v>
      </c>
      <c r="AC2421" t="s">
        <v>85</v>
      </c>
      <c r="AD2421" t="s">
        <v>235</v>
      </c>
      <c r="AE2421" t="s">
        <v>138</v>
      </c>
      <c r="AI2421">
        <v>5</v>
      </c>
      <c r="AJ2421" t="s">
        <v>201</v>
      </c>
      <c r="AT2421" t="s">
        <v>73</v>
      </c>
      <c r="AV2421" t="s">
        <v>88</v>
      </c>
      <c r="AX2421">
        <v>212</v>
      </c>
      <c r="AZ2421">
        <v>0</v>
      </c>
      <c r="BA2421">
        <v>7.87</v>
      </c>
    </row>
    <row r="2422" spans="1:53" hidden="1" x14ac:dyDescent="0.3">
      <c r="A2422" t="s">
        <v>641</v>
      </c>
      <c r="C2422" t="s">
        <v>251</v>
      </c>
      <c r="D2422" t="s">
        <v>81</v>
      </c>
      <c r="E2422">
        <v>4600000</v>
      </c>
      <c r="H2422">
        <v>14.25</v>
      </c>
      <c r="I2422" t="s">
        <v>56</v>
      </c>
      <c r="J2422">
        <v>1.4250000000000001E-3</v>
      </c>
      <c r="K2422" t="s">
        <v>57</v>
      </c>
      <c r="N2422" t="s">
        <v>642</v>
      </c>
      <c r="O2422">
        <v>212</v>
      </c>
      <c r="P2422" t="s">
        <v>262</v>
      </c>
      <c r="S2422" t="s">
        <v>643</v>
      </c>
      <c r="T2422">
        <v>27</v>
      </c>
      <c r="U2422" t="s">
        <v>644</v>
      </c>
      <c r="V2422">
        <v>45</v>
      </c>
      <c r="W2422" t="s">
        <v>465</v>
      </c>
      <c r="X2422" t="s">
        <v>280</v>
      </c>
      <c r="Y2422">
        <v>2880</v>
      </c>
      <c r="Z2422">
        <v>1</v>
      </c>
      <c r="AA2422" t="s">
        <v>94</v>
      </c>
      <c r="AB2422">
        <v>7.58</v>
      </c>
      <c r="AC2422" t="s">
        <v>85</v>
      </c>
      <c r="AD2422" t="s">
        <v>365</v>
      </c>
      <c r="AE2422" t="s">
        <v>138</v>
      </c>
      <c r="AI2422">
        <v>5</v>
      </c>
      <c r="AJ2422" t="s">
        <v>201</v>
      </c>
      <c r="AT2422" t="s">
        <v>79</v>
      </c>
      <c r="AV2422" t="s">
        <v>88</v>
      </c>
      <c r="AX2422">
        <v>212</v>
      </c>
      <c r="AZ2422">
        <v>0</v>
      </c>
      <c r="BA2422">
        <v>7.58</v>
      </c>
    </row>
    <row r="2423" spans="1:53" hidden="1" x14ac:dyDescent="0.3">
      <c r="A2423" t="s">
        <v>641</v>
      </c>
      <c r="C2423" t="s">
        <v>251</v>
      </c>
      <c r="D2423" t="s">
        <v>81</v>
      </c>
      <c r="E2423">
        <v>4600000</v>
      </c>
      <c r="H2423">
        <v>14.25</v>
      </c>
      <c r="I2423" t="s">
        <v>56</v>
      </c>
      <c r="J2423">
        <v>1.4250000000000001E-3</v>
      </c>
      <c r="K2423" t="s">
        <v>57</v>
      </c>
      <c r="N2423" t="s">
        <v>642</v>
      </c>
      <c r="O2423">
        <v>212</v>
      </c>
      <c r="P2423" t="s">
        <v>262</v>
      </c>
      <c r="S2423" t="s">
        <v>643</v>
      </c>
      <c r="T2423">
        <v>27</v>
      </c>
      <c r="U2423" t="s">
        <v>644</v>
      </c>
      <c r="V2423">
        <v>45</v>
      </c>
      <c r="W2423" t="s">
        <v>540</v>
      </c>
      <c r="X2423" t="s">
        <v>280</v>
      </c>
      <c r="Y2423">
        <v>2880</v>
      </c>
      <c r="Z2423">
        <v>1</v>
      </c>
      <c r="AB2423">
        <v>4.28</v>
      </c>
      <c r="AC2423" t="s">
        <v>85</v>
      </c>
      <c r="AD2423" t="s">
        <v>530</v>
      </c>
      <c r="AE2423" t="s">
        <v>138</v>
      </c>
      <c r="AI2423">
        <v>5</v>
      </c>
      <c r="AJ2423" t="s">
        <v>201</v>
      </c>
      <c r="AT2423" t="s">
        <v>212</v>
      </c>
      <c r="AV2423" t="s">
        <v>88</v>
      </c>
      <c r="AX2423">
        <v>212</v>
      </c>
    </row>
    <row r="2424" spans="1:53" hidden="1" x14ac:dyDescent="0.3">
      <c r="A2424" t="s">
        <v>641</v>
      </c>
      <c r="C2424" t="s">
        <v>251</v>
      </c>
      <c r="D2424" t="s">
        <v>81</v>
      </c>
      <c r="E2424">
        <v>4600000</v>
      </c>
      <c r="H2424">
        <v>14.25</v>
      </c>
      <c r="I2424" t="s">
        <v>56</v>
      </c>
      <c r="J2424">
        <v>1.4250000000000001E-3</v>
      </c>
      <c r="K2424" t="s">
        <v>57</v>
      </c>
      <c r="N2424" t="s">
        <v>642</v>
      </c>
      <c r="O2424">
        <v>212</v>
      </c>
      <c r="P2424" t="s">
        <v>262</v>
      </c>
      <c r="S2424" t="s">
        <v>643</v>
      </c>
      <c r="T2424">
        <v>27</v>
      </c>
      <c r="U2424" t="s">
        <v>644</v>
      </c>
      <c r="V2424">
        <v>45</v>
      </c>
      <c r="W2424" t="s">
        <v>549</v>
      </c>
      <c r="X2424" t="s">
        <v>280</v>
      </c>
      <c r="Y2424">
        <v>2880</v>
      </c>
      <c r="Z2424">
        <v>1</v>
      </c>
      <c r="AA2424" t="s">
        <v>94</v>
      </c>
      <c r="AB2424">
        <v>6.85</v>
      </c>
      <c r="AC2424" t="s">
        <v>85</v>
      </c>
      <c r="AD2424" t="s">
        <v>92</v>
      </c>
      <c r="AE2424" t="s">
        <v>138</v>
      </c>
      <c r="AI2424">
        <v>5</v>
      </c>
      <c r="AJ2424" t="s">
        <v>201</v>
      </c>
      <c r="AT2424" t="s">
        <v>77</v>
      </c>
      <c r="AV2424" t="s">
        <v>88</v>
      </c>
      <c r="AX2424">
        <v>212</v>
      </c>
      <c r="AZ2424">
        <v>0</v>
      </c>
      <c r="BA2424">
        <v>6.85</v>
      </c>
    </row>
    <row r="2425" spans="1:53" hidden="1" x14ac:dyDescent="0.3">
      <c r="A2425" t="s">
        <v>641</v>
      </c>
      <c r="C2425" t="s">
        <v>251</v>
      </c>
      <c r="D2425" t="s">
        <v>81</v>
      </c>
      <c r="E2425">
        <v>4600000</v>
      </c>
      <c r="H2425">
        <v>14.25</v>
      </c>
      <c r="I2425" t="s">
        <v>56</v>
      </c>
      <c r="J2425">
        <v>1.4250000000000001E-3</v>
      </c>
      <c r="K2425" t="s">
        <v>57</v>
      </c>
      <c r="N2425" t="s">
        <v>642</v>
      </c>
      <c r="O2425">
        <v>212</v>
      </c>
      <c r="P2425" t="s">
        <v>262</v>
      </c>
      <c r="S2425" t="s">
        <v>643</v>
      </c>
      <c r="T2425">
        <v>27</v>
      </c>
      <c r="U2425" t="s">
        <v>644</v>
      </c>
      <c r="V2425">
        <v>75</v>
      </c>
      <c r="W2425" t="s">
        <v>147</v>
      </c>
      <c r="X2425" t="s">
        <v>280</v>
      </c>
      <c r="Y2425">
        <v>1440</v>
      </c>
      <c r="Z2425">
        <v>1</v>
      </c>
      <c r="AB2425">
        <v>4.17</v>
      </c>
      <c r="AC2425" t="s">
        <v>85</v>
      </c>
      <c r="AD2425" t="s">
        <v>659</v>
      </c>
      <c r="AE2425" t="s">
        <v>138</v>
      </c>
      <c r="AI2425">
        <v>5</v>
      </c>
      <c r="AJ2425" t="s">
        <v>201</v>
      </c>
      <c r="AT2425" t="s">
        <v>150</v>
      </c>
      <c r="AV2425" t="s">
        <v>88</v>
      </c>
      <c r="AX2425">
        <v>212</v>
      </c>
    </row>
    <row r="2426" spans="1:53" hidden="1" x14ac:dyDescent="0.3">
      <c r="A2426" t="s">
        <v>641</v>
      </c>
      <c r="C2426" t="s">
        <v>251</v>
      </c>
      <c r="D2426" t="s">
        <v>81</v>
      </c>
      <c r="E2426">
        <v>4600000</v>
      </c>
      <c r="H2426">
        <v>14.25</v>
      </c>
      <c r="I2426" t="s">
        <v>56</v>
      </c>
      <c r="J2426">
        <v>1.4250000000000001E-3</v>
      </c>
      <c r="K2426" t="s">
        <v>57</v>
      </c>
      <c r="N2426" t="s">
        <v>642</v>
      </c>
      <c r="O2426">
        <v>212</v>
      </c>
      <c r="P2426" t="s">
        <v>262</v>
      </c>
      <c r="S2426" t="s">
        <v>643</v>
      </c>
      <c r="T2426">
        <v>27</v>
      </c>
      <c r="U2426" t="s">
        <v>644</v>
      </c>
      <c r="V2426">
        <v>75</v>
      </c>
      <c r="W2426" t="s">
        <v>468</v>
      </c>
      <c r="X2426" t="s">
        <v>280</v>
      </c>
      <c r="Y2426">
        <v>1440</v>
      </c>
      <c r="Z2426">
        <v>1</v>
      </c>
      <c r="AB2426">
        <v>3.53</v>
      </c>
      <c r="AC2426" t="s">
        <v>85</v>
      </c>
      <c r="AD2426" t="s">
        <v>330</v>
      </c>
      <c r="AE2426" t="s">
        <v>138</v>
      </c>
      <c r="AI2426">
        <v>5</v>
      </c>
      <c r="AJ2426" t="s">
        <v>201</v>
      </c>
      <c r="AT2426" t="s">
        <v>318</v>
      </c>
      <c r="AV2426" t="s">
        <v>88</v>
      </c>
      <c r="AX2426">
        <v>212</v>
      </c>
    </row>
    <row r="2427" spans="1:53" hidden="1" x14ac:dyDescent="0.3">
      <c r="A2427" t="s">
        <v>641</v>
      </c>
      <c r="C2427" t="s">
        <v>251</v>
      </c>
      <c r="D2427" t="s">
        <v>81</v>
      </c>
      <c r="E2427">
        <v>4600000</v>
      </c>
      <c r="H2427">
        <v>14.25</v>
      </c>
      <c r="I2427" t="s">
        <v>56</v>
      </c>
      <c r="J2427">
        <v>1.4250000000000001E-3</v>
      </c>
      <c r="K2427" t="s">
        <v>57</v>
      </c>
      <c r="N2427" t="s">
        <v>642</v>
      </c>
      <c r="O2427">
        <v>212</v>
      </c>
      <c r="P2427" t="s">
        <v>262</v>
      </c>
      <c r="S2427" t="s">
        <v>643</v>
      </c>
      <c r="T2427">
        <v>27</v>
      </c>
      <c r="U2427" t="s">
        <v>644</v>
      </c>
      <c r="V2427">
        <v>75</v>
      </c>
      <c r="W2427" t="s">
        <v>72</v>
      </c>
      <c r="X2427" t="s">
        <v>280</v>
      </c>
      <c r="Y2427">
        <v>1440</v>
      </c>
      <c r="Z2427">
        <v>1</v>
      </c>
      <c r="AB2427">
        <v>2.4700000000000002</v>
      </c>
      <c r="AC2427" t="s">
        <v>85</v>
      </c>
      <c r="AD2427" t="s">
        <v>525</v>
      </c>
      <c r="AE2427" t="s">
        <v>138</v>
      </c>
      <c r="AI2427">
        <v>5</v>
      </c>
      <c r="AJ2427" t="s">
        <v>201</v>
      </c>
      <c r="AT2427" t="s">
        <v>73</v>
      </c>
      <c r="AV2427" t="s">
        <v>88</v>
      </c>
      <c r="AX2427">
        <v>212</v>
      </c>
    </row>
    <row r="2428" spans="1:53" hidden="1" x14ac:dyDescent="0.3">
      <c r="A2428" t="s">
        <v>641</v>
      </c>
      <c r="C2428" t="s">
        <v>251</v>
      </c>
      <c r="D2428" t="s">
        <v>81</v>
      </c>
      <c r="E2428">
        <v>4600000</v>
      </c>
      <c r="H2428">
        <v>14.25</v>
      </c>
      <c r="I2428" t="s">
        <v>56</v>
      </c>
      <c r="J2428">
        <v>1.4250000000000001E-3</v>
      </c>
      <c r="K2428" t="s">
        <v>57</v>
      </c>
      <c r="N2428" t="s">
        <v>642</v>
      </c>
      <c r="O2428">
        <v>212</v>
      </c>
      <c r="P2428" t="s">
        <v>262</v>
      </c>
      <c r="S2428" t="s">
        <v>643</v>
      </c>
      <c r="T2428">
        <v>27</v>
      </c>
      <c r="U2428" t="s">
        <v>644</v>
      </c>
      <c r="V2428">
        <v>75</v>
      </c>
      <c r="W2428" t="s">
        <v>465</v>
      </c>
      <c r="X2428" t="s">
        <v>280</v>
      </c>
      <c r="Y2428">
        <v>1440</v>
      </c>
      <c r="Z2428">
        <v>1</v>
      </c>
      <c r="AB2428">
        <v>1.86</v>
      </c>
      <c r="AC2428" t="s">
        <v>85</v>
      </c>
      <c r="AD2428" t="s">
        <v>524</v>
      </c>
      <c r="AE2428" t="s">
        <v>138</v>
      </c>
      <c r="AI2428">
        <v>5</v>
      </c>
      <c r="AJ2428" t="s">
        <v>201</v>
      </c>
      <c r="AT2428" t="s">
        <v>79</v>
      </c>
      <c r="AV2428" t="s">
        <v>88</v>
      </c>
      <c r="AX2428">
        <v>212</v>
      </c>
    </row>
    <row r="2429" spans="1:53" hidden="1" x14ac:dyDescent="0.3">
      <c r="A2429" t="s">
        <v>641</v>
      </c>
      <c r="C2429" t="s">
        <v>251</v>
      </c>
      <c r="D2429" t="s">
        <v>81</v>
      </c>
      <c r="E2429">
        <v>4600000</v>
      </c>
      <c r="H2429">
        <v>14.25</v>
      </c>
      <c r="I2429" t="s">
        <v>56</v>
      </c>
      <c r="J2429">
        <v>1.4250000000000001E-3</v>
      </c>
      <c r="K2429" t="s">
        <v>57</v>
      </c>
      <c r="N2429" t="s">
        <v>642</v>
      </c>
      <c r="O2429">
        <v>212</v>
      </c>
      <c r="P2429" t="s">
        <v>262</v>
      </c>
      <c r="S2429" t="s">
        <v>643</v>
      </c>
      <c r="T2429">
        <v>27</v>
      </c>
      <c r="U2429" t="s">
        <v>644</v>
      </c>
      <c r="V2429">
        <v>75</v>
      </c>
      <c r="W2429" t="s">
        <v>540</v>
      </c>
      <c r="X2429" t="s">
        <v>280</v>
      </c>
      <c r="Y2429">
        <v>1440</v>
      </c>
      <c r="Z2429">
        <v>1</v>
      </c>
      <c r="AB2429">
        <v>1.88</v>
      </c>
      <c r="AC2429" t="s">
        <v>85</v>
      </c>
      <c r="AD2429" t="s">
        <v>433</v>
      </c>
      <c r="AE2429" t="s">
        <v>138</v>
      </c>
      <c r="AI2429">
        <v>5</v>
      </c>
      <c r="AJ2429" t="s">
        <v>201</v>
      </c>
      <c r="AT2429" t="s">
        <v>212</v>
      </c>
      <c r="AV2429" t="s">
        <v>88</v>
      </c>
      <c r="AX2429">
        <v>212</v>
      </c>
    </row>
    <row r="2430" spans="1:53" hidden="1" x14ac:dyDescent="0.3">
      <c r="A2430" t="s">
        <v>641</v>
      </c>
      <c r="C2430" t="s">
        <v>251</v>
      </c>
      <c r="D2430" t="s">
        <v>81</v>
      </c>
      <c r="E2430">
        <v>4600000</v>
      </c>
      <c r="H2430">
        <v>14.25</v>
      </c>
      <c r="I2430" t="s">
        <v>56</v>
      </c>
      <c r="J2430">
        <v>1.4250000000000001E-3</v>
      </c>
      <c r="K2430" t="s">
        <v>57</v>
      </c>
      <c r="N2430" t="s">
        <v>642</v>
      </c>
      <c r="O2430">
        <v>212</v>
      </c>
      <c r="P2430" t="s">
        <v>262</v>
      </c>
      <c r="S2430" t="s">
        <v>643</v>
      </c>
      <c r="T2430">
        <v>27</v>
      </c>
      <c r="U2430" t="s">
        <v>644</v>
      </c>
      <c r="V2430">
        <v>75</v>
      </c>
      <c r="W2430" t="s">
        <v>549</v>
      </c>
      <c r="X2430" t="s">
        <v>280</v>
      </c>
      <c r="Y2430">
        <v>1440</v>
      </c>
      <c r="Z2430">
        <v>1</v>
      </c>
      <c r="AB2430">
        <v>3.83</v>
      </c>
      <c r="AC2430" t="s">
        <v>85</v>
      </c>
      <c r="AD2430" t="s">
        <v>431</v>
      </c>
      <c r="AE2430" t="s">
        <v>138</v>
      </c>
      <c r="AI2430">
        <v>5</v>
      </c>
      <c r="AJ2430" t="s">
        <v>201</v>
      </c>
      <c r="AT2430" t="s">
        <v>77</v>
      </c>
      <c r="AV2430" t="s">
        <v>88</v>
      </c>
      <c r="AX2430">
        <v>212</v>
      </c>
    </row>
    <row r="2431" spans="1:53" hidden="1" x14ac:dyDescent="0.3">
      <c r="A2431" t="s">
        <v>641</v>
      </c>
      <c r="C2431" t="s">
        <v>251</v>
      </c>
      <c r="D2431" t="s">
        <v>81</v>
      </c>
      <c r="E2431">
        <v>4600000</v>
      </c>
      <c r="H2431">
        <v>14.25</v>
      </c>
      <c r="I2431" t="s">
        <v>56</v>
      </c>
      <c r="J2431">
        <v>1.4250000000000001E-3</v>
      </c>
      <c r="K2431" t="s">
        <v>57</v>
      </c>
      <c r="N2431" t="s">
        <v>642</v>
      </c>
      <c r="O2431">
        <v>212</v>
      </c>
      <c r="P2431" t="s">
        <v>262</v>
      </c>
      <c r="S2431" t="s">
        <v>643</v>
      </c>
      <c r="T2431">
        <v>27</v>
      </c>
      <c r="U2431" t="s">
        <v>644</v>
      </c>
      <c r="V2431">
        <v>45</v>
      </c>
      <c r="W2431" t="s">
        <v>147</v>
      </c>
      <c r="X2431" t="s">
        <v>280</v>
      </c>
      <c r="Y2431">
        <v>2880</v>
      </c>
      <c r="Z2431">
        <v>1</v>
      </c>
      <c r="AB2431">
        <v>6.25</v>
      </c>
      <c r="AC2431" t="s">
        <v>85</v>
      </c>
      <c r="AD2431" t="s">
        <v>660</v>
      </c>
      <c r="AE2431" t="s">
        <v>138</v>
      </c>
      <c r="AI2431">
        <v>5</v>
      </c>
      <c r="AJ2431" t="s">
        <v>201</v>
      </c>
      <c r="AT2431" t="s">
        <v>150</v>
      </c>
      <c r="AV2431" t="s">
        <v>88</v>
      </c>
      <c r="AX2431">
        <v>212</v>
      </c>
    </row>
    <row r="2432" spans="1:53" hidden="1" x14ac:dyDescent="0.3">
      <c r="A2432" t="s">
        <v>641</v>
      </c>
      <c r="C2432" t="s">
        <v>251</v>
      </c>
      <c r="D2432" t="s">
        <v>81</v>
      </c>
      <c r="E2432">
        <v>4600000</v>
      </c>
      <c r="H2432">
        <v>14.25</v>
      </c>
      <c r="I2432" t="s">
        <v>56</v>
      </c>
      <c r="J2432">
        <v>1.4250000000000001E-3</v>
      </c>
      <c r="K2432" t="s">
        <v>57</v>
      </c>
      <c r="N2432" t="s">
        <v>642</v>
      </c>
      <c r="O2432">
        <v>212</v>
      </c>
      <c r="P2432" t="s">
        <v>262</v>
      </c>
      <c r="S2432" t="s">
        <v>643</v>
      </c>
      <c r="T2432">
        <v>27</v>
      </c>
      <c r="U2432" t="s">
        <v>644</v>
      </c>
      <c r="V2432">
        <v>45</v>
      </c>
      <c r="W2432" t="s">
        <v>468</v>
      </c>
      <c r="X2432" t="s">
        <v>280</v>
      </c>
      <c r="Y2432">
        <v>2880</v>
      </c>
      <c r="Z2432">
        <v>1</v>
      </c>
      <c r="AB2432">
        <v>3.99</v>
      </c>
      <c r="AC2432" t="s">
        <v>85</v>
      </c>
      <c r="AD2432" t="s">
        <v>661</v>
      </c>
      <c r="AE2432" t="s">
        <v>138</v>
      </c>
      <c r="AI2432">
        <v>5</v>
      </c>
      <c r="AJ2432" t="s">
        <v>201</v>
      </c>
      <c r="AT2432" t="s">
        <v>318</v>
      </c>
      <c r="AV2432" t="s">
        <v>88</v>
      </c>
      <c r="AX2432">
        <v>212</v>
      </c>
    </row>
    <row r="2433" spans="1:53" hidden="1" x14ac:dyDescent="0.3">
      <c r="A2433" t="s">
        <v>641</v>
      </c>
      <c r="C2433" t="s">
        <v>251</v>
      </c>
      <c r="D2433" t="s">
        <v>81</v>
      </c>
      <c r="E2433">
        <v>4600000</v>
      </c>
      <c r="H2433">
        <v>14.25</v>
      </c>
      <c r="I2433" t="s">
        <v>56</v>
      </c>
      <c r="J2433">
        <v>1.4250000000000001E-3</v>
      </c>
      <c r="K2433" t="s">
        <v>57</v>
      </c>
      <c r="N2433" t="s">
        <v>642</v>
      </c>
      <c r="O2433">
        <v>212</v>
      </c>
      <c r="P2433" t="s">
        <v>262</v>
      </c>
      <c r="S2433" t="s">
        <v>643</v>
      </c>
      <c r="T2433">
        <v>27</v>
      </c>
      <c r="U2433" t="s">
        <v>644</v>
      </c>
      <c r="V2433">
        <v>45</v>
      </c>
      <c r="W2433" t="s">
        <v>72</v>
      </c>
      <c r="X2433" t="s">
        <v>280</v>
      </c>
      <c r="Y2433">
        <v>2880</v>
      </c>
      <c r="Z2433">
        <v>1</v>
      </c>
      <c r="AA2433" t="s">
        <v>94</v>
      </c>
      <c r="AB2433">
        <v>7.78</v>
      </c>
      <c r="AC2433" t="s">
        <v>85</v>
      </c>
      <c r="AD2433" t="s">
        <v>365</v>
      </c>
      <c r="AE2433" t="s">
        <v>138</v>
      </c>
      <c r="AI2433">
        <v>5</v>
      </c>
      <c r="AJ2433" t="s">
        <v>201</v>
      </c>
      <c r="AT2433" t="s">
        <v>73</v>
      </c>
      <c r="AV2433" t="s">
        <v>88</v>
      </c>
      <c r="AX2433">
        <v>212</v>
      </c>
      <c r="AZ2433">
        <v>0</v>
      </c>
      <c r="BA2433">
        <v>7.78</v>
      </c>
    </row>
    <row r="2434" spans="1:53" hidden="1" x14ac:dyDescent="0.3">
      <c r="A2434" t="s">
        <v>641</v>
      </c>
      <c r="C2434" t="s">
        <v>251</v>
      </c>
      <c r="D2434" t="s">
        <v>81</v>
      </c>
      <c r="E2434">
        <v>4600000</v>
      </c>
      <c r="H2434">
        <v>14.25</v>
      </c>
      <c r="I2434" t="s">
        <v>56</v>
      </c>
      <c r="J2434">
        <v>1.4250000000000001E-3</v>
      </c>
      <c r="K2434" t="s">
        <v>57</v>
      </c>
      <c r="N2434" t="s">
        <v>642</v>
      </c>
      <c r="O2434">
        <v>212</v>
      </c>
      <c r="P2434" t="s">
        <v>262</v>
      </c>
      <c r="S2434" t="s">
        <v>643</v>
      </c>
      <c r="T2434">
        <v>27</v>
      </c>
      <c r="U2434" t="s">
        <v>644</v>
      </c>
      <c r="V2434">
        <v>45</v>
      </c>
      <c r="W2434" t="s">
        <v>465</v>
      </c>
      <c r="X2434" t="s">
        <v>280</v>
      </c>
      <c r="Y2434">
        <v>2880</v>
      </c>
      <c r="Z2434">
        <v>1</v>
      </c>
      <c r="AA2434" t="s">
        <v>94</v>
      </c>
      <c r="AB2434">
        <v>7.56</v>
      </c>
      <c r="AC2434" t="s">
        <v>85</v>
      </c>
      <c r="AD2434" t="s">
        <v>237</v>
      </c>
      <c r="AE2434" t="s">
        <v>138</v>
      </c>
      <c r="AI2434">
        <v>5</v>
      </c>
      <c r="AJ2434" t="s">
        <v>201</v>
      </c>
      <c r="AT2434" t="s">
        <v>79</v>
      </c>
      <c r="AV2434" t="s">
        <v>88</v>
      </c>
      <c r="AX2434">
        <v>212</v>
      </c>
      <c r="AZ2434">
        <v>0</v>
      </c>
      <c r="BA2434">
        <v>7.56</v>
      </c>
    </row>
    <row r="2435" spans="1:53" hidden="1" x14ac:dyDescent="0.3">
      <c r="A2435" t="s">
        <v>641</v>
      </c>
      <c r="C2435" t="s">
        <v>251</v>
      </c>
      <c r="D2435" t="s">
        <v>81</v>
      </c>
      <c r="E2435">
        <v>4600000</v>
      </c>
      <c r="H2435">
        <v>14.25</v>
      </c>
      <c r="I2435" t="s">
        <v>56</v>
      </c>
      <c r="J2435">
        <v>1.4250000000000001E-3</v>
      </c>
      <c r="K2435" t="s">
        <v>57</v>
      </c>
      <c r="N2435" t="s">
        <v>642</v>
      </c>
      <c r="O2435">
        <v>212</v>
      </c>
      <c r="P2435" t="s">
        <v>262</v>
      </c>
      <c r="S2435" t="s">
        <v>643</v>
      </c>
      <c r="T2435">
        <v>27</v>
      </c>
      <c r="U2435" t="s">
        <v>644</v>
      </c>
      <c r="V2435">
        <v>45</v>
      </c>
      <c r="W2435" t="s">
        <v>540</v>
      </c>
      <c r="X2435" t="s">
        <v>280</v>
      </c>
      <c r="Y2435">
        <v>2880</v>
      </c>
      <c r="Z2435">
        <v>1</v>
      </c>
      <c r="AB2435">
        <v>3.56</v>
      </c>
      <c r="AC2435" t="s">
        <v>85</v>
      </c>
      <c r="AD2435" t="s">
        <v>364</v>
      </c>
      <c r="AE2435" t="s">
        <v>138</v>
      </c>
      <c r="AI2435">
        <v>5</v>
      </c>
      <c r="AJ2435" t="s">
        <v>201</v>
      </c>
      <c r="AT2435" t="s">
        <v>212</v>
      </c>
      <c r="AV2435" t="s">
        <v>88</v>
      </c>
      <c r="AX2435">
        <v>212</v>
      </c>
    </row>
    <row r="2436" spans="1:53" hidden="1" x14ac:dyDescent="0.3">
      <c r="A2436" t="s">
        <v>641</v>
      </c>
      <c r="C2436" t="s">
        <v>251</v>
      </c>
      <c r="D2436" t="s">
        <v>81</v>
      </c>
      <c r="E2436">
        <v>4600000</v>
      </c>
      <c r="H2436">
        <v>14.25</v>
      </c>
      <c r="I2436" t="s">
        <v>56</v>
      </c>
      <c r="J2436">
        <v>1.4250000000000001E-3</v>
      </c>
      <c r="K2436" t="s">
        <v>57</v>
      </c>
      <c r="N2436" t="s">
        <v>642</v>
      </c>
      <c r="O2436">
        <v>212</v>
      </c>
      <c r="P2436" t="s">
        <v>262</v>
      </c>
      <c r="S2436" t="s">
        <v>643</v>
      </c>
      <c r="T2436">
        <v>27</v>
      </c>
      <c r="U2436" t="s">
        <v>644</v>
      </c>
      <c r="V2436">
        <v>45</v>
      </c>
      <c r="W2436" t="s">
        <v>549</v>
      </c>
      <c r="X2436" t="s">
        <v>280</v>
      </c>
      <c r="Y2436">
        <v>2880</v>
      </c>
      <c r="Z2436">
        <v>1</v>
      </c>
      <c r="AA2436" t="s">
        <v>94</v>
      </c>
      <c r="AB2436">
        <v>6.54</v>
      </c>
      <c r="AC2436" t="s">
        <v>85</v>
      </c>
      <c r="AD2436" t="s">
        <v>219</v>
      </c>
      <c r="AE2436" t="s">
        <v>138</v>
      </c>
      <c r="AI2436">
        <v>5</v>
      </c>
      <c r="AJ2436" t="s">
        <v>201</v>
      </c>
      <c r="AT2436" t="s">
        <v>77</v>
      </c>
      <c r="AV2436" t="s">
        <v>88</v>
      </c>
      <c r="AX2436">
        <v>212</v>
      </c>
      <c r="AZ2436">
        <v>0</v>
      </c>
      <c r="BA2436">
        <v>6.54</v>
      </c>
    </row>
    <row r="2437" spans="1:53" hidden="1" x14ac:dyDescent="0.3">
      <c r="A2437" t="s">
        <v>641</v>
      </c>
      <c r="C2437" t="s">
        <v>251</v>
      </c>
      <c r="D2437" t="s">
        <v>81</v>
      </c>
      <c r="E2437">
        <v>4600000</v>
      </c>
      <c r="H2437">
        <v>14.25</v>
      </c>
      <c r="I2437" t="s">
        <v>56</v>
      </c>
      <c r="J2437">
        <v>1.4250000000000001E-3</v>
      </c>
      <c r="K2437" t="s">
        <v>57</v>
      </c>
      <c r="N2437" t="s">
        <v>642</v>
      </c>
      <c r="O2437">
        <v>212</v>
      </c>
      <c r="P2437" t="s">
        <v>262</v>
      </c>
      <c r="S2437" t="s">
        <v>643</v>
      </c>
      <c r="T2437">
        <v>27</v>
      </c>
      <c r="U2437" t="s">
        <v>644</v>
      </c>
      <c r="V2437">
        <v>75</v>
      </c>
      <c r="W2437" t="s">
        <v>147</v>
      </c>
      <c r="X2437" t="s">
        <v>280</v>
      </c>
      <c r="Y2437">
        <v>2160</v>
      </c>
      <c r="Z2437">
        <v>5</v>
      </c>
      <c r="AA2437" t="s">
        <v>94</v>
      </c>
      <c r="AB2437">
        <v>7.53</v>
      </c>
      <c r="AC2437" t="s">
        <v>85</v>
      </c>
      <c r="AD2437" t="s">
        <v>553</v>
      </c>
      <c r="AE2437" t="s">
        <v>138</v>
      </c>
      <c r="AI2437">
        <v>5</v>
      </c>
      <c r="AJ2437" t="s">
        <v>201</v>
      </c>
      <c r="AT2437" t="s">
        <v>150</v>
      </c>
      <c r="AV2437" t="s">
        <v>88</v>
      </c>
      <c r="AX2437">
        <v>212</v>
      </c>
      <c r="AZ2437">
        <v>0</v>
      </c>
      <c r="BA2437">
        <v>7.53</v>
      </c>
    </row>
    <row r="2438" spans="1:53" hidden="1" x14ac:dyDescent="0.3">
      <c r="A2438" t="s">
        <v>641</v>
      </c>
      <c r="C2438" t="s">
        <v>251</v>
      </c>
      <c r="D2438" t="s">
        <v>81</v>
      </c>
      <c r="E2438">
        <v>4600000</v>
      </c>
      <c r="H2438">
        <v>14.25</v>
      </c>
      <c r="I2438" t="s">
        <v>56</v>
      </c>
      <c r="J2438">
        <v>1.4250000000000001E-3</v>
      </c>
      <c r="K2438" t="s">
        <v>57</v>
      </c>
      <c r="N2438" t="s">
        <v>642</v>
      </c>
      <c r="O2438">
        <v>212</v>
      </c>
      <c r="P2438" t="s">
        <v>262</v>
      </c>
      <c r="S2438" t="s">
        <v>643</v>
      </c>
      <c r="T2438">
        <v>27</v>
      </c>
      <c r="U2438" t="s">
        <v>644</v>
      </c>
      <c r="V2438">
        <v>75</v>
      </c>
      <c r="W2438" t="s">
        <v>468</v>
      </c>
      <c r="X2438" t="s">
        <v>280</v>
      </c>
      <c r="Y2438">
        <v>2160</v>
      </c>
      <c r="Z2438">
        <v>5</v>
      </c>
      <c r="AA2438" t="s">
        <v>94</v>
      </c>
      <c r="AB2438">
        <v>7.06</v>
      </c>
      <c r="AC2438" t="s">
        <v>85</v>
      </c>
      <c r="AD2438" t="s">
        <v>418</v>
      </c>
      <c r="AE2438" t="s">
        <v>138</v>
      </c>
      <c r="AI2438">
        <v>5</v>
      </c>
      <c r="AJ2438" t="s">
        <v>201</v>
      </c>
      <c r="AT2438" t="s">
        <v>318</v>
      </c>
      <c r="AV2438" t="s">
        <v>88</v>
      </c>
      <c r="AX2438">
        <v>212</v>
      </c>
      <c r="AZ2438">
        <v>0</v>
      </c>
      <c r="BA2438">
        <v>7.06</v>
      </c>
    </row>
    <row r="2439" spans="1:53" hidden="1" x14ac:dyDescent="0.3">
      <c r="A2439" t="s">
        <v>641</v>
      </c>
      <c r="C2439" t="s">
        <v>251</v>
      </c>
      <c r="D2439" t="s">
        <v>81</v>
      </c>
      <c r="E2439">
        <v>4600000</v>
      </c>
      <c r="H2439">
        <v>14.25</v>
      </c>
      <c r="I2439" t="s">
        <v>56</v>
      </c>
      <c r="J2439">
        <v>1.4250000000000001E-3</v>
      </c>
      <c r="K2439" t="s">
        <v>57</v>
      </c>
      <c r="N2439" t="s">
        <v>642</v>
      </c>
      <c r="O2439">
        <v>212</v>
      </c>
      <c r="P2439" t="s">
        <v>262</v>
      </c>
      <c r="S2439" t="s">
        <v>643</v>
      </c>
      <c r="T2439">
        <v>27</v>
      </c>
      <c r="U2439" t="s">
        <v>644</v>
      </c>
      <c r="V2439">
        <v>75</v>
      </c>
      <c r="W2439" t="s">
        <v>72</v>
      </c>
      <c r="X2439" t="s">
        <v>280</v>
      </c>
      <c r="Y2439">
        <v>2160</v>
      </c>
      <c r="Z2439">
        <v>5</v>
      </c>
      <c r="AB2439">
        <v>7.11</v>
      </c>
      <c r="AC2439" t="s">
        <v>85</v>
      </c>
      <c r="AD2439" t="s">
        <v>629</v>
      </c>
      <c r="AE2439" t="s">
        <v>138</v>
      </c>
      <c r="AH2439">
        <v>7.78</v>
      </c>
      <c r="AI2439">
        <v>5</v>
      </c>
      <c r="AJ2439" t="s">
        <v>201</v>
      </c>
      <c r="AR2439">
        <v>2</v>
      </c>
      <c r="AT2439" t="s">
        <v>73</v>
      </c>
      <c r="AV2439" t="s">
        <v>88</v>
      </c>
      <c r="AX2439">
        <v>212</v>
      </c>
      <c r="AZ2439">
        <v>2</v>
      </c>
      <c r="BA2439">
        <v>7.78</v>
      </c>
    </row>
    <row r="2440" spans="1:53" hidden="1" x14ac:dyDescent="0.3">
      <c r="A2440" t="s">
        <v>641</v>
      </c>
      <c r="C2440" t="s">
        <v>251</v>
      </c>
      <c r="D2440" t="s">
        <v>81</v>
      </c>
      <c r="E2440">
        <v>4600000</v>
      </c>
      <c r="H2440">
        <v>14.25</v>
      </c>
      <c r="I2440" t="s">
        <v>56</v>
      </c>
      <c r="J2440">
        <v>1.4250000000000001E-3</v>
      </c>
      <c r="K2440" t="s">
        <v>57</v>
      </c>
      <c r="N2440" t="s">
        <v>642</v>
      </c>
      <c r="O2440">
        <v>212</v>
      </c>
      <c r="P2440" t="s">
        <v>262</v>
      </c>
      <c r="S2440" t="s">
        <v>643</v>
      </c>
      <c r="T2440">
        <v>27</v>
      </c>
      <c r="U2440" t="s">
        <v>644</v>
      </c>
      <c r="V2440">
        <v>75</v>
      </c>
      <c r="W2440" t="s">
        <v>540</v>
      </c>
      <c r="X2440" t="s">
        <v>280</v>
      </c>
      <c r="Y2440">
        <v>2160</v>
      </c>
      <c r="Z2440">
        <v>5</v>
      </c>
      <c r="AB2440">
        <v>6.5</v>
      </c>
      <c r="AC2440" t="s">
        <v>85</v>
      </c>
      <c r="AD2440" t="s">
        <v>328</v>
      </c>
      <c r="AE2440" t="s">
        <v>138</v>
      </c>
      <c r="AH2440">
        <v>6.81</v>
      </c>
      <c r="AI2440">
        <v>5</v>
      </c>
      <c r="AJ2440" t="s">
        <v>201</v>
      </c>
      <c r="AR2440">
        <v>1</v>
      </c>
      <c r="AT2440" t="s">
        <v>212</v>
      </c>
      <c r="AV2440" t="s">
        <v>88</v>
      </c>
      <c r="AX2440">
        <v>212</v>
      </c>
      <c r="AZ2440">
        <v>1</v>
      </c>
      <c r="BA2440">
        <v>6.81</v>
      </c>
    </row>
    <row r="2441" spans="1:53" hidden="1" x14ac:dyDescent="0.3">
      <c r="A2441" t="s">
        <v>641</v>
      </c>
      <c r="C2441" t="s">
        <v>251</v>
      </c>
      <c r="D2441" t="s">
        <v>81</v>
      </c>
      <c r="E2441">
        <v>4600000</v>
      </c>
      <c r="H2441">
        <v>14.25</v>
      </c>
      <c r="I2441" t="s">
        <v>56</v>
      </c>
      <c r="J2441">
        <v>1.4250000000000001E-3</v>
      </c>
      <c r="K2441" t="s">
        <v>57</v>
      </c>
      <c r="N2441" t="s">
        <v>642</v>
      </c>
      <c r="O2441">
        <v>300</v>
      </c>
      <c r="P2441" t="s">
        <v>262</v>
      </c>
      <c r="S2441" t="s">
        <v>643</v>
      </c>
      <c r="T2441">
        <v>22</v>
      </c>
      <c r="U2441" t="s">
        <v>644</v>
      </c>
      <c r="V2441">
        <v>45</v>
      </c>
      <c r="W2441" t="s">
        <v>147</v>
      </c>
      <c r="X2441" t="s">
        <v>280</v>
      </c>
      <c r="Y2441">
        <v>2880</v>
      </c>
      <c r="Z2441">
        <v>5</v>
      </c>
      <c r="AB2441">
        <v>6.72</v>
      </c>
      <c r="AC2441" t="s">
        <v>85</v>
      </c>
      <c r="AD2441" t="s">
        <v>626</v>
      </c>
      <c r="AE2441" t="s">
        <v>138</v>
      </c>
      <c r="AI2441">
        <v>5</v>
      </c>
      <c r="AJ2441" t="s">
        <v>201</v>
      </c>
      <c r="AT2441" t="s">
        <v>150</v>
      </c>
      <c r="AV2441" t="s">
        <v>88</v>
      </c>
      <c r="AX2441">
        <v>300</v>
      </c>
    </row>
    <row r="2442" spans="1:53" hidden="1" x14ac:dyDescent="0.3">
      <c r="A2442" t="s">
        <v>641</v>
      </c>
      <c r="C2442" t="s">
        <v>251</v>
      </c>
      <c r="D2442" t="s">
        <v>81</v>
      </c>
      <c r="E2442">
        <v>4600000</v>
      </c>
      <c r="H2442">
        <v>14.25</v>
      </c>
      <c r="I2442" t="s">
        <v>56</v>
      </c>
      <c r="J2442">
        <v>1.4250000000000001E-3</v>
      </c>
      <c r="K2442" t="s">
        <v>57</v>
      </c>
      <c r="N2442" t="s">
        <v>642</v>
      </c>
      <c r="O2442">
        <v>300</v>
      </c>
      <c r="P2442" t="s">
        <v>262</v>
      </c>
      <c r="S2442" t="s">
        <v>643</v>
      </c>
      <c r="T2442">
        <v>22</v>
      </c>
      <c r="U2442" t="s">
        <v>644</v>
      </c>
      <c r="V2442">
        <v>45</v>
      </c>
      <c r="W2442" t="s">
        <v>468</v>
      </c>
      <c r="X2442" t="s">
        <v>280</v>
      </c>
      <c r="Y2442">
        <v>2880</v>
      </c>
      <c r="Z2442">
        <v>5</v>
      </c>
      <c r="AA2442" t="s">
        <v>94</v>
      </c>
      <c r="AB2442">
        <v>7.13</v>
      </c>
      <c r="AC2442" t="s">
        <v>85</v>
      </c>
      <c r="AD2442" t="s">
        <v>365</v>
      </c>
      <c r="AE2442" t="s">
        <v>138</v>
      </c>
      <c r="AI2442">
        <v>5</v>
      </c>
      <c r="AJ2442" t="s">
        <v>201</v>
      </c>
      <c r="AT2442" t="s">
        <v>318</v>
      </c>
      <c r="AV2442" t="s">
        <v>88</v>
      </c>
      <c r="AX2442">
        <v>300</v>
      </c>
      <c r="AZ2442">
        <v>0</v>
      </c>
      <c r="BA2442">
        <v>7.13</v>
      </c>
    </row>
    <row r="2443" spans="1:53" hidden="1" x14ac:dyDescent="0.3">
      <c r="A2443" t="s">
        <v>641</v>
      </c>
      <c r="C2443" t="s">
        <v>251</v>
      </c>
      <c r="D2443" t="s">
        <v>81</v>
      </c>
      <c r="E2443">
        <v>4600000</v>
      </c>
      <c r="H2443">
        <v>14.25</v>
      </c>
      <c r="I2443" t="s">
        <v>56</v>
      </c>
      <c r="J2443">
        <v>1.4250000000000001E-3</v>
      </c>
      <c r="K2443" t="s">
        <v>57</v>
      </c>
      <c r="N2443" t="s">
        <v>642</v>
      </c>
      <c r="O2443">
        <v>300</v>
      </c>
      <c r="P2443" t="s">
        <v>262</v>
      </c>
      <c r="S2443" t="s">
        <v>643</v>
      </c>
      <c r="T2443">
        <v>22</v>
      </c>
      <c r="U2443" t="s">
        <v>644</v>
      </c>
      <c r="V2443">
        <v>45</v>
      </c>
      <c r="W2443" t="s">
        <v>72</v>
      </c>
      <c r="X2443" t="s">
        <v>280</v>
      </c>
      <c r="Y2443">
        <v>2880</v>
      </c>
      <c r="Z2443">
        <v>5</v>
      </c>
      <c r="AB2443">
        <v>7.32</v>
      </c>
      <c r="AC2443" t="s">
        <v>85</v>
      </c>
      <c r="AD2443" t="s">
        <v>662</v>
      </c>
      <c r="AE2443" t="s">
        <v>138</v>
      </c>
      <c r="AI2443">
        <v>5</v>
      </c>
      <c r="AJ2443" t="s">
        <v>201</v>
      </c>
      <c r="AT2443" t="s">
        <v>73</v>
      </c>
      <c r="AV2443" t="s">
        <v>88</v>
      </c>
      <c r="AX2443">
        <v>300</v>
      </c>
    </row>
    <row r="2444" spans="1:53" hidden="1" x14ac:dyDescent="0.3">
      <c r="A2444" t="s">
        <v>641</v>
      </c>
      <c r="C2444" t="s">
        <v>251</v>
      </c>
      <c r="D2444" t="s">
        <v>81</v>
      </c>
      <c r="E2444">
        <v>4600000</v>
      </c>
      <c r="H2444">
        <v>14.25</v>
      </c>
      <c r="I2444" t="s">
        <v>56</v>
      </c>
      <c r="J2444">
        <v>1.4250000000000001E-3</v>
      </c>
      <c r="K2444" t="s">
        <v>57</v>
      </c>
      <c r="N2444" t="s">
        <v>642</v>
      </c>
      <c r="O2444">
        <v>300</v>
      </c>
      <c r="P2444" t="s">
        <v>262</v>
      </c>
      <c r="S2444" t="s">
        <v>643</v>
      </c>
      <c r="T2444">
        <v>22</v>
      </c>
      <c r="U2444" t="s">
        <v>644</v>
      </c>
      <c r="V2444">
        <v>45</v>
      </c>
      <c r="W2444" t="s">
        <v>540</v>
      </c>
      <c r="X2444" t="s">
        <v>280</v>
      </c>
      <c r="Y2444">
        <v>2880</v>
      </c>
      <c r="Z2444">
        <v>5</v>
      </c>
      <c r="AB2444">
        <v>4.1399999999999899</v>
      </c>
      <c r="AC2444" t="s">
        <v>85</v>
      </c>
      <c r="AD2444" t="s">
        <v>655</v>
      </c>
      <c r="AE2444" t="s">
        <v>138</v>
      </c>
      <c r="AI2444">
        <v>5</v>
      </c>
      <c r="AJ2444" t="s">
        <v>201</v>
      </c>
      <c r="AT2444" t="s">
        <v>212</v>
      </c>
      <c r="AV2444" t="s">
        <v>88</v>
      </c>
      <c r="AX2444">
        <v>300</v>
      </c>
    </row>
    <row r="2445" spans="1:53" hidden="1" x14ac:dyDescent="0.3">
      <c r="A2445" t="s">
        <v>641</v>
      </c>
      <c r="C2445" t="s">
        <v>251</v>
      </c>
      <c r="D2445" t="s">
        <v>81</v>
      </c>
      <c r="E2445">
        <v>4600000</v>
      </c>
      <c r="H2445">
        <v>14.25</v>
      </c>
      <c r="I2445" t="s">
        <v>56</v>
      </c>
      <c r="J2445">
        <v>1.4250000000000001E-3</v>
      </c>
      <c r="K2445" t="s">
        <v>57</v>
      </c>
      <c r="N2445" t="s">
        <v>642</v>
      </c>
      <c r="O2445">
        <v>212</v>
      </c>
      <c r="P2445" t="s">
        <v>262</v>
      </c>
      <c r="S2445" t="s">
        <v>643</v>
      </c>
      <c r="T2445">
        <v>22</v>
      </c>
      <c r="U2445" t="s">
        <v>644</v>
      </c>
      <c r="V2445">
        <v>45</v>
      </c>
      <c r="W2445" t="s">
        <v>147</v>
      </c>
      <c r="X2445" t="s">
        <v>280</v>
      </c>
      <c r="Y2445">
        <v>3600</v>
      </c>
      <c r="Z2445">
        <v>5</v>
      </c>
      <c r="AB2445">
        <v>5.01</v>
      </c>
      <c r="AC2445" t="s">
        <v>85</v>
      </c>
      <c r="AD2445" t="s">
        <v>653</v>
      </c>
      <c r="AE2445" t="s">
        <v>138</v>
      </c>
      <c r="AI2445">
        <v>5</v>
      </c>
      <c r="AJ2445" t="s">
        <v>201</v>
      </c>
      <c r="AT2445" t="s">
        <v>150</v>
      </c>
      <c r="AV2445" t="s">
        <v>88</v>
      </c>
      <c r="AX2445">
        <v>212</v>
      </c>
    </row>
    <row r="2446" spans="1:53" hidden="1" x14ac:dyDescent="0.3">
      <c r="A2446" t="s">
        <v>641</v>
      </c>
      <c r="C2446" t="s">
        <v>251</v>
      </c>
      <c r="D2446" t="s">
        <v>81</v>
      </c>
      <c r="E2446">
        <v>4600000</v>
      </c>
      <c r="H2446">
        <v>14.25</v>
      </c>
      <c r="I2446" t="s">
        <v>56</v>
      </c>
      <c r="J2446">
        <v>1.4250000000000001E-3</v>
      </c>
      <c r="K2446" t="s">
        <v>57</v>
      </c>
      <c r="N2446" t="s">
        <v>642</v>
      </c>
      <c r="O2446">
        <v>212</v>
      </c>
      <c r="P2446" t="s">
        <v>262</v>
      </c>
      <c r="S2446" t="s">
        <v>643</v>
      </c>
      <c r="T2446">
        <v>22</v>
      </c>
      <c r="U2446" t="s">
        <v>644</v>
      </c>
      <c r="V2446">
        <v>45</v>
      </c>
      <c r="W2446" t="s">
        <v>468</v>
      </c>
      <c r="X2446" t="s">
        <v>280</v>
      </c>
      <c r="Y2446">
        <v>3600</v>
      </c>
      <c r="Z2446">
        <v>5</v>
      </c>
      <c r="AB2446">
        <v>6.75</v>
      </c>
      <c r="AC2446" t="s">
        <v>85</v>
      </c>
      <c r="AD2446" t="s">
        <v>427</v>
      </c>
      <c r="AE2446" t="s">
        <v>138</v>
      </c>
      <c r="AI2446">
        <v>5</v>
      </c>
      <c r="AJ2446" t="s">
        <v>201</v>
      </c>
      <c r="AT2446" t="s">
        <v>318</v>
      </c>
      <c r="AV2446" t="s">
        <v>88</v>
      </c>
      <c r="AX2446">
        <v>212</v>
      </c>
    </row>
    <row r="2447" spans="1:53" hidden="1" x14ac:dyDescent="0.3">
      <c r="A2447" t="s">
        <v>641</v>
      </c>
      <c r="C2447" t="s">
        <v>251</v>
      </c>
      <c r="D2447" t="s">
        <v>81</v>
      </c>
      <c r="E2447">
        <v>4600000</v>
      </c>
      <c r="H2447">
        <v>14.25</v>
      </c>
      <c r="I2447" t="s">
        <v>56</v>
      </c>
      <c r="J2447">
        <v>1.4250000000000001E-3</v>
      </c>
      <c r="K2447" t="s">
        <v>57</v>
      </c>
      <c r="N2447" t="s">
        <v>642</v>
      </c>
      <c r="O2447">
        <v>212</v>
      </c>
      <c r="P2447" t="s">
        <v>262</v>
      </c>
      <c r="S2447" t="s">
        <v>643</v>
      </c>
      <c r="T2447">
        <v>22</v>
      </c>
      <c r="U2447" t="s">
        <v>644</v>
      </c>
      <c r="V2447">
        <v>45</v>
      </c>
      <c r="W2447" t="s">
        <v>72</v>
      </c>
      <c r="X2447" t="s">
        <v>280</v>
      </c>
      <c r="Y2447">
        <v>3600</v>
      </c>
      <c r="Z2447">
        <v>5</v>
      </c>
      <c r="AB2447">
        <v>5.25</v>
      </c>
      <c r="AC2447" t="s">
        <v>85</v>
      </c>
      <c r="AD2447" t="s">
        <v>333</v>
      </c>
      <c r="AE2447" t="s">
        <v>138</v>
      </c>
      <c r="AI2447">
        <v>5</v>
      </c>
      <c r="AJ2447" t="s">
        <v>201</v>
      </c>
      <c r="AT2447" t="s">
        <v>73</v>
      </c>
      <c r="AV2447" t="s">
        <v>88</v>
      </c>
      <c r="AX2447">
        <v>212</v>
      </c>
    </row>
    <row r="2448" spans="1:53" hidden="1" x14ac:dyDescent="0.3">
      <c r="A2448" t="s">
        <v>641</v>
      </c>
      <c r="C2448" t="s">
        <v>251</v>
      </c>
      <c r="D2448" t="s">
        <v>81</v>
      </c>
      <c r="E2448">
        <v>4600000</v>
      </c>
      <c r="H2448">
        <v>14.25</v>
      </c>
      <c r="I2448" t="s">
        <v>56</v>
      </c>
      <c r="J2448">
        <v>1.4250000000000001E-3</v>
      </c>
      <c r="K2448" t="s">
        <v>57</v>
      </c>
      <c r="N2448" t="s">
        <v>642</v>
      </c>
      <c r="O2448">
        <v>212</v>
      </c>
      <c r="P2448" t="s">
        <v>262</v>
      </c>
      <c r="S2448" t="s">
        <v>643</v>
      </c>
      <c r="T2448">
        <v>22</v>
      </c>
      <c r="U2448" t="s">
        <v>644</v>
      </c>
      <c r="V2448">
        <v>45</v>
      </c>
      <c r="W2448" t="s">
        <v>540</v>
      </c>
      <c r="X2448" t="s">
        <v>280</v>
      </c>
      <c r="Y2448">
        <v>3600</v>
      </c>
      <c r="Z2448">
        <v>5</v>
      </c>
      <c r="AB2448">
        <v>3.35</v>
      </c>
      <c r="AC2448" t="s">
        <v>85</v>
      </c>
      <c r="AD2448" t="s">
        <v>652</v>
      </c>
      <c r="AE2448" t="s">
        <v>138</v>
      </c>
      <c r="AI2448">
        <v>5</v>
      </c>
      <c r="AJ2448" t="s">
        <v>201</v>
      </c>
      <c r="AT2448" t="s">
        <v>212</v>
      </c>
      <c r="AV2448" t="s">
        <v>88</v>
      </c>
      <c r="AX2448">
        <v>212</v>
      </c>
    </row>
    <row r="2449" spans="1:53" hidden="1" x14ac:dyDescent="0.3">
      <c r="A2449" t="s">
        <v>641</v>
      </c>
      <c r="C2449" t="s">
        <v>251</v>
      </c>
      <c r="D2449" t="s">
        <v>81</v>
      </c>
      <c r="E2449">
        <v>4600000</v>
      </c>
      <c r="H2449">
        <v>14.25</v>
      </c>
      <c r="I2449" t="s">
        <v>56</v>
      </c>
      <c r="J2449">
        <v>1.4250000000000001E-3</v>
      </c>
      <c r="K2449" t="s">
        <v>57</v>
      </c>
      <c r="N2449" t="s">
        <v>642</v>
      </c>
      <c r="O2449">
        <v>212</v>
      </c>
      <c r="P2449" t="s">
        <v>262</v>
      </c>
      <c r="S2449" t="s">
        <v>643</v>
      </c>
      <c r="T2449">
        <v>32</v>
      </c>
      <c r="U2449" t="s">
        <v>644</v>
      </c>
      <c r="V2449">
        <v>75</v>
      </c>
      <c r="W2449" t="s">
        <v>147</v>
      </c>
      <c r="X2449" t="s">
        <v>280</v>
      </c>
      <c r="Y2449">
        <v>1440</v>
      </c>
      <c r="Z2449">
        <v>5</v>
      </c>
      <c r="AA2449" t="s">
        <v>94</v>
      </c>
      <c r="AB2449">
        <v>6.89</v>
      </c>
      <c r="AC2449" t="s">
        <v>85</v>
      </c>
      <c r="AD2449" t="s">
        <v>231</v>
      </c>
      <c r="AE2449" t="s">
        <v>138</v>
      </c>
      <c r="AI2449">
        <v>5</v>
      </c>
      <c r="AJ2449" t="s">
        <v>201</v>
      </c>
      <c r="AT2449" t="s">
        <v>150</v>
      </c>
      <c r="AV2449" t="s">
        <v>88</v>
      </c>
      <c r="AX2449">
        <v>212</v>
      </c>
      <c r="AZ2449">
        <v>0</v>
      </c>
      <c r="BA2449">
        <v>6.89</v>
      </c>
    </row>
    <row r="2450" spans="1:53" hidden="1" x14ac:dyDescent="0.3">
      <c r="A2450" t="s">
        <v>641</v>
      </c>
      <c r="C2450" t="s">
        <v>251</v>
      </c>
      <c r="D2450" t="s">
        <v>81</v>
      </c>
      <c r="E2450">
        <v>4600000</v>
      </c>
      <c r="H2450">
        <v>14.25</v>
      </c>
      <c r="I2450" t="s">
        <v>56</v>
      </c>
      <c r="J2450">
        <v>1.4250000000000001E-3</v>
      </c>
      <c r="K2450" t="s">
        <v>57</v>
      </c>
      <c r="N2450" t="s">
        <v>642</v>
      </c>
      <c r="O2450">
        <v>212</v>
      </c>
      <c r="P2450" t="s">
        <v>262</v>
      </c>
      <c r="S2450" t="s">
        <v>643</v>
      </c>
      <c r="T2450">
        <v>32</v>
      </c>
      <c r="U2450" t="s">
        <v>644</v>
      </c>
      <c r="V2450">
        <v>75</v>
      </c>
      <c r="W2450" t="s">
        <v>468</v>
      </c>
      <c r="X2450" t="s">
        <v>280</v>
      </c>
      <c r="Y2450">
        <v>1440</v>
      </c>
      <c r="Z2450">
        <v>5</v>
      </c>
      <c r="AA2450" t="s">
        <v>94</v>
      </c>
      <c r="AB2450">
        <v>7.07</v>
      </c>
      <c r="AC2450" t="s">
        <v>85</v>
      </c>
      <c r="AD2450" t="s">
        <v>314</v>
      </c>
      <c r="AE2450" t="s">
        <v>138</v>
      </c>
      <c r="AI2450">
        <v>5</v>
      </c>
      <c r="AJ2450" t="s">
        <v>201</v>
      </c>
      <c r="AT2450" t="s">
        <v>318</v>
      </c>
      <c r="AV2450" t="s">
        <v>88</v>
      </c>
      <c r="AX2450">
        <v>212</v>
      </c>
      <c r="AZ2450">
        <v>0</v>
      </c>
      <c r="BA2450">
        <v>7.07</v>
      </c>
    </row>
    <row r="2451" spans="1:53" hidden="1" x14ac:dyDescent="0.3">
      <c r="A2451" t="s">
        <v>641</v>
      </c>
      <c r="C2451" t="s">
        <v>251</v>
      </c>
      <c r="D2451" t="s">
        <v>81</v>
      </c>
      <c r="E2451">
        <v>4600000</v>
      </c>
      <c r="H2451">
        <v>14.25</v>
      </c>
      <c r="I2451" t="s">
        <v>56</v>
      </c>
      <c r="J2451">
        <v>1.4250000000000001E-3</v>
      </c>
      <c r="K2451" t="s">
        <v>57</v>
      </c>
      <c r="N2451" t="s">
        <v>642</v>
      </c>
      <c r="O2451">
        <v>212</v>
      </c>
      <c r="P2451" t="s">
        <v>262</v>
      </c>
      <c r="S2451" t="s">
        <v>643</v>
      </c>
      <c r="T2451">
        <v>32</v>
      </c>
      <c r="U2451" t="s">
        <v>644</v>
      </c>
      <c r="V2451">
        <v>75</v>
      </c>
      <c r="W2451" t="s">
        <v>72</v>
      </c>
      <c r="X2451" t="s">
        <v>280</v>
      </c>
      <c r="Y2451">
        <v>1440</v>
      </c>
      <c r="Z2451">
        <v>1</v>
      </c>
      <c r="AA2451" t="s">
        <v>94</v>
      </c>
      <c r="AB2451">
        <v>7.79</v>
      </c>
      <c r="AC2451" t="s">
        <v>85</v>
      </c>
      <c r="AD2451" t="s">
        <v>418</v>
      </c>
      <c r="AE2451" t="s">
        <v>138</v>
      </c>
      <c r="AI2451">
        <v>5</v>
      </c>
      <c r="AJ2451" t="s">
        <v>201</v>
      </c>
      <c r="AT2451" t="s">
        <v>73</v>
      </c>
      <c r="AV2451" t="s">
        <v>88</v>
      </c>
      <c r="AX2451">
        <v>212</v>
      </c>
      <c r="AZ2451">
        <v>0</v>
      </c>
      <c r="BA2451">
        <v>7.79</v>
      </c>
    </row>
    <row r="2452" spans="1:53" hidden="1" x14ac:dyDescent="0.3">
      <c r="A2452" t="s">
        <v>641</v>
      </c>
      <c r="C2452" t="s">
        <v>251</v>
      </c>
      <c r="D2452" t="s">
        <v>81</v>
      </c>
      <c r="E2452">
        <v>4600000</v>
      </c>
      <c r="H2452">
        <v>14.25</v>
      </c>
      <c r="I2452" t="s">
        <v>56</v>
      </c>
      <c r="J2452">
        <v>1.4250000000000001E-3</v>
      </c>
      <c r="K2452" t="s">
        <v>57</v>
      </c>
      <c r="N2452" t="s">
        <v>642</v>
      </c>
      <c r="O2452">
        <v>212</v>
      </c>
      <c r="P2452" t="s">
        <v>262</v>
      </c>
      <c r="S2452" t="s">
        <v>643</v>
      </c>
      <c r="T2452">
        <v>32</v>
      </c>
      <c r="U2452" t="s">
        <v>644</v>
      </c>
      <c r="V2452">
        <v>75</v>
      </c>
      <c r="W2452" t="s">
        <v>540</v>
      </c>
      <c r="X2452" t="s">
        <v>280</v>
      </c>
      <c r="Y2452">
        <v>1440</v>
      </c>
      <c r="Z2452">
        <v>1</v>
      </c>
      <c r="AA2452" t="s">
        <v>94</v>
      </c>
      <c r="AB2452">
        <v>6.84</v>
      </c>
      <c r="AC2452" t="s">
        <v>85</v>
      </c>
      <c r="AD2452" t="s">
        <v>248</v>
      </c>
      <c r="AE2452" t="s">
        <v>138</v>
      </c>
      <c r="AI2452">
        <v>5</v>
      </c>
      <c r="AJ2452" t="s">
        <v>201</v>
      </c>
      <c r="AT2452" t="s">
        <v>212</v>
      </c>
      <c r="AV2452" t="s">
        <v>88</v>
      </c>
      <c r="AX2452">
        <v>212</v>
      </c>
      <c r="AZ2452">
        <v>0</v>
      </c>
      <c r="BA2452">
        <v>6.84</v>
      </c>
    </row>
    <row r="2453" spans="1:53" hidden="1" x14ac:dyDescent="0.3">
      <c r="A2453" t="s">
        <v>641</v>
      </c>
      <c r="C2453" t="s">
        <v>251</v>
      </c>
      <c r="D2453" t="s">
        <v>81</v>
      </c>
      <c r="E2453">
        <v>4600000</v>
      </c>
      <c r="H2453">
        <v>14.25</v>
      </c>
      <c r="I2453" t="s">
        <v>56</v>
      </c>
      <c r="J2453">
        <v>1.4250000000000001E-3</v>
      </c>
      <c r="K2453" t="s">
        <v>57</v>
      </c>
      <c r="N2453" t="s">
        <v>642</v>
      </c>
      <c r="O2453">
        <v>212</v>
      </c>
      <c r="P2453" t="s">
        <v>262</v>
      </c>
      <c r="S2453" t="s">
        <v>643</v>
      </c>
      <c r="T2453">
        <v>32</v>
      </c>
      <c r="U2453" t="s">
        <v>644</v>
      </c>
      <c r="V2453">
        <v>45</v>
      </c>
      <c r="W2453" t="s">
        <v>147</v>
      </c>
      <c r="X2453" t="s">
        <v>280</v>
      </c>
      <c r="Y2453">
        <v>2880</v>
      </c>
      <c r="Z2453">
        <v>1</v>
      </c>
      <c r="AB2453">
        <v>3.4</v>
      </c>
      <c r="AC2453" t="s">
        <v>85</v>
      </c>
      <c r="AD2453" t="s">
        <v>433</v>
      </c>
      <c r="AE2453" t="s">
        <v>138</v>
      </c>
      <c r="AI2453">
        <v>5</v>
      </c>
      <c r="AJ2453" t="s">
        <v>201</v>
      </c>
      <c r="AT2453" t="s">
        <v>150</v>
      </c>
      <c r="AV2453" t="s">
        <v>88</v>
      </c>
      <c r="AX2453">
        <v>212</v>
      </c>
    </row>
    <row r="2454" spans="1:53" hidden="1" x14ac:dyDescent="0.3">
      <c r="A2454" t="s">
        <v>641</v>
      </c>
      <c r="C2454" t="s">
        <v>251</v>
      </c>
      <c r="D2454" t="s">
        <v>81</v>
      </c>
      <c r="E2454">
        <v>4600000</v>
      </c>
      <c r="H2454">
        <v>14.25</v>
      </c>
      <c r="I2454" t="s">
        <v>56</v>
      </c>
      <c r="J2454">
        <v>1.4250000000000001E-3</v>
      </c>
      <c r="K2454" t="s">
        <v>57</v>
      </c>
      <c r="N2454" t="s">
        <v>642</v>
      </c>
      <c r="O2454">
        <v>212</v>
      </c>
      <c r="P2454" t="s">
        <v>262</v>
      </c>
      <c r="S2454" t="s">
        <v>643</v>
      </c>
      <c r="T2454">
        <v>32</v>
      </c>
      <c r="U2454" t="s">
        <v>644</v>
      </c>
      <c r="V2454">
        <v>45</v>
      </c>
      <c r="W2454" t="s">
        <v>468</v>
      </c>
      <c r="X2454" t="s">
        <v>280</v>
      </c>
      <c r="Y2454">
        <v>2880</v>
      </c>
      <c r="Z2454">
        <v>1</v>
      </c>
      <c r="AB2454">
        <v>4.13</v>
      </c>
      <c r="AC2454" t="s">
        <v>85</v>
      </c>
      <c r="AD2454" t="s">
        <v>521</v>
      </c>
      <c r="AE2454" t="s">
        <v>138</v>
      </c>
      <c r="AI2454">
        <v>5</v>
      </c>
      <c r="AJ2454" t="s">
        <v>201</v>
      </c>
      <c r="AT2454" t="s">
        <v>318</v>
      </c>
      <c r="AV2454" t="s">
        <v>88</v>
      </c>
      <c r="AX2454">
        <v>212</v>
      </c>
    </row>
    <row r="2455" spans="1:53" hidden="1" x14ac:dyDescent="0.3">
      <c r="A2455" t="s">
        <v>641</v>
      </c>
      <c r="C2455" t="s">
        <v>251</v>
      </c>
      <c r="D2455" t="s">
        <v>81</v>
      </c>
      <c r="E2455">
        <v>4600000</v>
      </c>
      <c r="H2455">
        <v>14.25</v>
      </c>
      <c r="I2455" t="s">
        <v>56</v>
      </c>
      <c r="J2455">
        <v>1.4250000000000001E-3</v>
      </c>
      <c r="K2455" t="s">
        <v>57</v>
      </c>
      <c r="N2455" t="s">
        <v>642</v>
      </c>
      <c r="O2455">
        <v>212</v>
      </c>
      <c r="P2455" t="s">
        <v>262</v>
      </c>
      <c r="S2455" t="s">
        <v>643</v>
      </c>
      <c r="T2455">
        <v>32</v>
      </c>
      <c r="U2455" t="s">
        <v>644</v>
      </c>
      <c r="V2455">
        <v>45</v>
      </c>
      <c r="W2455" t="s">
        <v>72</v>
      </c>
      <c r="X2455" t="s">
        <v>280</v>
      </c>
      <c r="Y2455">
        <v>2880</v>
      </c>
      <c r="Z2455">
        <v>1</v>
      </c>
      <c r="AB2455">
        <v>7.09</v>
      </c>
      <c r="AC2455" t="s">
        <v>85</v>
      </c>
      <c r="AD2455" t="s">
        <v>363</v>
      </c>
      <c r="AE2455" t="s">
        <v>138</v>
      </c>
      <c r="AI2455">
        <v>5</v>
      </c>
      <c r="AJ2455" t="s">
        <v>201</v>
      </c>
      <c r="AT2455" t="s">
        <v>73</v>
      </c>
      <c r="AV2455" t="s">
        <v>88</v>
      </c>
      <c r="AX2455">
        <v>212</v>
      </c>
    </row>
    <row r="2456" spans="1:53" hidden="1" x14ac:dyDescent="0.3">
      <c r="A2456" t="s">
        <v>641</v>
      </c>
      <c r="C2456" t="s">
        <v>251</v>
      </c>
      <c r="D2456" t="s">
        <v>81</v>
      </c>
      <c r="E2456">
        <v>4600000</v>
      </c>
      <c r="H2456">
        <v>14.25</v>
      </c>
      <c r="I2456" t="s">
        <v>56</v>
      </c>
      <c r="J2456">
        <v>1.4250000000000001E-3</v>
      </c>
      <c r="K2456" t="s">
        <v>57</v>
      </c>
      <c r="N2456" t="s">
        <v>642</v>
      </c>
      <c r="O2456">
        <v>212</v>
      </c>
      <c r="P2456" t="s">
        <v>262</v>
      </c>
      <c r="S2456" t="s">
        <v>643</v>
      </c>
      <c r="T2456">
        <v>32</v>
      </c>
      <c r="U2456" t="s">
        <v>644</v>
      </c>
      <c r="V2456">
        <v>45</v>
      </c>
      <c r="W2456" t="s">
        <v>540</v>
      </c>
      <c r="X2456" t="s">
        <v>280</v>
      </c>
      <c r="Y2456">
        <v>2880</v>
      </c>
      <c r="Z2456">
        <v>1</v>
      </c>
      <c r="AB2456">
        <v>3.95</v>
      </c>
      <c r="AC2456" t="s">
        <v>85</v>
      </c>
      <c r="AD2456" t="s">
        <v>652</v>
      </c>
      <c r="AE2456" t="s">
        <v>138</v>
      </c>
      <c r="AI2456">
        <v>5</v>
      </c>
      <c r="AJ2456" t="s">
        <v>201</v>
      </c>
      <c r="AT2456" t="s">
        <v>212</v>
      </c>
      <c r="AV2456" t="s">
        <v>88</v>
      </c>
      <c r="AX2456">
        <v>212</v>
      </c>
    </row>
    <row r="2457" spans="1:53" hidden="1" x14ac:dyDescent="0.3">
      <c r="A2457" t="s">
        <v>641</v>
      </c>
      <c r="C2457" t="s">
        <v>251</v>
      </c>
      <c r="D2457" t="s">
        <v>81</v>
      </c>
      <c r="E2457">
        <v>4600000</v>
      </c>
      <c r="H2457">
        <v>14.25</v>
      </c>
      <c r="I2457" t="s">
        <v>56</v>
      </c>
      <c r="J2457">
        <v>1.4250000000000001E-3</v>
      </c>
      <c r="K2457" t="s">
        <v>57</v>
      </c>
      <c r="N2457" t="s">
        <v>642</v>
      </c>
      <c r="O2457">
        <v>300</v>
      </c>
      <c r="P2457" t="s">
        <v>262</v>
      </c>
      <c r="S2457" t="s">
        <v>643</v>
      </c>
      <c r="T2457">
        <v>22</v>
      </c>
      <c r="U2457" t="s">
        <v>644</v>
      </c>
      <c r="V2457">
        <v>75</v>
      </c>
      <c r="W2457" t="s">
        <v>147</v>
      </c>
      <c r="X2457" t="s">
        <v>280</v>
      </c>
      <c r="Y2457">
        <v>1440</v>
      </c>
      <c r="Z2457">
        <v>1</v>
      </c>
      <c r="AB2457">
        <v>2.57</v>
      </c>
      <c r="AC2457" t="s">
        <v>85</v>
      </c>
      <c r="AD2457" t="s">
        <v>106</v>
      </c>
      <c r="AE2457" t="s">
        <v>138</v>
      </c>
      <c r="AI2457">
        <v>5</v>
      </c>
      <c r="AJ2457" t="s">
        <v>201</v>
      </c>
      <c r="AT2457" t="s">
        <v>150</v>
      </c>
      <c r="AV2457" t="s">
        <v>88</v>
      </c>
      <c r="AX2457">
        <v>300</v>
      </c>
    </row>
    <row r="2458" spans="1:53" hidden="1" x14ac:dyDescent="0.3">
      <c r="A2458" t="s">
        <v>641</v>
      </c>
      <c r="C2458" t="s">
        <v>251</v>
      </c>
      <c r="D2458" t="s">
        <v>81</v>
      </c>
      <c r="E2458">
        <v>4600000</v>
      </c>
      <c r="H2458">
        <v>14.25</v>
      </c>
      <c r="I2458" t="s">
        <v>56</v>
      </c>
      <c r="J2458">
        <v>1.4250000000000001E-3</v>
      </c>
      <c r="K2458" t="s">
        <v>57</v>
      </c>
      <c r="N2458" t="s">
        <v>642</v>
      </c>
      <c r="O2458">
        <v>300</v>
      </c>
      <c r="P2458" t="s">
        <v>262</v>
      </c>
      <c r="S2458" t="s">
        <v>643</v>
      </c>
      <c r="T2458">
        <v>22</v>
      </c>
      <c r="U2458" t="s">
        <v>644</v>
      </c>
      <c r="V2458">
        <v>75</v>
      </c>
      <c r="W2458" t="s">
        <v>468</v>
      </c>
      <c r="X2458" t="s">
        <v>280</v>
      </c>
      <c r="Y2458">
        <v>1440</v>
      </c>
      <c r="Z2458">
        <v>1</v>
      </c>
      <c r="AB2458">
        <v>1.61</v>
      </c>
      <c r="AC2458" t="s">
        <v>85</v>
      </c>
      <c r="AD2458" t="s">
        <v>437</v>
      </c>
      <c r="AE2458" t="s">
        <v>138</v>
      </c>
      <c r="AI2458">
        <v>5</v>
      </c>
      <c r="AJ2458" t="s">
        <v>201</v>
      </c>
      <c r="AT2458" t="s">
        <v>318</v>
      </c>
      <c r="AV2458" t="s">
        <v>88</v>
      </c>
      <c r="AX2458">
        <v>300</v>
      </c>
    </row>
    <row r="2459" spans="1:53" hidden="1" x14ac:dyDescent="0.3">
      <c r="A2459" t="s">
        <v>641</v>
      </c>
      <c r="C2459" t="s">
        <v>251</v>
      </c>
      <c r="D2459" t="s">
        <v>81</v>
      </c>
      <c r="E2459">
        <v>4600000</v>
      </c>
      <c r="H2459">
        <v>14.25</v>
      </c>
      <c r="I2459" t="s">
        <v>56</v>
      </c>
      <c r="J2459">
        <v>1.4250000000000001E-3</v>
      </c>
      <c r="K2459" t="s">
        <v>57</v>
      </c>
      <c r="N2459" t="s">
        <v>642</v>
      </c>
      <c r="O2459">
        <v>300</v>
      </c>
      <c r="P2459" t="s">
        <v>262</v>
      </c>
      <c r="S2459" t="s">
        <v>643</v>
      </c>
      <c r="T2459">
        <v>22</v>
      </c>
      <c r="U2459" t="s">
        <v>644</v>
      </c>
      <c r="V2459">
        <v>75</v>
      </c>
      <c r="W2459" t="s">
        <v>72</v>
      </c>
      <c r="X2459" t="s">
        <v>280</v>
      </c>
      <c r="Y2459">
        <v>1440</v>
      </c>
      <c r="Z2459">
        <v>1</v>
      </c>
      <c r="AB2459">
        <v>2.1</v>
      </c>
      <c r="AC2459" t="s">
        <v>85</v>
      </c>
      <c r="AD2459" t="s">
        <v>106</v>
      </c>
      <c r="AE2459" t="s">
        <v>138</v>
      </c>
      <c r="AI2459">
        <v>5</v>
      </c>
      <c r="AJ2459" t="s">
        <v>201</v>
      </c>
      <c r="AT2459" t="s">
        <v>73</v>
      </c>
      <c r="AV2459" t="s">
        <v>88</v>
      </c>
      <c r="AX2459">
        <v>300</v>
      </c>
    </row>
    <row r="2460" spans="1:53" hidden="1" x14ac:dyDescent="0.3">
      <c r="A2460" t="s">
        <v>641</v>
      </c>
      <c r="C2460" t="s">
        <v>251</v>
      </c>
      <c r="D2460" t="s">
        <v>81</v>
      </c>
      <c r="E2460">
        <v>4600000</v>
      </c>
      <c r="H2460">
        <v>14.25</v>
      </c>
      <c r="I2460" t="s">
        <v>56</v>
      </c>
      <c r="J2460">
        <v>1.4250000000000001E-3</v>
      </c>
      <c r="K2460" t="s">
        <v>57</v>
      </c>
      <c r="N2460" t="s">
        <v>642</v>
      </c>
      <c r="O2460">
        <v>300</v>
      </c>
      <c r="P2460" t="s">
        <v>262</v>
      </c>
      <c r="S2460" t="s">
        <v>643</v>
      </c>
      <c r="T2460">
        <v>22</v>
      </c>
      <c r="U2460" t="s">
        <v>644</v>
      </c>
      <c r="V2460">
        <v>75</v>
      </c>
      <c r="W2460" t="s">
        <v>540</v>
      </c>
      <c r="X2460" t="s">
        <v>280</v>
      </c>
      <c r="Y2460">
        <v>1440</v>
      </c>
      <c r="Z2460">
        <v>1</v>
      </c>
      <c r="AB2460">
        <v>1.72</v>
      </c>
      <c r="AC2460" t="s">
        <v>85</v>
      </c>
      <c r="AD2460" t="s">
        <v>437</v>
      </c>
      <c r="AE2460" t="s">
        <v>138</v>
      </c>
      <c r="AI2460">
        <v>5</v>
      </c>
      <c r="AJ2460" t="s">
        <v>201</v>
      </c>
      <c r="AT2460" t="s">
        <v>212</v>
      </c>
      <c r="AV2460" t="s">
        <v>88</v>
      </c>
      <c r="AX2460">
        <v>300</v>
      </c>
    </row>
    <row r="2461" spans="1:53" hidden="1" x14ac:dyDescent="0.3">
      <c r="A2461" t="s">
        <v>641</v>
      </c>
      <c r="C2461" t="s">
        <v>251</v>
      </c>
      <c r="D2461" t="s">
        <v>81</v>
      </c>
      <c r="E2461">
        <v>4600000</v>
      </c>
      <c r="H2461">
        <v>14.25</v>
      </c>
      <c r="I2461" t="s">
        <v>56</v>
      </c>
      <c r="J2461">
        <v>1.4250000000000001E-3</v>
      </c>
      <c r="K2461" t="s">
        <v>57</v>
      </c>
      <c r="N2461" t="s">
        <v>642</v>
      </c>
      <c r="O2461">
        <v>300</v>
      </c>
      <c r="P2461" t="s">
        <v>262</v>
      </c>
      <c r="S2461" t="s">
        <v>643</v>
      </c>
      <c r="T2461">
        <v>22</v>
      </c>
      <c r="U2461" t="s">
        <v>644</v>
      </c>
      <c r="V2461">
        <v>45</v>
      </c>
      <c r="W2461" t="s">
        <v>147</v>
      </c>
      <c r="X2461" t="s">
        <v>280</v>
      </c>
      <c r="Y2461">
        <v>3600</v>
      </c>
      <c r="Z2461">
        <v>1</v>
      </c>
      <c r="AA2461" t="s">
        <v>94</v>
      </c>
      <c r="AB2461">
        <v>6.98</v>
      </c>
      <c r="AC2461" t="s">
        <v>85</v>
      </c>
      <c r="AD2461" t="s">
        <v>239</v>
      </c>
      <c r="AE2461" t="s">
        <v>138</v>
      </c>
      <c r="AI2461">
        <v>5</v>
      </c>
      <c r="AJ2461" t="s">
        <v>201</v>
      </c>
      <c r="AT2461" t="s">
        <v>150</v>
      </c>
      <c r="AV2461" t="s">
        <v>88</v>
      </c>
      <c r="AX2461">
        <v>300</v>
      </c>
      <c r="AZ2461">
        <v>0</v>
      </c>
      <c r="BA2461">
        <v>6.98</v>
      </c>
    </row>
    <row r="2462" spans="1:53" hidden="1" x14ac:dyDescent="0.3">
      <c r="A2462" t="s">
        <v>641</v>
      </c>
      <c r="C2462" t="s">
        <v>251</v>
      </c>
      <c r="D2462" t="s">
        <v>81</v>
      </c>
      <c r="E2462">
        <v>4600000</v>
      </c>
      <c r="H2462">
        <v>14.25</v>
      </c>
      <c r="I2462" t="s">
        <v>56</v>
      </c>
      <c r="J2462">
        <v>1.4250000000000001E-3</v>
      </c>
      <c r="K2462" t="s">
        <v>57</v>
      </c>
      <c r="N2462" t="s">
        <v>642</v>
      </c>
      <c r="O2462">
        <v>300</v>
      </c>
      <c r="P2462" t="s">
        <v>262</v>
      </c>
      <c r="S2462" t="s">
        <v>643</v>
      </c>
      <c r="T2462">
        <v>22</v>
      </c>
      <c r="U2462" t="s">
        <v>644</v>
      </c>
      <c r="V2462">
        <v>45</v>
      </c>
      <c r="W2462" t="s">
        <v>468</v>
      </c>
      <c r="X2462" t="s">
        <v>280</v>
      </c>
      <c r="Y2462">
        <v>3600</v>
      </c>
      <c r="Z2462">
        <v>1</v>
      </c>
      <c r="AB2462">
        <v>4.79</v>
      </c>
      <c r="AC2462" t="s">
        <v>85</v>
      </c>
      <c r="AD2462" t="s">
        <v>663</v>
      </c>
      <c r="AE2462" t="s">
        <v>138</v>
      </c>
      <c r="AI2462">
        <v>5</v>
      </c>
      <c r="AJ2462" t="s">
        <v>201</v>
      </c>
      <c r="AT2462" t="s">
        <v>318</v>
      </c>
      <c r="AV2462" t="s">
        <v>88</v>
      </c>
      <c r="AX2462">
        <v>300</v>
      </c>
    </row>
    <row r="2463" spans="1:53" hidden="1" x14ac:dyDescent="0.3">
      <c r="A2463" t="s">
        <v>641</v>
      </c>
      <c r="C2463" t="s">
        <v>251</v>
      </c>
      <c r="D2463" t="s">
        <v>81</v>
      </c>
      <c r="E2463">
        <v>4600000</v>
      </c>
      <c r="H2463">
        <v>14.25</v>
      </c>
      <c r="I2463" t="s">
        <v>56</v>
      </c>
      <c r="J2463">
        <v>1.4250000000000001E-3</v>
      </c>
      <c r="K2463" t="s">
        <v>57</v>
      </c>
      <c r="N2463" t="s">
        <v>642</v>
      </c>
      <c r="O2463">
        <v>300</v>
      </c>
      <c r="P2463" t="s">
        <v>262</v>
      </c>
      <c r="S2463" t="s">
        <v>643</v>
      </c>
      <c r="T2463">
        <v>22</v>
      </c>
      <c r="U2463" t="s">
        <v>644</v>
      </c>
      <c r="V2463">
        <v>45</v>
      </c>
      <c r="W2463" t="s">
        <v>72</v>
      </c>
      <c r="X2463" t="s">
        <v>280</v>
      </c>
      <c r="Y2463">
        <v>3600</v>
      </c>
      <c r="Z2463">
        <v>1</v>
      </c>
      <c r="AB2463">
        <v>7.27</v>
      </c>
      <c r="AC2463" t="s">
        <v>85</v>
      </c>
      <c r="AD2463" t="s">
        <v>629</v>
      </c>
      <c r="AE2463" t="s">
        <v>138</v>
      </c>
      <c r="AI2463">
        <v>5</v>
      </c>
      <c r="AJ2463" t="s">
        <v>201</v>
      </c>
      <c r="AT2463" t="s">
        <v>73</v>
      </c>
      <c r="AV2463" t="s">
        <v>88</v>
      </c>
      <c r="AX2463">
        <v>300</v>
      </c>
    </row>
    <row r="2464" spans="1:53" hidden="1" x14ac:dyDescent="0.3">
      <c r="A2464" t="s">
        <v>641</v>
      </c>
      <c r="C2464" t="s">
        <v>251</v>
      </c>
      <c r="D2464" t="s">
        <v>81</v>
      </c>
      <c r="E2464">
        <v>4600000</v>
      </c>
      <c r="H2464">
        <v>14.25</v>
      </c>
      <c r="I2464" t="s">
        <v>56</v>
      </c>
      <c r="J2464">
        <v>1.4250000000000001E-3</v>
      </c>
      <c r="K2464" t="s">
        <v>57</v>
      </c>
      <c r="N2464" t="s">
        <v>642</v>
      </c>
      <c r="O2464">
        <v>300</v>
      </c>
      <c r="P2464" t="s">
        <v>262</v>
      </c>
      <c r="S2464" t="s">
        <v>643</v>
      </c>
      <c r="T2464">
        <v>22</v>
      </c>
      <c r="U2464" t="s">
        <v>644</v>
      </c>
      <c r="V2464">
        <v>45</v>
      </c>
      <c r="W2464" t="s">
        <v>540</v>
      </c>
      <c r="X2464" t="s">
        <v>280</v>
      </c>
      <c r="Y2464">
        <v>3600</v>
      </c>
      <c r="Z2464">
        <v>1</v>
      </c>
      <c r="AB2464">
        <v>3.67</v>
      </c>
      <c r="AC2464" t="s">
        <v>85</v>
      </c>
      <c r="AD2464" t="s">
        <v>433</v>
      </c>
      <c r="AE2464" t="s">
        <v>138</v>
      </c>
      <c r="AI2464">
        <v>5</v>
      </c>
      <c r="AJ2464" t="s">
        <v>201</v>
      </c>
      <c r="AT2464" t="s">
        <v>212</v>
      </c>
      <c r="AV2464" t="s">
        <v>88</v>
      </c>
      <c r="AX2464">
        <v>300</v>
      </c>
    </row>
    <row r="2465" spans="1:53" hidden="1" x14ac:dyDescent="0.3">
      <c r="A2465" t="s">
        <v>641</v>
      </c>
      <c r="C2465" t="s">
        <v>251</v>
      </c>
      <c r="D2465" t="s">
        <v>81</v>
      </c>
      <c r="E2465">
        <v>4600000</v>
      </c>
      <c r="H2465">
        <v>14.25</v>
      </c>
      <c r="I2465" t="s">
        <v>56</v>
      </c>
      <c r="J2465">
        <v>1.4250000000000001E-3</v>
      </c>
      <c r="K2465" t="s">
        <v>57</v>
      </c>
      <c r="N2465" t="s">
        <v>642</v>
      </c>
      <c r="O2465">
        <v>212</v>
      </c>
      <c r="P2465" t="s">
        <v>262</v>
      </c>
      <c r="S2465" t="s">
        <v>643</v>
      </c>
      <c r="T2465">
        <v>32</v>
      </c>
      <c r="U2465" t="s">
        <v>644</v>
      </c>
      <c r="V2465">
        <v>45</v>
      </c>
      <c r="W2465" t="s">
        <v>147</v>
      </c>
      <c r="X2465" t="s">
        <v>280</v>
      </c>
      <c r="Y2465">
        <v>3600</v>
      </c>
      <c r="Z2465">
        <v>2</v>
      </c>
      <c r="AB2465">
        <v>4.21</v>
      </c>
      <c r="AC2465" t="s">
        <v>85</v>
      </c>
      <c r="AD2465" t="s">
        <v>664</v>
      </c>
      <c r="AE2465" t="s">
        <v>138</v>
      </c>
      <c r="AI2465">
        <v>5</v>
      </c>
      <c r="AJ2465" t="s">
        <v>201</v>
      </c>
      <c r="AT2465" t="s">
        <v>150</v>
      </c>
      <c r="AV2465" t="s">
        <v>88</v>
      </c>
      <c r="AX2465">
        <v>212</v>
      </c>
    </row>
    <row r="2466" spans="1:53" hidden="1" x14ac:dyDescent="0.3">
      <c r="A2466" t="s">
        <v>641</v>
      </c>
      <c r="C2466" t="s">
        <v>251</v>
      </c>
      <c r="D2466" t="s">
        <v>81</v>
      </c>
      <c r="E2466">
        <v>4600000</v>
      </c>
      <c r="H2466">
        <v>14.25</v>
      </c>
      <c r="I2466" t="s">
        <v>56</v>
      </c>
      <c r="J2466">
        <v>1.4250000000000001E-3</v>
      </c>
      <c r="K2466" t="s">
        <v>57</v>
      </c>
      <c r="N2466" t="s">
        <v>642</v>
      </c>
      <c r="O2466">
        <v>212</v>
      </c>
      <c r="P2466" t="s">
        <v>262</v>
      </c>
      <c r="S2466" t="s">
        <v>643</v>
      </c>
      <c r="T2466">
        <v>32</v>
      </c>
      <c r="U2466" t="s">
        <v>644</v>
      </c>
      <c r="V2466">
        <v>45</v>
      </c>
      <c r="W2466" t="s">
        <v>468</v>
      </c>
      <c r="X2466" t="s">
        <v>280</v>
      </c>
      <c r="Y2466">
        <v>3600</v>
      </c>
      <c r="Z2466">
        <v>1</v>
      </c>
      <c r="AB2466">
        <v>4.63</v>
      </c>
      <c r="AC2466" t="s">
        <v>85</v>
      </c>
      <c r="AD2466" t="s">
        <v>582</v>
      </c>
      <c r="AE2466" t="s">
        <v>138</v>
      </c>
      <c r="AI2466">
        <v>5</v>
      </c>
      <c r="AJ2466" t="s">
        <v>201</v>
      </c>
      <c r="AT2466" t="s">
        <v>318</v>
      </c>
      <c r="AV2466" t="s">
        <v>88</v>
      </c>
      <c r="AX2466">
        <v>212</v>
      </c>
    </row>
    <row r="2467" spans="1:53" hidden="1" x14ac:dyDescent="0.3">
      <c r="A2467" t="s">
        <v>641</v>
      </c>
      <c r="C2467" t="s">
        <v>251</v>
      </c>
      <c r="D2467" t="s">
        <v>81</v>
      </c>
      <c r="E2467">
        <v>4600000</v>
      </c>
      <c r="H2467">
        <v>14.25</v>
      </c>
      <c r="I2467" t="s">
        <v>56</v>
      </c>
      <c r="J2467">
        <v>1.4250000000000001E-3</v>
      </c>
      <c r="K2467" t="s">
        <v>57</v>
      </c>
      <c r="N2467" t="s">
        <v>642</v>
      </c>
      <c r="O2467">
        <v>212</v>
      </c>
      <c r="P2467" t="s">
        <v>262</v>
      </c>
      <c r="S2467" t="s">
        <v>643</v>
      </c>
      <c r="T2467">
        <v>32</v>
      </c>
      <c r="U2467" t="s">
        <v>644</v>
      </c>
      <c r="V2467">
        <v>45</v>
      </c>
      <c r="W2467" t="s">
        <v>72</v>
      </c>
      <c r="X2467" t="s">
        <v>280</v>
      </c>
      <c r="Y2467">
        <v>3600</v>
      </c>
      <c r="Z2467">
        <v>1</v>
      </c>
      <c r="AA2467" t="s">
        <v>94</v>
      </c>
      <c r="AB2467">
        <v>7.8</v>
      </c>
      <c r="AC2467" t="s">
        <v>85</v>
      </c>
      <c r="AD2467" t="s">
        <v>227</v>
      </c>
      <c r="AE2467" t="s">
        <v>138</v>
      </c>
      <c r="AI2467">
        <v>5</v>
      </c>
      <c r="AJ2467" t="s">
        <v>201</v>
      </c>
      <c r="AT2467" t="s">
        <v>73</v>
      </c>
      <c r="AV2467" t="s">
        <v>88</v>
      </c>
      <c r="AX2467">
        <v>212</v>
      </c>
      <c r="AZ2467">
        <v>0</v>
      </c>
      <c r="BA2467">
        <v>7.8</v>
      </c>
    </row>
    <row r="2468" spans="1:53" hidden="1" x14ac:dyDescent="0.3">
      <c r="A2468" t="s">
        <v>641</v>
      </c>
      <c r="C2468" t="s">
        <v>251</v>
      </c>
      <c r="D2468" t="s">
        <v>81</v>
      </c>
      <c r="E2468">
        <v>4600000</v>
      </c>
      <c r="H2468">
        <v>14.25</v>
      </c>
      <c r="I2468" t="s">
        <v>56</v>
      </c>
      <c r="J2468">
        <v>1.4250000000000001E-3</v>
      </c>
      <c r="K2468" t="s">
        <v>57</v>
      </c>
      <c r="N2468" t="s">
        <v>642</v>
      </c>
      <c r="O2468">
        <v>212</v>
      </c>
      <c r="P2468" t="s">
        <v>262</v>
      </c>
      <c r="S2468" t="s">
        <v>643</v>
      </c>
      <c r="T2468">
        <v>32</v>
      </c>
      <c r="U2468" t="s">
        <v>644</v>
      </c>
      <c r="V2468">
        <v>45</v>
      </c>
      <c r="W2468" t="s">
        <v>540</v>
      </c>
      <c r="X2468" t="s">
        <v>280</v>
      </c>
      <c r="Y2468">
        <v>3600</v>
      </c>
      <c r="Z2468">
        <v>1</v>
      </c>
      <c r="AB2468">
        <v>4.1500000000000004</v>
      </c>
      <c r="AC2468" t="s">
        <v>85</v>
      </c>
      <c r="AD2468" t="s">
        <v>665</v>
      </c>
      <c r="AE2468" t="s">
        <v>138</v>
      </c>
      <c r="AI2468">
        <v>5</v>
      </c>
      <c r="AJ2468" t="s">
        <v>201</v>
      </c>
      <c r="AT2468" t="s">
        <v>212</v>
      </c>
      <c r="AV2468" t="s">
        <v>88</v>
      </c>
      <c r="AX2468">
        <v>212</v>
      </c>
    </row>
    <row r="2469" spans="1:53" hidden="1" x14ac:dyDescent="0.3">
      <c r="A2469" t="s">
        <v>641</v>
      </c>
      <c r="C2469" t="s">
        <v>251</v>
      </c>
      <c r="D2469" t="s">
        <v>81</v>
      </c>
      <c r="E2469">
        <v>4600000</v>
      </c>
      <c r="H2469">
        <v>14.25</v>
      </c>
      <c r="I2469" t="s">
        <v>56</v>
      </c>
      <c r="J2469">
        <v>1.4250000000000001E-3</v>
      </c>
      <c r="K2469" t="s">
        <v>57</v>
      </c>
      <c r="N2469" t="s">
        <v>642</v>
      </c>
      <c r="O2469">
        <v>300</v>
      </c>
      <c r="P2469" t="s">
        <v>262</v>
      </c>
      <c r="S2469" t="s">
        <v>643</v>
      </c>
      <c r="T2469">
        <v>27</v>
      </c>
      <c r="U2469" t="s">
        <v>644</v>
      </c>
      <c r="V2469">
        <v>75</v>
      </c>
      <c r="W2469" t="s">
        <v>147</v>
      </c>
      <c r="X2469" t="s">
        <v>280</v>
      </c>
      <c r="Y2469">
        <v>1080</v>
      </c>
      <c r="Z2469">
        <v>2</v>
      </c>
      <c r="AB2469">
        <v>4.41</v>
      </c>
      <c r="AC2469" t="s">
        <v>85</v>
      </c>
      <c r="AD2469" t="s">
        <v>482</v>
      </c>
      <c r="AE2469" t="s">
        <v>138</v>
      </c>
      <c r="AI2469">
        <v>5</v>
      </c>
      <c r="AJ2469" t="s">
        <v>201</v>
      </c>
      <c r="AT2469" t="s">
        <v>150</v>
      </c>
      <c r="AV2469" t="s">
        <v>88</v>
      </c>
      <c r="AX2469">
        <v>300</v>
      </c>
    </row>
    <row r="2470" spans="1:53" hidden="1" x14ac:dyDescent="0.3">
      <c r="A2470" t="s">
        <v>641</v>
      </c>
      <c r="C2470" t="s">
        <v>251</v>
      </c>
      <c r="D2470" t="s">
        <v>81</v>
      </c>
      <c r="E2470">
        <v>4600000</v>
      </c>
      <c r="H2470">
        <v>14.25</v>
      </c>
      <c r="I2470" t="s">
        <v>56</v>
      </c>
      <c r="J2470">
        <v>1.4250000000000001E-3</v>
      </c>
      <c r="K2470" t="s">
        <v>57</v>
      </c>
      <c r="N2470" t="s">
        <v>642</v>
      </c>
      <c r="O2470">
        <v>300</v>
      </c>
      <c r="P2470" t="s">
        <v>262</v>
      </c>
      <c r="S2470" t="s">
        <v>643</v>
      </c>
      <c r="T2470">
        <v>27</v>
      </c>
      <c r="U2470" t="s">
        <v>644</v>
      </c>
      <c r="V2470">
        <v>75</v>
      </c>
      <c r="W2470" t="s">
        <v>468</v>
      </c>
      <c r="X2470" t="s">
        <v>280</v>
      </c>
      <c r="Y2470">
        <v>1080</v>
      </c>
      <c r="Z2470">
        <v>1</v>
      </c>
      <c r="AB2470">
        <v>2.4</v>
      </c>
      <c r="AC2470" t="s">
        <v>85</v>
      </c>
      <c r="AD2470" t="s">
        <v>632</v>
      </c>
      <c r="AE2470" t="s">
        <v>138</v>
      </c>
      <c r="AI2470">
        <v>5</v>
      </c>
      <c r="AJ2470" t="s">
        <v>201</v>
      </c>
      <c r="AT2470" t="s">
        <v>318</v>
      </c>
      <c r="AV2470" t="s">
        <v>88</v>
      </c>
      <c r="AX2470">
        <v>300</v>
      </c>
    </row>
    <row r="2471" spans="1:53" hidden="1" x14ac:dyDescent="0.3">
      <c r="A2471" t="s">
        <v>641</v>
      </c>
      <c r="C2471" t="s">
        <v>251</v>
      </c>
      <c r="D2471" t="s">
        <v>81</v>
      </c>
      <c r="E2471">
        <v>4600000</v>
      </c>
      <c r="H2471">
        <v>14.25</v>
      </c>
      <c r="I2471" t="s">
        <v>56</v>
      </c>
      <c r="J2471">
        <v>1.4250000000000001E-3</v>
      </c>
      <c r="K2471" t="s">
        <v>57</v>
      </c>
      <c r="N2471" t="s">
        <v>642</v>
      </c>
      <c r="O2471">
        <v>300</v>
      </c>
      <c r="P2471" t="s">
        <v>262</v>
      </c>
      <c r="S2471" t="s">
        <v>643</v>
      </c>
      <c r="T2471">
        <v>27</v>
      </c>
      <c r="U2471" t="s">
        <v>644</v>
      </c>
      <c r="V2471">
        <v>75</v>
      </c>
      <c r="W2471" t="s">
        <v>72</v>
      </c>
      <c r="X2471" t="s">
        <v>280</v>
      </c>
      <c r="Y2471">
        <v>1080</v>
      </c>
      <c r="Z2471">
        <v>1</v>
      </c>
      <c r="AB2471">
        <v>4.38</v>
      </c>
      <c r="AC2471" t="s">
        <v>85</v>
      </c>
      <c r="AD2471" t="s">
        <v>90</v>
      </c>
      <c r="AE2471" t="s">
        <v>138</v>
      </c>
      <c r="AI2471">
        <v>5</v>
      </c>
      <c r="AJ2471" t="s">
        <v>201</v>
      </c>
      <c r="AT2471" t="s">
        <v>73</v>
      </c>
      <c r="AV2471" t="s">
        <v>88</v>
      </c>
      <c r="AX2471">
        <v>300</v>
      </c>
    </row>
    <row r="2472" spans="1:53" hidden="1" x14ac:dyDescent="0.3">
      <c r="A2472" t="s">
        <v>641</v>
      </c>
      <c r="C2472" t="s">
        <v>251</v>
      </c>
      <c r="D2472" t="s">
        <v>81</v>
      </c>
      <c r="E2472">
        <v>4600000</v>
      </c>
      <c r="H2472">
        <v>14.25</v>
      </c>
      <c r="I2472" t="s">
        <v>56</v>
      </c>
      <c r="J2472">
        <v>1.4250000000000001E-3</v>
      </c>
      <c r="K2472" t="s">
        <v>57</v>
      </c>
      <c r="N2472" t="s">
        <v>642</v>
      </c>
      <c r="O2472">
        <v>300</v>
      </c>
      <c r="P2472" t="s">
        <v>262</v>
      </c>
      <c r="S2472" t="s">
        <v>643</v>
      </c>
      <c r="T2472">
        <v>27</v>
      </c>
      <c r="U2472" t="s">
        <v>644</v>
      </c>
      <c r="V2472">
        <v>75</v>
      </c>
      <c r="W2472" t="s">
        <v>540</v>
      </c>
      <c r="X2472" t="s">
        <v>280</v>
      </c>
      <c r="Y2472">
        <v>1080</v>
      </c>
      <c r="Z2472">
        <v>1</v>
      </c>
      <c r="AB2472">
        <v>3.04</v>
      </c>
      <c r="AC2472" t="s">
        <v>85</v>
      </c>
      <c r="AD2472" t="s">
        <v>515</v>
      </c>
      <c r="AE2472" t="s">
        <v>138</v>
      </c>
      <c r="AI2472">
        <v>5</v>
      </c>
      <c r="AJ2472" t="s">
        <v>201</v>
      </c>
      <c r="AT2472" t="s">
        <v>212</v>
      </c>
      <c r="AV2472" t="s">
        <v>88</v>
      </c>
      <c r="AX2472">
        <v>300</v>
      </c>
    </row>
    <row r="2473" spans="1:53" hidden="1" x14ac:dyDescent="0.3">
      <c r="A2473" t="s">
        <v>641</v>
      </c>
      <c r="C2473" t="s">
        <v>251</v>
      </c>
      <c r="D2473" t="s">
        <v>81</v>
      </c>
      <c r="E2473">
        <v>4600000</v>
      </c>
      <c r="H2473">
        <v>14.25</v>
      </c>
      <c r="I2473" t="s">
        <v>56</v>
      </c>
      <c r="J2473">
        <v>1.4250000000000001E-3</v>
      </c>
      <c r="K2473" t="s">
        <v>57</v>
      </c>
      <c r="N2473" t="s">
        <v>642</v>
      </c>
      <c r="O2473">
        <v>300</v>
      </c>
      <c r="P2473" t="s">
        <v>262</v>
      </c>
      <c r="S2473" t="s">
        <v>643</v>
      </c>
      <c r="T2473">
        <v>27</v>
      </c>
      <c r="U2473" t="s">
        <v>644</v>
      </c>
      <c r="V2473">
        <v>45</v>
      </c>
      <c r="W2473" t="s">
        <v>147</v>
      </c>
      <c r="X2473" t="s">
        <v>280</v>
      </c>
      <c r="Y2473">
        <v>3600</v>
      </c>
      <c r="Z2473">
        <v>1</v>
      </c>
      <c r="AB2473">
        <v>5.88</v>
      </c>
      <c r="AC2473" t="s">
        <v>85</v>
      </c>
      <c r="AD2473" t="s">
        <v>331</v>
      </c>
      <c r="AE2473" t="s">
        <v>138</v>
      </c>
      <c r="AI2473">
        <v>5</v>
      </c>
      <c r="AJ2473" t="s">
        <v>201</v>
      </c>
      <c r="AT2473" t="s">
        <v>150</v>
      </c>
      <c r="AV2473" t="s">
        <v>88</v>
      </c>
      <c r="AX2473">
        <v>300</v>
      </c>
    </row>
    <row r="2474" spans="1:53" hidden="1" x14ac:dyDescent="0.3">
      <c r="A2474" t="s">
        <v>641</v>
      </c>
      <c r="C2474" t="s">
        <v>251</v>
      </c>
      <c r="D2474" t="s">
        <v>81</v>
      </c>
      <c r="E2474">
        <v>4600000</v>
      </c>
      <c r="H2474">
        <v>14.25</v>
      </c>
      <c r="I2474" t="s">
        <v>56</v>
      </c>
      <c r="J2474">
        <v>1.4250000000000001E-3</v>
      </c>
      <c r="K2474" t="s">
        <v>57</v>
      </c>
      <c r="N2474" t="s">
        <v>642</v>
      </c>
      <c r="O2474">
        <v>300</v>
      </c>
      <c r="P2474" t="s">
        <v>262</v>
      </c>
      <c r="S2474" t="s">
        <v>643</v>
      </c>
      <c r="T2474">
        <v>27</v>
      </c>
      <c r="U2474" t="s">
        <v>644</v>
      </c>
      <c r="V2474">
        <v>45</v>
      </c>
      <c r="W2474" t="s">
        <v>468</v>
      </c>
      <c r="X2474" t="s">
        <v>280</v>
      </c>
      <c r="Y2474">
        <v>3600</v>
      </c>
      <c r="Z2474">
        <v>1</v>
      </c>
      <c r="AB2474">
        <v>3.6</v>
      </c>
      <c r="AC2474" t="s">
        <v>85</v>
      </c>
      <c r="AD2474" t="s">
        <v>525</v>
      </c>
      <c r="AE2474" t="s">
        <v>138</v>
      </c>
      <c r="AI2474">
        <v>5</v>
      </c>
      <c r="AJ2474" t="s">
        <v>201</v>
      </c>
      <c r="AT2474" t="s">
        <v>318</v>
      </c>
      <c r="AV2474" t="s">
        <v>88</v>
      </c>
      <c r="AX2474">
        <v>300</v>
      </c>
    </row>
    <row r="2475" spans="1:53" hidden="1" x14ac:dyDescent="0.3">
      <c r="A2475" t="s">
        <v>641</v>
      </c>
      <c r="C2475" t="s">
        <v>251</v>
      </c>
      <c r="D2475" t="s">
        <v>81</v>
      </c>
      <c r="E2475">
        <v>4600000</v>
      </c>
      <c r="H2475">
        <v>14.25</v>
      </c>
      <c r="I2475" t="s">
        <v>56</v>
      </c>
      <c r="J2475">
        <v>1.4250000000000001E-3</v>
      </c>
      <c r="K2475" t="s">
        <v>57</v>
      </c>
      <c r="N2475" t="s">
        <v>642</v>
      </c>
      <c r="O2475">
        <v>300</v>
      </c>
      <c r="P2475" t="s">
        <v>262</v>
      </c>
      <c r="S2475" t="s">
        <v>643</v>
      </c>
      <c r="T2475">
        <v>27</v>
      </c>
      <c r="U2475" t="s">
        <v>644</v>
      </c>
      <c r="V2475">
        <v>45</v>
      </c>
      <c r="W2475" t="s">
        <v>72</v>
      </c>
      <c r="X2475" t="s">
        <v>280</v>
      </c>
      <c r="Y2475">
        <v>3600</v>
      </c>
      <c r="Z2475">
        <v>1</v>
      </c>
      <c r="AB2475">
        <v>7.33</v>
      </c>
      <c r="AC2475" t="s">
        <v>85</v>
      </c>
      <c r="AD2475" t="s">
        <v>513</v>
      </c>
      <c r="AE2475" t="s">
        <v>138</v>
      </c>
      <c r="AI2475">
        <v>5</v>
      </c>
      <c r="AJ2475" t="s">
        <v>201</v>
      </c>
      <c r="AT2475" t="s">
        <v>73</v>
      </c>
      <c r="AV2475" t="s">
        <v>88</v>
      </c>
      <c r="AX2475">
        <v>300</v>
      </c>
    </row>
    <row r="2476" spans="1:53" hidden="1" x14ac:dyDescent="0.3">
      <c r="A2476" t="s">
        <v>641</v>
      </c>
      <c r="C2476" t="s">
        <v>251</v>
      </c>
      <c r="D2476" t="s">
        <v>81</v>
      </c>
      <c r="E2476">
        <v>4600000</v>
      </c>
      <c r="H2476">
        <v>14.25</v>
      </c>
      <c r="I2476" t="s">
        <v>56</v>
      </c>
      <c r="J2476">
        <v>1.4250000000000001E-3</v>
      </c>
      <c r="K2476" t="s">
        <v>57</v>
      </c>
      <c r="N2476" t="s">
        <v>642</v>
      </c>
      <c r="O2476">
        <v>300</v>
      </c>
      <c r="P2476" t="s">
        <v>262</v>
      </c>
      <c r="S2476" t="s">
        <v>643</v>
      </c>
      <c r="T2476">
        <v>27</v>
      </c>
      <c r="U2476" t="s">
        <v>644</v>
      </c>
      <c r="V2476">
        <v>45</v>
      </c>
      <c r="W2476" t="s">
        <v>540</v>
      </c>
      <c r="X2476" t="s">
        <v>280</v>
      </c>
      <c r="Y2476">
        <v>3600</v>
      </c>
      <c r="Z2476">
        <v>1</v>
      </c>
      <c r="AB2476">
        <v>3.67</v>
      </c>
      <c r="AC2476" t="s">
        <v>85</v>
      </c>
      <c r="AD2476" t="s">
        <v>528</v>
      </c>
      <c r="AE2476" t="s">
        <v>138</v>
      </c>
      <c r="AI2476">
        <v>5</v>
      </c>
      <c r="AJ2476" t="s">
        <v>201</v>
      </c>
      <c r="AT2476" t="s">
        <v>212</v>
      </c>
      <c r="AV2476" t="s">
        <v>88</v>
      </c>
      <c r="AX2476">
        <v>300</v>
      </c>
    </row>
    <row r="2477" spans="1:53" hidden="1" x14ac:dyDescent="0.3">
      <c r="A2477" t="s">
        <v>641</v>
      </c>
      <c r="C2477" t="s">
        <v>251</v>
      </c>
      <c r="D2477" t="s">
        <v>81</v>
      </c>
      <c r="E2477">
        <v>4600000</v>
      </c>
      <c r="H2477">
        <v>14.25</v>
      </c>
      <c r="I2477" t="s">
        <v>56</v>
      </c>
      <c r="J2477">
        <v>1.4250000000000001E-3</v>
      </c>
      <c r="K2477" t="s">
        <v>57</v>
      </c>
      <c r="N2477" t="s">
        <v>642</v>
      </c>
      <c r="O2477">
        <v>212</v>
      </c>
      <c r="P2477" t="s">
        <v>262</v>
      </c>
      <c r="S2477" t="s">
        <v>643</v>
      </c>
      <c r="T2477">
        <v>32</v>
      </c>
      <c r="U2477" t="s">
        <v>644</v>
      </c>
      <c r="V2477">
        <v>45</v>
      </c>
      <c r="W2477" t="s">
        <v>147</v>
      </c>
      <c r="X2477" t="s">
        <v>280</v>
      </c>
      <c r="Y2477">
        <v>4320</v>
      </c>
      <c r="Z2477">
        <v>1</v>
      </c>
      <c r="AB2477">
        <v>6.1</v>
      </c>
      <c r="AC2477" t="s">
        <v>85</v>
      </c>
      <c r="AD2477" t="s">
        <v>657</v>
      </c>
      <c r="AE2477" t="s">
        <v>138</v>
      </c>
      <c r="AI2477">
        <v>5</v>
      </c>
      <c r="AJ2477" t="s">
        <v>201</v>
      </c>
      <c r="AT2477" t="s">
        <v>150</v>
      </c>
      <c r="AV2477" t="s">
        <v>88</v>
      </c>
      <c r="AX2477">
        <v>212</v>
      </c>
    </row>
    <row r="2478" spans="1:53" hidden="1" x14ac:dyDescent="0.3">
      <c r="A2478" t="s">
        <v>641</v>
      </c>
      <c r="C2478" t="s">
        <v>251</v>
      </c>
      <c r="D2478" t="s">
        <v>81</v>
      </c>
      <c r="E2478">
        <v>10000000</v>
      </c>
      <c r="H2478">
        <v>14.25</v>
      </c>
      <c r="I2478" t="s">
        <v>56</v>
      </c>
      <c r="J2478">
        <v>1.4250000000000001E-3</v>
      </c>
      <c r="K2478" t="s">
        <v>57</v>
      </c>
      <c r="N2478" t="s">
        <v>642</v>
      </c>
      <c r="O2478">
        <v>212</v>
      </c>
      <c r="P2478" t="s">
        <v>262</v>
      </c>
      <c r="S2478" t="s">
        <v>643</v>
      </c>
      <c r="T2478">
        <v>32</v>
      </c>
      <c r="U2478" t="s">
        <v>644</v>
      </c>
      <c r="V2478">
        <v>45</v>
      </c>
      <c r="W2478" t="s">
        <v>468</v>
      </c>
      <c r="X2478" t="s">
        <v>280</v>
      </c>
      <c r="Y2478">
        <v>4320</v>
      </c>
      <c r="Z2478">
        <v>1</v>
      </c>
      <c r="AB2478">
        <v>5.27</v>
      </c>
      <c r="AC2478" t="s">
        <v>85</v>
      </c>
      <c r="AD2478" t="s">
        <v>105</v>
      </c>
      <c r="AE2478" t="s">
        <v>138</v>
      </c>
      <c r="AI2478">
        <v>5</v>
      </c>
      <c r="AJ2478" t="s">
        <v>201</v>
      </c>
      <c r="AT2478" t="s">
        <v>318</v>
      </c>
      <c r="AV2478" t="s">
        <v>88</v>
      </c>
      <c r="AX2478">
        <v>212</v>
      </c>
    </row>
    <row r="2479" spans="1:53" hidden="1" x14ac:dyDescent="0.3">
      <c r="A2479" t="s">
        <v>641</v>
      </c>
      <c r="C2479" t="s">
        <v>251</v>
      </c>
      <c r="D2479" t="s">
        <v>81</v>
      </c>
      <c r="E2479">
        <v>10000000</v>
      </c>
      <c r="H2479">
        <v>14.25</v>
      </c>
      <c r="I2479" t="s">
        <v>56</v>
      </c>
      <c r="J2479">
        <v>1.4250000000000001E-3</v>
      </c>
      <c r="K2479" t="s">
        <v>57</v>
      </c>
      <c r="N2479" t="s">
        <v>642</v>
      </c>
      <c r="O2479">
        <v>212</v>
      </c>
      <c r="P2479" t="s">
        <v>262</v>
      </c>
      <c r="S2479" t="s">
        <v>643</v>
      </c>
      <c r="T2479">
        <v>32</v>
      </c>
      <c r="U2479" t="s">
        <v>644</v>
      </c>
      <c r="V2479">
        <v>45</v>
      </c>
      <c r="W2479" t="s">
        <v>72</v>
      </c>
      <c r="X2479" t="s">
        <v>280</v>
      </c>
      <c r="Y2479">
        <v>4320</v>
      </c>
      <c r="Z2479">
        <v>1</v>
      </c>
      <c r="AA2479" t="s">
        <v>94</v>
      </c>
      <c r="AB2479">
        <v>7.88</v>
      </c>
      <c r="AC2479" t="s">
        <v>85</v>
      </c>
      <c r="AD2479" t="s">
        <v>236</v>
      </c>
      <c r="AE2479" t="s">
        <v>138</v>
      </c>
      <c r="AI2479">
        <v>5</v>
      </c>
      <c r="AJ2479" t="s">
        <v>201</v>
      </c>
      <c r="AT2479" t="s">
        <v>73</v>
      </c>
      <c r="AV2479" t="s">
        <v>88</v>
      </c>
      <c r="AX2479">
        <v>212</v>
      </c>
      <c r="AZ2479">
        <v>0</v>
      </c>
      <c r="BA2479">
        <v>7.88</v>
      </c>
    </row>
    <row r="2480" spans="1:53" hidden="1" x14ac:dyDescent="0.3">
      <c r="A2480" t="s">
        <v>641</v>
      </c>
      <c r="C2480" t="s">
        <v>251</v>
      </c>
      <c r="D2480" t="s">
        <v>81</v>
      </c>
      <c r="E2480">
        <v>10000000</v>
      </c>
      <c r="H2480">
        <v>14.25</v>
      </c>
      <c r="I2480" t="s">
        <v>56</v>
      </c>
      <c r="J2480">
        <v>1.4250000000000001E-3</v>
      </c>
      <c r="K2480" t="s">
        <v>57</v>
      </c>
      <c r="N2480" t="s">
        <v>642</v>
      </c>
      <c r="O2480">
        <v>212</v>
      </c>
      <c r="P2480" t="s">
        <v>262</v>
      </c>
      <c r="S2480" t="s">
        <v>643</v>
      </c>
      <c r="T2480">
        <v>32</v>
      </c>
      <c r="U2480" t="s">
        <v>644</v>
      </c>
      <c r="V2480">
        <v>45</v>
      </c>
      <c r="W2480" t="s">
        <v>540</v>
      </c>
      <c r="X2480" t="s">
        <v>280</v>
      </c>
      <c r="Y2480">
        <v>4320</v>
      </c>
      <c r="Z2480">
        <v>1</v>
      </c>
      <c r="AB2480">
        <v>3.41</v>
      </c>
      <c r="AC2480" t="s">
        <v>85</v>
      </c>
      <c r="AD2480" t="s">
        <v>666</v>
      </c>
      <c r="AE2480" t="s">
        <v>138</v>
      </c>
      <c r="AI2480">
        <v>5</v>
      </c>
      <c r="AJ2480" t="s">
        <v>201</v>
      </c>
      <c r="AT2480" t="s">
        <v>212</v>
      </c>
      <c r="AV2480" t="s">
        <v>88</v>
      </c>
      <c r="AX2480">
        <v>212</v>
      </c>
    </row>
    <row r="2481" spans="1:50" hidden="1" x14ac:dyDescent="0.3">
      <c r="A2481" t="s">
        <v>641</v>
      </c>
      <c r="C2481" t="s">
        <v>251</v>
      </c>
      <c r="D2481" t="s">
        <v>81</v>
      </c>
      <c r="E2481">
        <v>10000000</v>
      </c>
      <c r="H2481">
        <v>14.25</v>
      </c>
      <c r="I2481" t="s">
        <v>56</v>
      </c>
      <c r="J2481">
        <v>1.4250000000000001E-3</v>
      </c>
      <c r="K2481" t="s">
        <v>57</v>
      </c>
      <c r="N2481" t="s">
        <v>642</v>
      </c>
      <c r="O2481">
        <v>300</v>
      </c>
      <c r="P2481" t="s">
        <v>262</v>
      </c>
      <c r="S2481" t="s">
        <v>643</v>
      </c>
      <c r="T2481">
        <v>32</v>
      </c>
      <c r="U2481" t="s">
        <v>644</v>
      </c>
      <c r="V2481">
        <v>45</v>
      </c>
      <c r="W2481" t="s">
        <v>147</v>
      </c>
      <c r="X2481" t="s">
        <v>280</v>
      </c>
      <c r="Y2481">
        <v>3600</v>
      </c>
      <c r="Z2481">
        <v>1</v>
      </c>
      <c r="AB2481">
        <v>3.95</v>
      </c>
      <c r="AC2481" t="s">
        <v>85</v>
      </c>
      <c r="AD2481" t="s">
        <v>515</v>
      </c>
      <c r="AE2481" t="s">
        <v>138</v>
      </c>
      <c r="AI2481">
        <v>5</v>
      </c>
      <c r="AJ2481" t="s">
        <v>201</v>
      </c>
      <c r="AT2481" t="s">
        <v>150</v>
      </c>
      <c r="AV2481" t="s">
        <v>88</v>
      </c>
      <c r="AX2481">
        <v>300</v>
      </c>
    </row>
    <row r="2482" spans="1:50" hidden="1" x14ac:dyDescent="0.3">
      <c r="A2482" t="s">
        <v>641</v>
      </c>
      <c r="C2482" t="s">
        <v>251</v>
      </c>
      <c r="D2482" t="s">
        <v>81</v>
      </c>
      <c r="E2482">
        <v>10000000</v>
      </c>
      <c r="H2482">
        <v>14.25</v>
      </c>
      <c r="I2482" t="s">
        <v>56</v>
      </c>
      <c r="J2482">
        <v>1.4250000000000001E-3</v>
      </c>
      <c r="K2482" t="s">
        <v>57</v>
      </c>
      <c r="N2482" t="s">
        <v>642</v>
      </c>
      <c r="O2482">
        <v>300</v>
      </c>
      <c r="P2482" t="s">
        <v>262</v>
      </c>
      <c r="S2482" t="s">
        <v>643</v>
      </c>
      <c r="T2482">
        <v>32</v>
      </c>
      <c r="U2482" t="s">
        <v>644</v>
      </c>
      <c r="V2482">
        <v>45</v>
      </c>
      <c r="W2482" t="s">
        <v>468</v>
      </c>
      <c r="X2482" t="s">
        <v>280</v>
      </c>
      <c r="Y2482">
        <v>3600</v>
      </c>
      <c r="AB2482">
        <v>4.0199999999999898</v>
      </c>
      <c r="AC2482" t="s">
        <v>85</v>
      </c>
      <c r="AD2482" t="s">
        <v>234</v>
      </c>
      <c r="AE2482" t="s">
        <v>138</v>
      </c>
      <c r="AI2482">
        <v>5</v>
      </c>
      <c r="AJ2482" t="s">
        <v>201</v>
      </c>
      <c r="AT2482" t="s">
        <v>318</v>
      </c>
      <c r="AV2482" t="s">
        <v>88</v>
      </c>
      <c r="AX2482">
        <v>300</v>
      </c>
    </row>
    <row r="2483" spans="1:50" hidden="1" x14ac:dyDescent="0.3">
      <c r="A2483" t="s">
        <v>641</v>
      </c>
      <c r="C2483" t="s">
        <v>251</v>
      </c>
      <c r="D2483" t="s">
        <v>81</v>
      </c>
      <c r="E2483">
        <v>10000000</v>
      </c>
      <c r="H2483">
        <v>14.25</v>
      </c>
      <c r="I2483" t="s">
        <v>56</v>
      </c>
      <c r="J2483">
        <v>1.4250000000000001E-3</v>
      </c>
      <c r="K2483" t="s">
        <v>57</v>
      </c>
      <c r="N2483" t="s">
        <v>642</v>
      </c>
      <c r="O2483">
        <v>300</v>
      </c>
      <c r="P2483" t="s">
        <v>262</v>
      </c>
      <c r="S2483" t="s">
        <v>643</v>
      </c>
      <c r="T2483">
        <v>32</v>
      </c>
      <c r="U2483" t="s">
        <v>644</v>
      </c>
      <c r="V2483">
        <v>45</v>
      </c>
      <c r="W2483" t="s">
        <v>72</v>
      </c>
      <c r="X2483" t="s">
        <v>280</v>
      </c>
      <c r="Y2483">
        <v>3600</v>
      </c>
      <c r="AB2483">
        <v>7.45</v>
      </c>
      <c r="AC2483" t="s">
        <v>85</v>
      </c>
      <c r="AD2483" t="s">
        <v>328</v>
      </c>
      <c r="AE2483" t="s">
        <v>138</v>
      </c>
      <c r="AI2483">
        <v>5</v>
      </c>
      <c r="AJ2483" t="s">
        <v>201</v>
      </c>
      <c r="AT2483" t="s">
        <v>73</v>
      </c>
      <c r="AV2483" t="s">
        <v>88</v>
      </c>
      <c r="AX2483">
        <v>300</v>
      </c>
    </row>
    <row r="2484" spans="1:50" hidden="1" x14ac:dyDescent="0.3">
      <c r="A2484" t="s">
        <v>641</v>
      </c>
      <c r="C2484" t="s">
        <v>251</v>
      </c>
      <c r="D2484" t="s">
        <v>81</v>
      </c>
      <c r="E2484">
        <v>10000000</v>
      </c>
      <c r="H2484">
        <v>14.25</v>
      </c>
      <c r="I2484" t="s">
        <v>56</v>
      </c>
      <c r="J2484">
        <v>1.4250000000000001E-3</v>
      </c>
      <c r="K2484" t="s">
        <v>57</v>
      </c>
      <c r="N2484" t="s">
        <v>642</v>
      </c>
      <c r="O2484">
        <v>300</v>
      </c>
      <c r="P2484" t="s">
        <v>262</v>
      </c>
      <c r="S2484" t="s">
        <v>643</v>
      </c>
      <c r="T2484">
        <v>32</v>
      </c>
      <c r="U2484" t="s">
        <v>644</v>
      </c>
      <c r="V2484">
        <v>45</v>
      </c>
      <c r="W2484" t="s">
        <v>540</v>
      </c>
      <c r="X2484" t="s">
        <v>280</v>
      </c>
      <c r="Y2484">
        <v>3600</v>
      </c>
      <c r="AB2484">
        <v>3.01</v>
      </c>
      <c r="AC2484" t="s">
        <v>85</v>
      </c>
      <c r="AD2484" t="s">
        <v>527</v>
      </c>
      <c r="AE2484" t="s">
        <v>138</v>
      </c>
      <c r="AI2484">
        <v>5</v>
      </c>
      <c r="AJ2484" t="s">
        <v>201</v>
      </c>
      <c r="AT2484" t="s">
        <v>212</v>
      </c>
      <c r="AV2484" t="s">
        <v>88</v>
      </c>
      <c r="AX2484">
        <v>300</v>
      </c>
    </row>
    <row r="2485" spans="1:50" x14ac:dyDescent="0.3">
      <c r="A2485" t="s">
        <v>667</v>
      </c>
      <c r="C2485" t="s">
        <v>251</v>
      </c>
      <c r="D2485" t="s">
        <v>81</v>
      </c>
      <c r="E2485">
        <v>10000000</v>
      </c>
      <c r="H2485">
        <v>11.4</v>
      </c>
      <c r="I2485" t="s">
        <v>668</v>
      </c>
      <c r="J2485">
        <v>1.1399999999999999E-5</v>
      </c>
      <c r="K2485" t="s">
        <v>252</v>
      </c>
      <c r="L2485" t="s">
        <v>112</v>
      </c>
      <c r="O2485">
        <v>99.4</v>
      </c>
      <c r="P2485" t="s">
        <v>59</v>
      </c>
      <c r="S2485">
        <v>0.22</v>
      </c>
      <c r="T2485">
        <v>19.809999999999899</v>
      </c>
      <c r="U2485" t="s">
        <v>669</v>
      </c>
      <c r="V2485">
        <v>32.01</v>
      </c>
      <c r="W2485" t="s">
        <v>670</v>
      </c>
      <c r="X2485" t="s">
        <v>671</v>
      </c>
      <c r="Y2485">
        <v>20160</v>
      </c>
      <c r="AB2485">
        <v>1.06</v>
      </c>
      <c r="AC2485" t="s">
        <v>85</v>
      </c>
      <c r="AD2485" t="s">
        <v>104</v>
      </c>
      <c r="AE2485" t="s">
        <v>138</v>
      </c>
      <c r="AI2485">
        <v>5</v>
      </c>
      <c r="AK2485">
        <v>10.24</v>
      </c>
      <c r="AL2485" t="s">
        <v>220</v>
      </c>
      <c r="AM2485">
        <v>1.0240000000000001E-2</v>
      </c>
      <c r="AN2485" t="s">
        <v>82</v>
      </c>
      <c r="AT2485" t="s">
        <v>221</v>
      </c>
      <c r="AU2485">
        <v>0</v>
      </c>
      <c r="AV2485" t="s">
        <v>672</v>
      </c>
    </row>
    <row r="2486" spans="1:50" x14ac:dyDescent="0.3">
      <c r="A2486" t="s">
        <v>667</v>
      </c>
      <c r="C2486" t="s">
        <v>251</v>
      </c>
      <c r="D2486" t="s">
        <v>81</v>
      </c>
      <c r="E2486">
        <v>10000000</v>
      </c>
      <c r="H2486">
        <v>11.4</v>
      </c>
      <c r="I2486" t="s">
        <v>668</v>
      </c>
      <c r="J2486">
        <v>1.1399999999999999E-5</v>
      </c>
      <c r="K2486" t="s">
        <v>252</v>
      </c>
      <c r="L2486" t="s">
        <v>112</v>
      </c>
      <c r="O2486">
        <v>99.4</v>
      </c>
      <c r="P2486" t="s">
        <v>59</v>
      </c>
      <c r="S2486">
        <v>0.38</v>
      </c>
      <c r="T2486">
        <v>21.55</v>
      </c>
      <c r="U2486" t="s">
        <v>673</v>
      </c>
      <c r="V2486">
        <v>45.9</v>
      </c>
      <c r="W2486" t="s">
        <v>670</v>
      </c>
      <c r="X2486" t="s">
        <v>671</v>
      </c>
      <c r="Y2486">
        <v>20160</v>
      </c>
      <c r="AB2486">
        <v>0.63</v>
      </c>
      <c r="AC2486" t="s">
        <v>85</v>
      </c>
      <c r="AD2486" t="s">
        <v>527</v>
      </c>
      <c r="AE2486" t="s">
        <v>138</v>
      </c>
      <c r="AI2486">
        <v>5</v>
      </c>
      <c r="AK2486">
        <v>4.17</v>
      </c>
      <c r="AL2486" t="s">
        <v>220</v>
      </c>
      <c r="AM2486">
        <v>4.1700000000000001E-3</v>
      </c>
      <c r="AN2486" t="s">
        <v>82</v>
      </c>
      <c r="AT2486" t="s">
        <v>221</v>
      </c>
      <c r="AU2486">
        <v>0</v>
      </c>
      <c r="AV2486" t="s">
        <v>672</v>
      </c>
    </row>
    <row r="2487" spans="1:50" x14ac:dyDescent="0.3">
      <c r="A2487" t="s">
        <v>667</v>
      </c>
      <c r="C2487" t="s">
        <v>251</v>
      </c>
      <c r="D2487" t="s">
        <v>81</v>
      </c>
      <c r="E2487">
        <v>10000000</v>
      </c>
      <c r="H2487">
        <v>11.4</v>
      </c>
      <c r="I2487" t="s">
        <v>668</v>
      </c>
      <c r="J2487">
        <v>1.1399999999999999E-5</v>
      </c>
      <c r="K2487" t="s">
        <v>252</v>
      </c>
      <c r="L2487" t="s">
        <v>112</v>
      </c>
      <c r="O2487">
        <v>99.4</v>
      </c>
      <c r="P2487" t="s">
        <v>59</v>
      </c>
      <c r="S2487">
        <v>0.68</v>
      </c>
      <c r="T2487">
        <v>21.78</v>
      </c>
      <c r="U2487" t="s">
        <v>674</v>
      </c>
      <c r="V2487">
        <v>49.85</v>
      </c>
      <c r="W2487" t="s">
        <v>670</v>
      </c>
      <c r="X2487" t="s">
        <v>671</v>
      </c>
      <c r="Y2487">
        <v>20160</v>
      </c>
      <c r="AB2487">
        <v>1.27</v>
      </c>
      <c r="AC2487" t="s">
        <v>85</v>
      </c>
      <c r="AD2487" t="s">
        <v>433</v>
      </c>
      <c r="AE2487" t="s">
        <v>138</v>
      </c>
      <c r="AI2487">
        <v>5</v>
      </c>
      <c r="AK2487">
        <v>6.38</v>
      </c>
      <c r="AL2487" t="s">
        <v>220</v>
      </c>
      <c r="AM2487">
        <v>6.3800000000000003E-3</v>
      </c>
      <c r="AN2487" t="s">
        <v>82</v>
      </c>
      <c r="AT2487" t="s">
        <v>221</v>
      </c>
      <c r="AU2487">
        <v>0</v>
      </c>
      <c r="AV2487" t="s">
        <v>672</v>
      </c>
    </row>
    <row r="2488" spans="1:50" x14ac:dyDescent="0.3">
      <c r="A2488" t="s">
        <v>667</v>
      </c>
      <c r="C2488" t="s">
        <v>251</v>
      </c>
      <c r="D2488" t="s">
        <v>81</v>
      </c>
      <c r="E2488">
        <v>10000000</v>
      </c>
      <c r="H2488">
        <v>11.4</v>
      </c>
      <c r="I2488" t="s">
        <v>668</v>
      </c>
      <c r="J2488">
        <v>1.1399999999999999E-5</v>
      </c>
      <c r="K2488" t="s">
        <v>252</v>
      </c>
      <c r="L2488" t="s">
        <v>112</v>
      </c>
      <c r="O2488">
        <v>99.4</v>
      </c>
      <c r="P2488" t="s">
        <v>59</v>
      </c>
      <c r="S2488">
        <v>0.22</v>
      </c>
      <c r="T2488">
        <v>19.809999999999899</v>
      </c>
      <c r="U2488" t="s">
        <v>669</v>
      </c>
      <c r="V2488">
        <v>32.01</v>
      </c>
      <c r="W2488" t="s">
        <v>670</v>
      </c>
      <c r="X2488" t="s">
        <v>671</v>
      </c>
      <c r="Y2488">
        <v>20160</v>
      </c>
      <c r="AB2488">
        <v>0.49</v>
      </c>
      <c r="AC2488" t="s">
        <v>85</v>
      </c>
      <c r="AD2488" t="s">
        <v>248</v>
      </c>
      <c r="AE2488" t="s">
        <v>138</v>
      </c>
      <c r="AI2488">
        <v>5</v>
      </c>
      <c r="AK2488">
        <v>10.24</v>
      </c>
      <c r="AL2488" t="s">
        <v>220</v>
      </c>
      <c r="AM2488">
        <v>1.0240000000000001E-2</v>
      </c>
      <c r="AN2488" t="s">
        <v>82</v>
      </c>
      <c r="AT2488" t="s">
        <v>221</v>
      </c>
      <c r="AU2488">
        <v>0</v>
      </c>
      <c r="AV2488" t="s">
        <v>672</v>
      </c>
    </row>
    <row r="2489" spans="1:50" x14ac:dyDescent="0.3">
      <c r="A2489" t="s">
        <v>667</v>
      </c>
      <c r="C2489" t="s">
        <v>251</v>
      </c>
      <c r="D2489" t="s">
        <v>81</v>
      </c>
      <c r="E2489">
        <v>10000000</v>
      </c>
      <c r="H2489">
        <v>11.4</v>
      </c>
      <c r="I2489" t="s">
        <v>668</v>
      </c>
      <c r="J2489">
        <v>1.1399999999999999E-5</v>
      </c>
      <c r="K2489" t="s">
        <v>252</v>
      </c>
      <c r="L2489" t="s">
        <v>112</v>
      </c>
      <c r="O2489">
        <v>99.4</v>
      </c>
      <c r="P2489" t="s">
        <v>59</v>
      </c>
      <c r="S2489">
        <v>0.38</v>
      </c>
      <c r="T2489">
        <v>21.55</v>
      </c>
      <c r="U2489" t="s">
        <v>673</v>
      </c>
      <c r="V2489">
        <v>45.9</v>
      </c>
      <c r="W2489" t="s">
        <v>670</v>
      </c>
      <c r="X2489" t="s">
        <v>671</v>
      </c>
      <c r="Y2489">
        <v>20160</v>
      </c>
      <c r="AB2489">
        <v>0.26</v>
      </c>
      <c r="AC2489" t="s">
        <v>85</v>
      </c>
      <c r="AD2489" t="s">
        <v>236</v>
      </c>
      <c r="AE2489" t="s">
        <v>138</v>
      </c>
      <c r="AI2489">
        <v>5</v>
      </c>
      <c r="AK2489">
        <v>4.17</v>
      </c>
      <c r="AL2489" t="s">
        <v>220</v>
      </c>
      <c r="AM2489">
        <v>4.1700000000000001E-3</v>
      </c>
      <c r="AN2489" t="s">
        <v>82</v>
      </c>
      <c r="AT2489" t="s">
        <v>221</v>
      </c>
      <c r="AU2489">
        <v>0</v>
      </c>
      <c r="AV2489" t="s">
        <v>672</v>
      </c>
    </row>
    <row r="2490" spans="1:50" x14ac:dyDescent="0.3">
      <c r="A2490" t="s">
        <v>667</v>
      </c>
      <c r="C2490" t="s">
        <v>251</v>
      </c>
      <c r="D2490" t="s">
        <v>81</v>
      </c>
      <c r="E2490">
        <v>10000000</v>
      </c>
      <c r="H2490">
        <v>11.4</v>
      </c>
      <c r="I2490" t="s">
        <v>668</v>
      </c>
      <c r="J2490">
        <v>1.1399999999999999E-5</v>
      </c>
      <c r="K2490" t="s">
        <v>252</v>
      </c>
      <c r="L2490" t="s">
        <v>112</v>
      </c>
      <c r="O2490">
        <v>99.4</v>
      </c>
      <c r="P2490" t="s">
        <v>59</v>
      </c>
      <c r="S2490">
        <v>0.68</v>
      </c>
      <c r="T2490">
        <v>21.78</v>
      </c>
      <c r="U2490" t="s">
        <v>674</v>
      </c>
      <c r="V2490">
        <v>49.85</v>
      </c>
      <c r="W2490" t="s">
        <v>670</v>
      </c>
      <c r="X2490" t="s">
        <v>671</v>
      </c>
      <c r="Y2490">
        <v>20160</v>
      </c>
      <c r="AB2490">
        <v>0.09</v>
      </c>
      <c r="AC2490" t="s">
        <v>85</v>
      </c>
      <c r="AD2490" t="s">
        <v>236</v>
      </c>
      <c r="AE2490" t="s">
        <v>138</v>
      </c>
      <c r="AI2490">
        <v>5</v>
      </c>
      <c r="AK2490">
        <v>6.38</v>
      </c>
      <c r="AL2490" t="s">
        <v>220</v>
      </c>
      <c r="AM2490">
        <v>6.3800000000000003E-3</v>
      </c>
      <c r="AN2490" t="s">
        <v>82</v>
      </c>
      <c r="AT2490" t="s">
        <v>221</v>
      </c>
      <c r="AU2490">
        <v>0</v>
      </c>
      <c r="AV2490" t="s">
        <v>672</v>
      </c>
    </row>
    <row r="2491" spans="1:50" x14ac:dyDescent="0.3">
      <c r="A2491" t="s">
        <v>667</v>
      </c>
      <c r="C2491" t="s">
        <v>251</v>
      </c>
      <c r="D2491" t="s">
        <v>81</v>
      </c>
      <c r="E2491">
        <v>10000000</v>
      </c>
      <c r="H2491">
        <v>11.4</v>
      </c>
      <c r="I2491" t="s">
        <v>668</v>
      </c>
      <c r="J2491">
        <v>1.1399999999999999E-5</v>
      </c>
      <c r="K2491" t="s">
        <v>252</v>
      </c>
      <c r="L2491" t="s">
        <v>112</v>
      </c>
      <c r="O2491">
        <v>99.4</v>
      </c>
      <c r="P2491" t="s">
        <v>59</v>
      </c>
      <c r="S2491">
        <v>0.22</v>
      </c>
      <c r="T2491">
        <v>19.809999999999899</v>
      </c>
      <c r="U2491" t="s">
        <v>669</v>
      </c>
      <c r="V2491">
        <v>32.01</v>
      </c>
      <c r="W2491" t="s">
        <v>675</v>
      </c>
      <c r="X2491" t="s">
        <v>671</v>
      </c>
      <c r="Y2491">
        <v>20160</v>
      </c>
      <c r="AB2491">
        <v>0.38</v>
      </c>
      <c r="AC2491" t="s">
        <v>85</v>
      </c>
      <c r="AD2491" t="s">
        <v>103</v>
      </c>
      <c r="AE2491" t="s">
        <v>138</v>
      </c>
      <c r="AI2491">
        <v>5</v>
      </c>
      <c r="AK2491">
        <v>10.24</v>
      </c>
      <c r="AL2491" t="s">
        <v>220</v>
      </c>
      <c r="AM2491">
        <v>1.0240000000000001E-2</v>
      </c>
      <c r="AN2491" t="s">
        <v>82</v>
      </c>
      <c r="AT2491" t="s">
        <v>221</v>
      </c>
      <c r="AU2491">
        <v>0</v>
      </c>
      <c r="AV2491" t="s">
        <v>672</v>
      </c>
    </row>
    <row r="2492" spans="1:50" x14ac:dyDescent="0.3">
      <c r="A2492" t="s">
        <v>667</v>
      </c>
      <c r="C2492" t="s">
        <v>251</v>
      </c>
      <c r="D2492" t="s">
        <v>81</v>
      </c>
      <c r="E2492">
        <v>10000000</v>
      </c>
      <c r="H2492">
        <v>11.4</v>
      </c>
      <c r="I2492" t="s">
        <v>668</v>
      </c>
      <c r="J2492">
        <v>1.1399999999999999E-5</v>
      </c>
      <c r="K2492" t="s">
        <v>252</v>
      </c>
      <c r="L2492" t="s">
        <v>112</v>
      </c>
      <c r="O2492">
        <v>99.4</v>
      </c>
      <c r="P2492" t="s">
        <v>59</v>
      </c>
      <c r="S2492">
        <v>0.38</v>
      </c>
      <c r="T2492">
        <v>21.55</v>
      </c>
      <c r="U2492" t="s">
        <v>673</v>
      </c>
      <c r="V2492">
        <v>45.9</v>
      </c>
      <c r="W2492" t="s">
        <v>675</v>
      </c>
      <c r="X2492" t="s">
        <v>671</v>
      </c>
      <c r="Y2492">
        <v>20160</v>
      </c>
      <c r="AB2492">
        <v>0.83</v>
      </c>
      <c r="AC2492" t="s">
        <v>85</v>
      </c>
      <c r="AD2492" t="s">
        <v>500</v>
      </c>
      <c r="AE2492" t="s">
        <v>138</v>
      </c>
      <c r="AI2492">
        <v>5</v>
      </c>
      <c r="AK2492">
        <v>4.17</v>
      </c>
      <c r="AL2492" t="s">
        <v>220</v>
      </c>
      <c r="AM2492">
        <v>4.1700000000000001E-3</v>
      </c>
      <c r="AN2492" t="s">
        <v>82</v>
      </c>
      <c r="AT2492" t="s">
        <v>221</v>
      </c>
      <c r="AU2492">
        <v>0</v>
      </c>
      <c r="AV2492" t="s">
        <v>672</v>
      </c>
    </row>
    <row r="2493" spans="1:50" x14ac:dyDescent="0.3">
      <c r="A2493" t="s">
        <v>667</v>
      </c>
      <c r="C2493" t="s">
        <v>251</v>
      </c>
      <c r="D2493" t="s">
        <v>81</v>
      </c>
      <c r="E2493">
        <v>10000000</v>
      </c>
      <c r="H2493">
        <v>11.4</v>
      </c>
      <c r="I2493" t="s">
        <v>668</v>
      </c>
      <c r="J2493">
        <v>1.1399999999999999E-5</v>
      </c>
      <c r="K2493" t="s">
        <v>252</v>
      </c>
      <c r="L2493" t="s">
        <v>112</v>
      </c>
      <c r="O2493">
        <v>99.4</v>
      </c>
      <c r="P2493" t="s">
        <v>59</v>
      </c>
      <c r="S2493">
        <v>0.68</v>
      </c>
      <c r="T2493">
        <v>21.78</v>
      </c>
      <c r="U2493" t="s">
        <v>674</v>
      </c>
      <c r="V2493">
        <v>49.85</v>
      </c>
      <c r="W2493" t="s">
        <v>675</v>
      </c>
      <c r="X2493" t="s">
        <v>671</v>
      </c>
      <c r="Y2493">
        <v>20160</v>
      </c>
      <c r="AB2493">
        <v>0.89</v>
      </c>
      <c r="AC2493" t="s">
        <v>85</v>
      </c>
      <c r="AD2493" t="s">
        <v>423</v>
      </c>
      <c r="AE2493" t="s">
        <v>138</v>
      </c>
      <c r="AI2493">
        <v>5</v>
      </c>
      <c r="AK2493">
        <v>6.38</v>
      </c>
      <c r="AL2493" t="s">
        <v>220</v>
      </c>
      <c r="AM2493">
        <v>6.3800000000000003E-3</v>
      </c>
      <c r="AN2493" t="s">
        <v>82</v>
      </c>
      <c r="AT2493" t="s">
        <v>221</v>
      </c>
      <c r="AU2493">
        <v>0</v>
      </c>
      <c r="AV2493" t="s">
        <v>672</v>
      </c>
    </row>
    <row r="2494" spans="1:50" x14ac:dyDescent="0.3">
      <c r="A2494" t="s">
        <v>667</v>
      </c>
      <c r="C2494" t="s">
        <v>251</v>
      </c>
      <c r="D2494" t="s">
        <v>81</v>
      </c>
      <c r="E2494">
        <v>10000000</v>
      </c>
      <c r="H2494">
        <v>11.4</v>
      </c>
      <c r="I2494" t="s">
        <v>668</v>
      </c>
      <c r="J2494">
        <v>1.1399999999999999E-5</v>
      </c>
      <c r="K2494" t="s">
        <v>252</v>
      </c>
      <c r="L2494" t="s">
        <v>112</v>
      </c>
      <c r="O2494">
        <v>99.4</v>
      </c>
      <c r="P2494" t="s">
        <v>59</v>
      </c>
      <c r="S2494">
        <v>0.22</v>
      </c>
      <c r="T2494">
        <v>19.809999999999899</v>
      </c>
      <c r="U2494" t="s">
        <v>669</v>
      </c>
      <c r="V2494">
        <v>32.01</v>
      </c>
      <c r="W2494" t="s">
        <v>676</v>
      </c>
      <c r="X2494" t="s">
        <v>671</v>
      </c>
      <c r="Y2494">
        <v>20160</v>
      </c>
      <c r="AB2494">
        <v>0.3</v>
      </c>
      <c r="AC2494" t="s">
        <v>85</v>
      </c>
      <c r="AD2494" t="s">
        <v>228</v>
      </c>
      <c r="AE2494" t="s">
        <v>138</v>
      </c>
      <c r="AI2494">
        <v>5</v>
      </c>
      <c r="AK2494">
        <v>10.24</v>
      </c>
      <c r="AL2494" t="s">
        <v>220</v>
      </c>
      <c r="AM2494">
        <v>1.0240000000000001E-2</v>
      </c>
      <c r="AN2494" t="s">
        <v>82</v>
      </c>
      <c r="AT2494" t="s">
        <v>221</v>
      </c>
      <c r="AU2494">
        <v>0</v>
      </c>
      <c r="AV2494" t="s">
        <v>672</v>
      </c>
    </row>
    <row r="2495" spans="1:50" x14ac:dyDescent="0.3">
      <c r="A2495" t="s">
        <v>667</v>
      </c>
      <c r="C2495" t="s">
        <v>251</v>
      </c>
      <c r="D2495" t="s">
        <v>81</v>
      </c>
      <c r="E2495">
        <v>10000000</v>
      </c>
      <c r="H2495">
        <v>11.4</v>
      </c>
      <c r="I2495" t="s">
        <v>668</v>
      </c>
      <c r="J2495">
        <v>1.1399999999999999E-5</v>
      </c>
      <c r="K2495" t="s">
        <v>252</v>
      </c>
      <c r="L2495" t="s">
        <v>112</v>
      </c>
      <c r="O2495">
        <v>99.4</v>
      </c>
      <c r="P2495" t="s">
        <v>59</v>
      </c>
      <c r="S2495">
        <v>0.38</v>
      </c>
      <c r="T2495">
        <v>21.55</v>
      </c>
      <c r="U2495" t="s">
        <v>673</v>
      </c>
      <c r="V2495">
        <v>45.9</v>
      </c>
      <c r="W2495" t="s">
        <v>676</v>
      </c>
      <c r="X2495" t="s">
        <v>671</v>
      </c>
      <c r="Y2495">
        <v>20160</v>
      </c>
      <c r="AB2495">
        <v>0.91</v>
      </c>
      <c r="AC2495" t="s">
        <v>85</v>
      </c>
      <c r="AD2495" t="s">
        <v>365</v>
      </c>
      <c r="AE2495" t="s">
        <v>138</v>
      </c>
      <c r="AI2495">
        <v>5</v>
      </c>
      <c r="AK2495">
        <v>4.17</v>
      </c>
      <c r="AL2495" t="s">
        <v>220</v>
      </c>
      <c r="AM2495">
        <v>4.1700000000000001E-3</v>
      </c>
      <c r="AN2495" t="s">
        <v>82</v>
      </c>
      <c r="AT2495" t="s">
        <v>221</v>
      </c>
      <c r="AU2495">
        <v>0</v>
      </c>
      <c r="AV2495" t="s">
        <v>672</v>
      </c>
    </row>
    <row r="2496" spans="1:50" x14ac:dyDescent="0.3">
      <c r="A2496" t="s">
        <v>667</v>
      </c>
      <c r="C2496" t="s">
        <v>251</v>
      </c>
      <c r="D2496" t="s">
        <v>81</v>
      </c>
      <c r="E2496">
        <v>10000000</v>
      </c>
      <c r="H2496">
        <v>11.4</v>
      </c>
      <c r="I2496" t="s">
        <v>668</v>
      </c>
      <c r="J2496">
        <v>1.1399999999999999E-5</v>
      </c>
      <c r="K2496" t="s">
        <v>252</v>
      </c>
      <c r="L2496" t="s">
        <v>112</v>
      </c>
      <c r="O2496">
        <v>99.4</v>
      </c>
      <c r="P2496" t="s">
        <v>59</v>
      </c>
      <c r="S2496">
        <v>0.68</v>
      </c>
      <c r="T2496">
        <v>21.78</v>
      </c>
      <c r="U2496" t="s">
        <v>674</v>
      </c>
      <c r="V2496">
        <v>49.85</v>
      </c>
      <c r="W2496" t="s">
        <v>676</v>
      </c>
      <c r="X2496" t="s">
        <v>671</v>
      </c>
      <c r="Y2496">
        <v>20160</v>
      </c>
      <c r="AB2496">
        <v>1.1000000000000001</v>
      </c>
      <c r="AC2496" t="s">
        <v>85</v>
      </c>
      <c r="AD2496" t="s">
        <v>92</v>
      </c>
      <c r="AE2496" t="s">
        <v>138</v>
      </c>
      <c r="AI2496">
        <v>5</v>
      </c>
      <c r="AK2496">
        <v>6.38</v>
      </c>
      <c r="AL2496" t="s">
        <v>220</v>
      </c>
      <c r="AM2496">
        <v>6.3800000000000003E-3</v>
      </c>
      <c r="AN2496" t="s">
        <v>82</v>
      </c>
      <c r="AT2496" t="s">
        <v>221</v>
      </c>
      <c r="AU2496">
        <v>0</v>
      </c>
      <c r="AV2496" t="s">
        <v>672</v>
      </c>
    </row>
    <row r="2497" spans="1:53" hidden="1" x14ac:dyDescent="0.3">
      <c r="A2497" t="s">
        <v>677</v>
      </c>
      <c r="C2497" t="s">
        <v>251</v>
      </c>
      <c r="D2497" t="s">
        <v>81</v>
      </c>
      <c r="E2497">
        <v>10000000</v>
      </c>
      <c r="H2497">
        <v>14.25</v>
      </c>
      <c r="I2497" t="s">
        <v>56</v>
      </c>
      <c r="J2497">
        <v>1.4250000000000001E-3</v>
      </c>
      <c r="K2497" t="s">
        <v>57</v>
      </c>
      <c r="L2497" t="s">
        <v>58</v>
      </c>
      <c r="O2497">
        <v>3000</v>
      </c>
      <c r="P2497" t="s">
        <v>315</v>
      </c>
      <c r="S2497">
        <v>2</v>
      </c>
      <c r="T2497">
        <v>24.5</v>
      </c>
      <c r="V2497">
        <v>90</v>
      </c>
      <c r="W2497" t="s">
        <v>358</v>
      </c>
      <c r="X2497" t="s">
        <v>280</v>
      </c>
      <c r="Y2497">
        <v>45</v>
      </c>
      <c r="AA2497" t="s">
        <v>184</v>
      </c>
      <c r="AB2497">
        <v>7.77</v>
      </c>
      <c r="AC2497" t="s">
        <v>85</v>
      </c>
      <c r="AD2497">
        <v>1.35E-2</v>
      </c>
      <c r="AE2497" t="s">
        <v>678</v>
      </c>
      <c r="AI2497">
        <v>5</v>
      </c>
      <c r="AT2497" t="s">
        <v>358</v>
      </c>
      <c r="AV2497" t="s">
        <v>88</v>
      </c>
      <c r="AW2497">
        <v>3000</v>
      </c>
      <c r="AZ2497">
        <v>0</v>
      </c>
      <c r="BA2497">
        <v>7.77</v>
      </c>
    </row>
    <row r="2498" spans="1:53" hidden="1" x14ac:dyDescent="0.3">
      <c r="A2498" t="s">
        <v>677</v>
      </c>
      <c r="C2498" t="s">
        <v>251</v>
      </c>
      <c r="D2498" t="s">
        <v>81</v>
      </c>
      <c r="E2498">
        <v>10000000</v>
      </c>
      <c r="H2498">
        <v>14.25</v>
      </c>
      <c r="I2498" t="s">
        <v>56</v>
      </c>
      <c r="J2498">
        <v>1.4250000000000001E-3</v>
      </c>
      <c r="K2498" t="s">
        <v>57</v>
      </c>
      <c r="L2498" t="s">
        <v>58</v>
      </c>
      <c r="O2498">
        <v>3000</v>
      </c>
      <c r="P2498" t="s">
        <v>315</v>
      </c>
      <c r="S2498">
        <v>2</v>
      </c>
      <c r="T2498">
        <v>24.5</v>
      </c>
      <c r="V2498">
        <v>90</v>
      </c>
      <c r="W2498" t="s">
        <v>358</v>
      </c>
      <c r="X2498" t="s">
        <v>280</v>
      </c>
      <c r="Y2498">
        <v>90</v>
      </c>
      <c r="AA2498" t="s">
        <v>184</v>
      </c>
      <c r="AB2498">
        <v>7.75</v>
      </c>
      <c r="AC2498" t="s">
        <v>85</v>
      </c>
      <c r="AD2498">
        <v>1.35E-2</v>
      </c>
      <c r="AE2498" t="s">
        <v>678</v>
      </c>
      <c r="AI2498">
        <v>5</v>
      </c>
      <c r="AT2498" t="s">
        <v>358</v>
      </c>
      <c r="AV2498" t="s">
        <v>88</v>
      </c>
      <c r="AW2498">
        <v>3000</v>
      </c>
      <c r="AZ2498">
        <v>0</v>
      </c>
      <c r="BA2498">
        <v>7.75</v>
      </c>
    </row>
    <row r="2499" spans="1:53" hidden="1" x14ac:dyDescent="0.3">
      <c r="A2499" t="s">
        <v>677</v>
      </c>
      <c r="C2499" t="s">
        <v>251</v>
      </c>
      <c r="D2499" t="s">
        <v>81</v>
      </c>
      <c r="E2499">
        <v>10000000</v>
      </c>
      <c r="H2499">
        <v>14.25</v>
      </c>
      <c r="I2499" t="s">
        <v>56</v>
      </c>
      <c r="J2499">
        <v>1.4250000000000001E-3</v>
      </c>
      <c r="K2499" t="s">
        <v>57</v>
      </c>
      <c r="L2499" t="s">
        <v>58</v>
      </c>
      <c r="O2499">
        <v>3000</v>
      </c>
      <c r="P2499" t="s">
        <v>315</v>
      </c>
      <c r="S2499">
        <v>2</v>
      </c>
      <c r="T2499">
        <v>24.5</v>
      </c>
      <c r="V2499">
        <v>90</v>
      </c>
      <c r="W2499" t="s">
        <v>358</v>
      </c>
      <c r="X2499" t="s">
        <v>280</v>
      </c>
      <c r="Y2499">
        <v>180</v>
      </c>
      <c r="AA2499" t="s">
        <v>184</v>
      </c>
      <c r="AB2499">
        <v>7.85</v>
      </c>
      <c r="AC2499" t="s">
        <v>85</v>
      </c>
      <c r="AD2499">
        <v>1.35E-2</v>
      </c>
      <c r="AE2499" t="s">
        <v>678</v>
      </c>
      <c r="AI2499">
        <v>5</v>
      </c>
      <c r="AT2499" t="s">
        <v>358</v>
      </c>
      <c r="AV2499" t="s">
        <v>88</v>
      </c>
      <c r="AW2499">
        <v>3000</v>
      </c>
      <c r="AZ2499">
        <v>0</v>
      </c>
      <c r="BA2499">
        <v>7.85</v>
      </c>
    </row>
    <row r="2500" spans="1:53" hidden="1" x14ac:dyDescent="0.3">
      <c r="A2500" t="s">
        <v>677</v>
      </c>
      <c r="C2500" t="s">
        <v>251</v>
      </c>
      <c r="D2500" t="s">
        <v>81</v>
      </c>
      <c r="E2500">
        <v>10000000</v>
      </c>
      <c r="H2500">
        <v>14.25</v>
      </c>
      <c r="I2500" t="s">
        <v>56</v>
      </c>
      <c r="J2500">
        <v>1.4250000000000001E-3</v>
      </c>
      <c r="K2500" t="s">
        <v>57</v>
      </c>
      <c r="L2500" t="s">
        <v>58</v>
      </c>
      <c r="O2500">
        <v>1500</v>
      </c>
      <c r="P2500" t="s">
        <v>315</v>
      </c>
      <c r="S2500">
        <v>2</v>
      </c>
      <c r="T2500">
        <v>24.5</v>
      </c>
      <c r="V2500">
        <v>84</v>
      </c>
      <c r="W2500" t="s">
        <v>358</v>
      </c>
      <c r="X2500" t="s">
        <v>280</v>
      </c>
      <c r="Y2500">
        <v>90</v>
      </c>
      <c r="AA2500" t="s">
        <v>184</v>
      </c>
      <c r="AB2500">
        <v>7.89</v>
      </c>
      <c r="AC2500" t="s">
        <v>85</v>
      </c>
      <c r="AD2500">
        <v>1.35E-2</v>
      </c>
      <c r="AE2500" t="s">
        <v>678</v>
      </c>
      <c r="AI2500">
        <v>5</v>
      </c>
      <c r="AT2500" t="s">
        <v>358</v>
      </c>
      <c r="AV2500" t="s">
        <v>88</v>
      </c>
      <c r="AW2500">
        <v>1500</v>
      </c>
      <c r="AZ2500">
        <v>0</v>
      </c>
      <c r="BA2500">
        <v>7.89</v>
      </c>
    </row>
    <row r="2501" spans="1:53" hidden="1" x14ac:dyDescent="0.3">
      <c r="A2501" t="s">
        <v>677</v>
      </c>
      <c r="C2501" t="s">
        <v>251</v>
      </c>
      <c r="D2501" t="s">
        <v>81</v>
      </c>
      <c r="E2501">
        <v>10000000</v>
      </c>
      <c r="H2501">
        <v>14.25</v>
      </c>
      <c r="I2501" t="s">
        <v>56</v>
      </c>
      <c r="J2501">
        <v>1.4250000000000001E-3</v>
      </c>
      <c r="K2501" t="s">
        <v>57</v>
      </c>
      <c r="L2501" t="s">
        <v>58</v>
      </c>
      <c r="O2501">
        <v>1500</v>
      </c>
      <c r="P2501" t="s">
        <v>315</v>
      </c>
      <c r="S2501">
        <v>2</v>
      </c>
      <c r="T2501">
        <v>24.5</v>
      </c>
      <c r="V2501">
        <v>84</v>
      </c>
      <c r="W2501" t="s">
        <v>358</v>
      </c>
      <c r="X2501" t="s">
        <v>280</v>
      </c>
      <c r="Y2501">
        <v>180</v>
      </c>
      <c r="AA2501" t="s">
        <v>184</v>
      </c>
      <c r="AB2501">
        <v>7.84</v>
      </c>
      <c r="AC2501" t="s">
        <v>85</v>
      </c>
      <c r="AD2501">
        <v>1.35E-2</v>
      </c>
      <c r="AE2501" t="s">
        <v>678</v>
      </c>
      <c r="AI2501">
        <v>5</v>
      </c>
      <c r="AT2501" t="s">
        <v>358</v>
      </c>
      <c r="AV2501" t="s">
        <v>88</v>
      </c>
      <c r="AW2501">
        <v>1500</v>
      </c>
      <c r="AZ2501">
        <v>0</v>
      </c>
      <c r="BA2501">
        <v>7.84</v>
      </c>
    </row>
    <row r="2502" spans="1:53" hidden="1" x14ac:dyDescent="0.3">
      <c r="A2502" t="s">
        <v>677</v>
      </c>
      <c r="C2502" t="s">
        <v>251</v>
      </c>
      <c r="D2502" t="s">
        <v>81</v>
      </c>
      <c r="E2502">
        <v>10000000</v>
      </c>
      <c r="H2502">
        <v>14.25</v>
      </c>
      <c r="I2502" t="s">
        <v>56</v>
      </c>
      <c r="J2502">
        <v>1.4250000000000001E-3</v>
      </c>
      <c r="K2502" t="s">
        <v>57</v>
      </c>
      <c r="L2502" t="s">
        <v>58</v>
      </c>
      <c r="O2502">
        <v>1500</v>
      </c>
      <c r="P2502" t="s">
        <v>315</v>
      </c>
      <c r="S2502">
        <v>2</v>
      </c>
      <c r="T2502">
        <v>24.5</v>
      </c>
      <c r="V2502">
        <v>84</v>
      </c>
      <c r="W2502" t="s">
        <v>358</v>
      </c>
      <c r="X2502" t="s">
        <v>280</v>
      </c>
      <c r="Y2502">
        <v>360</v>
      </c>
      <c r="AA2502" t="s">
        <v>184</v>
      </c>
      <c r="AB2502">
        <v>7.74</v>
      </c>
      <c r="AC2502" t="s">
        <v>85</v>
      </c>
      <c r="AD2502">
        <v>1.35E-2</v>
      </c>
      <c r="AE2502" t="s">
        <v>678</v>
      </c>
      <c r="AI2502">
        <v>5</v>
      </c>
      <c r="AT2502" t="s">
        <v>358</v>
      </c>
      <c r="AV2502" t="s">
        <v>88</v>
      </c>
      <c r="AW2502">
        <v>1500</v>
      </c>
      <c r="AZ2502">
        <v>0</v>
      </c>
      <c r="BA2502">
        <v>7.74</v>
      </c>
    </row>
    <row r="2503" spans="1:53" hidden="1" x14ac:dyDescent="0.3">
      <c r="A2503" t="s">
        <v>677</v>
      </c>
      <c r="C2503" t="s">
        <v>251</v>
      </c>
      <c r="D2503" t="s">
        <v>81</v>
      </c>
      <c r="E2503">
        <v>10000000</v>
      </c>
      <c r="H2503">
        <v>14.25</v>
      </c>
      <c r="I2503" t="s">
        <v>56</v>
      </c>
      <c r="J2503">
        <v>1.4250000000000001E-3</v>
      </c>
      <c r="K2503" t="s">
        <v>57</v>
      </c>
      <c r="L2503" t="s">
        <v>58</v>
      </c>
      <c r="O2503">
        <v>750</v>
      </c>
      <c r="P2503" t="s">
        <v>315</v>
      </c>
      <c r="S2503">
        <v>2</v>
      </c>
      <c r="T2503">
        <v>24.5</v>
      </c>
      <c r="V2503">
        <v>77</v>
      </c>
      <c r="W2503" t="s">
        <v>358</v>
      </c>
      <c r="X2503" t="s">
        <v>280</v>
      </c>
      <c r="Y2503">
        <v>180</v>
      </c>
      <c r="AA2503" t="s">
        <v>184</v>
      </c>
      <c r="AB2503">
        <v>7.84</v>
      </c>
      <c r="AC2503" t="s">
        <v>85</v>
      </c>
      <c r="AD2503">
        <v>1.35E-2</v>
      </c>
      <c r="AE2503" t="s">
        <v>678</v>
      </c>
      <c r="AI2503">
        <v>5</v>
      </c>
      <c r="AT2503" t="s">
        <v>358</v>
      </c>
      <c r="AV2503" t="s">
        <v>88</v>
      </c>
      <c r="AW2503">
        <v>750</v>
      </c>
      <c r="AZ2503">
        <v>0</v>
      </c>
      <c r="BA2503">
        <v>7.84</v>
      </c>
    </row>
    <row r="2504" spans="1:53" hidden="1" x14ac:dyDescent="0.3">
      <c r="A2504" t="s">
        <v>677</v>
      </c>
      <c r="C2504" t="s">
        <v>251</v>
      </c>
      <c r="D2504" t="s">
        <v>81</v>
      </c>
      <c r="E2504">
        <v>10000000</v>
      </c>
      <c r="H2504">
        <v>14.25</v>
      </c>
      <c r="I2504" t="s">
        <v>56</v>
      </c>
      <c r="J2504">
        <v>1.4250000000000001E-3</v>
      </c>
      <c r="K2504" t="s">
        <v>57</v>
      </c>
      <c r="L2504" t="s">
        <v>58</v>
      </c>
      <c r="O2504">
        <v>750</v>
      </c>
      <c r="P2504" t="s">
        <v>315</v>
      </c>
      <c r="S2504">
        <v>2</v>
      </c>
      <c r="T2504">
        <v>24.5</v>
      </c>
      <c r="V2504">
        <v>77</v>
      </c>
      <c r="W2504" t="s">
        <v>358</v>
      </c>
      <c r="X2504" t="s">
        <v>280</v>
      </c>
      <c r="Y2504">
        <v>360</v>
      </c>
      <c r="AA2504" t="s">
        <v>184</v>
      </c>
      <c r="AB2504">
        <v>7.85</v>
      </c>
      <c r="AC2504" t="s">
        <v>85</v>
      </c>
      <c r="AD2504">
        <v>1.35E-2</v>
      </c>
      <c r="AE2504" t="s">
        <v>678</v>
      </c>
      <c r="AI2504">
        <v>5</v>
      </c>
      <c r="AT2504" t="s">
        <v>358</v>
      </c>
      <c r="AV2504" t="s">
        <v>88</v>
      </c>
      <c r="AW2504">
        <v>750</v>
      </c>
      <c r="AZ2504">
        <v>0</v>
      </c>
      <c r="BA2504">
        <v>7.85</v>
      </c>
    </row>
    <row r="2505" spans="1:53" hidden="1" x14ac:dyDescent="0.3">
      <c r="A2505" t="s">
        <v>677</v>
      </c>
      <c r="C2505" t="s">
        <v>251</v>
      </c>
      <c r="D2505" t="s">
        <v>81</v>
      </c>
      <c r="E2505">
        <v>10000000</v>
      </c>
      <c r="H2505">
        <v>14.25</v>
      </c>
      <c r="I2505" t="s">
        <v>56</v>
      </c>
      <c r="J2505">
        <v>1.4250000000000001E-3</v>
      </c>
      <c r="K2505" t="s">
        <v>57</v>
      </c>
      <c r="L2505" t="s">
        <v>58</v>
      </c>
      <c r="O2505">
        <v>750</v>
      </c>
      <c r="P2505" t="s">
        <v>315</v>
      </c>
      <c r="S2505">
        <v>2</v>
      </c>
      <c r="T2505">
        <v>24.5</v>
      </c>
      <c r="V2505">
        <v>77</v>
      </c>
      <c r="W2505" t="s">
        <v>358</v>
      </c>
      <c r="X2505" t="s">
        <v>280</v>
      </c>
      <c r="Y2505">
        <v>720</v>
      </c>
      <c r="AA2505" t="s">
        <v>184</v>
      </c>
      <c r="AB2505">
        <v>7.8</v>
      </c>
      <c r="AC2505" t="s">
        <v>85</v>
      </c>
      <c r="AD2505">
        <v>1.35E-2</v>
      </c>
      <c r="AE2505" t="s">
        <v>678</v>
      </c>
      <c r="AI2505">
        <v>5</v>
      </c>
      <c r="AT2505" t="s">
        <v>358</v>
      </c>
      <c r="AV2505" t="s">
        <v>88</v>
      </c>
      <c r="AW2505">
        <v>750</v>
      </c>
      <c r="AZ2505">
        <v>0</v>
      </c>
      <c r="BA2505">
        <v>7.8</v>
      </c>
    </row>
    <row r="2506" spans="1:53" hidden="1" x14ac:dyDescent="0.3">
      <c r="A2506" t="s">
        <v>677</v>
      </c>
      <c r="C2506" t="s">
        <v>251</v>
      </c>
      <c r="D2506" t="s">
        <v>81</v>
      </c>
      <c r="E2506">
        <v>10000000</v>
      </c>
      <c r="H2506">
        <v>25</v>
      </c>
      <c r="I2506" t="s">
        <v>446</v>
      </c>
      <c r="J2506">
        <v>2.5000000000000001E-5</v>
      </c>
      <c r="K2506" t="s">
        <v>57</v>
      </c>
      <c r="L2506" t="s">
        <v>58</v>
      </c>
      <c r="O2506">
        <v>3000</v>
      </c>
      <c r="P2506" t="s">
        <v>315</v>
      </c>
      <c r="S2506">
        <v>2</v>
      </c>
      <c r="T2506">
        <v>24.5</v>
      </c>
      <c r="V2506">
        <v>90</v>
      </c>
      <c r="W2506" t="s">
        <v>679</v>
      </c>
      <c r="X2506" t="s">
        <v>280</v>
      </c>
      <c r="Y2506">
        <v>180</v>
      </c>
      <c r="AA2506" t="s">
        <v>184</v>
      </c>
      <c r="AB2506">
        <v>6.66</v>
      </c>
      <c r="AC2506" t="s">
        <v>85</v>
      </c>
      <c r="AD2506">
        <v>1.35E-2</v>
      </c>
      <c r="AE2506" t="s">
        <v>678</v>
      </c>
      <c r="AI2506">
        <v>5</v>
      </c>
      <c r="AT2506" t="s">
        <v>150</v>
      </c>
      <c r="AV2506" t="s">
        <v>448</v>
      </c>
      <c r="AW2506">
        <v>3000</v>
      </c>
      <c r="AZ2506">
        <v>0</v>
      </c>
      <c r="BA2506">
        <v>6.66</v>
      </c>
    </row>
    <row r="2507" spans="1:53" hidden="1" x14ac:dyDescent="0.3">
      <c r="A2507" t="s">
        <v>677</v>
      </c>
      <c r="C2507" t="s">
        <v>251</v>
      </c>
      <c r="D2507" t="s">
        <v>81</v>
      </c>
      <c r="E2507">
        <v>10000000</v>
      </c>
      <c r="H2507">
        <v>14.25</v>
      </c>
      <c r="I2507" t="s">
        <v>56</v>
      </c>
      <c r="J2507">
        <v>1.4250000000000001E-3</v>
      </c>
      <c r="K2507" t="s">
        <v>57</v>
      </c>
      <c r="L2507" t="s">
        <v>58</v>
      </c>
      <c r="O2507">
        <v>3000</v>
      </c>
      <c r="P2507" t="s">
        <v>315</v>
      </c>
      <c r="S2507">
        <v>2</v>
      </c>
      <c r="T2507">
        <v>24.5</v>
      </c>
      <c r="V2507">
        <v>90</v>
      </c>
      <c r="W2507" t="s">
        <v>466</v>
      </c>
      <c r="X2507" t="s">
        <v>280</v>
      </c>
      <c r="Y2507">
        <v>180</v>
      </c>
      <c r="AA2507" t="s">
        <v>184</v>
      </c>
      <c r="AB2507">
        <v>6.87</v>
      </c>
      <c r="AC2507" t="s">
        <v>85</v>
      </c>
      <c r="AD2507">
        <v>1.35E-2</v>
      </c>
      <c r="AE2507" t="s">
        <v>678</v>
      </c>
      <c r="AI2507">
        <v>5</v>
      </c>
      <c r="AR2507">
        <v>1</v>
      </c>
      <c r="AT2507" t="s">
        <v>358</v>
      </c>
      <c r="AV2507" t="s">
        <v>88</v>
      </c>
      <c r="AW2507">
        <v>3000</v>
      </c>
      <c r="AZ2507">
        <v>1</v>
      </c>
      <c r="BA2507">
        <v>6.87</v>
      </c>
    </row>
    <row r="2508" spans="1:53" hidden="1" x14ac:dyDescent="0.3">
      <c r="A2508" t="s">
        <v>677</v>
      </c>
      <c r="C2508" t="s">
        <v>251</v>
      </c>
      <c r="D2508" t="s">
        <v>81</v>
      </c>
      <c r="E2508">
        <v>10000000</v>
      </c>
      <c r="H2508">
        <v>14.25</v>
      </c>
      <c r="I2508" t="s">
        <v>56</v>
      </c>
      <c r="J2508">
        <v>1.4250000000000001E-3</v>
      </c>
      <c r="K2508" t="s">
        <v>57</v>
      </c>
      <c r="L2508" t="s">
        <v>58</v>
      </c>
      <c r="O2508">
        <v>3000</v>
      </c>
      <c r="P2508" t="s">
        <v>315</v>
      </c>
      <c r="S2508">
        <v>2</v>
      </c>
      <c r="T2508">
        <v>24.5</v>
      </c>
      <c r="V2508">
        <v>90</v>
      </c>
      <c r="W2508" t="s">
        <v>469</v>
      </c>
      <c r="X2508" t="s">
        <v>280</v>
      </c>
      <c r="Y2508">
        <v>180</v>
      </c>
      <c r="AA2508" t="s">
        <v>184</v>
      </c>
      <c r="AB2508">
        <v>6.64</v>
      </c>
      <c r="AC2508" t="s">
        <v>85</v>
      </c>
      <c r="AD2508">
        <v>1.35E-2</v>
      </c>
      <c r="AE2508" t="s">
        <v>678</v>
      </c>
      <c r="AI2508">
        <v>5</v>
      </c>
      <c r="AT2508" t="s">
        <v>65</v>
      </c>
      <c r="AV2508" t="s">
        <v>88</v>
      </c>
      <c r="AW2508">
        <v>3000</v>
      </c>
      <c r="AZ2508">
        <v>0</v>
      </c>
      <c r="BA2508">
        <v>6.64</v>
      </c>
    </row>
    <row r="2509" spans="1:53" hidden="1" x14ac:dyDescent="0.3">
      <c r="A2509" t="s">
        <v>677</v>
      </c>
      <c r="C2509" t="s">
        <v>251</v>
      </c>
      <c r="D2509" t="s">
        <v>81</v>
      </c>
      <c r="E2509">
        <v>10000000</v>
      </c>
      <c r="H2509">
        <v>14.25</v>
      </c>
      <c r="I2509" t="s">
        <v>56</v>
      </c>
      <c r="J2509">
        <v>1.4250000000000001E-3</v>
      </c>
      <c r="K2509" t="s">
        <v>57</v>
      </c>
      <c r="L2509" t="s">
        <v>58</v>
      </c>
      <c r="O2509">
        <v>3000</v>
      </c>
      <c r="P2509" t="s">
        <v>315</v>
      </c>
      <c r="S2509">
        <v>2</v>
      </c>
      <c r="T2509">
        <v>24.5</v>
      </c>
      <c r="V2509">
        <v>90</v>
      </c>
      <c r="W2509" t="s">
        <v>463</v>
      </c>
      <c r="X2509" t="s">
        <v>280</v>
      </c>
      <c r="Y2509">
        <v>180</v>
      </c>
      <c r="AA2509" t="s">
        <v>184</v>
      </c>
      <c r="AB2509">
        <v>7.53</v>
      </c>
      <c r="AC2509" t="s">
        <v>85</v>
      </c>
      <c r="AD2509">
        <v>1.35E-2</v>
      </c>
      <c r="AE2509" t="s">
        <v>678</v>
      </c>
      <c r="AI2509">
        <v>5</v>
      </c>
      <c r="AT2509" t="s">
        <v>360</v>
      </c>
      <c r="AV2509" t="s">
        <v>88</v>
      </c>
      <c r="AW2509">
        <v>3000</v>
      </c>
      <c r="AZ2509">
        <v>0</v>
      </c>
      <c r="BA2509">
        <v>7.53</v>
      </c>
    </row>
    <row r="2510" spans="1:53" hidden="1" x14ac:dyDescent="0.3">
      <c r="A2510" t="s">
        <v>677</v>
      </c>
      <c r="C2510" t="s">
        <v>251</v>
      </c>
      <c r="D2510" t="s">
        <v>81</v>
      </c>
      <c r="E2510">
        <v>10000000</v>
      </c>
      <c r="H2510">
        <v>1.33</v>
      </c>
      <c r="I2510" t="s">
        <v>56</v>
      </c>
      <c r="J2510">
        <v>1.3300000000000001E-4</v>
      </c>
      <c r="K2510" t="s">
        <v>57</v>
      </c>
      <c r="L2510" t="s">
        <v>58</v>
      </c>
      <c r="O2510">
        <v>3000</v>
      </c>
      <c r="P2510" t="s">
        <v>315</v>
      </c>
      <c r="S2510">
        <v>2</v>
      </c>
      <c r="T2510">
        <v>24.5</v>
      </c>
      <c r="V2510">
        <v>90</v>
      </c>
      <c r="W2510" t="s">
        <v>680</v>
      </c>
      <c r="X2510" t="s">
        <v>280</v>
      </c>
      <c r="Y2510">
        <v>180</v>
      </c>
      <c r="AB2510">
        <v>5.03</v>
      </c>
      <c r="AC2510" t="s">
        <v>85</v>
      </c>
      <c r="AD2510" t="s">
        <v>681</v>
      </c>
      <c r="AE2510" t="s">
        <v>682</v>
      </c>
      <c r="AI2510">
        <v>5</v>
      </c>
      <c r="AR2510">
        <v>5</v>
      </c>
      <c r="AT2510" t="s">
        <v>382</v>
      </c>
      <c r="AV2510" t="s">
        <v>88</v>
      </c>
      <c r="AW2510">
        <v>3000</v>
      </c>
      <c r="AZ2510">
        <v>5</v>
      </c>
    </row>
    <row r="2511" spans="1:53" hidden="1" x14ac:dyDescent="0.3">
      <c r="A2511" t="s">
        <v>677</v>
      </c>
      <c r="C2511" t="s">
        <v>251</v>
      </c>
      <c r="D2511" t="s">
        <v>81</v>
      </c>
      <c r="E2511">
        <v>10000000</v>
      </c>
      <c r="H2511">
        <v>14.25</v>
      </c>
      <c r="I2511" t="s">
        <v>56</v>
      </c>
      <c r="J2511">
        <v>1.4250000000000001E-3</v>
      </c>
      <c r="K2511" t="s">
        <v>57</v>
      </c>
      <c r="L2511" t="s">
        <v>58</v>
      </c>
      <c r="O2511">
        <v>3000</v>
      </c>
      <c r="P2511" t="s">
        <v>315</v>
      </c>
      <c r="S2511">
        <v>2</v>
      </c>
      <c r="T2511">
        <v>24.5</v>
      </c>
      <c r="V2511">
        <v>90</v>
      </c>
      <c r="W2511" t="s">
        <v>683</v>
      </c>
      <c r="X2511" t="s">
        <v>280</v>
      </c>
      <c r="Y2511">
        <v>180</v>
      </c>
      <c r="AE2511" t="s">
        <v>682</v>
      </c>
      <c r="AI2511">
        <v>5</v>
      </c>
      <c r="AT2511" t="s">
        <v>458</v>
      </c>
      <c r="AV2511" t="s">
        <v>88</v>
      </c>
      <c r="AW2511">
        <v>3000</v>
      </c>
    </row>
    <row r="2512" spans="1:53" hidden="1" x14ac:dyDescent="0.3">
      <c r="A2512" t="s">
        <v>677</v>
      </c>
      <c r="C2512" t="s">
        <v>251</v>
      </c>
      <c r="D2512" t="s">
        <v>81</v>
      </c>
      <c r="E2512">
        <v>10000000</v>
      </c>
      <c r="H2512">
        <v>14.25</v>
      </c>
      <c r="I2512" t="s">
        <v>56</v>
      </c>
      <c r="J2512">
        <v>1.4250000000000001E-3</v>
      </c>
      <c r="K2512" t="s">
        <v>57</v>
      </c>
      <c r="L2512" t="s">
        <v>58</v>
      </c>
      <c r="O2512">
        <v>3000</v>
      </c>
      <c r="P2512" t="s">
        <v>315</v>
      </c>
      <c r="S2512">
        <v>2</v>
      </c>
      <c r="T2512">
        <v>24.5</v>
      </c>
      <c r="V2512">
        <v>90</v>
      </c>
      <c r="W2512" t="s">
        <v>547</v>
      </c>
      <c r="X2512" t="s">
        <v>280</v>
      </c>
      <c r="Y2512">
        <v>180</v>
      </c>
      <c r="AA2512" t="s">
        <v>184</v>
      </c>
      <c r="AB2512">
        <v>7.63</v>
      </c>
      <c r="AC2512" t="s">
        <v>85</v>
      </c>
      <c r="AD2512">
        <v>1.35E-2</v>
      </c>
      <c r="AE2512" t="s">
        <v>678</v>
      </c>
      <c r="AI2512">
        <v>5</v>
      </c>
      <c r="AT2512" t="s">
        <v>73</v>
      </c>
      <c r="AV2512" t="s">
        <v>88</v>
      </c>
      <c r="AW2512">
        <v>3000</v>
      </c>
      <c r="AZ2512">
        <v>0</v>
      </c>
      <c r="BA2512">
        <v>7.63</v>
      </c>
    </row>
    <row r="2513" spans="1:53" hidden="1" x14ac:dyDescent="0.3">
      <c r="A2513" t="s">
        <v>677</v>
      </c>
      <c r="C2513" t="s">
        <v>251</v>
      </c>
      <c r="D2513" t="s">
        <v>81</v>
      </c>
      <c r="E2513">
        <v>10000000</v>
      </c>
      <c r="H2513">
        <v>14.25</v>
      </c>
      <c r="I2513" t="s">
        <v>56</v>
      </c>
      <c r="J2513">
        <v>1.4250000000000001E-3</v>
      </c>
      <c r="K2513" t="s">
        <v>57</v>
      </c>
      <c r="L2513" t="s">
        <v>58</v>
      </c>
      <c r="O2513">
        <v>3000</v>
      </c>
      <c r="P2513" t="s">
        <v>315</v>
      </c>
      <c r="S2513">
        <v>2</v>
      </c>
      <c r="T2513">
        <v>24.5</v>
      </c>
      <c r="V2513">
        <v>90</v>
      </c>
      <c r="W2513" t="s">
        <v>684</v>
      </c>
      <c r="X2513" t="s">
        <v>280</v>
      </c>
      <c r="Y2513">
        <v>180</v>
      </c>
      <c r="AA2513" t="s">
        <v>184</v>
      </c>
      <c r="AB2513">
        <v>7.58</v>
      </c>
      <c r="AC2513" t="s">
        <v>85</v>
      </c>
      <c r="AD2513">
        <v>1.35E-2</v>
      </c>
      <c r="AE2513" t="s">
        <v>678</v>
      </c>
      <c r="AI2513">
        <v>5</v>
      </c>
      <c r="AT2513" t="s">
        <v>150</v>
      </c>
      <c r="AV2513" t="s">
        <v>88</v>
      </c>
      <c r="AW2513">
        <v>3000</v>
      </c>
      <c r="AZ2513">
        <v>0</v>
      </c>
      <c r="BA2513">
        <v>7.58</v>
      </c>
    </row>
    <row r="2514" spans="1:53" hidden="1" x14ac:dyDescent="0.3">
      <c r="A2514" t="s">
        <v>677</v>
      </c>
      <c r="C2514" t="s">
        <v>251</v>
      </c>
      <c r="D2514" t="s">
        <v>81</v>
      </c>
      <c r="E2514">
        <v>10000000</v>
      </c>
      <c r="H2514">
        <v>25</v>
      </c>
      <c r="I2514" t="s">
        <v>446</v>
      </c>
      <c r="J2514">
        <v>2.5000000000000001E-5</v>
      </c>
      <c r="K2514" t="s">
        <v>57</v>
      </c>
      <c r="L2514" t="s">
        <v>58</v>
      </c>
      <c r="O2514">
        <v>3000</v>
      </c>
      <c r="P2514" t="s">
        <v>315</v>
      </c>
      <c r="S2514">
        <v>2</v>
      </c>
      <c r="T2514">
        <v>31</v>
      </c>
      <c r="V2514">
        <v>81.5</v>
      </c>
      <c r="W2514" t="s">
        <v>679</v>
      </c>
      <c r="X2514" t="s">
        <v>280</v>
      </c>
      <c r="Y2514">
        <v>180</v>
      </c>
      <c r="AA2514" t="s">
        <v>184</v>
      </c>
      <c r="AB2514">
        <v>6.53</v>
      </c>
      <c r="AC2514" t="s">
        <v>85</v>
      </c>
      <c r="AD2514">
        <v>1.35E-2</v>
      </c>
      <c r="AE2514" t="s">
        <v>678</v>
      </c>
      <c r="AI2514">
        <v>5</v>
      </c>
      <c r="AT2514" t="s">
        <v>150</v>
      </c>
      <c r="AV2514" t="s">
        <v>448</v>
      </c>
      <c r="AW2514">
        <v>3000</v>
      </c>
      <c r="AZ2514">
        <v>0</v>
      </c>
      <c r="BA2514">
        <v>6.53</v>
      </c>
    </row>
    <row r="2515" spans="1:53" hidden="1" x14ac:dyDescent="0.3">
      <c r="A2515" t="s">
        <v>677</v>
      </c>
      <c r="C2515" t="s">
        <v>251</v>
      </c>
      <c r="D2515" t="s">
        <v>81</v>
      </c>
      <c r="E2515">
        <v>10000000</v>
      </c>
      <c r="H2515">
        <v>14.25</v>
      </c>
      <c r="I2515" t="s">
        <v>56</v>
      </c>
      <c r="J2515">
        <v>1.4250000000000001E-3</v>
      </c>
      <c r="K2515" t="s">
        <v>57</v>
      </c>
      <c r="L2515" t="s">
        <v>58</v>
      </c>
      <c r="O2515">
        <v>3000</v>
      </c>
      <c r="P2515" t="s">
        <v>315</v>
      </c>
      <c r="S2515">
        <v>2</v>
      </c>
      <c r="T2515">
        <v>31</v>
      </c>
      <c r="V2515">
        <v>81.5</v>
      </c>
      <c r="W2515" t="s">
        <v>466</v>
      </c>
      <c r="X2515" t="s">
        <v>280</v>
      </c>
      <c r="Y2515">
        <v>180</v>
      </c>
      <c r="AA2515" t="s">
        <v>184</v>
      </c>
      <c r="AB2515">
        <v>7.69</v>
      </c>
      <c r="AC2515" t="s">
        <v>85</v>
      </c>
      <c r="AD2515">
        <v>1.35E-2</v>
      </c>
      <c r="AE2515" t="s">
        <v>678</v>
      </c>
      <c r="AI2515">
        <v>5</v>
      </c>
      <c r="AT2515" t="s">
        <v>358</v>
      </c>
      <c r="AV2515" t="s">
        <v>88</v>
      </c>
      <c r="AW2515">
        <v>3000</v>
      </c>
      <c r="AZ2515">
        <v>0</v>
      </c>
      <c r="BA2515">
        <v>7.69</v>
      </c>
    </row>
    <row r="2516" spans="1:53" hidden="1" x14ac:dyDescent="0.3">
      <c r="A2516" t="s">
        <v>677</v>
      </c>
      <c r="C2516" t="s">
        <v>251</v>
      </c>
      <c r="D2516" t="s">
        <v>81</v>
      </c>
      <c r="E2516">
        <v>10000000</v>
      </c>
      <c r="H2516">
        <v>14.25</v>
      </c>
      <c r="I2516" t="s">
        <v>56</v>
      </c>
      <c r="J2516">
        <v>1.4250000000000001E-3</v>
      </c>
      <c r="K2516" t="s">
        <v>57</v>
      </c>
      <c r="L2516" t="s">
        <v>58</v>
      </c>
      <c r="O2516">
        <v>3000</v>
      </c>
      <c r="P2516" t="s">
        <v>315</v>
      </c>
      <c r="S2516">
        <v>2</v>
      </c>
      <c r="T2516">
        <v>31</v>
      </c>
      <c r="V2516">
        <v>81.5</v>
      </c>
      <c r="W2516" t="s">
        <v>469</v>
      </c>
      <c r="X2516" t="s">
        <v>280</v>
      </c>
      <c r="Y2516">
        <v>180</v>
      </c>
      <c r="AA2516" t="s">
        <v>184</v>
      </c>
      <c r="AB2516">
        <v>6.54</v>
      </c>
      <c r="AC2516" t="s">
        <v>85</v>
      </c>
      <c r="AD2516">
        <v>1.35E-2</v>
      </c>
      <c r="AE2516" t="s">
        <v>678</v>
      </c>
      <c r="AI2516">
        <v>5</v>
      </c>
      <c r="AT2516" t="s">
        <v>65</v>
      </c>
      <c r="AV2516" t="s">
        <v>88</v>
      </c>
      <c r="AW2516">
        <v>3000</v>
      </c>
      <c r="AZ2516">
        <v>0</v>
      </c>
      <c r="BA2516">
        <v>6.54</v>
      </c>
    </row>
    <row r="2517" spans="1:53" hidden="1" x14ac:dyDescent="0.3">
      <c r="A2517" t="s">
        <v>677</v>
      </c>
      <c r="C2517" t="s">
        <v>251</v>
      </c>
      <c r="D2517" t="s">
        <v>81</v>
      </c>
      <c r="E2517">
        <v>10000000</v>
      </c>
      <c r="H2517">
        <v>14.25</v>
      </c>
      <c r="I2517" t="s">
        <v>56</v>
      </c>
      <c r="J2517">
        <v>1.4250000000000001E-3</v>
      </c>
      <c r="K2517" t="s">
        <v>57</v>
      </c>
      <c r="L2517" t="s">
        <v>58</v>
      </c>
      <c r="O2517">
        <v>3000</v>
      </c>
      <c r="P2517" t="s">
        <v>315</v>
      </c>
      <c r="S2517">
        <v>2</v>
      </c>
      <c r="T2517">
        <v>31</v>
      </c>
      <c r="V2517">
        <v>81.5</v>
      </c>
      <c r="W2517" t="s">
        <v>463</v>
      </c>
      <c r="X2517" t="s">
        <v>280</v>
      </c>
      <c r="Y2517">
        <v>180</v>
      </c>
      <c r="AA2517" t="s">
        <v>184</v>
      </c>
      <c r="AB2517">
        <v>7.92</v>
      </c>
      <c r="AC2517" t="s">
        <v>85</v>
      </c>
      <c r="AD2517">
        <v>1.35E-2</v>
      </c>
      <c r="AE2517" t="s">
        <v>678</v>
      </c>
      <c r="AI2517">
        <v>5</v>
      </c>
      <c r="AT2517" t="s">
        <v>360</v>
      </c>
      <c r="AV2517" t="s">
        <v>88</v>
      </c>
      <c r="AW2517">
        <v>3000</v>
      </c>
      <c r="AZ2517">
        <v>0</v>
      </c>
      <c r="BA2517">
        <v>7.92</v>
      </c>
    </row>
    <row r="2518" spans="1:53" hidden="1" x14ac:dyDescent="0.3">
      <c r="A2518" t="s">
        <v>677</v>
      </c>
      <c r="C2518" t="s">
        <v>251</v>
      </c>
      <c r="D2518" t="s">
        <v>81</v>
      </c>
      <c r="E2518">
        <v>10000000</v>
      </c>
      <c r="H2518">
        <v>1.33</v>
      </c>
      <c r="I2518" t="s">
        <v>56</v>
      </c>
      <c r="J2518">
        <v>1.3300000000000001E-4</v>
      </c>
      <c r="K2518" t="s">
        <v>57</v>
      </c>
      <c r="L2518" t="s">
        <v>58</v>
      </c>
      <c r="O2518">
        <v>3000</v>
      </c>
      <c r="P2518" t="s">
        <v>315</v>
      </c>
      <c r="S2518">
        <v>2</v>
      </c>
      <c r="T2518">
        <v>31</v>
      </c>
      <c r="V2518">
        <v>81.5</v>
      </c>
      <c r="W2518" t="s">
        <v>680</v>
      </c>
      <c r="X2518" t="s">
        <v>280</v>
      </c>
      <c r="Y2518">
        <v>180</v>
      </c>
      <c r="AA2518" t="s">
        <v>184</v>
      </c>
      <c r="AB2518">
        <v>7.73</v>
      </c>
      <c r="AC2518" t="s">
        <v>85</v>
      </c>
      <c r="AD2518">
        <v>1.35E-2</v>
      </c>
      <c r="AE2518" t="s">
        <v>678</v>
      </c>
      <c r="AI2518">
        <v>5</v>
      </c>
      <c r="AT2518" t="s">
        <v>382</v>
      </c>
      <c r="AV2518" t="s">
        <v>88</v>
      </c>
      <c r="AW2518">
        <v>3000</v>
      </c>
      <c r="AZ2518">
        <v>0</v>
      </c>
      <c r="BA2518">
        <v>7.73</v>
      </c>
    </row>
    <row r="2519" spans="1:53" hidden="1" x14ac:dyDescent="0.3">
      <c r="A2519" t="s">
        <v>677</v>
      </c>
      <c r="C2519" t="s">
        <v>251</v>
      </c>
      <c r="D2519" t="s">
        <v>81</v>
      </c>
      <c r="E2519">
        <v>10000000</v>
      </c>
      <c r="H2519">
        <v>14.25</v>
      </c>
      <c r="I2519" t="s">
        <v>56</v>
      </c>
      <c r="J2519">
        <v>1.4250000000000001E-3</v>
      </c>
      <c r="K2519" t="s">
        <v>57</v>
      </c>
      <c r="L2519" t="s">
        <v>58</v>
      </c>
      <c r="O2519">
        <v>3000</v>
      </c>
      <c r="P2519" t="s">
        <v>315</v>
      </c>
      <c r="S2519">
        <v>2</v>
      </c>
      <c r="T2519">
        <v>31</v>
      </c>
      <c r="V2519">
        <v>81.5</v>
      </c>
      <c r="W2519" t="s">
        <v>683</v>
      </c>
      <c r="X2519" t="s">
        <v>280</v>
      </c>
      <c r="Y2519">
        <v>180</v>
      </c>
      <c r="AA2519" t="s">
        <v>184</v>
      </c>
      <c r="AB2519">
        <v>7.58</v>
      </c>
      <c r="AC2519" t="s">
        <v>85</v>
      </c>
      <c r="AD2519">
        <v>1.35E-2</v>
      </c>
      <c r="AE2519" t="s">
        <v>678</v>
      </c>
      <c r="AI2519">
        <v>5</v>
      </c>
      <c r="AT2519" t="s">
        <v>458</v>
      </c>
      <c r="AV2519" t="s">
        <v>88</v>
      </c>
      <c r="AW2519">
        <v>3000</v>
      </c>
      <c r="AZ2519">
        <v>0</v>
      </c>
      <c r="BA2519">
        <v>7.58</v>
      </c>
    </row>
    <row r="2520" spans="1:53" hidden="1" x14ac:dyDescent="0.3">
      <c r="A2520" t="s">
        <v>677</v>
      </c>
      <c r="C2520" t="s">
        <v>251</v>
      </c>
      <c r="D2520" t="s">
        <v>81</v>
      </c>
      <c r="E2520">
        <v>10000000</v>
      </c>
      <c r="H2520">
        <v>14.25</v>
      </c>
      <c r="I2520" t="s">
        <v>56</v>
      </c>
      <c r="J2520">
        <v>1.4250000000000001E-3</v>
      </c>
      <c r="K2520" t="s">
        <v>57</v>
      </c>
      <c r="L2520" t="s">
        <v>58</v>
      </c>
      <c r="O2520">
        <v>3000</v>
      </c>
      <c r="P2520" t="s">
        <v>315</v>
      </c>
      <c r="S2520">
        <v>2</v>
      </c>
      <c r="T2520">
        <v>31</v>
      </c>
      <c r="V2520">
        <v>81.5</v>
      </c>
      <c r="W2520" t="s">
        <v>547</v>
      </c>
      <c r="X2520" t="s">
        <v>280</v>
      </c>
      <c r="Y2520">
        <v>180</v>
      </c>
      <c r="AA2520" t="s">
        <v>184</v>
      </c>
      <c r="AB2520">
        <v>7.69</v>
      </c>
      <c r="AC2520" t="s">
        <v>85</v>
      </c>
      <c r="AD2520">
        <v>1.35E-2</v>
      </c>
      <c r="AE2520" t="s">
        <v>678</v>
      </c>
      <c r="AI2520">
        <v>5</v>
      </c>
      <c r="AT2520" t="s">
        <v>73</v>
      </c>
      <c r="AV2520" t="s">
        <v>88</v>
      </c>
      <c r="AW2520">
        <v>3000</v>
      </c>
      <c r="AZ2520">
        <v>0</v>
      </c>
      <c r="BA2520">
        <v>7.69</v>
      </c>
    </row>
    <row r="2521" spans="1:53" hidden="1" x14ac:dyDescent="0.3">
      <c r="A2521" t="s">
        <v>677</v>
      </c>
      <c r="C2521" t="s">
        <v>251</v>
      </c>
      <c r="D2521" t="s">
        <v>81</v>
      </c>
      <c r="E2521">
        <v>10000000</v>
      </c>
      <c r="H2521">
        <v>14.25</v>
      </c>
      <c r="I2521" t="s">
        <v>56</v>
      </c>
      <c r="J2521">
        <v>1.4250000000000001E-3</v>
      </c>
      <c r="K2521" t="s">
        <v>57</v>
      </c>
      <c r="L2521" t="s">
        <v>58</v>
      </c>
      <c r="O2521">
        <v>3000</v>
      </c>
      <c r="P2521" t="s">
        <v>315</v>
      </c>
      <c r="S2521">
        <v>2</v>
      </c>
      <c r="T2521">
        <v>31</v>
      </c>
      <c r="V2521">
        <v>81.5</v>
      </c>
      <c r="W2521" t="s">
        <v>684</v>
      </c>
      <c r="X2521" t="s">
        <v>280</v>
      </c>
      <c r="Y2521">
        <v>180</v>
      </c>
      <c r="AA2521" t="s">
        <v>184</v>
      </c>
      <c r="AB2521">
        <v>7.75</v>
      </c>
      <c r="AC2521" t="s">
        <v>85</v>
      </c>
      <c r="AD2521">
        <v>1.35E-2</v>
      </c>
      <c r="AE2521" t="s">
        <v>678</v>
      </c>
      <c r="AI2521">
        <v>5</v>
      </c>
      <c r="AT2521" t="s">
        <v>150</v>
      </c>
      <c r="AV2521" t="s">
        <v>88</v>
      </c>
      <c r="AW2521">
        <v>3000</v>
      </c>
      <c r="AZ2521">
        <v>0</v>
      </c>
      <c r="BA2521">
        <v>7.75</v>
      </c>
    </row>
    <row r="2522" spans="1:53" hidden="1" x14ac:dyDescent="0.3">
      <c r="A2522" t="s">
        <v>677</v>
      </c>
      <c r="C2522" t="s">
        <v>251</v>
      </c>
      <c r="D2522" t="s">
        <v>81</v>
      </c>
      <c r="E2522">
        <v>10000000</v>
      </c>
      <c r="H2522">
        <v>25</v>
      </c>
      <c r="I2522" t="s">
        <v>446</v>
      </c>
      <c r="J2522">
        <v>2.5000000000000001E-5</v>
      </c>
      <c r="K2522" t="s">
        <v>57</v>
      </c>
      <c r="L2522" t="s">
        <v>58</v>
      </c>
      <c r="O2522">
        <v>3000</v>
      </c>
      <c r="P2522" t="s">
        <v>315</v>
      </c>
      <c r="S2522">
        <v>2</v>
      </c>
      <c r="T2522">
        <v>26</v>
      </c>
      <c r="V2522">
        <v>90</v>
      </c>
      <c r="W2522" t="s">
        <v>679</v>
      </c>
      <c r="X2522" t="s">
        <v>280</v>
      </c>
      <c r="Y2522">
        <v>19.8</v>
      </c>
      <c r="AA2522" t="s">
        <v>184</v>
      </c>
      <c r="AB2522">
        <v>6.58</v>
      </c>
      <c r="AC2522" t="s">
        <v>85</v>
      </c>
      <c r="AD2522">
        <v>1.35E-2</v>
      </c>
      <c r="AE2522" t="s">
        <v>678</v>
      </c>
      <c r="AI2522">
        <v>5</v>
      </c>
      <c r="AT2522" t="s">
        <v>150</v>
      </c>
      <c r="AV2522" t="s">
        <v>448</v>
      </c>
      <c r="AW2522">
        <v>3000</v>
      </c>
      <c r="AZ2522">
        <v>0</v>
      </c>
      <c r="BA2522">
        <v>6.58</v>
      </c>
    </row>
    <row r="2523" spans="1:53" hidden="1" x14ac:dyDescent="0.3">
      <c r="A2523" t="s">
        <v>677</v>
      </c>
      <c r="C2523" t="s">
        <v>251</v>
      </c>
      <c r="D2523" t="s">
        <v>81</v>
      </c>
      <c r="E2523">
        <v>10000000</v>
      </c>
      <c r="H2523">
        <v>14.25</v>
      </c>
      <c r="I2523" t="s">
        <v>56</v>
      </c>
      <c r="J2523">
        <v>1.4250000000000001E-3</v>
      </c>
      <c r="K2523" t="s">
        <v>57</v>
      </c>
      <c r="L2523" t="s">
        <v>58</v>
      </c>
      <c r="O2523">
        <v>3000</v>
      </c>
      <c r="P2523" t="s">
        <v>315</v>
      </c>
      <c r="S2523">
        <v>2</v>
      </c>
      <c r="T2523">
        <v>26</v>
      </c>
      <c r="V2523">
        <v>90</v>
      </c>
      <c r="W2523" t="s">
        <v>466</v>
      </c>
      <c r="X2523" t="s">
        <v>280</v>
      </c>
      <c r="Y2523">
        <v>19.8</v>
      </c>
      <c r="AA2523" t="s">
        <v>184</v>
      </c>
      <c r="AB2523">
        <v>7.89</v>
      </c>
      <c r="AC2523" t="s">
        <v>85</v>
      </c>
      <c r="AD2523">
        <v>1.35E-2</v>
      </c>
      <c r="AE2523" t="s">
        <v>678</v>
      </c>
      <c r="AI2523">
        <v>5</v>
      </c>
      <c r="AT2523" t="s">
        <v>358</v>
      </c>
      <c r="AV2523" t="s">
        <v>88</v>
      </c>
      <c r="AW2523">
        <v>3000</v>
      </c>
      <c r="AZ2523">
        <v>0</v>
      </c>
      <c r="BA2523">
        <v>7.89</v>
      </c>
    </row>
    <row r="2524" spans="1:53" hidden="1" x14ac:dyDescent="0.3">
      <c r="A2524" t="s">
        <v>677</v>
      </c>
      <c r="C2524" t="s">
        <v>251</v>
      </c>
      <c r="D2524" t="s">
        <v>81</v>
      </c>
      <c r="E2524">
        <v>10000000</v>
      </c>
      <c r="H2524">
        <v>14.25</v>
      </c>
      <c r="I2524" t="s">
        <v>56</v>
      </c>
      <c r="J2524">
        <v>1.4250000000000001E-3</v>
      </c>
      <c r="K2524" t="s">
        <v>57</v>
      </c>
      <c r="L2524" t="s">
        <v>58</v>
      </c>
      <c r="O2524">
        <v>3000</v>
      </c>
      <c r="P2524" t="s">
        <v>315</v>
      </c>
      <c r="S2524">
        <v>2</v>
      </c>
      <c r="T2524">
        <v>26</v>
      </c>
      <c r="V2524">
        <v>90</v>
      </c>
      <c r="W2524" t="s">
        <v>469</v>
      </c>
      <c r="X2524" t="s">
        <v>280</v>
      </c>
      <c r="Y2524">
        <v>19.8</v>
      </c>
      <c r="AA2524" t="s">
        <v>184</v>
      </c>
      <c r="AB2524">
        <v>7.26</v>
      </c>
      <c r="AC2524" t="s">
        <v>85</v>
      </c>
      <c r="AD2524">
        <v>1.35E-2</v>
      </c>
      <c r="AE2524" t="s">
        <v>678</v>
      </c>
      <c r="AI2524">
        <v>5</v>
      </c>
      <c r="AT2524" t="s">
        <v>65</v>
      </c>
      <c r="AV2524" t="s">
        <v>88</v>
      </c>
      <c r="AW2524">
        <v>3000</v>
      </c>
      <c r="AZ2524">
        <v>0</v>
      </c>
      <c r="BA2524">
        <v>7.26</v>
      </c>
    </row>
    <row r="2525" spans="1:53" hidden="1" x14ac:dyDescent="0.3">
      <c r="A2525" t="s">
        <v>677</v>
      </c>
      <c r="C2525" t="s">
        <v>251</v>
      </c>
      <c r="D2525" t="s">
        <v>81</v>
      </c>
      <c r="E2525">
        <v>10000000</v>
      </c>
      <c r="H2525">
        <v>14.25</v>
      </c>
      <c r="I2525" t="s">
        <v>56</v>
      </c>
      <c r="J2525">
        <v>1.4250000000000001E-3</v>
      </c>
      <c r="K2525" t="s">
        <v>57</v>
      </c>
      <c r="L2525" t="s">
        <v>58</v>
      </c>
      <c r="O2525">
        <v>3000</v>
      </c>
      <c r="P2525" t="s">
        <v>315</v>
      </c>
      <c r="S2525">
        <v>2</v>
      </c>
      <c r="T2525">
        <v>26</v>
      </c>
      <c r="V2525">
        <v>90</v>
      </c>
      <c r="W2525" t="s">
        <v>463</v>
      </c>
      <c r="X2525" t="s">
        <v>280</v>
      </c>
      <c r="Y2525">
        <v>19.8</v>
      </c>
      <c r="AA2525" t="s">
        <v>184</v>
      </c>
      <c r="AB2525">
        <v>7.87</v>
      </c>
      <c r="AC2525" t="s">
        <v>85</v>
      </c>
      <c r="AD2525">
        <v>1.35E-2</v>
      </c>
      <c r="AE2525" t="s">
        <v>678</v>
      </c>
      <c r="AI2525">
        <v>5</v>
      </c>
      <c r="AT2525" t="s">
        <v>360</v>
      </c>
      <c r="AV2525" t="s">
        <v>88</v>
      </c>
      <c r="AW2525">
        <v>3000</v>
      </c>
      <c r="AZ2525">
        <v>0</v>
      </c>
      <c r="BA2525">
        <v>7.87</v>
      </c>
    </row>
    <row r="2526" spans="1:53" hidden="1" x14ac:dyDescent="0.3">
      <c r="A2526" t="s">
        <v>677</v>
      </c>
      <c r="C2526" t="s">
        <v>251</v>
      </c>
      <c r="D2526" t="s">
        <v>81</v>
      </c>
      <c r="E2526">
        <v>10000000</v>
      </c>
      <c r="H2526">
        <v>1.33</v>
      </c>
      <c r="I2526" t="s">
        <v>56</v>
      </c>
      <c r="J2526">
        <v>1.3300000000000001E-4</v>
      </c>
      <c r="K2526" t="s">
        <v>57</v>
      </c>
      <c r="L2526" t="s">
        <v>58</v>
      </c>
      <c r="O2526">
        <v>3000</v>
      </c>
      <c r="P2526" t="s">
        <v>315</v>
      </c>
      <c r="S2526">
        <v>2</v>
      </c>
      <c r="T2526">
        <v>26</v>
      </c>
      <c r="V2526">
        <v>90</v>
      </c>
      <c r="W2526" t="s">
        <v>680</v>
      </c>
      <c r="X2526" t="s">
        <v>280</v>
      </c>
      <c r="Y2526">
        <v>19.8</v>
      </c>
      <c r="AA2526" t="s">
        <v>184</v>
      </c>
      <c r="AB2526">
        <v>7.62</v>
      </c>
      <c r="AC2526" t="s">
        <v>85</v>
      </c>
      <c r="AD2526">
        <v>1.35E-2</v>
      </c>
      <c r="AE2526" t="s">
        <v>678</v>
      </c>
      <c r="AI2526">
        <v>5</v>
      </c>
      <c r="AT2526" t="s">
        <v>382</v>
      </c>
      <c r="AV2526" t="s">
        <v>88</v>
      </c>
      <c r="AW2526">
        <v>3000</v>
      </c>
      <c r="AZ2526">
        <v>0</v>
      </c>
      <c r="BA2526">
        <v>7.62</v>
      </c>
    </row>
    <row r="2527" spans="1:53" hidden="1" x14ac:dyDescent="0.3">
      <c r="A2527" t="s">
        <v>677</v>
      </c>
      <c r="C2527" t="s">
        <v>251</v>
      </c>
      <c r="D2527" t="s">
        <v>81</v>
      </c>
      <c r="E2527">
        <v>10000000</v>
      </c>
      <c r="H2527">
        <v>14.25</v>
      </c>
      <c r="I2527" t="s">
        <v>56</v>
      </c>
      <c r="J2527">
        <v>1.4250000000000001E-3</v>
      </c>
      <c r="K2527" t="s">
        <v>57</v>
      </c>
      <c r="L2527" t="s">
        <v>58</v>
      </c>
      <c r="O2527">
        <v>3000</v>
      </c>
      <c r="P2527" t="s">
        <v>315</v>
      </c>
      <c r="S2527">
        <v>2</v>
      </c>
      <c r="T2527">
        <v>26</v>
      </c>
      <c r="V2527">
        <v>90</v>
      </c>
      <c r="W2527" t="s">
        <v>683</v>
      </c>
      <c r="X2527" t="s">
        <v>280</v>
      </c>
      <c r="Y2527">
        <v>19.8</v>
      </c>
      <c r="AA2527" t="s">
        <v>184</v>
      </c>
      <c r="AB2527">
        <v>7.8</v>
      </c>
      <c r="AC2527" t="s">
        <v>85</v>
      </c>
      <c r="AD2527">
        <v>1.35E-2</v>
      </c>
      <c r="AE2527" t="s">
        <v>678</v>
      </c>
      <c r="AI2527">
        <v>5</v>
      </c>
      <c r="AT2527" t="s">
        <v>458</v>
      </c>
      <c r="AV2527" t="s">
        <v>88</v>
      </c>
      <c r="AW2527">
        <v>3000</v>
      </c>
      <c r="AZ2527">
        <v>0</v>
      </c>
      <c r="BA2527">
        <v>7.8</v>
      </c>
    </row>
    <row r="2528" spans="1:53" hidden="1" x14ac:dyDescent="0.3">
      <c r="A2528" t="s">
        <v>677</v>
      </c>
      <c r="C2528" t="s">
        <v>251</v>
      </c>
      <c r="D2528" t="s">
        <v>81</v>
      </c>
      <c r="E2528">
        <v>10000000</v>
      </c>
      <c r="H2528">
        <v>14.25</v>
      </c>
      <c r="I2528" t="s">
        <v>56</v>
      </c>
      <c r="J2528">
        <v>1.4250000000000001E-3</v>
      </c>
      <c r="K2528" t="s">
        <v>57</v>
      </c>
      <c r="L2528" t="s">
        <v>58</v>
      </c>
      <c r="O2528">
        <v>3000</v>
      </c>
      <c r="P2528" t="s">
        <v>315</v>
      </c>
      <c r="S2528">
        <v>2</v>
      </c>
      <c r="T2528">
        <v>26</v>
      </c>
      <c r="V2528">
        <v>90</v>
      </c>
      <c r="W2528" t="s">
        <v>547</v>
      </c>
      <c r="X2528" t="s">
        <v>280</v>
      </c>
      <c r="Y2528">
        <v>19.8</v>
      </c>
      <c r="AA2528" t="s">
        <v>184</v>
      </c>
      <c r="AB2528">
        <v>7.86</v>
      </c>
      <c r="AC2528" t="s">
        <v>85</v>
      </c>
      <c r="AD2528">
        <v>1.35E-2</v>
      </c>
      <c r="AE2528" t="s">
        <v>678</v>
      </c>
      <c r="AI2528">
        <v>5</v>
      </c>
      <c r="AT2528" t="s">
        <v>73</v>
      </c>
      <c r="AV2528" t="s">
        <v>88</v>
      </c>
      <c r="AW2528">
        <v>3000</v>
      </c>
      <c r="AZ2528">
        <v>0</v>
      </c>
      <c r="BA2528">
        <v>7.86</v>
      </c>
    </row>
    <row r="2529" spans="1:53" hidden="1" x14ac:dyDescent="0.3">
      <c r="A2529" t="s">
        <v>677</v>
      </c>
      <c r="C2529" t="s">
        <v>251</v>
      </c>
      <c r="D2529" t="s">
        <v>81</v>
      </c>
      <c r="E2529">
        <v>10000000</v>
      </c>
      <c r="H2529">
        <v>14.25</v>
      </c>
      <c r="I2529" t="s">
        <v>56</v>
      </c>
      <c r="J2529">
        <v>1.4250000000000001E-3</v>
      </c>
      <c r="K2529" t="s">
        <v>57</v>
      </c>
      <c r="L2529" t="s">
        <v>58</v>
      </c>
      <c r="O2529">
        <v>3000</v>
      </c>
      <c r="P2529" t="s">
        <v>315</v>
      </c>
      <c r="S2529">
        <v>2</v>
      </c>
      <c r="T2529">
        <v>26</v>
      </c>
      <c r="V2529">
        <v>90</v>
      </c>
      <c r="W2529" t="s">
        <v>684</v>
      </c>
      <c r="X2529" t="s">
        <v>280</v>
      </c>
      <c r="Y2529">
        <v>240</v>
      </c>
      <c r="AA2529" t="s">
        <v>184</v>
      </c>
      <c r="AB2529">
        <v>7.95</v>
      </c>
      <c r="AC2529" t="s">
        <v>85</v>
      </c>
      <c r="AD2529">
        <v>1.35E-2</v>
      </c>
      <c r="AE2529" t="s">
        <v>678</v>
      </c>
      <c r="AI2529">
        <v>5</v>
      </c>
      <c r="AT2529" t="s">
        <v>150</v>
      </c>
      <c r="AV2529" t="s">
        <v>88</v>
      </c>
      <c r="AW2529">
        <v>3000</v>
      </c>
      <c r="AZ2529">
        <v>0</v>
      </c>
      <c r="BA2529">
        <v>7.95</v>
      </c>
    </row>
    <row r="2530" spans="1:53" hidden="1" x14ac:dyDescent="0.3">
      <c r="A2530" t="s">
        <v>677</v>
      </c>
      <c r="C2530" t="s">
        <v>251</v>
      </c>
      <c r="D2530" t="s">
        <v>81</v>
      </c>
      <c r="E2530">
        <v>10000000</v>
      </c>
      <c r="H2530">
        <v>1.69</v>
      </c>
      <c r="I2530" t="s">
        <v>56</v>
      </c>
      <c r="J2530">
        <v>1.6899999999999999E-4</v>
      </c>
      <c r="K2530" t="s">
        <v>57</v>
      </c>
      <c r="L2530" t="s">
        <v>58</v>
      </c>
      <c r="O2530">
        <v>3000</v>
      </c>
      <c r="P2530" t="s">
        <v>315</v>
      </c>
      <c r="S2530">
        <v>2</v>
      </c>
      <c r="T2530">
        <v>25</v>
      </c>
      <c r="V2530">
        <v>80</v>
      </c>
      <c r="W2530" t="s">
        <v>320</v>
      </c>
      <c r="X2530" t="s">
        <v>280</v>
      </c>
      <c r="Y2530">
        <v>60</v>
      </c>
      <c r="AA2530" t="s">
        <v>184</v>
      </c>
      <c r="AB2530">
        <v>7.57</v>
      </c>
      <c r="AC2530" t="s">
        <v>85</v>
      </c>
      <c r="AD2530">
        <v>1.35E-2</v>
      </c>
      <c r="AE2530" t="s">
        <v>678</v>
      </c>
      <c r="AI2530">
        <v>5</v>
      </c>
      <c r="AV2530" t="s">
        <v>88</v>
      </c>
      <c r="AW2530">
        <v>3000</v>
      </c>
      <c r="AZ2530">
        <v>0</v>
      </c>
      <c r="BA2530">
        <v>7.57</v>
      </c>
    </row>
    <row r="2531" spans="1:53" hidden="1" x14ac:dyDescent="0.3">
      <c r="A2531" t="s">
        <v>677</v>
      </c>
      <c r="C2531" t="s">
        <v>251</v>
      </c>
      <c r="D2531" t="s">
        <v>81</v>
      </c>
      <c r="E2531">
        <v>10000000</v>
      </c>
      <c r="H2531">
        <v>1.69</v>
      </c>
      <c r="I2531" t="s">
        <v>56</v>
      </c>
      <c r="J2531">
        <v>1.6899999999999999E-4</v>
      </c>
      <c r="K2531" t="s">
        <v>57</v>
      </c>
      <c r="L2531" t="s">
        <v>58</v>
      </c>
      <c r="O2531">
        <v>3000</v>
      </c>
      <c r="P2531" t="s">
        <v>315</v>
      </c>
      <c r="S2531">
        <v>2</v>
      </c>
      <c r="T2531">
        <v>25</v>
      </c>
      <c r="V2531">
        <v>80</v>
      </c>
      <c r="W2531" t="s">
        <v>540</v>
      </c>
      <c r="X2531" t="s">
        <v>280</v>
      </c>
      <c r="Y2531">
        <v>60</v>
      </c>
      <c r="AA2531" t="s">
        <v>184</v>
      </c>
      <c r="AB2531">
        <v>6.38</v>
      </c>
      <c r="AC2531" t="s">
        <v>85</v>
      </c>
      <c r="AD2531">
        <v>1.35E-2</v>
      </c>
      <c r="AE2531" t="s">
        <v>678</v>
      </c>
      <c r="AI2531">
        <v>5</v>
      </c>
      <c r="AR2531">
        <v>1</v>
      </c>
      <c r="AT2531" t="s">
        <v>212</v>
      </c>
      <c r="AV2531" t="s">
        <v>88</v>
      </c>
      <c r="AW2531">
        <v>3000</v>
      </c>
      <c r="AZ2531">
        <v>1</v>
      </c>
      <c r="BA2531">
        <v>6.38</v>
      </c>
    </row>
    <row r="2532" spans="1:53" hidden="1" x14ac:dyDescent="0.3">
      <c r="A2532" t="s">
        <v>677</v>
      </c>
      <c r="C2532" t="s">
        <v>251</v>
      </c>
      <c r="D2532" t="s">
        <v>81</v>
      </c>
      <c r="E2532">
        <v>10000000</v>
      </c>
      <c r="H2532">
        <v>5.25</v>
      </c>
      <c r="I2532" t="s">
        <v>56</v>
      </c>
      <c r="J2532">
        <v>5.2500000000000008E-4</v>
      </c>
      <c r="K2532" t="s">
        <v>57</v>
      </c>
      <c r="L2532" t="s">
        <v>58</v>
      </c>
      <c r="O2532">
        <v>3000</v>
      </c>
      <c r="P2532" t="s">
        <v>315</v>
      </c>
      <c r="S2532">
        <v>2</v>
      </c>
      <c r="T2532">
        <v>25</v>
      </c>
      <c r="V2532">
        <v>80</v>
      </c>
      <c r="W2532" t="s">
        <v>468</v>
      </c>
      <c r="X2532" t="s">
        <v>280</v>
      </c>
      <c r="Y2532">
        <v>60</v>
      </c>
      <c r="AA2532" t="s">
        <v>184</v>
      </c>
      <c r="AB2532">
        <v>7.27</v>
      </c>
      <c r="AC2532" t="s">
        <v>85</v>
      </c>
      <c r="AD2532">
        <v>1.35E-2</v>
      </c>
      <c r="AE2532" t="s">
        <v>678</v>
      </c>
      <c r="AI2532">
        <v>5</v>
      </c>
      <c r="AT2532" t="s">
        <v>318</v>
      </c>
      <c r="AV2532" t="s">
        <v>88</v>
      </c>
      <c r="AW2532">
        <v>3000</v>
      </c>
      <c r="AZ2532">
        <v>0</v>
      </c>
      <c r="BA2532">
        <v>7.27</v>
      </c>
    </row>
    <row r="2533" spans="1:53" hidden="1" x14ac:dyDescent="0.3">
      <c r="A2533" t="s">
        <v>677</v>
      </c>
      <c r="C2533" t="s">
        <v>251</v>
      </c>
      <c r="D2533" t="s">
        <v>81</v>
      </c>
      <c r="E2533">
        <v>10000000</v>
      </c>
      <c r="H2533">
        <v>1.69</v>
      </c>
      <c r="I2533" t="s">
        <v>56</v>
      </c>
      <c r="J2533">
        <v>1.6899999999999999E-4</v>
      </c>
      <c r="K2533" t="s">
        <v>57</v>
      </c>
      <c r="L2533" t="s">
        <v>58</v>
      </c>
      <c r="O2533">
        <v>3000</v>
      </c>
      <c r="P2533" t="s">
        <v>315</v>
      </c>
      <c r="S2533">
        <v>2</v>
      </c>
      <c r="T2533">
        <v>27</v>
      </c>
      <c r="V2533">
        <v>83</v>
      </c>
      <c r="W2533" t="s">
        <v>320</v>
      </c>
      <c r="X2533" t="s">
        <v>280</v>
      </c>
      <c r="Y2533">
        <v>60</v>
      </c>
      <c r="AE2533" t="s">
        <v>682</v>
      </c>
      <c r="AI2533">
        <v>5</v>
      </c>
      <c r="AV2533" t="s">
        <v>88</v>
      </c>
      <c r="AW2533">
        <v>3000</v>
      </c>
    </row>
    <row r="2534" spans="1:53" hidden="1" x14ac:dyDescent="0.3">
      <c r="A2534" t="s">
        <v>677</v>
      </c>
      <c r="C2534" t="s">
        <v>251</v>
      </c>
      <c r="D2534" t="s">
        <v>81</v>
      </c>
      <c r="E2534">
        <v>10000000</v>
      </c>
      <c r="H2534">
        <v>1.69</v>
      </c>
      <c r="I2534" t="s">
        <v>56</v>
      </c>
      <c r="J2534">
        <v>1.6899999999999999E-4</v>
      </c>
      <c r="K2534" t="s">
        <v>57</v>
      </c>
      <c r="L2534" t="s">
        <v>58</v>
      </c>
      <c r="O2534">
        <v>3000</v>
      </c>
      <c r="P2534" t="s">
        <v>315</v>
      </c>
      <c r="S2534">
        <v>2</v>
      </c>
      <c r="T2534">
        <v>27</v>
      </c>
      <c r="V2534">
        <v>83</v>
      </c>
      <c r="W2534" t="s">
        <v>540</v>
      </c>
      <c r="X2534" t="s">
        <v>280</v>
      </c>
      <c r="Y2534">
        <v>60</v>
      </c>
      <c r="AA2534" t="s">
        <v>184</v>
      </c>
      <c r="AB2534">
        <v>6.44</v>
      </c>
      <c r="AC2534" t="s">
        <v>85</v>
      </c>
      <c r="AD2534">
        <v>1.35E-2</v>
      </c>
      <c r="AE2534" t="s">
        <v>678</v>
      </c>
      <c r="AI2534">
        <v>5</v>
      </c>
      <c r="AT2534" t="s">
        <v>212</v>
      </c>
      <c r="AV2534" t="s">
        <v>88</v>
      </c>
      <c r="AW2534">
        <v>3000</v>
      </c>
      <c r="AZ2534">
        <v>0</v>
      </c>
      <c r="BA2534">
        <v>6.44</v>
      </c>
    </row>
    <row r="2535" spans="1:53" hidden="1" x14ac:dyDescent="0.3">
      <c r="A2535" t="s">
        <v>677</v>
      </c>
      <c r="C2535" t="s">
        <v>251</v>
      </c>
      <c r="D2535" t="s">
        <v>81</v>
      </c>
      <c r="E2535">
        <v>10000000</v>
      </c>
      <c r="H2535">
        <v>5.25</v>
      </c>
      <c r="I2535" t="s">
        <v>56</v>
      </c>
      <c r="J2535">
        <v>5.2500000000000008E-4</v>
      </c>
      <c r="K2535" t="s">
        <v>57</v>
      </c>
      <c r="L2535" t="s">
        <v>58</v>
      </c>
      <c r="O2535">
        <v>3000</v>
      </c>
      <c r="P2535" t="s">
        <v>315</v>
      </c>
      <c r="S2535">
        <v>2</v>
      </c>
      <c r="T2535">
        <v>27</v>
      </c>
      <c r="V2535">
        <v>83</v>
      </c>
      <c r="W2535" t="s">
        <v>468</v>
      </c>
      <c r="X2535" t="s">
        <v>280</v>
      </c>
      <c r="Y2535">
        <v>60</v>
      </c>
      <c r="AA2535" t="s">
        <v>184</v>
      </c>
      <c r="AB2535">
        <v>7.17</v>
      </c>
      <c r="AC2535" t="s">
        <v>85</v>
      </c>
      <c r="AD2535">
        <v>1.35E-2</v>
      </c>
      <c r="AE2535" t="s">
        <v>678</v>
      </c>
      <c r="AI2535">
        <v>5</v>
      </c>
      <c r="AR2535">
        <v>1</v>
      </c>
      <c r="AT2535" t="s">
        <v>318</v>
      </c>
      <c r="AV2535" t="s">
        <v>88</v>
      </c>
      <c r="AW2535">
        <v>3000</v>
      </c>
      <c r="AZ2535">
        <v>1</v>
      </c>
      <c r="BA2535">
        <v>7.17</v>
      </c>
    </row>
    <row r="2536" spans="1:53" hidden="1" x14ac:dyDescent="0.3">
      <c r="A2536" t="s">
        <v>677</v>
      </c>
      <c r="C2536" t="s">
        <v>251</v>
      </c>
      <c r="D2536" t="s">
        <v>81</v>
      </c>
      <c r="E2536">
        <v>10000000</v>
      </c>
      <c r="H2536">
        <v>5.25</v>
      </c>
      <c r="I2536" t="s">
        <v>56</v>
      </c>
      <c r="J2536">
        <v>5.2500000000000008E-4</v>
      </c>
      <c r="K2536" t="s">
        <v>57</v>
      </c>
      <c r="L2536" t="s">
        <v>58</v>
      </c>
      <c r="O2536">
        <v>3000</v>
      </c>
      <c r="P2536" t="s">
        <v>315</v>
      </c>
      <c r="S2536">
        <v>2</v>
      </c>
      <c r="T2536">
        <v>25</v>
      </c>
      <c r="V2536">
        <v>74</v>
      </c>
      <c r="W2536" t="s">
        <v>468</v>
      </c>
      <c r="X2536" t="s">
        <v>280</v>
      </c>
      <c r="Y2536">
        <v>60</v>
      </c>
      <c r="AA2536" t="s">
        <v>184</v>
      </c>
      <c r="AB2536">
        <v>4.0199999999999996</v>
      </c>
      <c r="AC2536" t="s">
        <v>85</v>
      </c>
      <c r="AD2536">
        <v>1.35E-2</v>
      </c>
      <c r="AE2536" t="s">
        <v>678</v>
      </c>
      <c r="AI2536">
        <v>5</v>
      </c>
      <c r="AR2536">
        <v>3</v>
      </c>
      <c r="AT2536" t="s">
        <v>318</v>
      </c>
      <c r="AV2536" t="s">
        <v>88</v>
      </c>
      <c r="AW2536">
        <v>3000</v>
      </c>
      <c r="AZ2536">
        <v>3</v>
      </c>
      <c r="BA2536">
        <v>4.0199999999999996</v>
      </c>
    </row>
    <row r="2537" spans="1:53" hidden="1" x14ac:dyDescent="0.3">
      <c r="A2537" t="s">
        <v>677</v>
      </c>
      <c r="C2537" t="s">
        <v>251</v>
      </c>
      <c r="D2537" t="s">
        <v>81</v>
      </c>
      <c r="E2537">
        <v>10000000</v>
      </c>
      <c r="H2537">
        <v>1.69</v>
      </c>
      <c r="I2537" t="s">
        <v>56</v>
      </c>
      <c r="J2537">
        <v>1.6899999999999999E-4</v>
      </c>
      <c r="K2537" t="s">
        <v>57</v>
      </c>
      <c r="L2537" t="s">
        <v>58</v>
      </c>
      <c r="O2537">
        <v>3000</v>
      </c>
      <c r="P2537" t="s">
        <v>315</v>
      </c>
      <c r="S2537">
        <v>2</v>
      </c>
      <c r="T2537">
        <v>25</v>
      </c>
      <c r="V2537">
        <v>76</v>
      </c>
      <c r="W2537" t="s">
        <v>320</v>
      </c>
      <c r="X2537" t="s">
        <v>280</v>
      </c>
      <c r="Y2537">
        <v>60</v>
      </c>
      <c r="AA2537" t="s">
        <v>184</v>
      </c>
      <c r="AB2537">
        <v>5.41</v>
      </c>
      <c r="AC2537" t="s">
        <v>85</v>
      </c>
      <c r="AD2537">
        <v>1.35E-2</v>
      </c>
      <c r="AE2537" t="s">
        <v>678</v>
      </c>
      <c r="AI2537">
        <v>5</v>
      </c>
      <c r="AV2537" t="s">
        <v>88</v>
      </c>
      <c r="AW2537">
        <v>3000</v>
      </c>
      <c r="AZ2537">
        <v>0</v>
      </c>
      <c r="BA2537">
        <v>5.41</v>
      </c>
    </row>
    <row r="2538" spans="1:53" hidden="1" x14ac:dyDescent="0.3">
      <c r="A2538" t="s">
        <v>677</v>
      </c>
      <c r="C2538" t="s">
        <v>251</v>
      </c>
      <c r="D2538" t="s">
        <v>81</v>
      </c>
      <c r="E2538">
        <v>10000000</v>
      </c>
      <c r="H2538">
        <v>1.69</v>
      </c>
      <c r="I2538" t="s">
        <v>56</v>
      </c>
      <c r="J2538">
        <v>1.6899999999999999E-4</v>
      </c>
      <c r="K2538" t="s">
        <v>57</v>
      </c>
      <c r="L2538" t="s">
        <v>58</v>
      </c>
      <c r="O2538">
        <v>3000</v>
      </c>
      <c r="P2538" t="s">
        <v>315</v>
      </c>
      <c r="S2538">
        <v>2</v>
      </c>
      <c r="T2538">
        <v>25</v>
      </c>
      <c r="V2538">
        <v>76</v>
      </c>
      <c r="W2538" t="s">
        <v>540</v>
      </c>
      <c r="X2538" t="s">
        <v>280</v>
      </c>
      <c r="Y2538">
        <v>60</v>
      </c>
      <c r="AB2538">
        <v>2.38</v>
      </c>
      <c r="AC2538" t="s">
        <v>85</v>
      </c>
      <c r="AD2538" t="s">
        <v>685</v>
      </c>
      <c r="AE2538" t="s">
        <v>682</v>
      </c>
      <c r="AI2538">
        <v>5</v>
      </c>
      <c r="AR2538">
        <v>5</v>
      </c>
      <c r="AT2538" t="s">
        <v>212</v>
      </c>
      <c r="AV2538" t="s">
        <v>88</v>
      </c>
      <c r="AW2538">
        <v>3000</v>
      </c>
      <c r="AZ2538">
        <v>5</v>
      </c>
    </row>
    <row r="2539" spans="1:53" hidden="1" x14ac:dyDescent="0.3">
      <c r="A2539" t="s">
        <v>677</v>
      </c>
      <c r="C2539" t="s">
        <v>251</v>
      </c>
      <c r="D2539" t="s">
        <v>81</v>
      </c>
      <c r="E2539">
        <v>10000000</v>
      </c>
      <c r="H2539">
        <v>5.25</v>
      </c>
      <c r="I2539" t="s">
        <v>56</v>
      </c>
      <c r="J2539">
        <v>5.2500000000000008E-4</v>
      </c>
      <c r="K2539" t="s">
        <v>57</v>
      </c>
      <c r="L2539" t="s">
        <v>58</v>
      </c>
      <c r="O2539">
        <v>3000</v>
      </c>
      <c r="P2539" t="s">
        <v>315</v>
      </c>
      <c r="S2539">
        <v>2</v>
      </c>
      <c r="T2539">
        <v>25</v>
      </c>
      <c r="V2539">
        <v>76</v>
      </c>
      <c r="W2539" t="s">
        <v>468</v>
      </c>
      <c r="X2539" t="s">
        <v>280</v>
      </c>
      <c r="Y2539">
        <v>60</v>
      </c>
      <c r="AB2539">
        <v>2.82</v>
      </c>
      <c r="AC2539" t="s">
        <v>85</v>
      </c>
      <c r="AD2539" t="s">
        <v>686</v>
      </c>
      <c r="AE2539" t="s">
        <v>682</v>
      </c>
      <c r="AI2539">
        <v>5</v>
      </c>
      <c r="AR2539">
        <v>5</v>
      </c>
      <c r="AT2539" t="s">
        <v>318</v>
      </c>
      <c r="AV2539" t="s">
        <v>88</v>
      </c>
      <c r="AW2539">
        <v>3000</v>
      </c>
      <c r="AZ2539">
        <v>5</v>
      </c>
    </row>
    <row r="2540" spans="1:53" hidden="1" x14ac:dyDescent="0.3">
      <c r="A2540" t="s">
        <v>677</v>
      </c>
      <c r="C2540" t="s">
        <v>251</v>
      </c>
      <c r="D2540" t="s">
        <v>81</v>
      </c>
      <c r="E2540">
        <v>10000000</v>
      </c>
      <c r="H2540">
        <v>25</v>
      </c>
      <c r="I2540" t="s">
        <v>446</v>
      </c>
      <c r="J2540">
        <v>2.5000000000000001E-5</v>
      </c>
      <c r="K2540" t="s">
        <v>57</v>
      </c>
      <c r="L2540" t="s">
        <v>58</v>
      </c>
      <c r="O2540">
        <v>100</v>
      </c>
      <c r="P2540" t="s">
        <v>262</v>
      </c>
      <c r="S2540">
        <v>1</v>
      </c>
      <c r="T2540">
        <v>36</v>
      </c>
      <c r="U2540" t="s">
        <v>120</v>
      </c>
      <c r="V2540">
        <v>75</v>
      </c>
      <c r="W2540" t="s">
        <v>687</v>
      </c>
      <c r="X2540" t="s">
        <v>280</v>
      </c>
      <c r="Y2540">
        <v>180</v>
      </c>
      <c r="AE2540" t="s">
        <v>682</v>
      </c>
      <c r="AI2540">
        <v>5</v>
      </c>
      <c r="AT2540" t="s">
        <v>150</v>
      </c>
      <c r="AV2540" t="s">
        <v>448</v>
      </c>
      <c r="AX2540">
        <v>100</v>
      </c>
    </row>
    <row r="2541" spans="1:53" hidden="1" x14ac:dyDescent="0.3">
      <c r="A2541" t="s">
        <v>677</v>
      </c>
      <c r="C2541" t="s">
        <v>251</v>
      </c>
      <c r="D2541" t="s">
        <v>81</v>
      </c>
      <c r="E2541">
        <v>100000000</v>
      </c>
      <c r="H2541">
        <v>25</v>
      </c>
      <c r="I2541" t="s">
        <v>446</v>
      </c>
      <c r="J2541">
        <v>2.5000000000000001E-5</v>
      </c>
      <c r="K2541" t="s">
        <v>57</v>
      </c>
      <c r="L2541" t="s">
        <v>58</v>
      </c>
      <c r="O2541">
        <v>100</v>
      </c>
      <c r="P2541" t="s">
        <v>262</v>
      </c>
      <c r="S2541">
        <v>1</v>
      </c>
      <c r="T2541">
        <v>36</v>
      </c>
      <c r="U2541" t="s">
        <v>120</v>
      </c>
      <c r="V2541">
        <v>75</v>
      </c>
      <c r="W2541" t="s">
        <v>687</v>
      </c>
      <c r="X2541" t="s">
        <v>280</v>
      </c>
      <c r="Y2541">
        <v>360</v>
      </c>
      <c r="AB2541">
        <v>0.4</v>
      </c>
      <c r="AC2541" t="s">
        <v>85</v>
      </c>
      <c r="AD2541" t="s">
        <v>688</v>
      </c>
      <c r="AE2541" t="s">
        <v>682</v>
      </c>
      <c r="AI2541">
        <v>5</v>
      </c>
      <c r="AT2541" t="s">
        <v>150</v>
      </c>
      <c r="AV2541" t="s">
        <v>448</v>
      </c>
      <c r="AX2541">
        <v>100</v>
      </c>
    </row>
    <row r="2542" spans="1:53" hidden="1" x14ac:dyDescent="0.3">
      <c r="A2542" t="s">
        <v>677</v>
      </c>
      <c r="C2542" t="s">
        <v>251</v>
      </c>
      <c r="D2542" t="s">
        <v>81</v>
      </c>
      <c r="E2542">
        <v>100000000</v>
      </c>
      <c r="H2542">
        <v>25</v>
      </c>
      <c r="I2542" t="s">
        <v>446</v>
      </c>
      <c r="J2542">
        <v>2.5000000000000001E-5</v>
      </c>
      <c r="K2542" t="s">
        <v>57</v>
      </c>
      <c r="L2542" t="s">
        <v>58</v>
      </c>
      <c r="O2542">
        <v>50</v>
      </c>
      <c r="P2542" t="s">
        <v>262</v>
      </c>
      <c r="S2542">
        <v>1</v>
      </c>
      <c r="T2542">
        <v>36</v>
      </c>
      <c r="U2542" t="s">
        <v>120</v>
      </c>
      <c r="V2542">
        <v>75</v>
      </c>
      <c r="W2542" t="s">
        <v>687</v>
      </c>
      <c r="X2542" t="s">
        <v>280</v>
      </c>
      <c r="Y2542">
        <v>900</v>
      </c>
      <c r="AB2542">
        <v>1.59</v>
      </c>
      <c r="AC2542" t="s">
        <v>85</v>
      </c>
      <c r="AD2542" t="s">
        <v>689</v>
      </c>
      <c r="AE2542" t="s">
        <v>682</v>
      </c>
      <c r="AI2542">
        <v>5</v>
      </c>
      <c r="AT2542" t="s">
        <v>150</v>
      </c>
      <c r="AV2542" t="s">
        <v>448</v>
      </c>
      <c r="AX2542">
        <v>50</v>
      </c>
    </row>
    <row r="2543" spans="1:53" hidden="1" x14ac:dyDescent="0.3">
      <c r="A2543" t="s">
        <v>677</v>
      </c>
      <c r="C2543" t="s">
        <v>251</v>
      </c>
      <c r="D2543" t="s">
        <v>81</v>
      </c>
      <c r="E2543">
        <v>10000000</v>
      </c>
      <c r="H2543">
        <v>25</v>
      </c>
      <c r="I2543" t="s">
        <v>446</v>
      </c>
      <c r="J2543">
        <v>2.5000000000000001E-5</v>
      </c>
      <c r="K2543" t="s">
        <v>57</v>
      </c>
      <c r="L2543" t="s">
        <v>58</v>
      </c>
      <c r="O2543">
        <v>100</v>
      </c>
      <c r="P2543" t="s">
        <v>262</v>
      </c>
      <c r="S2543">
        <v>1</v>
      </c>
      <c r="T2543">
        <v>36</v>
      </c>
      <c r="U2543" t="s">
        <v>120</v>
      </c>
      <c r="V2543">
        <v>75</v>
      </c>
      <c r="W2543" t="s">
        <v>687</v>
      </c>
      <c r="X2543" t="s">
        <v>280</v>
      </c>
      <c r="Y2543">
        <v>540</v>
      </c>
      <c r="AB2543">
        <v>1.07</v>
      </c>
      <c r="AC2543" t="s">
        <v>85</v>
      </c>
      <c r="AD2543" t="s">
        <v>690</v>
      </c>
      <c r="AE2543" t="s">
        <v>682</v>
      </c>
      <c r="AI2543">
        <v>5</v>
      </c>
      <c r="AT2543" t="s">
        <v>150</v>
      </c>
      <c r="AV2543" t="s">
        <v>448</v>
      </c>
      <c r="AX2543">
        <v>100</v>
      </c>
    </row>
    <row r="2544" spans="1:53" hidden="1" x14ac:dyDescent="0.3">
      <c r="A2544" t="s">
        <v>677</v>
      </c>
      <c r="C2544" t="s">
        <v>251</v>
      </c>
      <c r="D2544" t="s">
        <v>81</v>
      </c>
      <c r="E2544">
        <v>10000000</v>
      </c>
      <c r="H2544">
        <v>25</v>
      </c>
      <c r="I2544" t="s">
        <v>446</v>
      </c>
      <c r="J2544">
        <v>2.5000000000000001E-5</v>
      </c>
      <c r="K2544" t="s">
        <v>57</v>
      </c>
      <c r="L2544" t="s">
        <v>58</v>
      </c>
      <c r="O2544">
        <v>50</v>
      </c>
      <c r="P2544" t="s">
        <v>262</v>
      </c>
      <c r="S2544">
        <v>1</v>
      </c>
      <c r="T2544">
        <v>36</v>
      </c>
      <c r="U2544" t="s">
        <v>120</v>
      </c>
      <c r="V2544">
        <v>75</v>
      </c>
      <c r="W2544" t="s">
        <v>687</v>
      </c>
      <c r="X2544" t="s">
        <v>280</v>
      </c>
      <c r="Y2544">
        <v>1080</v>
      </c>
      <c r="AB2544">
        <v>3.67</v>
      </c>
      <c r="AC2544" t="s">
        <v>85</v>
      </c>
      <c r="AD2544" t="s">
        <v>691</v>
      </c>
      <c r="AE2544" t="s">
        <v>682</v>
      </c>
      <c r="AI2544">
        <v>5</v>
      </c>
      <c r="AT2544" t="s">
        <v>150</v>
      </c>
      <c r="AV2544" t="s">
        <v>448</v>
      </c>
      <c r="AX2544">
        <v>50</v>
      </c>
    </row>
    <row r="2545" spans="1:53" hidden="1" x14ac:dyDescent="0.3">
      <c r="A2545" t="s">
        <v>677</v>
      </c>
      <c r="C2545" t="s">
        <v>251</v>
      </c>
      <c r="D2545" t="s">
        <v>81</v>
      </c>
      <c r="E2545">
        <v>10000000</v>
      </c>
      <c r="H2545">
        <v>25</v>
      </c>
      <c r="I2545" t="s">
        <v>446</v>
      </c>
      <c r="J2545">
        <v>2.5000000000000001E-5</v>
      </c>
      <c r="K2545" t="s">
        <v>57</v>
      </c>
      <c r="L2545" t="s">
        <v>58</v>
      </c>
      <c r="O2545">
        <v>100</v>
      </c>
      <c r="P2545" t="s">
        <v>262</v>
      </c>
      <c r="S2545">
        <v>1</v>
      </c>
      <c r="T2545">
        <v>36</v>
      </c>
      <c r="U2545" t="s">
        <v>120</v>
      </c>
      <c r="V2545">
        <v>75</v>
      </c>
      <c r="W2545" t="s">
        <v>687</v>
      </c>
      <c r="X2545" t="s">
        <v>280</v>
      </c>
      <c r="Y2545">
        <v>720</v>
      </c>
      <c r="AB2545">
        <v>0.64</v>
      </c>
      <c r="AC2545" t="s">
        <v>85</v>
      </c>
      <c r="AD2545" t="s">
        <v>692</v>
      </c>
      <c r="AE2545" t="s">
        <v>682</v>
      </c>
      <c r="AI2545">
        <v>5</v>
      </c>
      <c r="AT2545" t="s">
        <v>150</v>
      </c>
      <c r="AV2545" t="s">
        <v>448</v>
      </c>
      <c r="AX2545">
        <v>100</v>
      </c>
    </row>
    <row r="2546" spans="1:53" hidden="1" x14ac:dyDescent="0.3">
      <c r="A2546" t="s">
        <v>677</v>
      </c>
      <c r="C2546" t="s">
        <v>251</v>
      </c>
      <c r="D2546" t="s">
        <v>81</v>
      </c>
      <c r="E2546">
        <v>10000000</v>
      </c>
      <c r="H2546">
        <v>25</v>
      </c>
      <c r="I2546" t="s">
        <v>446</v>
      </c>
      <c r="J2546">
        <v>2.5000000000000001E-5</v>
      </c>
      <c r="K2546" t="s">
        <v>57</v>
      </c>
      <c r="L2546" t="s">
        <v>58</v>
      </c>
      <c r="O2546">
        <v>100</v>
      </c>
      <c r="P2546" t="s">
        <v>262</v>
      </c>
      <c r="S2546">
        <v>1</v>
      </c>
      <c r="T2546">
        <v>36</v>
      </c>
      <c r="U2546" t="s">
        <v>120</v>
      </c>
      <c r="V2546">
        <v>75</v>
      </c>
      <c r="W2546" t="s">
        <v>687</v>
      </c>
      <c r="X2546" t="s">
        <v>280</v>
      </c>
      <c r="Y2546">
        <v>720</v>
      </c>
      <c r="AB2546">
        <v>1.98</v>
      </c>
      <c r="AC2546" t="s">
        <v>85</v>
      </c>
      <c r="AD2546" t="s">
        <v>693</v>
      </c>
      <c r="AE2546" t="s">
        <v>682</v>
      </c>
      <c r="AI2546">
        <v>5</v>
      </c>
      <c r="AT2546" t="s">
        <v>150</v>
      </c>
      <c r="AV2546" t="s">
        <v>448</v>
      </c>
      <c r="AX2546">
        <v>100</v>
      </c>
    </row>
    <row r="2547" spans="1:53" hidden="1" x14ac:dyDescent="0.3">
      <c r="A2547" t="s">
        <v>677</v>
      </c>
      <c r="C2547" t="s">
        <v>251</v>
      </c>
      <c r="D2547" t="s">
        <v>81</v>
      </c>
      <c r="E2547">
        <v>10000000</v>
      </c>
      <c r="H2547">
        <v>25</v>
      </c>
      <c r="I2547" t="s">
        <v>446</v>
      </c>
      <c r="J2547">
        <v>2.5000000000000001E-5</v>
      </c>
      <c r="K2547" t="s">
        <v>57</v>
      </c>
      <c r="L2547" t="s">
        <v>58</v>
      </c>
      <c r="O2547">
        <v>100</v>
      </c>
      <c r="P2547" t="s">
        <v>262</v>
      </c>
      <c r="S2547">
        <v>1</v>
      </c>
      <c r="T2547">
        <v>36</v>
      </c>
      <c r="U2547" t="s">
        <v>120</v>
      </c>
      <c r="V2547">
        <v>75</v>
      </c>
      <c r="W2547" t="s">
        <v>687</v>
      </c>
      <c r="X2547" t="s">
        <v>280</v>
      </c>
      <c r="Y2547">
        <v>720</v>
      </c>
      <c r="AA2547" t="s">
        <v>184</v>
      </c>
      <c r="AB2547">
        <v>6.46</v>
      </c>
      <c r="AC2547" t="s">
        <v>85</v>
      </c>
      <c r="AD2547">
        <v>1.35E-2</v>
      </c>
      <c r="AE2547" t="s">
        <v>678</v>
      </c>
      <c r="AI2547">
        <v>5</v>
      </c>
      <c r="AT2547" t="s">
        <v>150</v>
      </c>
      <c r="AV2547" t="s">
        <v>448</v>
      </c>
      <c r="AX2547">
        <v>100</v>
      </c>
      <c r="AZ2547">
        <v>0</v>
      </c>
      <c r="BA2547">
        <v>6.46</v>
      </c>
    </row>
    <row r="2548" spans="1:53" hidden="1" x14ac:dyDescent="0.3">
      <c r="A2548" t="s">
        <v>677</v>
      </c>
      <c r="C2548" t="s">
        <v>251</v>
      </c>
      <c r="D2548" t="s">
        <v>81</v>
      </c>
      <c r="E2548">
        <v>100000000</v>
      </c>
      <c r="H2548">
        <v>25</v>
      </c>
      <c r="I2548" t="s">
        <v>446</v>
      </c>
      <c r="J2548">
        <v>2.5000000000000001E-5</v>
      </c>
      <c r="K2548" t="s">
        <v>57</v>
      </c>
      <c r="L2548" t="s">
        <v>58</v>
      </c>
      <c r="O2548">
        <v>200</v>
      </c>
      <c r="P2548" t="s">
        <v>262</v>
      </c>
      <c r="S2548">
        <v>1</v>
      </c>
      <c r="T2548">
        <v>36</v>
      </c>
      <c r="U2548" t="s">
        <v>120</v>
      </c>
      <c r="V2548">
        <v>75</v>
      </c>
      <c r="W2548" t="s">
        <v>687</v>
      </c>
      <c r="X2548" t="s">
        <v>280</v>
      </c>
      <c r="Y2548">
        <v>360</v>
      </c>
      <c r="AB2548">
        <v>2.4900000000000002</v>
      </c>
      <c r="AC2548" t="s">
        <v>85</v>
      </c>
      <c r="AD2548" t="s">
        <v>694</v>
      </c>
      <c r="AE2548" t="s">
        <v>682</v>
      </c>
      <c r="AI2548">
        <v>5</v>
      </c>
      <c r="AT2548" t="s">
        <v>150</v>
      </c>
      <c r="AV2548" t="s">
        <v>448</v>
      </c>
      <c r="AX2548">
        <v>200</v>
      </c>
    </row>
    <row r="2549" spans="1:53" hidden="1" x14ac:dyDescent="0.3">
      <c r="A2549" t="s">
        <v>677</v>
      </c>
      <c r="C2549" t="s">
        <v>251</v>
      </c>
      <c r="D2549" t="s">
        <v>81</v>
      </c>
      <c r="E2549">
        <v>100000000</v>
      </c>
      <c r="H2549">
        <v>25</v>
      </c>
      <c r="I2549" t="s">
        <v>446</v>
      </c>
      <c r="J2549">
        <v>2.5000000000000001E-5</v>
      </c>
      <c r="K2549" t="s">
        <v>57</v>
      </c>
      <c r="L2549" t="s">
        <v>58</v>
      </c>
      <c r="O2549">
        <v>50</v>
      </c>
      <c r="P2549" t="s">
        <v>262</v>
      </c>
      <c r="S2549">
        <v>1</v>
      </c>
      <c r="T2549">
        <v>36</v>
      </c>
      <c r="U2549" t="s">
        <v>120</v>
      </c>
      <c r="V2549">
        <v>75</v>
      </c>
      <c r="W2549" t="s">
        <v>687</v>
      </c>
      <c r="X2549" t="s">
        <v>280</v>
      </c>
      <c r="Y2549">
        <v>1440</v>
      </c>
      <c r="AA2549" t="s">
        <v>184</v>
      </c>
      <c r="AB2549">
        <v>6.92</v>
      </c>
      <c r="AC2549" t="s">
        <v>85</v>
      </c>
      <c r="AD2549">
        <v>1.35E-2</v>
      </c>
      <c r="AE2549" t="s">
        <v>678</v>
      </c>
      <c r="AI2549">
        <v>5</v>
      </c>
      <c r="AT2549" t="s">
        <v>150</v>
      </c>
      <c r="AV2549" t="s">
        <v>448</v>
      </c>
      <c r="AX2549">
        <v>50</v>
      </c>
      <c r="AZ2549">
        <v>0</v>
      </c>
      <c r="BA2549">
        <v>6.92</v>
      </c>
    </row>
    <row r="2550" spans="1:53" hidden="1" x14ac:dyDescent="0.3">
      <c r="A2550" t="s">
        <v>677</v>
      </c>
      <c r="C2550" t="s">
        <v>251</v>
      </c>
      <c r="D2550" t="s">
        <v>81</v>
      </c>
      <c r="E2550">
        <v>100000000</v>
      </c>
      <c r="H2550">
        <v>25</v>
      </c>
      <c r="I2550" t="s">
        <v>446</v>
      </c>
      <c r="J2550">
        <v>2.5000000000000001E-5</v>
      </c>
      <c r="K2550" t="s">
        <v>57</v>
      </c>
      <c r="L2550" t="s">
        <v>58</v>
      </c>
      <c r="O2550">
        <v>200</v>
      </c>
      <c r="P2550" t="s">
        <v>262</v>
      </c>
      <c r="S2550">
        <v>1</v>
      </c>
      <c r="T2550">
        <v>36</v>
      </c>
      <c r="U2550" t="s">
        <v>120</v>
      </c>
      <c r="V2550">
        <v>75</v>
      </c>
      <c r="W2550" t="s">
        <v>687</v>
      </c>
      <c r="X2550" t="s">
        <v>280</v>
      </c>
      <c r="Y2550">
        <v>420</v>
      </c>
      <c r="AB2550">
        <v>4.3600000000000003</v>
      </c>
      <c r="AC2550" t="s">
        <v>85</v>
      </c>
      <c r="AD2550" t="s">
        <v>695</v>
      </c>
      <c r="AE2550" t="s">
        <v>682</v>
      </c>
      <c r="AI2550">
        <v>5</v>
      </c>
      <c r="AT2550" t="s">
        <v>150</v>
      </c>
      <c r="AV2550" t="s">
        <v>448</v>
      </c>
      <c r="AX2550">
        <v>200</v>
      </c>
    </row>
    <row r="2551" spans="1:53" hidden="1" x14ac:dyDescent="0.3">
      <c r="A2551" t="s">
        <v>677</v>
      </c>
      <c r="C2551" t="s">
        <v>251</v>
      </c>
      <c r="D2551" t="s">
        <v>81</v>
      </c>
      <c r="E2551">
        <v>100000000</v>
      </c>
      <c r="H2551">
        <v>25</v>
      </c>
      <c r="I2551" t="s">
        <v>446</v>
      </c>
      <c r="J2551">
        <v>2.5000000000000001E-5</v>
      </c>
      <c r="K2551" t="s">
        <v>57</v>
      </c>
      <c r="L2551" t="s">
        <v>58</v>
      </c>
      <c r="O2551">
        <v>100</v>
      </c>
      <c r="P2551" t="s">
        <v>262</v>
      </c>
      <c r="S2551">
        <v>1</v>
      </c>
      <c r="T2551">
        <v>36</v>
      </c>
      <c r="U2551" t="s">
        <v>120</v>
      </c>
      <c r="V2551">
        <v>75</v>
      </c>
      <c r="W2551" t="s">
        <v>687</v>
      </c>
      <c r="X2551" t="s">
        <v>280</v>
      </c>
      <c r="Y2551">
        <v>900</v>
      </c>
      <c r="AA2551" t="s">
        <v>184</v>
      </c>
      <c r="AB2551">
        <v>6.5</v>
      </c>
      <c r="AC2551" t="s">
        <v>85</v>
      </c>
      <c r="AD2551">
        <v>1.35E-2</v>
      </c>
      <c r="AE2551" t="s">
        <v>678</v>
      </c>
      <c r="AI2551">
        <v>5</v>
      </c>
      <c r="AT2551" t="s">
        <v>150</v>
      </c>
      <c r="AV2551" t="s">
        <v>448</v>
      </c>
      <c r="AX2551">
        <v>100</v>
      </c>
      <c r="AZ2551">
        <v>0</v>
      </c>
      <c r="BA2551">
        <v>6.5</v>
      </c>
    </row>
    <row r="2552" spans="1:53" hidden="1" x14ac:dyDescent="0.3">
      <c r="A2552" t="s">
        <v>677</v>
      </c>
      <c r="C2552" t="s">
        <v>251</v>
      </c>
      <c r="D2552" t="s">
        <v>81</v>
      </c>
      <c r="E2552">
        <v>100000000</v>
      </c>
      <c r="H2552">
        <v>25</v>
      </c>
      <c r="I2552" t="s">
        <v>446</v>
      </c>
      <c r="J2552">
        <v>2.5000000000000001E-5</v>
      </c>
      <c r="K2552" t="s">
        <v>57</v>
      </c>
      <c r="L2552" t="s">
        <v>58</v>
      </c>
      <c r="O2552">
        <v>100</v>
      </c>
      <c r="P2552" t="s">
        <v>262</v>
      </c>
      <c r="S2552">
        <v>1</v>
      </c>
      <c r="T2552">
        <v>36</v>
      </c>
      <c r="U2552" t="s">
        <v>120</v>
      </c>
      <c r="V2552">
        <v>75</v>
      </c>
      <c r="W2552" t="s">
        <v>687</v>
      </c>
      <c r="X2552" t="s">
        <v>280</v>
      </c>
      <c r="Y2552">
        <v>1080</v>
      </c>
      <c r="AA2552" t="s">
        <v>184</v>
      </c>
      <c r="AB2552">
        <v>6.67</v>
      </c>
      <c r="AC2552" t="s">
        <v>85</v>
      </c>
      <c r="AD2552">
        <v>1.35E-2</v>
      </c>
      <c r="AE2552" t="s">
        <v>678</v>
      </c>
      <c r="AI2552">
        <v>5</v>
      </c>
      <c r="AT2552" t="s">
        <v>150</v>
      </c>
      <c r="AV2552" t="s">
        <v>448</v>
      </c>
      <c r="AX2552">
        <v>100</v>
      </c>
      <c r="AZ2552">
        <v>0</v>
      </c>
      <c r="BA2552">
        <v>6.67</v>
      </c>
    </row>
    <row r="2553" spans="1:53" hidden="1" x14ac:dyDescent="0.3">
      <c r="A2553" t="s">
        <v>677</v>
      </c>
      <c r="C2553" t="s">
        <v>251</v>
      </c>
      <c r="D2553" t="s">
        <v>81</v>
      </c>
      <c r="E2553">
        <v>100000000</v>
      </c>
      <c r="H2553">
        <v>25</v>
      </c>
      <c r="I2553" t="s">
        <v>446</v>
      </c>
      <c r="J2553">
        <v>2.5000000000000001E-5</v>
      </c>
      <c r="K2553" t="s">
        <v>57</v>
      </c>
      <c r="L2553" t="s">
        <v>58</v>
      </c>
      <c r="O2553">
        <v>200</v>
      </c>
      <c r="P2553" t="s">
        <v>262</v>
      </c>
      <c r="S2553">
        <v>1</v>
      </c>
      <c r="T2553">
        <v>36</v>
      </c>
      <c r="U2553" t="s">
        <v>120</v>
      </c>
      <c r="V2553">
        <v>75</v>
      </c>
      <c r="W2553" t="s">
        <v>687</v>
      </c>
      <c r="X2553" t="s">
        <v>280</v>
      </c>
      <c r="Y2553">
        <v>540</v>
      </c>
      <c r="AA2553" t="s">
        <v>184</v>
      </c>
      <c r="AB2553">
        <v>5.75</v>
      </c>
      <c r="AC2553" t="s">
        <v>85</v>
      </c>
      <c r="AD2553">
        <v>1.35E-2</v>
      </c>
      <c r="AE2553" t="s">
        <v>678</v>
      </c>
      <c r="AI2553">
        <v>5</v>
      </c>
      <c r="AT2553" t="s">
        <v>150</v>
      </c>
      <c r="AV2553" t="s">
        <v>448</v>
      </c>
      <c r="AX2553">
        <v>200</v>
      </c>
      <c r="AZ2553">
        <v>0</v>
      </c>
      <c r="BA2553">
        <v>5.75</v>
      </c>
    </row>
    <row r="2554" spans="1:53" hidden="1" x14ac:dyDescent="0.3">
      <c r="A2554" t="s">
        <v>677</v>
      </c>
      <c r="C2554" t="s">
        <v>251</v>
      </c>
      <c r="D2554" t="s">
        <v>81</v>
      </c>
      <c r="E2554">
        <v>100000000</v>
      </c>
      <c r="H2554">
        <v>25</v>
      </c>
      <c r="I2554" t="s">
        <v>446</v>
      </c>
      <c r="J2554">
        <v>2.5000000000000001E-5</v>
      </c>
      <c r="K2554" t="s">
        <v>57</v>
      </c>
      <c r="L2554" t="s">
        <v>58</v>
      </c>
      <c r="O2554">
        <v>200</v>
      </c>
      <c r="P2554" t="s">
        <v>262</v>
      </c>
      <c r="S2554">
        <v>1</v>
      </c>
      <c r="T2554">
        <v>36</v>
      </c>
      <c r="U2554" t="s">
        <v>120</v>
      </c>
      <c r="V2554">
        <v>75</v>
      </c>
      <c r="W2554" t="s">
        <v>687</v>
      </c>
      <c r="X2554" t="s">
        <v>280</v>
      </c>
      <c r="Y2554">
        <v>540</v>
      </c>
      <c r="AA2554" t="s">
        <v>184</v>
      </c>
      <c r="AB2554">
        <v>6.6</v>
      </c>
      <c r="AC2554" t="s">
        <v>85</v>
      </c>
      <c r="AD2554">
        <v>1.35E-2</v>
      </c>
      <c r="AE2554" t="s">
        <v>678</v>
      </c>
      <c r="AI2554">
        <v>5</v>
      </c>
      <c r="AT2554" t="s">
        <v>150</v>
      </c>
      <c r="AV2554" t="s">
        <v>448</v>
      </c>
      <c r="AX2554">
        <v>200</v>
      </c>
      <c r="AZ2554">
        <v>0</v>
      </c>
      <c r="BA2554">
        <v>6.6</v>
      </c>
    </row>
    <row r="2555" spans="1:53" hidden="1" x14ac:dyDescent="0.3">
      <c r="A2555" t="s">
        <v>677</v>
      </c>
      <c r="C2555" t="s">
        <v>251</v>
      </c>
      <c r="D2555" t="s">
        <v>81</v>
      </c>
      <c r="E2555">
        <v>100000000</v>
      </c>
      <c r="H2555">
        <v>25</v>
      </c>
      <c r="I2555" t="s">
        <v>446</v>
      </c>
      <c r="J2555">
        <v>2.5000000000000001E-5</v>
      </c>
      <c r="K2555" t="s">
        <v>57</v>
      </c>
      <c r="L2555" t="s">
        <v>58</v>
      </c>
      <c r="O2555">
        <v>100</v>
      </c>
      <c r="P2555" t="s">
        <v>262</v>
      </c>
      <c r="S2555">
        <v>1</v>
      </c>
      <c r="T2555">
        <v>36</v>
      </c>
      <c r="U2555" t="s">
        <v>120</v>
      </c>
      <c r="V2555">
        <v>75</v>
      </c>
      <c r="W2555" t="s">
        <v>687</v>
      </c>
      <c r="X2555" t="s">
        <v>280</v>
      </c>
      <c r="Y2555">
        <v>1440</v>
      </c>
      <c r="AA2555" t="s">
        <v>184</v>
      </c>
      <c r="AB2555">
        <v>6.48</v>
      </c>
      <c r="AC2555" t="s">
        <v>85</v>
      </c>
      <c r="AD2555">
        <v>1.35E-2</v>
      </c>
      <c r="AE2555" t="s">
        <v>678</v>
      </c>
      <c r="AI2555">
        <v>5</v>
      </c>
      <c r="AT2555" t="s">
        <v>150</v>
      </c>
      <c r="AV2555" t="s">
        <v>448</v>
      </c>
      <c r="AX2555">
        <v>100</v>
      </c>
      <c r="AZ2555">
        <v>0</v>
      </c>
      <c r="BA2555">
        <v>6.48</v>
      </c>
    </row>
    <row r="2556" spans="1:53" hidden="1" x14ac:dyDescent="0.3">
      <c r="A2556" t="s">
        <v>677</v>
      </c>
      <c r="C2556" t="s">
        <v>251</v>
      </c>
      <c r="D2556" t="s">
        <v>81</v>
      </c>
      <c r="E2556">
        <v>100000000</v>
      </c>
      <c r="H2556">
        <v>5.25</v>
      </c>
      <c r="I2556" t="s">
        <v>56</v>
      </c>
      <c r="J2556">
        <v>5.2500000000000008E-4</v>
      </c>
      <c r="K2556" t="s">
        <v>57</v>
      </c>
      <c r="L2556" t="s">
        <v>58</v>
      </c>
      <c r="O2556">
        <v>100</v>
      </c>
      <c r="P2556" t="s">
        <v>262</v>
      </c>
      <c r="S2556">
        <v>1</v>
      </c>
      <c r="T2556">
        <v>36</v>
      </c>
      <c r="U2556" t="s">
        <v>120</v>
      </c>
      <c r="V2556">
        <v>75</v>
      </c>
      <c r="W2556" t="s">
        <v>318</v>
      </c>
      <c r="X2556" t="s">
        <v>280</v>
      </c>
      <c r="Y2556">
        <v>180</v>
      </c>
      <c r="AB2556">
        <v>0.54</v>
      </c>
      <c r="AC2556" t="s">
        <v>85</v>
      </c>
      <c r="AD2556" t="s">
        <v>696</v>
      </c>
      <c r="AE2556" t="s">
        <v>682</v>
      </c>
      <c r="AI2556">
        <v>5</v>
      </c>
      <c r="AT2556" t="s">
        <v>318</v>
      </c>
      <c r="AV2556" t="s">
        <v>88</v>
      </c>
      <c r="AX2556">
        <v>100</v>
      </c>
    </row>
    <row r="2557" spans="1:53" hidden="1" x14ac:dyDescent="0.3">
      <c r="A2557" t="s">
        <v>677</v>
      </c>
      <c r="C2557" t="s">
        <v>251</v>
      </c>
      <c r="D2557" t="s">
        <v>81</v>
      </c>
      <c r="E2557">
        <v>100000000</v>
      </c>
      <c r="H2557">
        <v>5.25</v>
      </c>
      <c r="I2557" t="s">
        <v>56</v>
      </c>
      <c r="J2557">
        <v>5.2500000000000008E-4</v>
      </c>
      <c r="K2557" t="s">
        <v>57</v>
      </c>
      <c r="L2557" t="s">
        <v>58</v>
      </c>
      <c r="O2557">
        <v>100</v>
      </c>
      <c r="P2557" t="s">
        <v>262</v>
      </c>
      <c r="S2557">
        <v>1</v>
      </c>
      <c r="T2557">
        <v>36</v>
      </c>
      <c r="U2557" t="s">
        <v>120</v>
      </c>
      <c r="V2557">
        <v>75</v>
      </c>
      <c r="W2557" t="s">
        <v>318</v>
      </c>
      <c r="X2557" t="s">
        <v>280</v>
      </c>
      <c r="Y2557">
        <v>360</v>
      </c>
      <c r="AE2557" t="s">
        <v>682</v>
      </c>
      <c r="AI2557">
        <v>5</v>
      </c>
      <c r="AT2557" t="s">
        <v>318</v>
      </c>
      <c r="AV2557" t="s">
        <v>88</v>
      </c>
      <c r="AX2557">
        <v>100</v>
      </c>
    </row>
    <row r="2558" spans="1:53" hidden="1" x14ac:dyDescent="0.3">
      <c r="A2558" t="s">
        <v>677</v>
      </c>
      <c r="C2558" t="s">
        <v>251</v>
      </c>
      <c r="D2558" t="s">
        <v>81</v>
      </c>
      <c r="E2558">
        <v>100000000</v>
      </c>
      <c r="H2558">
        <v>5.25</v>
      </c>
      <c r="I2558" t="s">
        <v>56</v>
      </c>
      <c r="J2558">
        <v>5.2500000000000008E-4</v>
      </c>
      <c r="K2558" t="s">
        <v>57</v>
      </c>
      <c r="L2558" t="s">
        <v>58</v>
      </c>
      <c r="O2558">
        <v>50</v>
      </c>
      <c r="P2558" t="s">
        <v>262</v>
      </c>
      <c r="S2558">
        <v>1</v>
      </c>
      <c r="T2558">
        <v>36</v>
      </c>
      <c r="U2558" t="s">
        <v>120</v>
      </c>
      <c r="V2558">
        <v>75</v>
      </c>
      <c r="W2558" t="s">
        <v>318</v>
      </c>
      <c r="X2558" t="s">
        <v>280</v>
      </c>
      <c r="Y2558">
        <v>900</v>
      </c>
      <c r="AB2558">
        <v>1.4</v>
      </c>
      <c r="AC2558" t="s">
        <v>85</v>
      </c>
      <c r="AD2558" t="s">
        <v>697</v>
      </c>
      <c r="AE2558" t="s">
        <v>682</v>
      </c>
      <c r="AI2558">
        <v>5</v>
      </c>
      <c r="AT2558" t="s">
        <v>318</v>
      </c>
      <c r="AV2558" t="s">
        <v>88</v>
      </c>
      <c r="AX2558">
        <v>50</v>
      </c>
    </row>
    <row r="2559" spans="1:53" hidden="1" x14ac:dyDescent="0.3">
      <c r="A2559" t="s">
        <v>677</v>
      </c>
      <c r="C2559" t="s">
        <v>251</v>
      </c>
      <c r="D2559" t="s">
        <v>81</v>
      </c>
      <c r="E2559">
        <v>100000000</v>
      </c>
      <c r="H2559">
        <v>5.25</v>
      </c>
      <c r="I2559" t="s">
        <v>56</v>
      </c>
      <c r="J2559">
        <v>5.2500000000000008E-4</v>
      </c>
      <c r="K2559" t="s">
        <v>57</v>
      </c>
      <c r="L2559" t="s">
        <v>58</v>
      </c>
      <c r="O2559">
        <v>100</v>
      </c>
      <c r="P2559" t="s">
        <v>262</v>
      </c>
      <c r="S2559">
        <v>1</v>
      </c>
      <c r="T2559">
        <v>36</v>
      </c>
      <c r="U2559" t="s">
        <v>120</v>
      </c>
      <c r="V2559">
        <v>75</v>
      </c>
      <c r="W2559" t="s">
        <v>318</v>
      </c>
      <c r="X2559" t="s">
        <v>280</v>
      </c>
      <c r="Y2559">
        <v>540</v>
      </c>
      <c r="AB2559">
        <v>1.0900000000000001</v>
      </c>
      <c r="AC2559" t="s">
        <v>85</v>
      </c>
      <c r="AD2559" t="s">
        <v>698</v>
      </c>
      <c r="AE2559" t="s">
        <v>682</v>
      </c>
      <c r="AI2559">
        <v>5</v>
      </c>
      <c r="AT2559" t="s">
        <v>318</v>
      </c>
      <c r="AV2559" t="s">
        <v>88</v>
      </c>
      <c r="AX2559">
        <v>100</v>
      </c>
    </row>
    <row r="2560" spans="1:53" hidden="1" x14ac:dyDescent="0.3">
      <c r="A2560" t="s">
        <v>677</v>
      </c>
      <c r="C2560" t="s">
        <v>251</v>
      </c>
      <c r="D2560" t="s">
        <v>81</v>
      </c>
      <c r="E2560">
        <v>100000000</v>
      </c>
      <c r="H2560">
        <v>5.25</v>
      </c>
      <c r="I2560" t="s">
        <v>56</v>
      </c>
      <c r="J2560">
        <v>5.2500000000000008E-4</v>
      </c>
      <c r="K2560" t="s">
        <v>57</v>
      </c>
      <c r="L2560" t="s">
        <v>58</v>
      </c>
      <c r="O2560">
        <v>50</v>
      </c>
      <c r="P2560" t="s">
        <v>262</v>
      </c>
      <c r="S2560">
        <v>1</v>
      </c>
      <c r="T2560">
        <v>36</v>
      </c>
      <c r="U2560" t="s">
        <v>120</v>
      </c>
      <c r="V2560">
        <v>75</v>
      </c>
      <c r="W2560" t="s">
        <v>318</v>
      </c>
      <c r="X2560" t="s">
        <v>280</v>
      </c>
      <c r="Y2560">
        <v>1080</v>
      </c>
      <c r="AB2560">
        <v>1.91</v>
      </c>
      <c r="AC2560" t="s">
        <v>85</v>
      </c>
      <c r="AD2560" t="s">
        <v>699</v>
      </c>
      <c r="AE2560" t="s">
        <v>682</v>
      </c>
      <c r="AI2560">
        <v>5</v>
      </c>
      <c r="AT2560" t="s">
        <v>318</v>
      </c>
      <c r="AV2560" t="s">
        <v>88</v>
      </c>
      <c r="AX2560">
        <v>50</v>
      </c>
    </row>
    <row r="2561" spans="1:53" hidden="1" x14ac:dyDescent="0.3">
      <c r="A2561" t="s">
        <v>677</v>
      </c>
      <c r="C2561" t="s">
        <v>251</v>
      </c>
      <c r="D2561" t="s">
        <v>81</v>
      </c>
      <c r="E2561">
        <v>100000000</v>
      </c>
      <c r="H2561">
        <v>5.25</v>
      </c>
      <c r="I2561" t="s">
        <v>56</v>
      </c>
      <c r="J2561">
        <v>5.2500000000000008E-4</v>
      </c>
      <c r="K2561" t="s">
        <v>57</v>
      </c>
      <c r="L2561" t="s">
        <v>58</v>
      </c>
      <c r="O2561">
        <v>100</v>
      </c>
      <c r="P2561" t="s">
        <v>262</v>
      </c>
      <c r="S2561">
        <v>1</v>
      </c>
      <c r="T2561">
        <v>36</v>
      </c>
      <c r="U2561" t="s">
        <v>120</v>
      </c>
      <c r="V2561">
        <v>75</v>
      </c>
      <c r="W2561" t="s">
        <v>318</v>
      </c>
      <c r="X2561" t="s">
        <v>280</v>
      </c>
      <c r="Y2561">
        <v>720</v>
      </c>
      <c r="AB2561">
        <v>1.26</v>
      </c>
      <c r="AC2561" t="s">
        <v>85</v>
      </c>
      <c r="AD2561" t="s">
        <v>700</v>
      </c>
      <c r="AE2561" t="s">
        <v>682</v>
      </c>
      <c r="AI2561">
        <v>5</v>
      </c>
      <c r="AT2561" t="s">
        <v>318</v>
      </c>
      <c r="AV2561" t="s">
        <v>88</v>
      </c>
      <c r="AX2561">
        <v>100</v>
      </c>
    </row>
    <row r="2562" spans="1:53" hidden="1" x14ac:dyDescent="0.3">
      <c r="A2562" t="s">
        <v>677</v>
      </c>
      <c r="C2562" t="s">
        <v>251</v>
      </c>
      <c r="D2562" t="s">
        <v>81</v>
      </c>
      <c r="E2562">
        <v>100000000</v>
      </c>
      <c r="H2562">
        <v>5.25</v>
      </c>
      <c r="I2562" t="s">
        <v>56</v>
      </c>
      <c r="J2562">
        <v>5.2500000000000008E-4</v>
      </c>
      <c r="K2562" t="s">
        <v>57</v>
      </c>
      <c r="L2562" t="s">
        <v>58</v>
      </c>
      <c r="O2562">
        <v>100</v>
      </c>
      <c r="P2562" t="s">
        <v>262</v>
      </c>
      <c r="S2562">
        <v>1</v>
      </c>
      <c r="T2562">
        <v>36</v>
      </c>
      <c r="U2562" t="s">
        <v>120</v>
      </c>
      <c r="V2562">
        <v>75</v>
      </c>
      <c r="W2562" t="s">
        <v>318</v>
      </c>
      <c r="X2562" t="s">
        <v>280</v>
      </c>
      <c r="Y2562">
        <v>720</v>
      </c>
      <c r="AB2562">
        <v>1.45</v>
      </c>
      <c r="AC2562" t="s">
        <v>85</v>
      </c>
      <c r="AD2562" t="s">
        <v>701</v>
      </c>
      <c r="AE2562" t="s">
        <v>682</v>
      </c>
      <c r="AI2562">
        <v>5</v>
      </c>
      <c r="AT2562" t="s">
        <v>318</v>
      </c>
      <c r="AV2562" t="s">
        <v>88</v>
      </c>
      <c r="AX2562">
        <v>100</v>
      </c>
    </row>
    <row r="2563" spans="1:53" hidden="1" x14ac:dyDescent="0.3">
      <c r="A2563" t="s">
        <v>677</v>
      </c>
      <c r="C2563" t="s">
        <v>251</v>
      </c>
      <c r="D2563" t="s">
        <v>81</v>
      </c>
      <c r="E2563">
        <v>100000000</v>
      </c>
      <c r="H2563">
        <v>5.25</v>
      </c>
      <c r="I2563" t="s">
        <v>56</v>
      </c>
      <c r="J2563">
        <v>5.2500000000000008E-4</v>
      </c>
      <c r="K2563" t="s">
        <v>57</v>
      </c>
      <c r="L2563" t="s">
        <v>58</v>
      </c>
      <c r="O2563">
        <v>100</v>
      </c>
      <c r="P2563" t="s">
        <v>262</v>
      </c>
      <c r="S2563">
        <v>1</v>
      </c>
      <c r="T2563">
        <v>36</v>
      </c>
      <c r="U2563" t="s">
        <v>120</v>
      </c>
      <c r="V2563">
        <v>75</v>
      </c>
      <c r="W2563" t="s">
        <v>318</v>
      </c>
      <c r="X2563" t="s">
        <v>280</v>
      </c>
      <c r="Y2563">
        <v>720</v>
      </c>
      <c r="AA2563" t="s">
        <v>184</v>
      </c>
      <c r="AB2563">
        <v>6.42</v>
      </c>
      <c r="AC2563" t="s">
        <v>85</v>
      </c>
      <c r="AD2563">
        <v>1.35E-2</v>
      </c>
      <c r="AE2563" t="s">
        <v>678</v>
      </c>
      <c r="AI2563">
        <v>5</v>
      </c>
      <c r="AT2563" t="s">
        <v>318</v>
      </c>
      <c r="AV2563" t="s">
        <v>88</v>
      </c>
      <c r="AX2563">
        <v>100</v>
      </c>
      <c r="AZ2563">
        <v>0</v>
      </c>
      <c r="BA2563">
        <v>6.42</v>
      </c>
    </row>
    <row r="2564" spans="1:53" hidden="1" x14ac:dyDescent="0.3">
      <c r="A2564" t="s">
        <v>677</v>
      </c>
      <c r="C2564" t="s">
        <v>251</v>
      </c>
      <c r="D2564" t="s">
        <v>81</v>
      </c>
      <c r="E2564">
        <v>1000000</v>
      </c>
      <c r="H2564">
        <v>5.25</v>
      </c>
      <c r="I2564" t="s">
        <v>56</v>
      </c>
      <c r="J2564">
        <v>5.2500000000000008E-4</v>
      </c>
      <c r="K2564" t="s">
        <v>57</v>
      </c>
      <c r="L2564" t="s">
        <v>58</v>
      </c>
      <c r="O2564">
        <v>200</v>
      </c>
      <c r="P2564" t="s">
        <v>262</v>
      </c>
      <c r="S2564">
        <v>1</v>
      </c>
      <c r="T2564">
        <v>36</v>
      </c>
      <c r="U2564" t="s">
        <v>120</v>
      </c>
      <c r="V2564">
        <v>75</v>
      </c>
      <c r="W2564" t="s">
        <v>318</v>
      </c>
      <c r="X2564" t="s">
        <v>280</v>
      </c>
      <c r="Y2564">
        <v>360</v>
      </c>
      <c r="AB2564">
        <v>1.41</v>
      </c>
      <c r="AC2564" t="s">
        <v>85</v>
      </c>
      <c r="AD2564" t="s">
        <v>702</v>
      </c>
      <c r="AE2564" t="s">
        <v>682</v>
      </c>
      <c r="AI2564">
        <v>5</v>
      </c>
      <c r="AT2564" t="s">
        <v>318</v>
      </c>
      <c r="AV2564" t="s">
        <v>88</v>
      </c>
      <c r="AX2564">
        <v>200</v>
      </c>
    </row>
    <row r="2565" spans="1:53" hidden="1" x14ac:dyDescent="0.3">
      <c r="A2565" t="s">
        <v>677</v>
      </c>
      <c r="C2565" t="s">
        <v>251</v>
      </c>
      <c r="D2565" t="s">
        <v>81</v>
      </c>
      <c r="E2565">
        <v>1000000</v>
      </c>
      <c r="H2565">
        <v>5.25</v>
      </c>
      <c r="I2565" t="s">
        <v>56</v>
      </c>
      <c r="J2565">
        <v>5.2500000000000008E-4</v>
      </c>
      <c r="K2565" t="s">
        <v>57</v>
      </c>
      <c r="L2565" t="s">
        <v>58</v>
      </c>
      <c r="O2565">
        <v>50</v>
      </c>
      <c r="P2565" t="s">
        <v>262</v>
      </c>
      <c r="S2565">
        <v>1</v>
      </c>
      <c r="T2565">
        <v>36</v>
      </c>
      <c r="U2565" t="s">
        <v>120</v>
      </c>
      <c r="V2565">
        <v>75</v>
      </c>
      <c r="W2565" t="s">
        <v>318</v>
      </c>
      <c r="X2565" t="s">
        <v>280</v>
      </c>
      <c r="Y2565">
        <v>1440</v>
      </c>
      <c r="AB2565">
        <v>4.33</v>
      </c>
      <c r="AC2565" t="s">
        <v>85</v>
      </c>
      <c r="AD2565" t="s">
        <v>703</v>
      </c>
      <c r="AE2565" t="s">
        <v>682</v>
      </c>
      <c r="AI2565">
        <v>5</v>
      </c>
      <c r="AT2565" t="s">
        <v>318</v>
      </c>
      <c r="AV2565" t="s">
        <v>88</v>
      </c>
      <c r="AX2565">
        <v>50</v>
      </c>
    </row>
    <row r="2566" spans="1:53" hidden="1" x14ac:dyDescent="0.3">
      <c r="A2566" t="s">
        <v>677</v>
      </c>
      <c r="C2566" t="s">
        <v>251</v>
      </c>
      <c r="D2566" t="s">
        <v>81</v>
      </c>
      <c r="E2566">
        <v>1000000</v>
      </c>
      <c r="H2566">
        <v>5.25</v>
      </c>
      <c r="I2566" t="s">
        <v>56</v>
      </c>
      <c r="J2566">
        <v>5.2500000000000008E-4</v>
      </c>
      <c r="K2566" t="s">
        <v>57</v>
      </c>
      <c r="L2566" t="s">
        <v>58</v>
      </c>
      <c r="O2566">
        <v>200</v>
      </c>
      <c r="P2566" t="s">
        <v>262</v>
      </c>
      <c r="S2566">
        <v>1</v>
      </c>
      <c r="T2566">
        <v>36</v>
      </c>
      <c r="U2566" t="s">
        <v>120</v>
      </c>
      <c r="V2566">
        <v>75</v>
      </c>
      <c r="W2566" t="s">
        <v>318</v>
      </c>
      <c r="X2566" t="s">
        <v>280</v>
      </c>
      <c r="Y2566">
        <v>420</v>
      </c>
      <c r="AB2566">
        <v>3.18</v>
      </c>
      <c r="AC2566" t="s">
        <v>85</v>
      </c>
      <c r="AD2566" t="s">
        <v>704</v>
      </c>
      <c r="AE2566" t="s">
        <v>682</v>
      </c>
      <c r="AI2566">
        <v>5</v>
      </c>
      <c r="AT2566" t="s">
        <v>318</v>
      </c>
      <c r="AV2566" t="s">
        <v>88</v>
      </c>
      <c r="AX2566">
        <v>200</v>
      </c>
    </row>
    <row r="2567" spans="1:53" hidden="1" x14ac:dyDescent="0.3">
      <c r="A2567" t="s">
        <v>677</v>
      </c>
      <c r="C2567" t="s">
        <v>251</v>
      </c>
      <c r="D2567" t="s">
        <v>81</v>
      </c>
      <c r="E2567">
        <v>1000000</v>
      </c>
      <c r="H2567">
        <v>5.25</v>
      </c>
      <c r="I2567" t="s">
        <v>56</v>
      </c>
      <c r="J2567">
        <v>5.2500000000000008E-4</v>
      </c>
      <c r="K2567" t="s">
        <v>57</v>
      </c>
      <c r="L2567" t="s">
        <v>58</v>
      </c>
      <c r="O2567">
        <v>100</v>
      </c>
      <c r="P2567" t="s">
        <v>262</v>
      </c>
      <c r="S2567">
        <v>1</v>
      </c>
      <c r="T2567">
        <v>36</v>
      </c>
      <c r="U2567" t="s">
        <v>120</v>
      </c>
      <c r="V2567">
        <v>75</v>
      </c>
      <c r="W2567" t="s">
        <v>318</v>
      </c>
      <c r="X2567" t="s">
        <v>280</v>
      </c>
      <c r="Y2567">
        <v>900</v>
      </c>
      <c r="AB2567">
        <v>4.7300000000000004</v>
      </c>
      <c r="AC2567" t="s">
        <v>85</v>
      </c>
      <c r="AD2567" t="s">
        <v>705</v>
      </c>
      <c r="AE2567" t="s">
        <v>682</v>
      </c>
      <c r="AI2567">
        <v>5</v>
      </c>
      <c r="AT2567" t="s">
        <v>318</v>
      </c>
      <c r="AV2567" t="s">
        <v>88</v>
      </c>
      <c r="AX2567">
        <v>100</v>
      </c>
    </row>
    <row r="2568" spans="1:53" hidden="1" x14ac:dyDescent="0.3">
      <c r="A2568" t="s">
        <v>677</v>
      </c>
      <c r="C2568" t="s">
        <v>251</v>
      </c>
      <c r="D2568" t="s">
        <v>81</v>
      </c>
      <c r="E2568">
        <v>1000000</v>
      </c>
      <c r="H2568">
        <v>5.25</v>
      </c>
      <c r="I2568" t="s">
        <v>56</v>
      </c>
      <c r="J2568">
        <v>5.2500000000000008E-4</v>
      </c>
      <c r="K2568" t="s">
        <v>57</v>
      </c>
      <c r="L2568" t="s">
        <v>58</v>
      </c>
      <c r="O2568">
        <v>100</v>
      </c>
      <c r="P2568" t="s">
        <v>262</v>
      </c>
      <c r="S2568">
        <v>1</v>
      </c>
      <c r="T2568">
        <v>36</v>
      </c>
      <c r="U2568" t="s">
        <v>120</v>
      </c>
      <c r="V2568">
        <v>75</v>
      </c>
      <c r="W2568" t="s">
        <v>318</v>
      </c>
      <c r="X2568" t="s">
        <v>280</v>
      </c>
      <c r="Y2568">
        <v>1080</v>
      </c>
      <c r="AA2568" t="s">
        <v>184</v>
      </c>
      <c r="AB2568">
        <v>7.11</v>
      </c>
      <c r="AC2568" t="s">
        <v>85</v>
      </c>
      <c r="AD2568">
        <v>1.35E-2</v>
      </c>
      <c r="AE2568" t="s">
        <v>678</v>
      </c>
      <c r="AI2568">
        <v>5</v>
      </c>
      <c r="AT2568" t="s">
        <v>318</v>
      </c>
      <c r="AV2568" t="s">
        <v>88</v>
      </c>
      <c r="AX2568">
        <v>100</v>
      </c>
      <c r="AZ2568">
        <v>0</v>
      </c>
      <c r="BA2568">
        <v>7.11</v>
      </c>
    </row>
    <row r="2569" spans="1:53" hidden="1" x14ac:dyDescent="0.3">
      <c r="A2569" t="s">
        <v>677</v>
      </c>
      <c r="C2569" t="s">
        <v>251</v>
      </c>
      <c r="D2569" t="s">
        <v>81</v>
      </c>
      <c r="E2569">
        <v>10000000</v>
      </c>
      <c r="H2569">
        <v>5.25</v>
      </c>
      <c r="I2569" t="s">
        <v>56</v>
      </c>
      <c r="J2569">
        <v>5.2500000000000008E-4</v>
      </c>
      <c r="K2569" t="s">
        <v>57</v>
      </c>
      <c r="L2569" t="s">
        <v>58</v>
      </c>
      <c r="O2569">
        <v>200</v>
      </c>
      <c r="P2569" t="s">
        <v>262</v>
      </c>
      <c r="S2569">
        <v>1</v>
      </c>
      <c r="T2569">
        <v>36</v>
      </c>
      <c r="U2569" t="s">
        <v>120</v>
      </c>
      <c r="V2569">
        <v>75</v>
      </c>
      <c r="W2569" t="s">
        <v>318</v>
      </c>
      <c r="X2569" t="s">
        <v>280</v>
      </c>
      <c r="Y2569">
        <v>540</v>
      </c>
      <c r="AB2569">
        <v>2.72</v>
      </c>
      <c r="AC2569" t="s">
        <v>85</v>
      </c>
      <c r="AD2569" t="s">
        <v>706</v>
      </c>
      <c r="AE2569" t="s">
        <v>682</v>
      </c>
      <c r="AI2569">
        <v>5</v>
      </c>
      <c r="AT2569" t="s">
        <v>318</v>
      </c>
      <c r="AV2569" t="s">
        <v>88</v>
      </c>
      <c r="AX2569">
        <v>200</v>
      </c>
    </row>
    <row r="2570" spans="1:53" hidden="1" x14ac:dyDescent="0.3">
      <c r="A2570" t="s">
        <v>677</v>
      </c>
      <c r="C2570" t="s">
        <v>251</v>
      </c>
      <c r="D2570" t="s">
        <v>81</v>
      </c>
      <c r="E2570">
        <v>10000000</v>
      </c>
      <c r="H2570">
        <v>5.25</v>
      </c>
      <c r="I2570" t="s">
        <v>56</v>
      </c>
      <c r="J2570">
        <v>5.2500000000000008E-4</v>
      </c>
      <c r="K2570" t="s">
        <v>57</v>
      </c>
      <c r="L2570" t="s">
        <v>58</v>
      </c>
      <c r="O2570">
        <v>200</v>
      </c>
      <c r="P2570" t="s">
        <v>262</v>
      </c>
      <c r="S2570">
        <v>1</v>
      </c>
      <c r="T2570">
        <v>36</v>
      </c>
      <c r="U2570" t="s">
        <v>120</v>
      </c>
      <c r="V2570">
        <v>75</v>
      </c>
      <c r="W2570" t="s">
        <v>318</v>
      </c>
      <c r="X2570" t="s">
        <v>280</v>
      </c>
      <c r="Y2570">
        <v>540</v>
      </c>
      <c r="AA2570" t="s">
        <v>184</v>
      </c>
      <c r="AB2570">
        <v>6.52</v>
      </c>
      <c r="AC2570" t="s">
        <v>85</v>
      </c>
      <c r="AD2570">
        <v>1.35E-2</v>
      </c>
      <c r="AE2570" t="s">
        <v>678</v>
      </c>
      <c r="AI2570">
        <v>5</v>
      </c>
      <c r="AT2570" t="s">
        <v>318</v>
      </c>
      <c r="AV2570" t="s">
        <v>88</v>
      </c>
      <c r="AX2570">
        <v>200</v>
      </c>
      <c r="AZ2570">
        <v>0</v>
      </c>
      <c r="BA2570">
        <v>6.52</v>
      </c>
    </row>
    <row r="2571" spans="1:53" hidden="1" x14ac:dyDescent="0.3">
      <c r="A2571" t="s">
        <v>677</v>
      </c>
      <c r="C2571" t="s">
        <v>251</v>
      </c>
      <c r="D2571" t="s">
        <v>81</v>
      </c>
      <c r="E2571">
        <v>10000000</v>
      </c>
      <c r="H2571">
        <v>5.25</v>
      </c>
      <c r="I2571" t="s">
        <v>56</v>
      </c>
      <c r="J2571">
        <v>5.2500000000000008E-4</v>
      </c>
      <c r="K2571" t="s">
        <v>57</v>
      </c>
      <c r="L2571" t="s">
        <v>58</v>
      </c>
      <c r="O2571">
        <v>100</v>
      </c>
      <c r="P2571" t="s">
        <v>262</v>
      </c>
      <c r="S2571">
        <v>1</v>
      </c>
      <c r="T2571">
        <v>36</v>
      </c>
      <c r="U2571" t="s">
        <v>120</v>
      </c>
      <c r="V2571">
        <v>75</v>
      </c>
      <c r="W2571" t="s">
        <v>318</v>
      </c>
      <c r="X2571" t="s">
        <v>280</v>
      </c>
      <c r="Y2571">
        <v>1440</v>
      </c>
      <c r="AA2571" t="s">
        <v>184</v>
      </c>
      <c r="AB2571">
        <v>7.05</v>
      </c>
      <c r="AC2571" t="s">
        <v>85</v>
      </c>
      <c r="AD2571">
        <v>1.35E-2</v>
      </c>
      <c r="AE2571" t="s">
        <v>678</v>
      </c>
      <c r="AI2571">
        <v>5</v>
      </c>
      <c r="AT2571" t="s">
        <v>318</v>
      </c>
      <c r="AV2571" t="s">
        <v>88</v>
      </c>
      <c r="AX2571">
        <v>100</v>
      </c>
      <c r="AZ2571">
        <v>0</v>
      </c>
      <c r="BA2571">
        <v>7.05</v>
      </c>
    </row>
    <row r="2572" spans="1:53" hidden="1" x14ac:dyDescent="0.3">
      <c r="A2572" t="s">
        <v>677</v>
      </c>
      <c r="C2572" t="s">
        <v>251</v>
      </c>
      <c r="D2572" t="s">
        <v>81</v>
      </c>
      <c r="E2572">
        <v>10000000</v>
      </c>
      <c r="H2572">
        <v>14.25</v>
      </c>
      <c r="I2572" t="s">
        <v>56</v>
      </c>
      <c r="J2572">
        <v>1.4250000000000001E-3</v>
      </c>
      <c r="K2572" t="s">
        <v>57</v>
      </c>
      <c r="L2572" t="s">
        <v>58</v>
      </c>
      <c r="O2572">
        <v>100</v>
      </c>
      <c r="P2572" t="s">
        <v>262</v>
      </c>
      <c r="S2572">
        <v>1</v>
      </c>
      <c r="T2572">
        <v>36</v>
      </c>
      <c r="U2572" t="s">
        <v>120</v>
      </c>
      <c r="V2572">
        <v>75</v>
      </c>
      <c r="W2572" t="s">
        <v>358</v>
      </c>
      <c r="X2572" t="s">
        <v>280</v>
      </c>
      <c r="Y2572">
        <v>720</v>
      </c>
      <c r="AB2572">
        <v>0.81</v>
      </c>
      <c r="AC2572" t="s">
        <v>85</v>
      </c>
      <c r="AD2572" t="s">
        <v>707</v>
      </c>
      <c r="AE2572" t="s">
        <v>682</v>
      </c>
      <c r="AI2572">
        <v>5</v>
      </c>
      <c r="AT2572" t="s">
        <v>358</v>
      </c>
      <c r="AV2572" t="s">
        <v>88</v>
      </c>
      <c r="AX2572">
        <v>100</v>
      </c>
    </row>
    <row r="2573" spans="1:53" hidden="1" x14ac:dyDescent="0.3">
      <c r="A2573" t="s">
        <v>677</v>
      </c>
      <c r="C2573" t="s">
        <v>251</v>
      </c>
      <c r="D2573" t="s">
        <v>81</v>
      </c>
      <c r="E2573">
        <v>10000000</v>
      </c>
      <c r="H2573">
        <v>14.25</v>
      </c>
      <c r="I2573" t="s">
        <v>56</v>
      </c>
      <c r="J2573">
        <v>1.4250000000000001E-3</v>
      </c>
      <c r="K2573" t="s">
        <v>57</v>
      </c>
      <c r="L2573" t="s">
        <v>58</v>
      </c>
      <c r="O2573">
        <v>100</v>
      </c>
      <c r="P2573" t="s">
        <v>262</v>
      </c>
      <c r="S2573">
        <v>1</v>
      </c>
      <c r="T2573">
        <v>36</v>
      </c>
      <c r="U2573" t="s">
        <v>120</v>
      </c>
      <c r="V2573">
        <v>75</v>
      </c>
      <c r="W2573" t="s">
        <v>358</v>
      </c>
      <c r="X2573" t="s">
        <v>280</v>
      </c>
      <c r="Y2573">
        <v>900</v>
      </c>
      <c r="AA2573" t="s">
        <v>184</v>
      </c>
      <c r="AB2573">
        <v>6.86</v>
      </c>
      <c r="AC2573" t="s">
        <v>85</v>
      </c>
      <c r="AD2573">
        <v>1.35E-2</v>
      </c>
      <c r="AE2573" t="s">
        <v>678</v>
      </c>
      <c r="AI2573">
        <v>5</v>
      </c>
      <c r="AT2573" t="s">
        <v>358</v>
      </c>
      <c r="AV2573" t="s">
        <v>88</v>
      </c>
      <c r="AX2573">
        <v>100</v>
      </c>
      <c r="AZ2573">
        <v>0</v>
      </c>
      <c r="BA2573">
        <v>6.86</v>
      </c>
    </row>
    <row r="2574" spans="1:53" hidden="1" x14ac:dyDescent="0.3">
      <c r="A2574" t="s">
        <v>677</v>
      </c>
      <c r="C2574" t="s">
        <v>251</v>
      </c>
      <c r="D2574" t="s">
        <v>81</v>
      </c>
      <c r="E2574">
        <v>10000000</v>
      </c>
      <c r="H2574">
        <v>14.25</v>
      </c>
      <c r="I2574" t="s">
        <v>56</v>
      </c>
      <c r="J2574">
        <v>1.4250000000000001E-3</v>
      </c>
      <c r="K2574" t="s">
        <v>57</v>
      </c>
      <c r="L2574" t="s">
        <v>58</v>
      </c>
      <c r="O2574">
        <v>100</v>
      </c>
      <c r="P2574" t="s">
        <v>262</v>
      </c>
      <c r="S2574">
        <v>1</v>
      </c>
      <c r="T2574">
        <v>36</v>
      </c>
      <c r="U2574" t="s">
        <v>120</v>
      </c>
      <c r="V2574">
        <v>75</v>
      </c>
      <c r="W2574" t="s">
        <v>358</v>
      </c>
      <c r="X2574" t="s">
        <v>280</v>
      </c>
      <c r="Y2574">
        <v>1080</v>
      </c>
      <c r="AA2574" t="s">
        <v>184</v>
      </c>
      <c r="AB2574">
        <v>7.37</v>
      </c>
      <c r="AC2574" t="s">
        <v>85</v>
      </c>
      <c r="AD2574">
        <v>1.35E-2</v>
      </c>
      <c r="AE2574" t="s">
        <v>678</v>
      </c>
      <c r="AI2574">
        <v>5</v>
      </c>
      <c r="AT2574" t="s">
        <v>358</v>
      </c>
      <c r="AV2574" t="s">
        <v>88</v>
      </c>
      <c r="AX2574">
        <v>100</v>
      </c>
      <c r="AZ2574">
        <v>0</v>
      </c>
      <c r="BA2574">
        <v>7.37</v>
      </c>
    </row>
    <row r="2575" spans="1:53" hidden="1" x14ac:dyDescent="0.3">
      <c r="A2575" t="s">
        <v>677</v>
      </c>
      <c r="C2575" t="s">
        <v>251</v>
      </c>
      <c r="D2575" t="s">
        <v>81</v>
      </c>
      <c r="E2575">
        <v>10000000</v>
      </c>
      <c r="H2575">
        <v>14.25</v>
      </c>
      <c r="I2575" t="s">
        <v>56</v>
      </c>
      <c r="J2575">
        <v>1.4250000000000001E-3</v>
      </c>
      <c r="K2575" t="s">
        <v>57</v>
      </c>
      <c r="L2575" t="s">
        <v>58</v>
      </c>
      <c r="O2575">
        <v>200</v>
      </c>
      <c r="P2575" t="s">
        <v>262</v>
      </c>
      <c r="S2575">
        <v>1</v>
      </c>
      <c r="T2575">
        <v>36</v>
      </c>
      <c r="U2575" t="s">
        <v>120</v>
      </c>
      <c r="V2575">
        <v>75</v>
      </c>
      <c r="W2575" t="s">
        <v>358</v>
      </c>
      <c r="X2575" t="s">
        <v>280</v>
      </c>
      <c r="Y2575">
        <v>540</v>
      </c>
      <c r="AA2575" t="s">
        <v>184</v>
      </c>
      <c r="AB2575">
        <v>7.13</v>
      </c>
      <c r="AC2575" t="s">
        <v>85</v>
      </c>
      <c r="AD2575">
        <v>1.35E-2</v>
      </c>
      <c r="AE2575" t="s">
        <v>678</v>
      </c>
      <c r="AI2575">
        <v>5</v>
      </c>
      <c r="AT2575" t="s">
        <v>358</v>
      </c>
      <c r="AV2575" t="s">
        <v>88</v>
      </c>
      <c r="AX2575">
        <v>200</v>
      </c>
      <c r="AZ2575">
        <v>0</v>
      </c>
      <c r="BA2575">
        <v>7.13</v>
      </c>
    </row>
    <row r="2576" spans="1:53" hidden="1" x14ac:dyDescent="0.3">
      <c r="A2576" t="s">
        <v>677</v>
      </c>
      <c r="C2576" t="s">
        <v>251</v>
      </c>
      <c r="D2576" t="s">
        <v>81</v>
      </c>
      <c r="E2576">
        <v>10000000</v>
      </c>
      <c r="H2576">
        <v>1.33</v>
      </c>
      <c r="I2576" t="s">
        <v>56</v>
      </c>
      <c r="J2576">
        <v>1.3300000000000001E-4</v>
      </c>
      <c r="K2576" t="s">
        <v>57</v>
      </c>
      <c r="L2576" t="s">
        <v>58</v>
      </c>
      <c r="O2576">
        <v>100</v>
      </c>
      <c r="P2576" t="s">
        <v>262</v>
      </c>
      <c r="S2576">
        <v>1</v>
      </c>
      <c r="T2576">
        <v>36</v>
      </c>
      <c r="U2576" t="s">
        <v>120</v>
      </c>
      <c r="V2576">
        <v>75</v>
      </c>
      <c r="W2576" t="s">
        <v>708</v>
      </c>
      <c r="X2576" t="s">
        <v>280</v>
      </c>
      <c r="Y2576">
        <v>720</v>
      </c>
      <c r="AE2576" t="s">
        <v>682</v>
      </c>
      <c r="AI2576">
        <v>5</v>
      </c>
      <c r="AT2576" t="s">
        <v>382</v>
      </c>
      <c r="AV2576" t="s">
        <v>88</v>
      </c>
      <c r="AX2576">
        <v>100</v>
      </c>
    </row>
    <row r="2577" spans="1:53" hidden="1" x14ac:dyDescent="0.3">
      <c r="A2577" t="s">
        <v>677</v>
      </c>
      <c r="C2577" t="s">
        <v>251</v>
      </c>
      <c r="D2577" t="s">
        <v>81</v>
      </c>
      <c r="E2577">
        <v>10000000</v>
      </c>
      <c r="H2577">
        <v>1.33</v>
      </c>
      <c r="I2577" t="s">
        <v>56</v>
      </c>
      <c r="J2577">
        <v>1.3300000000000001E-4</v>
      </c>
      <c r="K2577" t="s">
        <v>57</v>
      </c>
      <c r="L2577" t="s">
        <v>58</v>
      </c>
      <c r="O2577">
        <v>100</v>
      </c>
      <c r="P2577" t="s">
        <v>262</v>
      </c>
      <c r="S2577">
        <v>1</v>
      </c>
      <c r="T2577">
        <v>36</v>
      </c>
      <c r="U2577" t="s">
        <v>120</v>
      </c>
      <c r="V2577">
        <v>75</v>
      </c>
      <c r="W2577" t="s">
        <v>708</v>
      </c>
      <c r="X2577" t="s">
        <v>280</v>
      </c>
      <c r="Y2577">
        <v>900</v>
      </c>
      <c r="AB2577">
        <v>3.47</v>
      </c>
      <c r="AC2577" t="s">
        <v>85</v>
      </c>
      <c r="AD2577" t="s">
        <v>709</v>
      </c>
      <c r="AE2577" t="s">
        <v>682</v>
      </c>
      <c r="AI2577">
        <v>5</v>
      </c>
      <c r="AT2577" t="s">
        <v>382</v>
      </c>
      <c r="AV2577" t="s">
        <v>88</v>
      </c>
      <c r="AX2577">
        <v>100</v>
      </c>
    </row>
    <row r="2578" spans="1:53" hidden="1" x14ac:dyDescent="0.3">
      <c r="A2578" t="s">
        <v>677</v>
      </c>
      <c r="C2578" t="s">
        <v>251</v>
      </c>
      <c r="D2578" t="s">
        <v>81</v>
      </c>
      <c r="E2578">
        <v>10000000</v>
      </c>
      <c r="H2578">
        <v>1.33</v>
      </c>
      <c r="I2578" t="s">
        <v>56</v>
      </c>
      <c r="J2578">
        <v>1.3300000000000001E-4</v>
      </c>
      <c r="K2578" t="s">
        <v>57</v>
      </c>
      <c r="L2578" t="s">
        <v>58</v>
      </c>
      <c r="O2578">
        <v>100</v>
      </c>
      <c r="P2578" t="s">
        <v>262</v>
      </c>
      <c r="S2578">
        <v>1</v>
      </c>
      <c r="T2578">
        <v>36</v>
      </c>
      <c r="U2578" t="s">
        <v>120</v>
      </c>
      <c r="V2578">
        <v>75</v>
      </c>
      <c r="W2578" t="s">
        <v>708</v>
      </c>
      <c r="X2578" t="s">
        <v>280</v>
      </c>
      <c r="Y2578">
        <v>1080</v>
      </c>
      <c r="AB2578">
        <v>4.68</v>
      </c>
      <c r="AC2578" t="s">
        <v>85</v>
      </c>
      <c r="AD2578" t="s">
        <v>710</v>
      </c>
      <c r="AE2578" t="s">
        <v>682</v>
      </c>
      <c r="AI2578">
        <v>5</v>
      </c>
      <c r="AT2578" t="s">
        <v>382</v>
      </c>
      <c r="AV2578" t="s">
        <v>88</v>
      </c>
      <c r="AX2578">
        <v>100</v>
      </c>
    </row>
    <row r="2579" spans="1:53" hidden="1" x14ac:dyDescent="0.3">
      <c r="A2579" t="s">
        <v>677</v>
      </c>
      <c r="C2579" t="s">
        <v>251</v>
      </c>
      <c r="D2579" t="s">
        <v>81</v>
      </c>
      <c r="E2579">
        <v>10000000</v>
      </c>
      <c r="H2579">
        <v>1.33</v>
      </c>
      <c r="I2579" t="s">
        <v>56</v>
      </c>
      <c r="J2579">
        <v>1.3300000000000001E-4</v>
      </c>
      <c r="K2579" t="s">
        <v>57</v>
      </c>
      <c r="L2579" t="s">
        <v>58</v>
      </c>
      <c r="O2579">
        <v>200</v>
      </c>
      <c r="P2579" t="s">
        <v>262</v>
      </c>
      <c r="S2579">
        <v>1</v>
      </c>
      <c r="T2579">
        <v>36</v>
      </c>
      <c r="U2579" t="s">
        <v>120</v>
      </c>
      <c r="V2579">
        <v>75</v>
      </c>
      <c r="W2579" t="s">
        <v>708</v>
      </c>
      <c r="X2579" t="s">
        <v>280</v>
      </c>
      <c r="Y2579">
        <v>540</v>
      </c>
      <c r="AA2579" t="s">
        <v>184</v>
      </c>
      <c r="AB2579">
        <v>5.44</v>
      </c>
      <c r="AC2579" t="s">
        <v>85</v>
      </c>
      <c r="AD2579">
        <v>1.35E-2</v>
      </c>
      <c r="AE2579" t="s">
        <v>678</v>
      </c>
      <c r="AI2579">
        <v>5</v>
      </c>
      <c r="AT2579" t="s">
        <v>382</v>
      </c>
      <c r="AV2579" t="s">
        <v>88</v>
      </c>
      <c r="AX2579">
        <v>200</v>
      </c>
      <c r="AZ2579">
        <v>0</v>
      </c>
      <c r="BA2579">
        <v>5.44</v>
      </c>
    </row>
    <row r="2580" spans="1:53" hidden="1" x14ac:dyDescent="0.3">
      <c r="A2580" t="s">
        <v>677</v>
      </c>
      <c r="C2580" t="s">
        <v>251</v>
      </c>
      <c r="D2580" t="s">
        <v>81</v>
      </c>
      <c r="E2580">
        <v>10000000</v>
      </c>
      <c r="H2580">
        <v>14.25</v>
      </c>
      <c r="I2580" t="s">
        <v>56</v>
      </c>
      <c r="J2580">
        <v>1.4250000000000001E-3</v>
      </c>
      <c r="K2580" t="s">
        <v>57</v>
      </c>
      <c r="L2580" t="s">
        <v>58</v>
      </c>
      <c r="O2580">
        <v>100</v>
      </c>
      <c r="P2580" t="s">
        <v>262</v>
      </c>
      <c r="S2580">
        <v>1</v>
      </c>
      <c r="T2580">
        <v>36</v>
      </c>
      <c r="U2580" t="s">
        <v>120</v>
      </c>
      <c r="V2580">
        <v>75</v>
      </c>
      <c r="W2580" t="s">
        <v>711</v>
      </c>
      <c r="X2580" t="s">
        <v>280</v>
      </c>
      <c r="Y2580">
        <v>720</v>
      </c>
      <c r="AB2580">
        <v>0.9</v>
      </c>
      <c r="AC2580" t="s">
        <v>85</v>
      </c>
      <c r="AD2580" t="s">
        <v>712</v>
      </c>
      <c r="AE2580" t="s">
        <v>682</v>
      </c>
      <c r="AI2580">
        <v>5</v>
      </c>
      <c r="AT2580" t="s">
        <v>360</v>
      </c>
      <c r="AV2580" t="s">
        <v>88</v>
      </c>
      <c r="AX2580">
        <v>100</v>
      </c>
    </row>
    <row r="2581" spans="1:53" hidden="1" x14ac:dyDescent="0.3">
      <c r="A2581" t="s">
        <v>677</v>
      </c>
      <c r="C2581" t="s">
        <v>251</v>
      </c>
      <c r="D2581" t="s">
        <v>81</v>
      </c>
      <c r="E2581">
        <v>10000000</v>
      </c>
      <c r="H2581">
        <v>14.25</v>
      </c>
      <c r="I2581" t="s">
        <v>56</v>
      </c>
      <c r="J2581">
        <v>1.4250000000000001E-3</v>
      </c>
      <c r="K2581" t="s">
        <v>57</v>
      </c>
      <c r="L2581" t="s">
        <v>58</v>
      </c>
      <c r="O2581">
        <v>100</v>
      </c>
      <c r="P2581" t="s">
        <v>262</v>
      </c>
      <c r="S2581">
        <v>1</v>
      </c>
      <c r="T2581">
        <v>36</v>
      </c>
      <c r="U2581" t="s">
        <v>120</v>
      </c>
      <c r="V2581">
        <v>75</v>
      </c>
      <c r="W2581" t="s">
        <v>711</v>
      </c>
      <c r="X2581" t="s">
        <v>280</v>
      </c>
      <c r="Y2581">
        <v>900</v>
      </c>
      <c r="AA2581" t="s">
        <v>184</v>
      </c>
      <c r="AB2581">
        <v>5.41</v>
      </c>
      <c r="AC2581" t="s">
        <v>85</v>
      </c>
      <c r="AD2581">
        <v>1.35E-2</v>
      </c>
      <c r="AE2581" t="s">
        <v>678</v>
      </c>
      <c r="AI2581">
        <v>5</v>
      </c>
      <c r="AT2581" t="s">
        <v>360</v>
      </c>
      <c r="AV2581" t="s">
        <v>88</v>
      </c>
      <c r="AX2581">
        <v>100</v>
      </c>
      <c r="AZ2581">
        <v>0</v>
      </c>
      <c r="BA2581">
        <v>5.41</v>
      </c>
    </row>
    <row r="2582" spans="1:53" hidden="1" x14ac:dyDescent="0.3">
      <c r="A2582" t="s">
        <v>677</v>
      </c>
      <c r="C2582" t="s">
        <v>251</v>
      </c>
      <c r="D2582" t="s">
        <v>81</v>
      </c>
      <c r="E2582">
        <v>10000000</v>
      </c>
      <c r="H2582">
        <v>14.25</v>
      </c>
      <c r="I2582" t="s">
        <v>56</v>
      </c>
      <c r="J2582">
        <v>1.4250000000000001E-3</v>
      </c>
      <c r="K2582" t="s">
        <v>57</v>
      </c>
      <c r="L2582" t="s">
        <v>58</v>
      </c>
      <c r="O2582">
        <v>100</v>
      </c>
      <c r="P2582" t="s">
        <v>262</v>
      </c>
      <c r="S2582">
        <v>1</v>
      </c>
      <c r="T2582">
        <v>36</v>
      </c>
      <c r="U2582" t="s">
        <v>120</v>
      </c>
      <c r="V2582">
        <v>75</v>
      </c>
      <c r="W2582" t="s">
        <v>711</v>
      </c>
      <c r="X2582" t="s">
        <v>280</v>
      </c>
      <c r="Y2582">
        <v>1080</v>
      </c>
      <c r="AA2582" t="s">
        <v>184</v>
      </c>
      <c r="AB2582">
        <v>7.32</v>
      </c>
      <c r="AC2582" t="s">
        <v>85</v>
      </c>
      <c r="AD2582">
        <v>1.35E-2</v>
      </c>
      <c r="AE2582" t="s">
        <v>678</v>
      </c>
      <c r="AI2582">
        <v>5</v>
      </c>
      <c r="AT2582" t="s">
        <v>360</v>
      </c>
      <c r="AV2582" t="s">
        <v>88</v>
      </c>
      <c r="AX2582">
        <v>100</v>
      </c>
      <c r="AZ2582">
        <v>0</v>
      </c>
      <c r="BA2582">
        <v>7.32</v>
      </c>
    </row>
    <row r="2583" spans="1:53" hidden="1" x14ac:dyDescent="0.3">
      <c r="A2583" t="s">
        <v>677</v>
      </c>
      <c r="C2583" t="s">
        <v>251</v>
      </c>
      <c r="D2583" t="s">
        <v>81</v>
      </c>
      <c r="E2583">
        <v>10000000</v>
      </c>
      <c r="H2583">
        <v>14.25</v>
      </c>
      <c r="I2583" t="s">
        <v>56</v>
      </c>
      <c r="J2583">
        <v>1.4250000000000001E-3</v>
      </c>
      <c r="K2583" t="s">
        <v>57</v>
      </c>
      <c r="L2583" t="s">
        <v>58</v>
      </c>
      <c r="O2583">
        <v>200</v>
      </c>
      <c r="P2583" t="s">
        <v>262</v>
      </c>
      <c r="S2583">
        <v>1</v>
      </c>
      <c r="T2583">
        <v>36</v>
      </c>
      <c r="U2583" t="s">
        <v>120</v>
      </c>
      <c r="V2583">
        <v>75</v>
      </c>
      <c r="W2583" t="s">
        <v>711</v>
      </c>
      <c r="X2583" t="s">
        <v>280</v>
      </c>
      <c r="Y2583">
        <v>540</v>
      </c>
      <c r="AA2583" t="s">
        <v>184</v>
      </c>
      <c r="AB2583">
        <v>6.69</v>
      </c>
      <c r="AC2583" t="s">
        <v>85</v>
      </c>
      <c r="AD2583">
        <v>1.35E-2</v>
      </c>
      <c r="AE2583" t="s">
        <v>678</v>
      </c>
      <c r="AI2583">
        <v>5</v>
      </c>
      <c r="AT2583" t="s">
        <v>360</v>
      </c>
      <c r="AV2583" t="s">
        <v>88</v>
      </c>
      <c r="AX2583">
        <v>200</v>
      </c>
      <c r="AZ2583">
        <v>0</v>
      </c>
      <c r="BA2583">
        <v>6.69</v>
      </c>
    </row>
    <row r="2584" spans="1:53" hidden="1" x14ac:dyDescent="0.3">
      <c r="A2584" t="s">
        <v>677</v>
      </c>
      <c r="C2584" t="s">
        <v>251</v>
      </c>
      <c r="D2584" t="s">
        <v>81</v>
      </c>
      <c r="E2584">
        <v>10000000</v>
      </c>
      <c r="H2584">
        <v>14.25</v>
      </c>
      <c r="I2584" t="s">
        <v>56</v>
      </c>
      <c r="J2584">
        <v>1.4250000000000001E-3</v>
      </c>
      <c r="K2584" t="s">
        <v>57</v>
      </c>
      <c r="L2584" t="s">
        <v>58</v>
      </c>
      <c r="O2584">
        <v>100</v>
      </c>
      <c r="P2584" t="s">
        <v>262</v>
      </c>
      <c r="S2584">
        <v>1</v>
      </c>
      <c r="T2584">
        <v>36</v>
      </c>
      <c r="U2584" t="s">
        <v>120</v>
      </c>
      <c r="V2584">
        <v>75</v>
      </c>
      <c r="W2584" t="s">
        <v>469</v>
      </c>
      <c r="X2584" t="s">
        <v>280</v>
      </c>
      <c r="Y2584">
        <v>720</v>
      </c>
      <c r="AB2584">
        <v>1.72</v>
      </c>
      <c r="AC2584" t="s">
        <v>85</v>
      </c>
      <c r="AD2584" t="s">
        <v>713</v>
      </c>
      <c r="AE2584" t="s">
        <v>682</v>
      </c>
      <c r="AI2584">
        <v>5</v>
      </c>
      <c r="AT2584" t="s">
        <v>65</v>
      </c>
      <c r="AV2584" t="s">
        <v>88</v>
      </c>
      <c r="AX2584">
        <v>100</v>
      </c>
    </row>
    <row r="2585" spans="1:53" hidden="1" x14ac:dyDescent="0.3">
      <c r="A2585" t="s">
        <v>677</v>
      </c>
      <c r="C2585" t="s">
        <v>251</v>
      </c>
      <c r="D2585" t="s">
        <v>81</v>
      </c>
      <c r="E2585">
        <v>10000000</v>
      </c>
      <c r="H2585">
        <v>14.25</v>
      </c>
      <c r="I2585" t="s">
        <v>56</v>
      </c>
      <c r="J2585">
        <v>1.4250000000000001E-3</v>
      </c>
      <c r="K2585" t="s">
        <v>57</v>
      </c>
      <c r="L2585" t="s">
        <v>58</v>
      </c>
      <c r="O2585">
        <v>100</v>
      </c>
      <c r="P2585" t="s">
        <v>262</v>
      </c>
      <c r="S2585">
        <v>1</v>
      </c>
      <c r="T2585">
        <v>36</v>
      </c>
      <c r="U2585" t="s">
        <v>120</v>
      </c>
      <c r="V2585">
        <v>75</v>
      </c>
      <c r="W2585" t="s">
        <v>469</v>
      </c>
      <c r="X2585" t="s">
        <v>280</v>
      </c>
      <c r="Y2585">
        <v>900</v>
      </c>
      <c r="AA2585" t="s">
        <v>184</v>
      </c>
      <c r="AB2585">
        <v>7.6982999999999997</v>
      </c>
      <c r="AC2585" t="s">
        <v>85</v>
      </c>
      <c r="AD2585">
        <v>1.35E-2</v>
      </c>
      <c r="AE2585" t="s">
        <v>678</v>
      </c>
      <c r="AI2585">
        <v>5</v>
      </c>
      <c r="AT2585" t="s">
        <v>65</v>
      </c>
      <c r="AV2585" t="s">
        <v>88</v>
      </c>
      <c r="AX2585">
        <v>100</v>
      </c>
      <c r="AZ2585">
        <v>0</v>
      </c>
      <c r="BA2585">
        <v>7.6982999999999997</v>
      </c>
    </row>
    <row r="2586" spans="1:53" hidden="1" x14ac:dyDescent="0.3">
      <c r="A2586" t="s">
        <v>677</v>
      </c>
      <c r="C2586" t="s">
        <v>251</v>
      </c>
      <c r="D2586" t="s">
        <v>81</v>
      </c>
      <c r="E2586">
        <v>10000000</v>
      </c>
      <c r="H2586">
        <v>14.25</v>
      </c>
      <c r="I2586" t="s">
        <v>56</v>
      </c>
      <c r="J2586">
        <v>1.4250000000000001E-3</v>
      </c>
      <c r="K2586" t="s">
        <v>57</v>
      </c>
      <c r="L2586" t="s">
        <v>58</v>
      </c>
      <c r="O2586">
        <v>100</v>
      </c>
      <c r="P2586" t="s">
        <v>262</v>
      </c>
      <c r="S2586">
        <v>1</v>
      </c>
      <c r="T2586">
        <v>36</v>
      </c>
      <c r="U2586" t="s">
        <v>120</v>
      </c>
      <c r="V2586">
        <v>75</v>
      </c>
      <c r="W2586" t="s">
        <v>469</v>
      </c>
      <c r="X2586" t="s">
        <v>280</v>
      </c>
      <c r="Y2586">
        <v>1080</v>
      </c>
      <c r="AA2586" t="s">
        <v>184</v>
      </c>
      <c r="AB2586">
        <v>6.93</v>
      </c>
      <c r="AC2586" t="s">
        <v>85</v>
      </c>
      <c r="AD2586">
        <v>1.35E-2</v>
      </c>
      <c r="AE2586" t="s">
        <v>678</v>
      </c>
      <c r="AI2586">
        <v>5</v>
      </c>
      <c r="AT2586" t="s">
        <v>65</v>
      </c>
      <c r="AV2586" t="s">
        <v>88</v>
      </c>
      <c r="AX2586">
        <v>100</v>
      </c>
      <c r="AZ2586">
        <v>0</v>
      </c>
      <c r="BA2586">
        <v>6.93</v>
      </c>
    </row>
    <row r="2587" spans="1:53" hidden="1" x14ac:dyDescent="0.3">
      <c r="A2587" t="s">
        <v>677</v>
      </c>
      <c r="C2587" t="s">
        <v>251</v>
      </c>
      <c r="D2587" t="s">
        <v>81</v>
      </c>
      <c r="E2587">
        <v>10000000</v>
      </c>
      <c r="H2587">
        <v>14.25</v>
      </c>
      <c r="I2587" t="s">
        <v>56</v>
      </c>
      <c r="J2587">
        <v>1.4250000000000001E-3</v>
      </c>
      <c r="K2587" t="s">
        <v>57</v>
      </c>
      <c r="L2587" t="s">
        <v>58</v>
      </c>
      <c r="O2587">
        <v>200</v>
      </c>
      <c r="P2587" t="s">
        <v>262</v>
      </c>
      <c r="S2587">
        <v>1</v>
      </c>
      <c r="T2587">
        <v>36</v>
      </c>
      <c r="U2587" t="s">
        <v>120</v>
      </c>
      <c r="V2587">
        <v>75</v>
      </c>
      <c r="W2587" t="s">
        <v>469</v>
      </c>
      <c r="X2587" t="s">
        <v>280</v>
      </c>
      <c r="Y2587">
        <v>540</v>
      </c>
      <c r="AA2587" t="s">
        <v>184</v>
      </c>
      <c r="AB2587">
        <v>6.32</v>
      </c>
      <c r="AC2587" t="s">
        <v>85</v>
      </c>
      <c r="AD2587">
        <v>1.35E-2</v>
      </c>
      <c r="AE2587" t="s">
        <v>678</v>
      </c>
      <c r="AI2587">
        <v>5</v>
      </c>
      <c r="AT2587" t="s">
        <v>65</v>
      </c>
      <c r="AV2587" t="s">
        <v>88</v>
      </c>
      <c r="AX2587">
        <v>200</v>
      </c>
      <c r="AZ2587">
        <v>0</v>
      </c>
      <c r="BA2587">
        <v>6.32</v>
      </c>
    </row>
    <row r="2588" spans="1:53" hidden="1" x14ac:dyDescent="0.3">
      <c r="A2588" t="s">
        <v>677</v>
      </c>
      <c r="C2588" t="s">
        <v>251</v>
      </c>
      <c r="D2588" t="s">
        <v>81</v>
      </c>
      <c r="E2588">
        <v>10000000</v>
      </c>
      <c r="H2588">
        <v>14.25</v>
      </c>
      <c r="I2588" t="s">
        <v>56</v>
      </c>
      <c r="J2588">
        <v>1.4250000000000001E-3</v>
      </c>
      <c r="K2588" t="s">
        <v>57</v>
      </c>
      <c r="L2588" t="s">
        <v>58</v>
      </c>
      <c r="O2588">
        <v>100</v>
      </c>
      <c r="P2588" t="s">
        <v>262</v>
      </c>
      <c r="S2588">
        <v>1</v>
      </c>
      <c r="T2588">
        <v>36</v>
      </c>
      <c r="U2588" t="s">
        <v>120</v>
      </c>
      <c r="V2588">
        <v>75</v>
      </c>
      <c r="W2588" t="s">
        <v>714</v>
      </c>
      <c r="X2588" t="s">
        <v>280</v>
      </c>
      <c r="Y2588">
        <v>720</v>
      </c>
      <c r="AB2588">
        <v>0.97</v>
      </c>
      <c r="AC2588" t="s">
        <v>85</v>
      </c>
      <c r="AD2588" t="s">
        <v>715</v>
      </c>
      <c r="AE2588" t="s">
        <v>682</v>
      </c>
      <c r="AI2588">
        <v>5</v>
      </c>
      <c r="AT2588" t="s">
        <v>73</v>
      </c>
      <c r="AV2588" t="s">
        <v>88</v>
      </c>
      <c r="AX2588">
        <v>100</v>
      </c>
    </row>
    <row r="2589" spans="1:53" hidden="1" x14ac:dyDescent="0.3">
      <c r="A2589" t="s">
        <v>677</v>
      </c>
      <c r="C2589" t="s">
        <v>251</v>
      </c>
      <c r="D2589" t="s">
        <v>81</v>
      </c>
      <c r="E2589">
        <v>10000000</v>
      </c>
      <c r="H2589">
        <v>14.25</v>
      </c>
      <c r="I2589" t="s">
        <v>56</v>
      </c>
      <c r="J2589">
        <v>1.4250000000000001E-3</v>
      </c>
      <c r="K2589" t="s">
        <v>57</v>
      </c>
      <c r="L2589" t="s">
        <v>58</v>
      </c>
      <c r="O2589">
        <v>100</v>
      </c>
      <c r="P2589" t="s">
        <v>262</v>
      </c>
      <c r="S2589">
        <v>1</v>
      </c>
      <c r="T2589">
        <v>36</v>
      </c>
      <c r="U2589" t="s">
        <v>120</v>
      </c>
      <c r="V2589">
        <v>75</v>
      </c>
      <c r="W2589" t="s">
        <v>714</v>
      </c>
      <c r="X2589" t="s">
        <v>280</v>
      </c>
      <c r="Y2589">
        <v>900</v>
      </c>
      <c r="AB2589">
        <v>4.0599999999999996</v>
      </c>
      <c r="AC2589" t="s">
        <v>85</v>
      </c>
      <c r="AD2589" t="s">
        <v>716</v>
      </c>
      <c r="AE2589" t="s">
        <v>682</v>
      </c>
      <c r="AI2589">
        <v>5</v>
      </c>
      <c r="AT2589" t="s">
        <v>73</v>
      </c>
      <c r="AV2589" t="s">
        <v>88</v>
      </c>
      <c r="AX2589">
        <v>100</v>
      </c>
    </row>
    <row r="2590" spans="1:53" hidden="1" x14ac:dyDescent="0.3">
      <c r="A2590" t="s">
        <v>677</v>
      </c>
      <c r="C2590" t="s">
        <v>251</v>
      </c>
      <c r="D2590" t="s">
        <v>81</v>
      </c>
      <c r="E2590">
        <v>10000000</v>
      </c>
      <c r="H2590">
        <v>14.25</v>
      </c>
      <c r="I2590" t="s">
        <v>56</v>
      </c>
      <c r="J2590">
        <v>1.4250000000000001E-3</v>
      </c>
      <c r="K2590" t="s">
        <v>57</v>
      </c>
      <c r="L2590" t="s">
        <v>58</v>
      </c>
      <c r="O2590">
        <v>100</v>
      </c>
      <c r="P2590" t="s">
        <v>262</v>
      </c>
      <c r="S2590">
        <v>1</v>
      </c>
      <c r="T2590">
        <v>36</v>
      </c>
      <c r="U2590" t="s">
        <v>120</v>
      </c>
      <c r="V2590">
        <v>75</v>
      </c>
      <c r="W2590" t="s">
        <v>714</v>
      </c>
      <c r="X2590" t="s">
        <v>280</v>
      </c>
      <c r="Y2590">
        <v>1080</v>
      </c>
      <c r="AA2590" t="s">
        <v>184</v>
      </c>
      <c r="AB2590">
        <v>7.3</v>
      </c>
      <c r="AC2590" t="s">
        <v>85</v>
      </c>
      <c r="AD2590">
        <v>1.35E-2</v>
      </c>
      <c r="AE2590" t="s">
        <v>678</v>
      </c>
      <c r="AI2590">
        <v>5</v>
      </c>
      <c r="AT2590" t="s">
        <v>73</v>
      </c>
      <c r="AV2590" t="s">
        <v>88</v>
      </c>
      <c r="AX2590">
        <v>100</v>
      </c>
      <c r="AZ2590">
        <v>0</v>
      </c>
      <c r="BA2590">
        <v>7.3</v>
      </c>
    </row>
    <row r="2591" spans="1:53" hidden="1" x14ac:dyDescent="0.3">
      <c r="A2591" t="s">
        <v>677</v>
      </c>
      <c r="C2591" t="s">
        <v>251</v>
      </c>
      <c r="D2591" t="s">
        <v>81</v>
      </c>
      <c r="E2591">
        <v>10000000</v>
      </c>
      <c r="H2591">
        <v>14.25</v>
      </c>
      <c r="I2591" t="s">
        <v>56</v>
      </c>
      <c r="J2591">
        <v>1.4250000000000001E-3</v>
      </c>
      <c r="K2591" t="s">
        <v>57</v>
      </c>
      <c r="L2591" t="s">
        <v>58</v>
      </c>
      <c r="O2591">
        <v>200</v>
      </c>
      <c r="P2591" t="s">
        <v>262</v>
      </c>
      <c r="S2591">
        <v>1</v>
      </c>
      <c r="T2591">
        <v>36</v>
      </c>
      <c r="U2591" t="s">
        <v>120</v>
      </c>
      <c r="V2591">
        <v>75</v>
      </c>
      <c r="W2591" t="s">
        <v>714</v>
      </c>
      <c r="X2591" t="s">
        <v>280</v>
      </c>
      <c r="Y2591">
        <v>540</v>
      </c>
      <c r="AA2591" t="s">
        <v>184</v>
      </c>
      <c r="AB2591">
        <v>7.06</v>
      </c>
      <c r="AC2591" t="s">
        <v>85</v>
      </c>
      <c r="AD2591">
        <v>1.35E-2</v>
      </c>
      <c r="AE2591" t="s">
        <v>678</v>
      </c>
      <c r="AI2591">
        <v>5</v>
      </c>
      <c r="AT2591" t="s">
        <v>73</v>
      </c>
      <c r="AV2591" t="s">
        <v>88</v>
      </c>
      <c r="AX2591">
        <v>200</v>
      </c>
      <c r="AZ2591">
        <v>0</v>
      </c>
      <c r="BA2591">
        <v>7.06</v>
      </c>
    </row>
    <row r="2592" spans="1:53" hidden="1" x14ac:dyDescent="0.3">
      <c r="A2592" t="s">
        <v>677</v>
      </c>
      <c r="C2592" t="s">
        <v>251</v>
      </c>
      <c r="D2592" t="s">
        <v>81</v>
      </c>
      <c r="E2592">
        <v>10000000</v>
      </c>
      <c r="H2592">
        <v>14.25</v>
      </c>
      <c r="I2592" t="s">
        <v>56</v>
      </c>
      <c r="J2592">
        <v>1.4250000000000001E-3</v>
      </c>
      <c r="K2592" t="s">
        <v>57</v>
      </c>
      <c r="L2592" t="s">
        <v>58</v>
      </c>
      <c r="O2592">
        <v>212</v>
      </c>
      <c r="P2592" t="s">
        <v>262</v>
      </c>
      <c r="S2592">
        <v>1</v>
      </c>
      <c r="T2592">
        <v>25</v>
      </c>
      <c r="U2592" t="s">
        <v>120</v>
      </c>
      <c r="V2592">
        <v>75</v>
      </c>
      <c r="W2592" t="s">
        <v>466</v>
      </c>
      <c r="X2592" t="s">
        <v>280</v>
      </c>
      <c r="Y2592">
        <v>540</v>
      </c>
      <c r="AB2592">
        <v>2.2000000000000002</v>
      </c>
      <c r="AC2592" t="s">
        <v>85</v>
      </c>
      <c r="AD2592">
        <v>0.05</v>
      </c>
      <c r="AE2592" t="s">
        <v>682</v>
      </c>
      <c r="AI2592">
        <v>5</v>
      </c>
      <c r="AT2592" t="s">
        <v>358</v>
      </c>
      <c r="AV2592" t="s">
        <v>88</v>
      </c>
      <c r="AX2592">
        <v>212</v>
      </c>
    </row>
    <row r="2593" spans="1:53" hidden="1" x14ac:dyDescent="0.3">
      <c r="A2593" t="s">
        <v>677</v>
      </c>
      <c r="C2593" t="s">
        <v>251</v>
      </c>
      <c r="D2593" t="s">
        <v>81</v>
      </c>
      <c r="E2593">
        <v>10000000</v>
      </c>
      <c r="H2593">
        <v>14.25</v>
      </c>
      <c r="I2593" t="s">
        <v>56</v>
      </c>
      <c r="J2593">
        <v>1.4250000000000001E-3</v>
      </c>
      <c r="K2593" t="s">
        <v>57</v>
      </c>
      <c r="L2593" t="s">
        <v>58</v>
      </c>
      <c r="O2593">
        <v>212</v>
      </c>
      <c r="P2593" t="s">
        <v>262</v>
      </c>
      <c r="S2593">
        <v>1</v>
      </c>
      <c r="T2593">
        <v>36</v>
      </c>
      <c r="U2593" t="s">
        <v>120</v>
      </c>
      <c r="V2593">
        <v>75</v>
      </c>
      <c r="W2593" t="s">
        <v>466</v>
      </c>
      <c r="X2593" t="s">
        <v>280</v>
      </c>
      <c r="Y2593">
        <v>540</v>
      </c>
      <c r="AA2593" t="s">
        <v>184</v>
      </c>
      <c r="AB2593">
        <v>7.13</v>
      </c>
      <c r="AC2593" t="s">
        <v>85</v>
      </c>
      <c r="AD2593">
        <v>1.38</v>
      </c>
      <c r="AE2593" t="s">
        <v>678</v>
      </c>
      <c r="AI2593">
        <v>5</v>
      </c>
      <c r="AT2593" t="s">
        <v>358</v>
      </c>
      <c r="AV2593" t="s">
        <v>88</v>
      </c>
      <c r="AX2593">
        <v>212</v>
      </c>
      <c r="AZ2593">
        <v>0</v>
      </c>
      <c r="BA2593">
        <v>7.13</v>
      </c>
    </row>
    <row r="2594" spans="1:53" hidden="1" x14ac:dyDescent="0.3">
      <c r="A2594" t="s">
        <v>677</v>
      </c>
      <c r="C2594" t="s">
        <v>251</v>
      </c>
      <c r="D2594" t="s">
        <v>81</v>
      </c>
      <c r="E2594">
        <v>10000000</v>
      </c>
      <c r="H2594">
        <v>14.25</v>
      </c>
      <c r="I2594" t="s">
        <v>56</v>
      </c>
      <c r="J2594">
        <v>1.4250000000000001E-3</v>
      </c>
      <c r="K2594" t="s">
        <v>57</v>
      </c>
      <c r="L2594" t="s">
        <v>58</v>
      </c>
      <c r="O2594">
        <v>212</v>
      </c>
      <c r="P2594" t="s">
        <v>262</v>
      </c>
      <c r="S2594">
        <v>1</v>
      </c>
      <c r="T2594">
        <v>25</v>
      </c>
      <c r="U2594" t="s">
        <v>120</v>
      </c>
      <c r="V2594">
        <v>75</v>
      </c>
      <c r="W2594" t="s">
        <v>466</v>
      </c>
      <c r="X2594" t="s">
        <v>280</v>
      </c>
      <c r="Y2594">
        <v>1440</v>
      </c>
      <c r="AA2594" t="s">
        <v>184</v>
      </c>
      <c r="AB2594">
        <v>7.92</v>
      </c>
      <c r="AC2594" t="s">
        <v>85</v>
      </c>
      <c r="AD2594">
        <v>0</v>
      </c>
      <c r="AE2594" t="s">
        <v>678</v>
      </c>
      <c r="AI2594">
        <v>5</v>
      </c>
      <c r="AT2594" t="s">
        <v>358</v>
      </c>
      <c r="AV2594" t="s">
        <v>88</v>
      </c>
      <c r="AX2594">
        <v>212</v>
      </c>
      <c r="AZ2594">
        <v>0</v>
      </c>
      <c r="BA2594">
        <v>7.92</v>
      </c>
    </row>
    <row r="2595" spans="1:53" hidden="1" x14ac:dyDescent="0.3">
      <c r="A2595" t="s">
        <v>677</v>
      </c>
      <c r="C2595" t="s">
        <v>251</v>
      </c>
      <c r="D2595" t="s">
        <v>81</v>
      </c>
      <c r="E2595">
        <v>10000000</v>
      </c>
      <c r="H2595">
        <v>1.33</v>
      </c>
      <c r="I2595" t="s">
        <v>56</v>
      </c>
      <c r="J2595">
        <v>1.3300000000000001E-4</v>
      </c>
      <c r="K2595" t="s">
        <v>57</v>
      </c>
      <c r="L2595" t="s">
        <v>58</v>
      </c>
      <c r="O2595">
        <v>212</v>
      </c>
      <c r="P2595" t="s">
        <v>262</v>
      </c>
      <c r="S2595">
        <v>1</v>
      </c>
      <c r="T2595">
        <v>25</v>
      </c>
      <c r="U2595" t="s">
        <v>120</v>
      </c>
      <c r="V2595">
        <v>75</v>
      </c>
      <c r="W2595" t="s">
        <v>680</v>
      </c>
      <c r="X2595" t="s">
        <v>280</v>
      </c>
      <c r="Y2595">
        <v>540</v>
      </c>
      <c r="AB2595">
        <v>2.33</v>
      </c>
      <c r="AC2595" t="s">
        <v>85</v>
      </c>
      <c r="AD2595">
        <v>0.28000000000000003</v>
      </c>
      <c r="AE2595" t="s">
        <v>682</v>
      </c>
      <c r="AI2595">
        <v>5</v>
      </c>
      <c r="AT2595" t="s">
        <v>382</v>
      </c>
      <c r="AV2595" t="s">
        <v>88</v>
      </c>
      <c r="AX2595">
        <v>212</v>
      </c>
    </row>
    <row r="2596" spans="1:53" hidden="1" x14ac:dyDescent="0.3">
      <c r="A2596" t="s">
        <v>677</v>
      </c>
      <c r="C2596" t="s">
        <v>251</v>
      </c>
      <c r="D2596" t="s">
        <v>81</v>
      </c>
      <c r="E2596">
        <v>10000000</v>
      </c>
      <c r="H2596">
        <v>1.33</v>
      </c>
      <c r="I2596" t="s">
        <v>56</v>
      </c>
      <c r="J2596">
        <v>1.3300000000000001E-4</v>
      </c>
      <c r="K2596" t="s">
        <v>57</v>
      </c>
      <c r="L2596" t="s">
        <v>58</v>
      </c>
      <c r="O2596">
        <v>212</v>
      </c>
      <c r="P2596" t="s">
        <v>262</v>
      </c>
      <c r="S2596">
        <v>1</v>
      </c>
      <c r="T2596">
        <v>36</v>
      </c>
      <c r="U2596" t="s">
        <v>120</v>
      </c>
      <c r="V2596">
        <v>75</v>
      </c>
      <c r="W2596" t="s">
        <v>680</v>
      </c>
      <c r="X2596" t="s">
        <v>280</v>
      </c>
      <c r="Y2596">
        <v>540</v>
      </c>
      <c r="AA2596" t="s">
        <v>184</v>
      </c>
      <c r="AB2596">
        <v>5.47</v>
      </c>
      <c r="AC2596" t="s">
        <v>85</v>
      </c>
      <c r="AD2596">
        <v>1.24</v>
      </c>
      <c r="AE2596" t="s">
        <v>678</v>
      </c>
      <c r="AI2596">
        <v>5</v>
      </c>
      <c r="AT2596" t="s">
        <v>382</v>
      </c>
      <c r="AV2596" t="s">
        <v>88</v>
      </c>
      <c r="AX2596">
        <v>212</v>
      </c>
      <c r="AZ2596">
        <v>0</v>
      </c>
      <c r="BA2596">
        <v>5.47</v>
      </c>
    </row>
    <row r="2597" spans="1:53" hidden="1" x14ac:dyDescent="0.3">
      <c r="A2597" t="s">
        <v>677</v>
      </c>
      <c r="C2597" t="s">
        <v>251</v>
      </c>
      <c r="D2597" t="s">
        <v>81</v>
      </c>
      <c r="E2597">
        <v>10000000</v>
      </c>
      <c r="H2597">
        <v>1.33</v>
      </c>
      <c r="I2597" t="s">
        <v>56</v>
      </c>
      <c r="J2597">
        <v>1.3300000000000001E-4</v>
      </c>
      <c r="K2597" t="s">
        <v>57</v>
      </c>
      <c r="L2597" t="s">
        <v>58</v>
      </c>
      <c r="O2597">
        <v>212</v>
      </c>
      <c r="P2597" t="s">
        <v>262</v>
      </c>
      <c r="S2597">
        <v>1</v>
      </c>
      <c r="T2597">
        <v>25</v>
      </c>
      <c r="U2597" t="s">
        <v>120</v>
      </c>
      <c r="V2597">
        <v>75</v>
      </c>
      <c r="W2597" t="s">
        <v>680</v>
      </c>
      <c r="X2597" t="s">
        <v>280</v>
      </c>
      <c r="Y2597">
        <v>1440</v>
      </c>
      <c r="AB2597">
        <v>6.02</v>
      </c>
      <c r="AC2597" t="s">
        <v>85</v>
      </c>
      <c r="AD2597">
        <v>1.4</v>
      </c>
      <c r="AE2597" t="s">
        <v>682</v>
      </c>
      <c r="AI2597">
        <v>5</v>
      </c>
      <c r="AT2597" t="s">
        <v>382</v>
      </c>
      <c r="AV2597" t="s">
        <v>88</v>
      </c>
      <c r="AX2597">
        <v>212</v>
      </c>
    </row>
    <row r="2598" spans="1:53" hidden="1" x14ac:dyDescent="0.3">
      <c r="A2598" t="s">
        <v>677</v>
      </c>
      <c r="C2598" t="s">
        <v>251</v>
      </c>
      <c r="D2598" t="s">
        <v>81</v>
      </c>
      <c r="E2598">
        <v>10000000</v>
      </c>
      <c r="H2598">
        <v>14.25</v>
      </c>
      <c r="I2598" t="s">
        <v>56</v>
      </c>
      <c r="J2598">
        <v>1.4250000000000001E-3</v>
      </c>
      <c r="K2598" t="s">
        <v>57</v>
      </c>
      <c r="L2598" t="s">
        <v>58</v>
      </c>
      <c r="O2598">
        <v>212</v>
      </c>
      <c r="P2598" t="s">
        <v>262</v>
      </c>
      <c r="S2598">
        <v>1</v>
      </c>
      <c r="T2598">
        <v>25</v>
      </c>
      <c r="U2598" t="s">
        <v>120</v>
      </c>
      <c r="V2598">
        <v>75</v>
      </c>
      <c r="W2598" t="s">
        <v>463</v>
      </c>
      <c r="X2598" t="s">
        <v>280</v>
      </c>
      <c r="Y2598">
        <v>540</v>
      </c>
      <c r="AA2598" t="s">
        <v>184</v>
      </c>
      <c r="AB2598">
        <v>7.61</v>
      </c>
      <c r="AC2598" t="s">
        <v>85</v>
      </c>
      <c r="AD2598">
        <v>0</v>
      </c>
      <c r="AE2598" t="s">
        <v>678</v>
      </c>
      <c r="AI2598">
        <v>5</v>
      </c>
      <c r="AT2598" t="s">
        <v>360</v>
      </c>
      <c r="AV2598" t="s">
        <v>88</v>
      </c>
      <c r="AX2598">
        <v>212</v>
      </c>
      <c r="AZ2598">
        <v>0</v>
      </c>
      <c r="BA2598">
        <v>7.61</v>
      </c>
    </row>
    <row r="2599" spans="1:53" hidden="1" x14ac:dyDescent="0.3">
      <c r="A2599" t="s">
        <v>677</v>
      </c>
      <c r="C2599" t="s">
        <v>251</v>
      </c>
      <c r="D2599" t="s">
        <v>81</v>
      </c>
      <c r="E2599">
        <v>10000000</v>
      </c>
      <c r="H2599">
        <v>14.25</v>
      </c>
      <c r="I2599" t="s">
        <v>56</v>
      </c>
      <c r="J2599">
        <v>1.4250000000000001E-3</v>
      </c>
      <c r="K2599" t="s">
        <v>57</v>
      </c>
      <c r="L2599" t="s">
        <v>58</v>
      </c>
      <c r="O2599">
        <v>212</v>
      </c>
      <c r="P2599" t="s">
        <v>262</v>
      </c>
      <c r="S2599">
        <v>1</v>
      </c>
      <c r="T2599">
        <v>36</v>
      </c>
      <c r="U2599" t="s">
        <v>120</v>
      </c>
      <c r="V2599">
        <v>75</v>
      </c>
      <c r="W2599" t="s">
        <v>463</v>
      </c>
      <c r="X2599" t="s">
        <v>280</v>
      </c>
      <c r="Y2599">
        <v>540</v>
      </c>
      <c r="AA2599" t="s">
        <v>184</v>
      </c>
      <c r="AB2599">
        <v>6.69</v>
      </c>
      <c r="AC2599" t="s">
        <v>85</v>
      </c>
      <c r="AD2599">
        <v>1.24</v>
      </c>
      <c r="AE2599" t="s">
        <v>678</v>
      </c>
      <c r="AI2599">
        <v>5</v>
      </c>
      <c r="AT2599" t="s">
        <v>360</v>
      </c>
      <c r="AV2599" t="s">
        <v>88</v>
      </c>
      <c r="AX2599">
        <v>212</v>
      </c>
      <c r="AZ2599">
        <v>0</v>
      </c>
      <c r="BA2599">
        <v>6.69</v>
      </c>
    </row>
    <row r="2600" spans="1:53" hidden="1" x14ac:dyDescent="0.3">
      <c r="A2600" t="s">
        <v>677</v>
      </c>
      <c r="C2600" t="s">
        <v>251</v>
      </c>
      <c r="D2600" t="s">
        <v>81</v>
      </c>
      <c r="E2600">
        <v>10000000</v>
      </c>
      <c r="H2600">
        <v>14.25</v>
      </c>
      <c r="I2600" t="s">
        <v>56</v>
      </c>
      <c r="J2600">
        <v>1.4250000000000001E-3</v>
      </c>
      <c r="K2600" t="s">
        <v>57</v>
      </c>
      <c r="L2600" t="s">
        <v>58</v>
      </c>
      <c r="O2600">
        <v>212</v>
      </c>
      <c r="P2600" t="s">
        <v>262</v>
      </c>
      <c r="S2600">
        <v>1</v>
      </c>
      <c r="T2600">
        <v>25</v>
      </c>
      <c r="U2600" t="s">
        <v>120</v>
      </c>
      <c r="V2600">
        <v>75</v>
      </c>
      <c r="W2600" t="s">
        <v>463</v>
      </c>
      <c r="X2600" t="s">
        <v>280</v>
      </c>
      <c r="Y2600">
        <v>1440</v>
      </c>
      <c r="AA2600" t="s">
        <v>184</v>
      </c>
      <c r="AB2600">
        <v>7.64</v>
      </c>
      <c r="AC2600" t="s">
        <v>85</v>
      </c>
      <c r="AD2600">
        <v>0</v>
      </c>
      <c r="AE2600" t="s">
        <v>678</v>
      </c>
      <c r="AI2600">
        <v>5</v>
      </c>
      <c r="AT2600" t="s">
        <v>360</v>
      </c>
      <c r="AV2600" t="s">
        <v>88</v>
      </c>
      <c r="AX2600">
        <v>212</v>
      </c>
      <c r="AZ2600">
        <v>0</v>
      </c>
      <c r="BA2600">
        <v>7.64</v>
      </c>
    </row>
    <row r="2601" spans="1:53" hidden="1" x14ac:dyDescent="0.3">
      <c r="A2601" t="s">
        <v>677</v>
      </c>
      <c r="C2601" t="s">
        <v>251</v>
      </c>
      <c r="D2601" t="s">
        <v>81</v>
      </c>
      <c r="E2601">
        <v>10000000</v>
      </c>
      <c r="H2601">
        <v>14.25</v>
      </c>
      <c r="I2601" t="s">
        <v>56</v>
      </c>
      <c r="J2601">
        <v>1.4250000000000001E-3</v>
      </c>
      <c r="K2601" t="s">
        <v>57</v>
      </c>
      <c r="L2601" t="s">
        <v>58</v>
      </c>
      <c r="O2601">
        <v>212</v>
      </c>
      <c r="P2601" t="s">
        <v>262</v>
      </c>
      <c r="S2601">
        <v>1</v>
      </c>
      <c r="T2601">
        <v>25</v>
      </c>
      <c r="U2601" t="s">
        <v>120</v>
      </c>
      <c r="V2601">
        <v>75</v>
      </c>
      <c r="W2601" t="s">
        <v>469</v>
      </c>
      <c r="X2601" t="s">
        <v>280</v>
      </c>
      <c r="Y2601">
        <v>540</v>
      </c>
      <c r="AB2601">
        <v>2.15</v>
      </c>
      <c r="AC2601" t="s">
        <v>85</v>
      </c>
      <c r="AD2601">
        <v>0.12</v>
      </c>
      <c r="AE2601" t="s">
        <v>682</v>
      </c>
      <c r="AI2601">
        <v>5</v>
      </c>
      <c r="AT2601" t="s">
        <v>65</v>
      </c>
      <c r="AV2601" t="s">
        <v>88</v>
      </c>
      <c r="AX2601">
        <v>212</v>
      </c>
    </row>
    <row r="2602" spans="1:53" hidden="1" x14ac:dyDescent="0.3">
      <c r="A2602" t="s">
        <v>677</v>
      </c>
      <c r="C2602" t="s">
        <v>251</v>
      </c>
      <c r="D2602" t="s">
        <v>81</v>
      </c>
      <c r="E2602">
        <v>10000000</v>
      </c>
      <c r="H2602">
        <v>14.25</v>
      </c>
      <c r="I2602" t="s">
        <v>56</v>
      </c>
      <c r="J2602">
        <v>1.4250000000000001E-3</v>
      </c>
      <c r="K2602" t="s">
        <v>57</v>
      </c>
      <c r="L2602" t="s">
        <v>58</v>
      </c>
      <c r="O2602">
        <v>212</v>
      </c>
      <c r="P2602" t="s">
        <v>262</v>
      </c>
      <c r="S2602">
        <v>1</v>
      </c>
      <c r="T2602">
        <v>36</v>
      </c>
      <c r="U2602" t="s">
        <v>120</v>
      </c>
      <c r="V2602">
        <v>75</v>
      </c>
      <c r="W2602" t="s">
        <v>469</v>
      </c>
      <c r="X2602" t="s">
        <v>280</v>
      </c>
      <c r="Y2602">
        <v>540</v>
      </c>
      <c r="AA2602" t="s">
        <v>184</v>
      </c>
      <c r="AB2602">
        <v>6.35</v>
      </c>
      <c r="AC2602" t="s">
        <v>85</v>
      </c>
      <c r="AD2602">
        <v>1.85</v>
      </c>
      <c r="AE2602" t="s">
        <v>678</v>
      </c>
      <c r="AI2602">
        <v>5</v>
      </c>
      <c r="AT2602" t="s">
        <v>65</v>
      </c>
      <c r="AV2602" t="s">
        <v>88</v>
      </c>
      <c r="AX2602">
        <v>212</v>
      </c>
      <c r="AZ2602">
        <v>0</v>
      </c>
      <c r="BA2602">
        <v>6.35</v>
      </c>
    </row>
    <row r="2603" spans="1:53" hidden="1" x14ac:dyDescent="0.3">
      <c r="A2603" t="s">
        <v>677</v>
      </c>
      <c r="C2603" t="s">
        <v>251</v>
      </c>
      <c r="D2603" t="s">
        <v>81</v>
      </c>
      <c r="E2603">
        <v>10000000</v>
      </c>
      <c r="H2603">
        <v>14.25</v>
      </c>
      <c r="I2603" t="s">
        <v>56</v>
      </c>
      <c r="J2603">
        <v>1.4250000000000001E-3</v>
      </c>
      <c r="K2603" t="s">
        <v>57</v>
      </c>
      <c r="L2603" t="s">
        <v>58</v>
      </c>
      <c r="O2603">
        <v>212</v>
      </c>
      <c r="P2603" t="s">
        <v>262</v>
      </c>
      <c r="S2603">
        <v>1</v>
      </c>
      <c r="T2603">
        <v>25</v>
      </c>
      <c r="U2603" t="s">
        <v>120</v>
      </c>
      <c r="V2603">
        <v>75</v>
      </c>
      <c r="W2603" t="s">
        <v>469</v>
      </c>
      <c r="X2603" t="s">
        <v>280</v>
      </c>
      <c r="Y2603">
        <v>1440</v>
      </c>
      <c r="AA2603" t="s">
        <v>184</v>
      </c>
      <c r="AB2603">
        <v>7.61</v>
      </c>
      <c r="AC2603" t="s">
        <v>85</v>
      </c>
      <c r="AD2603">
        <v>0</v>
      </c>
      <c r="AE2603" t="s">
        <v>678</v>
      </c>
      <c r="AI2603">
        <v>5</v>
      </c>
      <c r="AT2603" t="s">
        <v>65</v>
      </c>
      <c r="AV2603" t="s">
        <v>88</v>
      </c>
      <c r="AX2603">
        <v>212</v>
      </c>
      <c r="AZ2603">
        <v>0</v>
      </c>
      <c r="BA2603">
        <v>7.61</v>
      </c>
    </row>
    <row r="2604" spans="1:53" hidden="1" x14ac:dyDescent="0.3">
      <c r="A2604" t="s">
        <v>677</v>
      </c>
      <c r="C2604" t="s">
        <v>251</v>
      </c>
      <c r="D2604" t="s">
        <v>81</v>
      </c>
      <c r="E2604">
        <v>10000000</v>
      </c>
      <c r="H2604">
        <v>14.25</v>
      </c>
      <c r="I2604" t="s">
        <v>56</v>
      </c>
      <c r="J2604">
        <v>1.4250000000000001E-3</v>
      </c>
      <c r="K2604" t="s">
        <v>57</v>
      </c>
      <c r="L2604" t="s">
        <v>58</v>
      </c>
      <c r="O2604">
        <v>212</v>
      </c>
      <c r="P2604" t="s">
        <v>262</v>
      </c>
      <c r="S2604">
        <v>1</v>
      </c>
      <c r="T2604">
        <v>25</v>
      </c>
      <c r="U2604" t="s">
        <v>120</v>
      </c>
      <c r="V2604">
        <v>75</v>
      </c>
      <c r="W2604" t="s">
        <v>547</v>
      </c>
      <c r="X2604" t="s">
        <v>280</v>
      </c>
      <c r="Y2604">
        <v>540</v>
      </c>
      <c r="AA2604" t="s">
        <v>184</v>
      </c>
      <c r="AB2604">
        <v>7.71</v>
      </c>
      <c r="AC2604" t="s">
        <v>85</v>
      </c>
      <c r="AD2604">
        <v>0</v>
      </c>
      <c r="AE2604" t="s">
        <v>678</v>
      </c>
      <c r="AI2604">
        <v>5</v>
      </c>
      <c r="AT2604" t="s">
        <v>73</v>
      </c>
      <c r="AV2604" t="s">
        <v>88</v>
      </c>
      <c r="AX2604">
        <v>212</v>
      </c>
      <c r="AZ2604">
        <v>0</v>
      </c>
      <c r="BA2604">
        <v>7.71</v>
      </c>
    </row>
    <row r="2605" spans="1:53" hidden="1" x14ac:dyDescent="0.3">
      <c r="A2605" t="s">
        <v>677</v>
      </c>
      <c r="C2605" t="s">
        <v>251</v>
      </c>
      <c r="D2605" t="s">
        <v>81</v>
      </c>
      <c r="E2605">
        <v>10000000</v>
      </c>
      <c r="H2605">
        <v>14.25</v>
      </c>
      <c r="I2605" t="s">
        <v>56</v>
      </c>
      <c r="J2605">
        <v>1.4250000000000001E-3</v>
      </c>
      <c r="K2605" t="s">
        <v>57</v>
      </c>
      <c r="L2605" t="s">
        <v>58</v>
      </c>
      <c r="O2605">
        <v>212</v>
      </c>
      <c r="P2605" t="s">
        <v>262</v>
      </c>
      <c r="S2605">
        <v>1</v>
      </c>
      <c r="T2605">
        <v>36</v>
      </c>
      <c r="U2605" t="s">
        <v>120</v>
      </c>
      <c r="V2605">
        <v>75</v>
      </c>
      <c r="W2605" t="s">
        <v>547</v>
      </c>
      <c r="X2605" t="s">
        <v>280</v>
      </c>
      <c r="Y2605">
        <v>540</v>
      </c>
      <c r="AA2605" t="s">
        <v>184</v>
      </c>
      <c r="AB2605">
        <v>7.06</v>
      </c>
      <c r="AC2605" t="s">
        <v>85</v>
      </c>
      <c r="AD2605">
        <v>1.28</v>
      </c>
      <c r="AE2605" t="s">
        <v>678</v>
      </c>
      <c r="AI2605">
        <v>5</v>
      </c>
      <c r="AT2605" t="s">
        <v>73</v>
      </c>
      <c r="AV2605" t="s">
        <v>88</v>
      </c>
      <c r="AX2605">
        <v>212</v>
      </c>
      <c r="AZ2605">
        <v>0</v>
      </c>
      <c r="BA2605">
        <v>7.06</v>
      </c>
    </row>
    <row r="2606" spans="1:53" hidden="1" x14ac:dyDescent="0.3">
      <c r="A2606" t="s">
        <v>677</v>
      </c>
      <c r="C2606" t="s">
        <v>251</v>
      </c>
      <c r="D2606" t="s">
        <v>81</v>
      </c>
      <c r="E2606">
        <v>10000000</v>
      </c>
      <c r="H2606">
        <v>14.25</v>
      </c>
      <c r="I2606" t="s">
        <v>56</v>
      </c>
      <c r="J2606">
        <v>1.4250000000000001E-3</v>
      </c>
      <c r="K2606" t="s">
        <v>57</v>
      </c>
      <c r="L2606" t="s">
        <v>58</v>
      </c>
      <c r="O2606">
        <v>212</v>
      </c>
      <c r="P2606" t="s">
        <v>262</v>
      </c>
      <c r="S2606">
        <v>1</v>
      </c>
      <c r="T2606">
        <v>25</v>
      </c>
      <c r="U2606" t="s">
        <v>120</v>
      </c>
      <c r="V2606">
        <v>75</v>
      </c>
      <c r="W2606" t="s">
        <v>547</v>
      </c>
      <c r="X2606" t="s">
        <v>280</v>
      </c>
      <c r="Y2606">
        <v>1440</v>
      </c>
      <c r="AA2606" t="s">
        <v>184</v>
      </c>
      <c r="AB2606">
        <v>7.78</v>
      </c>
      <c r="AC2606" t="s">
        <v>85</v>
      </c>
      <c r="AD2606">
        <v>0</v>
      </c>
      <c r="AE2606" t="s">
        <v>678</v>
      </c>
      <c r="AI2606">
        <v>5</v>
      </c>
      <c r="AT2606" t="s">
        <v>73</v>
      </c>
      <c r="AV2606" t="s">
        <v>88</v>
      </c>
      <c r="AX2606">
        <v>212</v>
      </c>
      <c r="AZ2606">
        <v>0</v>
      </c>
      <c r="BA2606">
        <v>7.78</v>
      </c>
    </row>
    <row r="2607" spans="1:53" hidden="1" x14ac:dyDescent="0.3">
      <c r="A2607" t="s">
        <v>677</v>
      </c>
      <c r="C2607" t="s">
        <v>251</v>
      </c>
      <c r="D2607" t="s">
        <v>81</v>
      </c>
      <c r="E2607">
        <v>10000000</v>
      </c>
      <c r="H2607">
        <v>25</v>
      </c>
      <c r="I2607" t="s">
        <v>446</v>
      </c>
      <c r="J2607">
        <v>2.5000000000000001E-5</v>
      </c>
      <c r="K2607" t="s">
        <v>57</v>
      </c>
      <c r="L2607" t="s">
        <v>58</v>
      </c>
      <c r="O2607">
        <v>212</v>
      </c>
      <c r="P2607" t="s">
        <v>262</v>
      </c>
      <c r="S2607">
        <v>1</v>
      </c>
      <c r="T2607">
        <v>25</v>
      </c>
      <c r="U2607" t="s">
        <v>120</v>
      </c>
      <c r="V2607">
        <v>75</v>
      </c>
      <c r="W2607" t="s">
        <v>687</v>
      </c>
      <c r="X2607" t="s">
        <v>280</v>
      </c>
      <c r="Y2607">
        <v>540</v>
      </c>
      <c r="AB2607">
        <v>2.5499999999999998</v>
      </c>
      <c r="AC2607" t="s">
        <v>85</v>
      </c>
      <c r="AD2607">
        <v>0.08</v>
      </c>
      <c r="AE2607" t="s">
        <v>682</v>
      </c>
      <c r="AI2607">
        <v>5</v>
      </c>
      <c r="AT2607" t="s">
        <v>150</v>
      </c>
      <c r="AV2607" t="s">
        <v>448</v>
      </c>
      <c r="AX2607">
        <v>212</v>
      </c>
    </row>
    <row r="2608" spans="1:53" hidden="1" x14ac:dyDescent="0.3">
      <c r="A2608" t="s">
        <v>677</v>
      </c>
      <c r="C2608" t="s">
        <v>251</v>
      </c>
      <c r="D2608" t="s">
        <v>81</v>
      </c>
      <c r="E2608">
        <v>10000000</v>
      </c>
      <c r="H2608">
        <v>25</v>
      </c>
      <c r="I2608" t="s">
        <v>446</v>
      </c>
      <c r="J2608">
        <v>2.5000000000000001E-5</v>
      </c>
      <c r="K2608" t="s">
        <v>57</v>
      </c>
      <c r="L2608" t="s">
        <v>58</v>
      </c>
      <c r="O2608">
        <v>212</v>
      </c>
      <c r="P2608" t="s">
        <v>262</v>
      </c>
      <c r="S2608">
        <v>1</v>
      </c>
      <c r="T2608">
        <v>36</v>
      </c>
      <c r="U2608" t="s">
        <v>120</v>
      </c>
      <c r="V2608">
        <v>75</v>
      </c>
      <c r="W2608" t="s">
        <v>687</v>
      </c>
      <c r="X2608" t="s">
        <v>280</v>
      </c>
      <c r="Y2608">
        <v>540</v>
      </c>
      <c r="AA2608" t="s">
        <v>184</v>
      </c>
      <c r="AB2608">
        <v>6.51</v>
      </c>
      <c r="AC2608" t="s">
        <v>85</v>
      </c>
      <c r="AD2608">
        <v>0</v>
      </c>
      <c r="AE2608" t="s">
        <v>678</v>
      </c>
      <c r="AI2608">
        <v>5</v>
      </c>
      <c r="AT2608" t="s">
        <v>150</v>
      </c>
      <c r="AV2608" t="s">
        <v>448</v>
      </c>
      <c r="AX2608">
        <v>212</v>
      </c>
      <c r="AZ2608">
        <v>0</v>
      </c>
      <c r="BA2608">
        <v>6.51</v>
      </c>
    </row>
    <row r="2609" spans="1:53" hidden="1" x14ac:dyDescent="0.3">
      <c r="A2609" t="s">
        <v>677</v>
      </c>
      <c r="C2609" t="s">
        <v>251</v>
      </c>
      <c r="D2609" t="s">
        <v>81</v>
      </c>
      <c r="E2609">
        <v>10000000</v>
      </c>
      <c r="H2609">
        <v>25</v>
      </c>
      <c r="I2609" t="s">
        <v>446</v>
      </c>
      <c r="J2609">
        <v>2.5000000000000001E-5</v>
      </c>
      <c r="K2609" t="s">
        <v>57</v>
      </c>
      <c r="L2609" t="s">
        <v>58</v>
      </c>
      <c r="O2609">
        <v>212</v>
      </c>
      <c r="P2609" t="s">
        <v>262</v>
      </c>
      <c r="S2609">
        <v>1</v>
      </c>
      <c r="T2609">
        <v>25</v>
      </c>
      <c r="U2609" t="s">
        <v>120</v>
      </c>
      <c r="V2609">
        <v>75</v>
      </c>
      <c r="W2609" t="s">
        <v>687</v>
      </c>
      <c r="X2609" t="s">
        <v>280</v>
      </c>
      <c r="Y2609">
        <v>1440</v>
      </c>
      <c r="AA2609" t="s">
        <v>184</v>
      </c>
      <c r="AB2609">
        <v>7.7</v>
      </c>
      <c r="AC2609" t="s">
        <v>85</v>
      </c>
      <c r="AD2609">
        <v>0</v>
      </c>
      <c r="AE2609" t="s">
        <v>678</v>
      </c>
      <c r="AI2609">
        <v>5</v>
      </c>
      <c r="AT2609" t="s">
        <v>150</v>
      </c>
      <c r="AV2609" t="s">
        <v>448</v>
      </c>
      <c r="AX2609">
        <v>212</v>
      </c>
      <c r="AZ2609">
        <v>0</v>
      </c>
      <c r="BA2609">
        <v>7.7</v>
      </c>
    </row>
    <row r="2610" spans="1:53" hidden="1" x14ac:dyDescent="0.3">
      <c r="A2610" t="s">
        <v>677</v>
      </c>
      <c r="C2610" t="s">
        <v>251</v>
      </c>
      <c r="D2610" t="s">
        <v>81</v>
      </c>
      <c r="E2610">
        <v>10000000</v>
      </c>
      <c r="H2610">
        <v>5.25</v>
      </c>
      <c r="I2610" t="s">
        <v>56</v>
      </c>
      <c r="J2610">
        <v>5.2500000000000008E-4</v>
      </c>
      <c r="K2610" t="s">
        <v>57</v>
      </c>
      <c r="L2610" t="s">
        <v>58</v>
      </c>
      <c r="O2610">
        <v>212</v>
      </c>
      <c r="P2610" t="s">
        <v>262</v>
      </c>
      <c r="S2610">
        <v>1</v>
      </c>
      <c r="T2610">
        <v>25</v>
      </c>
      <c r="U2610" t="s">
        <v>120</v>
      </c>
      <c r="V2610">
        <v>75</v>
      </c>
      <c r="W2610" t="s">
        <v>468</v>
      </c>
      <c r="X2610" t="s">
        <v>280</v>
      </c>
      <c r="Y2610">
        <v>540</v>
      </c>
      <c r="AB2610">
        <v>2.85</v>
      </c>
      <c r="AC2610" t="s">
        <v>85</v>
      </c>
      <c r="AD2610">
        <v>0.02</v>
      </c>
      <c r="AE2610" t="s">
        <v>682</v>
      </c>
      <c r="AI2610">
        <v>5</v>
      </c>
      <c r="AT2610" t="s">
        <v>318</v>
      </c>
      <c r="AV2610" t="s">
        <v>88</v>
      </c>
      <c r="AX2610">
        <v>212</v>
      </c>
    </row>
    <row r="2611" spans="1:53" hidden="1" x14ac:dyDescent="0.3">
      <c r="A2611" t="s">
        <v>677</v>
      </c>
      <c r="C2611" t="s">
        <v>251</v>
      </c>
      <c r="D2611" t="s">
        <v>81</v>
      </c>
      <c r="E2611">
        <v>10000000</v>
      </c>
      <c r="H2611">
        <v>5.25</v>
      </c>
      <c r="I2611" t="s">
        <v>56</v>
      </c>
      <c r="J2611">
        <v>5.2500000000000008E-4</v>
      </c>
      <c r="K2611" t="s">
        <v>57</v>
      </c>
      <c r="L2611" t="s">
        <v>58</v>
      </c>
      <c r="O2611">
        <v>212</v>
      </c>
      <c r="P2611" t="s">
        <v>262</v>
      </c>
      <c r="S2611">
        <v>1</v>
      </c>
      <c r="T2611">
        <v>36</v>
      </c>
      <c r="U2611" t="s">
        <v>120</v>
      </c>
      <c r="V2611">
        <v>75</v>
      </c>
      <c r="W2611" t="s">
        <v>468</v>
      </c>
      <c r="X2611" t="s">
        <v>280</v>
      </c>
      <c r="Y2611">
        <v>540</v>
      </c>
      <c r="AB2611">
        <v>4.74</v>
      </c>
      <c r="AC2611" t="s">
        <v>85</v>
      </c>
      <c r="AD2611">
        <v>0.72</v>
      </c>
      <c r="AE2611" t="s">
        <v>682</v>
      </c>
      <c r="AI2611">
        <v>5</v>
      </c>
      <c r="AT2611" t="s">
        <v>318</v>
      </c>
      <c r="AV2611" t="s">
        <v>88</v>
      </c>
      <c r="AX2611">
        <v>212</v>
      </c>
    </row>
    <row r="2612" spans="1:53" hidden="1" x14ac:dyDescent="0.3">
      <c r="A2612" t="s">
        <v>677</v>
      </c>
      <c r="C2612" t="s">
        <v>251</v>
      </c>
      <c r="D2612" t="s">
        <v>81</v>
      </c>
      <c r="E2612">
        <v>10000000</v>
      </c>
      <c r="H2612">
        <v>5.25</v>
      </c>
      <c r="I2612" t="s">
        <v>56</v>
      </c>
      <c r="J2612">
        <v>5.2500000000000008E-4</v>
      </c>
      <c r="K2612" t="s">
        <v>57</v>
      </c>
      <c r="L2612" t="s">
        <v>58</v>
      </c>
      <c r="O2612">
        <v>212</v>
      </c>
      <c r="P2612" t="s">
        <v>262</v>
      </c>
      <c r="S2612">
        <v>1</v>
      </c>
      <c r="T2612">
        <v>25</v>
      </c>
      <c r="U2612" t="s">
        <v>120</v>
      </c>
      <c r="V2612">
        <v>75</v>
      </c>
      <c r="W2612" t="s">
        <v>468</v>
      </c>
      <c r="X2612" t="s">
        <v>280</v>
      </c>
      <c r="Y2612">
        <v>1440</v>
      </c>
      <c r="AB2612">
        <v>4.55</v>
      </c>
      <c r="AC2612" t="s">
        <v>85</v>
      </c>
      <c r="AD2612">
        <v>0.35</v>
      </c>
      <c r="AE2612" t="s">
        <v>682</v>
      </c>
      <c r="AI2612">
        <v>5</v>
      </c>
      <c r="AT2612" t="s">
        <v>318</v>
      </c>
      <c r="AV2612" t="s">
        <v>88</v>
      </c>
      <c r="AX2612">
        <v>212</v>
      </c>
    </row>
    <row r="2613" spans="1:53" hidden="1" x14ac:dyDescent="0.3">
      <c r="A2613" t="s">
        <v>677</v>
      </c>
      <c r="C2613" t="s">
        <v>251</v>
      </c>
      <c r="D2613" t="s">
        <v>81</v>
      </c>
      <c r="E2613">
        <v>10000000</v>
      </c>
      <c r="H2613">
        <v>1.69</v>
      </c>
      <c r="I2613" t="s">
        <v>56</v>
      </c>
      <c r="J2613">
        <v>1.6899999999999999E-4</v>
      </c>
      <c r="K2613" t="s">
        <v>57</v>
      </c>
      <c r="L2613" t="s">
        <v>58</v>
      </c>
      <c r="O2613">
        <v>212</v>
      </c>
      <c r="P2613" t="s">
        <v>262</v>
      </c>
      <c r="S2613">
        <v>1</v>
      </c>
      <c r="T2613">
        <v>25</v>
      </c>
      <c r="U2613" t="s">
        <v>120</v>
      </c>
      <c r="V2613">
        <v>75</v>
      </c>
      <c r="W2613" t="s">
        <v>540</v>
      </c>
      <c r="X2613" t="s">
        <v>280</v>
      </c>
      <c r="Y2613">
        <v>540</v>
      </c>
      <c r="AB2613">
        <v>3.52</v>
      </c>
      <c r="AC2613" t="s">
        <v>85</v>
      </c>
      <c r="AD2613">
        <v>0.54</v>
      </c>
      <c r="AE2613" t="s">
        <v>682</v>
      </c>
      <c r="AI2613">
        <v>5</v>
      </c>
      <c r="AT2613" t="s">
        <v>212</v>
      </c>
      <c r="AV2613" t="s">
        <v>88</v>
      </c>
      <c r="AX2613">
        <v>212</v>
      </c>
    </row>
    <row r="2614" spans="1:53" hidden="1" x14ac:dyDescent="0.3">
      <c r="A2614" t="s">
        <v>677</v>
      </c>
      <c r="C2614" t="s">
        <v>251</v>
      </c>
      <c r="D2614" t="s">
        <v>81</v>
      </c>
      <c r="E2614">
        <v>10000000</v>
      </c>
      <c r="H2614">
        <v>1.69</v>
      </c>
      <c r="I2614" t="s">
        <v>56</v>
      </c>
      <c r="J2614">
        <v>1.6899999999999999E-4</v>
      </c>
      <c r="K2614" t="s">
        <v>57</v>
      </c>
      <c r="L2614" t="s">
        <v>58</v>
      </c>
      <c r="O2614">
        <v>212</v>
      </c>
      <c r="P2614" t="s">
        <v>262</v>
      </c>
      <c r="S2614">
        <v>1</v>
      </c>
      <c r="T2614">
        <v>36</v>
      </c>
      <c r="U2614" t="s">
        <v>120</v>
      </c>
      <c r="V2614">
        <v>75</v>
      </c>
      <c r="W2614" t="s">
        <v>540</v>
      </c>
      <c r="X2614" t="s">
        <v>280</v>
      </c>
      <c r="Y2614">
        <v>540</v>
      </c>
      <c r="AE2614" t="s">
        <v>682</v>
      </c>
      <c r="AI2614">
        <v>5</v>
      </c>
      <c r="AT2614" t="s">
        <v>212</v>
      </c>
      <c r="AV2614" t="s">
        <v>88</v>
      </c>
      <c r="AX2614">
        <v>212</v>
      </c>
    </row>
    <row r="2615" spans="1:53" hidden="1" x14ac:dyDescent="0.3">
      <c r="A2615" t="s">
        <v>677</v>
      </c>
      <c r="C2615" t="s">
        <v>251</v>
      </c>
      <c r="D2615" t="s">
        <v>81</v>
      </c>
      <c r="E2615">
        <v>10000000</v>
      </c>
      <c r="H2615">
        <v>1.69</v>
      </c>
      <c r="I2615" t="s">
        <v>56</v>
      </c>
      <c r="J2615">
        <v>1.6899999999999999E-4</v>
      </c>
      <c r="K2615" t="s">
        <v>57</v>
      </c>
      <c r="L2615" t="s">
        <v>58</v>
      </c>
      <c r="O2615">
        <v>212</v>
      </c>
      <c r="P2615" t="s">
        <v>262</v>
      </c>
      <c r="S2615">
        <v>1</v>
      </c>
      <c r="T2615">
        <v>25</v>
      </c>
      <c r="U2615" t="s">
        <v>120</v>
      </c>
      <c r="V2615">
        <v>75</v>
      </c>
      <c r="W2615" t="s">
        <v>540</v>
      </c>
      <c r="X2615" t="s">
        <v>280</v>
      </c>
      <c r="Y2615">
        <v>1440</v>
      </c>
      <c r="AB2615">
        <v>7.64</v>
      </c>
      <c r="AC2615" t="s">
        <v>85</v>
      </c>
      <c r="AD2615">
        <v>0</v>
      </c>
      <c r="AE2615" t="s">
        <v>682</v>
      </c>
      <c r="AI2615">
        <v>5</v>
      </c>
      <c r="AT2615" t="s">
        <v>212</v>
      </c>
      <c r="AV2615" t="s">
        <v>88</v>
      </c>
      <c r="AX2615">
        <v>212</v>
      </c>
    </row>
    <row r="2616" spans="1:53" hidden="1" x14ac:dyDescent="0.3">
      <c r="A2616" t="s">
        <v>677</v>
      </c>
      <c r="C2616" t="s">
        <v>251</v>
      </c>
      <c r="D2616" t="s">
        <v>81</v>
      </c>
      <c r="E2616">
        <v>10000000</v>
      </c>
      <c r="H2616">
        <v>25</v>
      </c>
      <c r="I2616" t="s">
        <v>446</v>
      </c>
      <c r="J2616">
        <v>2.5000000000000001E-5</v>
      </c>
      <c r="K2616" t="s">
        <v>57</v>
      </c>
      <c r="L2616" t="s">
        <v>58</v>
      </c>
      <c r="O2616">
        <v>105</v>
      </c>
      <c r="P2616" t="s">
        <v>262</v>
      </c>
      <c r="S2616">
        <v>1</v>
      </c>
      <c r="T2616">
        <v>36</v>
      </c>
      <c r="U2616" t="s">
        <v>120</v>
      </c>
      <c r="V2616">
        <v>75</v>
      </c>
      <c r="W2616" t="s">
        <v>687</v>
      </c>
      <c r="X2616" t="s">
        <v>280</v>
      </c>
      <c r="Y2616">
        <v>720</v>
      </c>
      <c r="AB2616">
        <v>0.22246153846153799</v>
      </c>
      <c r="AC2616" t="s">
        <v>85</v>
      </c>
      <c r="AE2616" t="s">
        <v>682</v>
      </c>
      <c r="AI2616">
        <v>5</v>
      </c>
      <c r="AT2616" t="s">
        <v>150</v>
      </c>
      <c r="AV2616" t="s">
        <v>448</v>
      </c>
      <c r="AX2616">
        <v>105</v>
      </c>
    </row>
    <row r="2617" spans="1:53" hidden="1" x14ac:dyDescent="0.3">
      <c r="A2617" t="s">
        <v>677</v>
      </c>
      <c r="C2617" t="s">
        <v>251</v>
      </c>
      <c r="D2617" t="s">
        <v>81</v>
      </c>
      <c r="E2617">
        <v>10000000</v>
      </c>
      <c r="H2617">
        <v>25</v>
      </c>
      <c r="I2617" t="s">
        <v>446</v>
      </c>
      <c r="J2617">
        <v>2.5000000000000001E-5</v>
      </c>
      <c r="K2617" t="s">
        <v>57</v>
      </c>
      <c r="L2617" t="s">
        <v>58</v>
      </c>
      <c r="O2617">
        <v>105</v>
      </c>
      <c r="P2617" t="s">
        <v>262</v>
      </c>
      <c r="S2617">
        <v>1</v>
      </c>
      <c r="T2617">
        <v>36</v>
      </c>
      <c r="U2617" t="s">
        <v>120</v>
      </c>
      <c r="V2617">
        <v>75</v>
      </c>
      <c r="W2617" t="s">
        <v>687</v>
      </c>
      <c r="X2617" t="s">
        <v>280</v>
      </c>
      <c r="Y2617">
        <v>900</v>
      </c>
      <c r="AB2617">
        <v>0.20276923076923101</v>
      </c>
      <c r="AC2617" t="s">
        <v>85</v>
      </c>
      <c r="AE2617" t="s">
        <v>682</v>
      </c>
      <c r="AI2617">
        <v>5</v>
      </c>
      <c r="AT2617" t="s">
        <v>150</v>
      </c>
      <c r="AV2617" t="s">
        <v>448</v>
      </c>
      <c r="AX2617">
        <v>105</v>
      </c>
    </row>
    <row r="2618" spans="1:53" hidden="1" x14ac:dyDescent="0.3">
      <c r="A2618" t="s">
        <v>677</v>
      </c>
      <c r="C2618" t="s">
        <v>251</v>
      </c>
      <c r="D2618" t="s">
        <v>81</v>
      </c>
      <c r="E2618">
        <v>10000000</v>
      </c>
      <c r="H2618">
        <v>25</v>
      </c>
      <c r="I2618" t="s">
        <v>446</v>
      </c>
      <c r="J2618">
        <v>2.5000000000000001E-5</v>
      </c>
      <c r="K2618" t="s">
        <v>57</v>
      </c>
      <c r="L2618" t="s">
        <v>58</v>
      </c>
      <c r="O2618">
        <v>105</v>
      </c>
      <c r="P2618" t="s">
        <v>262</v>
      </c>
      <c r="S2618">
        <v>1</v>
      </c>
      <c r="T2618">
        <v>36</v>
      </c>
      <c r="U2618" t="s">
        <v>120</v>
      </c>
      <c r="V2618">
        <v>75</v>
      </c>
      <c r="W2618" t="s">
        <v>687</v>
      </c>
      <c r="X2618" t="s">
        <v>280</v>
      </c>
      <c r="Y2618">
        <v>1080</v>
      </c>
      <c r="AB2618">
        <v>0</v>
      </c>
      <c r="AC2618" t="s">
        <v>85</v>
      </c>
      <c r="AE2618" t="s">
        <v>682</v>
      </c>
      <c r="AI2618">
        <v>5</v>
      </c>
      <c r="AT2618" t="s">
        <v>150</v>
      </c>
      <c r="AV2618" t="s">
        <v>448</v>
      </c>
      <c r="AX2618">
        <v>105</v>
      </c>
    </row>
    <row r="2619" spans="1:53" hidden="1" x14ac:dyDescent="0.3">
      <c r="A2619" t="s">
        <v>677</v>
      </c>
      <c r="C2619" t="s">
        <v>251</v>
      </c>
      <c r="D2619" t="s">
        <v>81</v>
      </c>
      <c r="E2619">
        <v>10000000</v>
      </c>
      <c r="H2619">
        <v>25</v>
      </c>
      <c r="I2619" t="s">
        <v>446</v>
      </c>
      <c r="J2619">
        <v>2.5000000000000001E-5</v>
      </c>
      <c r="K2619" t="s">
        <v>57</v>
      </c>
      <c r="L2619" t="s">
        <v>58</v>
      </c>
      <c r="O2619">
        <v>212</v>
      </c>
      <c r="P2619" t="s">
        <v>262</v>
      </c>
      <c r="S2619">
        <v>1</v>
      </c>
      <c r="T2619">
        <v>36</v>
      </c>
      <c r="U2619" t="s">
        <v>120</v>
      </c>
      <c r="V2619">
        <v>75</v>
      </c>
      <c r="W2619" t="s">
        <v>687</v>
      </c>
      <c r="X2619" t="s">
        <v>280</v>
      </c>
      <c r="Y2619">
        <v>540</v>
      </c>
      <c r="AB2619">
        <v>0.49723076923076998</v>
      </c>
      <c r="AC2619" t="s">
        <v>85</v>
      </c>
      <c r="AE2619" t="s">
        <v>682</v>
      </c>
      <c r="AI2619">
        <v>5</v>
      </c>
      <c r="AT2619" t="s">
        <v>150</v>
      </c>
      <c r="AV2619" t="s">
        <v>448</v>
      </c>
      <c r="AX2619">
        <v>212</v>
      </c>
    </row>
    <row r="2620" spans="1:53" hidden="1" x14ac:dyDescent="0.3">
      <c r="A2620" t="s">
        <v>677</v>
      </c>
      <c r="C2620" t="s">
        <v>251</v>
      </c>
      <c r="D2620" t="s">
        <v>81</v>
      </c>
      <c r="E2620">
        <v>10000000</v>
      </c>
      <c r="H2620">
        <v>25</v>
      </c>
      <c r="I2620" t="s">
        <v>446</v>
      </c>
      <c r="J2620">
        <v>2.5000000000000001E-5</v>
      </c>
      <c r="K2620" t="s">
        <v>57</v>
      </c>
      <c r="L2620" t="s">
        <v>58</v>
      </c>
      <c r="O2620">
        <v>207</v>
      </c>
      <c r="P2620" t="s">
        <v>262</v>
      </c>
      <c r="S2620">
        <v>1</v>
      </c>
      <c r="T2620">
        <v>36</v>
      </c>
      <c r="U2620" t="s">
        <v>120</v>
      </c>
      <c r="V2620">
        <v>39.5</v>
      </c>
      <c r="W2620" t="s">
        <v>679</v>
      </c>
      <c r="X2620" t="s">
        <v>280</v>
      </c>
      <c r="Y2620">
        <v>420</v>
      </c>
      <c r="AB2620">
        <v>3.06</v>
      </c>
      <c r="AC2620" t="s">
        <v>85</v>
      </c>
      <c r="AD2620">
        <v>0.04</v>
      </c>
      <c r="AE2620" t="s">
        <v>682</v>
      </c>
      <c r="AI2620">
        <v>5</v>
      </c>
      <c r="AT2620" t="s">
        <v>150</v>
      </c>
      <c r="AV2620" t="s">
        <v>448</v>
      </c>
      <c r="AX2620">
        <v>207</v>
      </c>
    </row>
    <row r="2621" spans="1:53" hidden="1" x14ac:dyDescent="0.3">
      <c r="A2621" t="s">
        <v>677</v>
      </c>
      <c r="C2621" t="s">
        <v>251</v>
      </c>
      <c r="D2621" t="s">
        <v>81</v>
      </c>
      <c r="E2621">
        <v>10000000</v>
      </c>
      <c r="H2621">
        <v>5.25</v>
      </c>
      <c r="I2621" t="s">
        <v>56</v>
      </c>
      <c r="J2621">
        <v>5.2500000000000008E-4</v>
      </c>
      <c r="K2621" t="s">
        <v>57</v>
      </c>
      <c r="L2621" t="s">
        <v>58</v>
      </c>
      <c r="O2621">
        <v>207</v>
      </c>
      <c r="P2621" t="s">
        <v>262</v>
      </c>
      <c r="S2621">
        <v>1</v>
      </c>
      <c r="T2621">
        <v>36</v>
      </c>
      <c r="U2621" t="s">
        <v>120</v>
      </c>
      <c r="V2621">
        <v>39.5</v>
      </c>
      <c r="W2621" t="s">
        <v>468</v>
      </c>
      <c r="X2621" t="s">
        <v>280</v>
      </c>
      <c r="Y2621">
        <v>420</v>
      </c>
      <c r="AB2621">
        <v>2.62</v>
      </c>
      <c r="AC2621" t="s">
        <v>85</v>
      </c>
      <c r="AD2621">
        <v>0.06</v>
      </c>
      <c r="AE2621" t="s">
        <v>682</v>
      </c>
      <c r="AI2621">
        <v>5</v>
      </c>
      <c r="AT2621" t="s">
        <v>318</v>
      </c>
      <c r="AV2621" t="s">
        <v>88</v>
      </c>
      <c r="AX2621">
        <v>207</v>
      </c>
    </row>
    <row r="2622" spans="1:53" hidden="1" x14ac:dyDescent="0.3">
      <c r="A2622" t="s">
        <v>717</v>
      </c>
      <c r="C2622" t="s">
        <v>251</v>
      </c>
      <c r="D2622" t="s">
        <v>81</v>
      </c>
      <c r="E2622">
        <v>10000000</v>
      </c>
      <c r="H2622">
        <v>14.25</v>
      </c>
      <c r="I2622" t="s">
        <v>56</v>
      </c>
      <c r="J2622">
        <v>1.4250000000000001E-3</v>
      </c>
      <c r="K2622" t="s">
        <v>57</v>
      </c>
      <c r="L2622" t="s">
        <v>112</v>
      </c>
      <c r="O2622">
        <v>3000</v>
      </c>
      <c r="P2622" t="s">
        <v>277</v>
      </c>
      <c r="T2622">
        <v>28.5</v>
      </c>
      <c r="V2622">
        <v>50</v>
      </c>
      <c r="W2622" t="s">
        <v>462</v>
      </c>
      <c r="Y2622">
        <v>180</v>
      </c>
      <c r="AA2622" t="s">
        <v>94</v>
      </c>
      <c r="AB2622">
        <v>7.14</v>
      </c>
      <c r="AC2622" t="s">
        <v>85</v>
      </c>
      <c r="AI2622">
        <v>3</v>
      </c>
      <c r="AT2622" t="s">
        <v>212</v>
      </c>
      <c r="AV2622" t="s">
        <v>88</v>
      </c>
      <c r="AW2622">
        <v>3000</v>
      </c>
      <c r="AZ2622">
        <v>0</v>
      </c>
      <c r="BA2622">
        <v>7.14</v>
      </c>
    </row>
    <row r="2623" spans="1:53" hidden="1" x14ac:dyDescent="0.3">
      <c r="A2623" t="s">
        <v>717</v>
      </c>
      <c r="C2623" t="s">
        <v>251</v>
      </c>
      <c r="D2623" t="s">
        <v>81</v>
      </c>
      <c r="E2623">
        <v>20000000</v>
      </c>
      <c r="H2623">
        <v>14.25</v>
      </c>
      <c r="I2623" t="s">
        <v>56</v>
      </c>
      <c r="J2623">
        <v>1.4250000000000001E-3</v>
      </c>
      <c r="K2623" t="s">
        <v>57</v>
      </c>
      <c r="L2623" t="s">
        <v>112</v>
      </c>
      <c r="O2623">
        <v>3000</v>
      </c>
      <c r="P2623" t="s">
        <v>277</v>
      </c>
      <c r="T2623">
        <v>28.5</v>
      </c>
      <c r="V2623">
        <v>50</v>
      </c>
      <c r="W2623" t="s">
        <v>463</v>
      </c>
      <c r="Y2623">
        <v>180</v>
      </c>
      <c r="AA2623" t="s">
        <v>94</v>
      </c>
      <c r="AB2623">
        <v>7.89</v>
      </c>
      <c r="AC2623" t="s">
        <v>85</v>
      </c>
      <c r="AI2623">
        <v>3</v>
      </c>
      <c r="AT2623" t="s">
        <v>360</v>
      </c>
      <c r="AV2623" t="s">
        <v>88</v>
      </c>
      <c r="AW2623">
        <v>3000</v>
      </c>
      <c r="AZ2623">
        <v>0</v>
      </c>
      <c r="BA2623">
        <v>7.89</v>
      </c>
    </row>
    <row r="2624" spans="1:53" hidden="1" x14ac:dyDescent="0.3">
      <c r="A2624" t="s">
        <v>717</v>
      </c>
      <c r="C2624" t="s">
        <v>251</v>
      </c>
      <c r="D2624" t="s">
        <v>81</v>
      </c>
      <c r="E2624">
        <v>20000000</v>
      </c>
      <c r="H2624">
        <v>14.25</v>
      </c>
      <c r="I2624" t="s">
        <v>56</v>
      </c>
      <c r="J2624">
        <v>1.4250000000000001E-3</v>
      </c>
      <c r="K2624" t="s">
        <v>57</v>
      </c>
      <c r="L2624" t="s">
        <v>112</v>
      </c>
      <c r="O2624">
        <v>3000</v>
      </c>
      <c r="P2624" t="s">
        <v>277</v>
      </c>
      <c r="T2624">
        <v>28.5</v>
      </c>
      <c r="V2624">
        <v>50</v>
      </c>
      <c r="W2624" t="s">
        <v>464</v>
      </c>
      <c r="Y2624">
        <v>180</v>
      </c>
      <c r="AA2624" t="s">
        <v>94</v>
      </c>
      <c r="AB2624">
        <v>7.84</v>
      </c>
      <c r="AC2624" t="s">
        <v>85</v>
      </c>
      <c r="AI2624">
        <v>3</v>
      </c>
      <c r="AT2624" t="s">
        <v>65</v>
      </c>
      <c r="AV2624" t="s">
        <v>88</v>
      </c>
      <c r="AW2624">
        <v>3000</v>
      </c>
      <c r="AZ2624">
        <v>0</v>
      </c>
      <c r="BA2624">
        <v>7.84</v>
      </c>
    </row>
    <row r="2625" spans="1:53" hidden="1" x14ac:dyDescent="0.3">
      <c r="A2625" t="s">
        <v>717</v>
      </c>
      <c r="C2625" t="s">
        <v>251</v>
      </c>
      <c r="D2625" t="s">
        <v>81</v>
      </c>
      <c r="E2625">
        <v>20000000</v>
      </c>
      <c r="H2625">
        <v>14.25</v>
      </c>
      <c r="I2625" t="s">
        <v>56</v>
      </c>
      <c r="J2625">
        <v>1.4250000000000001E-3</v>
      </c>
      <c r="K2625" t="s">
        <v>57</v>
      </c>
      <c r="L2625" t="s">
        <v>112</v>
      </c>
      <c r="O2625">
        <v>3000</v>
      </c>
      <c r="P2625" t="s">
        <v>277</v>
      </c>
      <c r="T2625">
        <v>28.5</v>
      </c>
      <c r="V2625">
        <v>50</v>
      </c>
      <c r="W2625" t="s">
        <v>147</v>
      </c>
      <c r="Y2625">
        <v>180</v>
      </c>
      <c r="AA2625" t="s">
        <v>94</v>
      </c>
      <c r="AB2625">
        <v>7.75</v>
      </c>
      <c r="AC2625" t="s">
        <v>85</v>
      </c>
      <c r="AI2625">
        <v>3</v>
      </c>
      <c r="AT2625" t="s">
        <v>150</v>
      </c>
      <c r="AV2625" t="s">
        <v>88</v>
      </c>
      <c r="AW2625">
        <v>3000</v>
      </c>
      <c r="AZ2625">
        <v>0</v>
      </c>
      <c r="BA2625">
        <v>7.75</v>
      </c>
    </row>
    <row r="2626" spans="1:53" hidden="1" x14ac:dyDescent="0.3">
      <c r="A2626" t="s">
        <v>717</v>
      </c>
      <c r="C2626" t="s">
        <v>251</v>
      </c>
      <c r="D2626" t="s">
        <v>81</v>
      </c>
      <c r="E2626">
        <v>20000000</v>
      </c>
      <c r="H2626">
        <v>14.25</v>
      </c>
      <c r="I2626" t="s">
        <v>56</v>
      </c>
      <c r="J2626">
        <v>1.4250000000000001E-3</v>
      </c>
      <c r="K2626" t="s">
        <v>57</v>
      </c>
      <c r="L2626" t="s">
        <v>112</v>
      </c>
      <c r="O2626">
        <v>3000</v>
      </c>
      <c r="P2626" t="s">
        <v>277</v>
      </c>
      <c r="T2626">
        <v>28.5</v>
      </c>
      <c r="V2626">
        <v>50</v>
      </c>
      <c r="W2626" t="s">
        <v>460</v>
      </c>
      <c r="Y2626">
        <v>180</v>
      </c>
      <c r="AA2626" t="s">
        <v>94</v>
      </c>
      <c r="AB2626">
        <v>7.72</v>
      </c>
      <c r="AC2626" t="s">
        <v>85</v>
      </c>
      <c r="AI2626">
        <v>3</v>
      </c>
      <c r="AJ2626" t="s">
        <v>461</v>
      </c>
      <c r="AT2626" t="s">
        <v>73</v>
      </c>
      <c r="AV2626" t="s">
        <v>88</v>
      </c>
      <c r="AW2626">
        <v>3000</v>
      </c>
      <c r="AZ2626">
        <v>0</v>
      </c>
      <c r="BA2626">
        <v>7.72</v>
      </c>
    </row>
    <row r="2627" spans="1:53" hidden="1" x14ac:dyDescent="0.3">
      <c r="A2627" t="s">
        <v>717</v>
      </c>
      <c r="C2627" t="s">
        <v>251</v>
      </c>
      <c r="D2627" t="s">
        <v>81</v>
      </c>
      <c r="E2627">
        <v>30000000</v>
      </c>
      <c r="H2627">
        <v>14.25</v>
      </c>
      <c r="I2627" t="s">
        <v>56</v>
      </c>
      <c r="J2627">
        <v>1.4250000000000001E-3</v>
      </c>
      <c r="K2627" t="s">
        <v>57</v>
      </c>
      <c r="L2627" t="s">
        <v>112</v>
      </c>
      <c r="O2627">
        <v>3000</v>
      </c>
      <c r="P2627" t="s">
        <v>277</v>
      </c>
      <c r="T2627">
        <v>28.5</v>
      </c>
      <c r="V2627">
        <v>50</v>
      </c>
      <c r="W2627" t="s">
        <v>466</v>
      </c>
      <c r="Y2627">
        <v>180</v>
      </c>
      <c r="AA2627" t="s">
        <v>94</v>
      </c>
      <c r="AB2627">
        <v>7.77</v>
      </c>
      <c r="AC2627" t="s">
        <v>85</v>
      </c>
      <c r="AI2627">
        <v>3</v>
      </c>
      <c r="AT2627" t="s">
        <v>358</v>
      </c>
      <c r="AV2627" t="s">
        <v>88</v>
      </c>
      <c r="AW2627">
        <v>3000</v>
      </c>
      <c r="AZ2627">
        <v>0</v>
      </c>
      <c r="BA2627">
        <v>7.77</v>
      </c>
    </row>
    <row r="2628" spans="1:53" hidden="1" x14ac:dyDescent="0.3">
      <c r="A2628" t="s">
        <v>717</v>
      </c>
      <c r="C2628" t="s">
        <v>251</v>
      </c>
      <c r="D2628" t="s">
        <v>81</v>
      </c>
      <c r="E2628">
        <v>30000000</v>
      </c>
      <c r="H2628">
        <v>14.25</v>
      </c>
      <c r="I2628" t="s">
        <v>56</v>
      </c>
      <c r="J2628">
        <v>1.4250000000000001E-3</v>
      </c>
      <c r="K2628" t="s">
        <v>57</v>
      </c>
      <c r="L2628" t="s">
        <v>112</v>
      </c>
      <c r="O2628">
        <v>3000</v>
      </c>
      <c r="P2628" t="s">
        <v>277</v>
      </c>
      <c r="T2628">
        <v>28.5</v>
      </c>
      <c r="V2628">
        <v>50</v>
      </c>
      <c r="W2628" t="s">
        <v>465</v>
      </c>
      <c r="Y2628">
        <v>180</v>
      </c>
      <c r="AA2628" t="s">
        <v>94</v>
      </c>
      <c r="AB2628">
        <v>7.62</v>
      </c>
      <c r="AC2628" t="s">
        <v>85</v>
      </c>
      <c r="AI2628">
        <v>3</v>
      </c>
      <c r="AT2628" t="s">
        <v>79</v>
      </c>
      <c r="AV2628" t="s">
        <v>88</v>
      </c>
      <c r="AW2628">
        <v>3000</v>
      </c>
      <c r="AZ2628">
        <v>0</v>
      </c>
      <c r="BA2628">
        <v>7.62</v>
      </c>
    </row>
    <row r="2629" spans="1:53" hidden="1" x14ac:dyDescent="0.3">
      <c r="A2629" t="s">
        <v>717</v>
      </c>
      <c r="C2629" t="s">
        <v>251</v>
      </c>
      <c r="D2629" t="s">
        <v>81</v>
      </c>
      <c r="E2629">
        <v>30000000</v>
      </c>
      <c r="H2629">
        <v>14.25</v>
      </c>
      <c r="I2629" t="s">
        <v>56</v>
      </c>
      <c r="J2629">
        <v>1.4250000000000001E-3</v>
      </c>
      <c r="K2629" t="s">
        <v>57</v>
      </c>
      <c r="L2629" t="s">
        <v>112</v>
      </c>
      <c r="O2629">
        <v>3000</v>
      </c>
      <c r="P2629" t="s">
        <v>277</v>
      </c>
      <c r="T2629">
        <v>28.5</v>
      </c>
      <c r="V2629">
        <v>50</v>
      </c>
      <c r="W2629" t="s">
        <v>462</v>
      </c>
      <c r="Y2629">
        <v>180</v>
      </c>
      <c r="AA2629" t="s">
        <v>94</v>
      </c>
      <c r="AB2629">
        <v>6.77</v>
      </c>
      <c r="AC2629" t="s">
        <v>85</v>
      </c>
      <c r="AI2629">
        <v>3</v>
      </c>
      <c r="AT2629" t="s">
        <v>212</v>
      </c>
      <c r="AV2629" t="s">
        <v>88</v>
      </c>
      <c r="AW2629">
        <v>3000</v>
      </c>
      <c r="AZ2629">
        <v>0</v>
      </c>
      <c r="BA2629">
        <v>6.77</v>
      </c>
    </row>
    <row r="2630" spans="1:53" hidden="1" x14ac:dyDescent="0.3">
      <c r="A2630" t="s">
        <v>717</v>
      </c>
      <c r="C2630" t="s">
        <v>251</v>
      </c>
      <c r="D2630" t="s">
        <v>81</v>
      </c>
      <c r="E2630">
        <v>30000000</v>
      </c>
      <c r="H2630">
        <v>14.25</v>
      </c>
      <c r="I2630" t="s">
        <v>56</v>
      </c>
      <c r="J2630">
        <v>1.4250000000000001E-3</v>
      </c>
      <c r="K2630" t="s">
        <v>57</v>
      </c>
      <c r="L2630" t="s">
        <v>112</v>
      </c>
      <c r="O2630">
        <v>3000</v>
      </c>
      <c r="P2630" t="s">
        <v>277</v>
      </c>
      <c r="T2630">
        <v>28.5</v>
      </c>
      <c r="V2630">
        <v>50</v>
      </c>
      <c r="W2630" t="s">
        <v>463</v>
      </c>
      <c r="Y2630">
        <v>180</v>
      </c>
      <c r="AA2630" t="s">
        <v>94</v>
      </c>
      <c r="AB2630">
        <v>7.39</v>
      </c>
      <c r="AC2630" t="s">
        <v>85</v>
      </c>
      <c r="AI2630">
        <v>3</v>
      </c>
      <c r="AT2630" t="s">
        <v>360</v>
      </c>
      <c r="AV2630" t="s">
        <v>88</v>
      </c>
      <c r="AW2630">
        <v>3000</v>
      </c>
      <c r="AZ2630">
        <v>0</v>
      </c>
      <c r="BA2630">
        <v>7.39</v>
      </c>
    </row>
    <row r="2631" spans="1:53" hidden="1" x14ac:dyDescent="0.3">
      <c r="A2631" t="s">
        <v>717</v>
      </c>
      <c r="C2631" t="s">
        <v>251</v>
      </c>
      <c r="D2631" t="s">
        <v>81</v>
      </c>
      <c r="E2631">
        <v>30000000</v>
      </c>
      <c r="H2631">
        <v>14.25</v>
      </c>
      <c r="I2631" t="s">
        <v>56</v>
      </c>
      <c r="J2631">
        <v>1.4250000000000001E-3</v>
      </c>
      <c r="K2631" t="s">
        <v>57</v>
      </c>
      <c r="L2631" t="s">
        <v>112</v>
      </c>
      <c r="O2631">
        <v>3000</v>
      </c>
      <c r="P2631" t="s">
        <v>277</v>
      </c>
      <c r="T2631">
        <v>28.5</v>
      </c>
      <c r="V2631">
        <v>50</v>
      </c>
      <c r="W2631" t="s">
        <v>464</v>
      </c>
      <c r="Y2631">
        <v>180</v>
      </c>
      <c r="AA2631" t="s">
        <v>94</v>
      </c>
      <c r="AB2631">
        <v>7.08</v>
      </c>
      <c r="AC2631" t="s">
        <v>85</v>
      </c>
      <c r="AI2631">
        <v>3</v>
      </c>
      <c r="AT2631" t="s">
        <v>65</v>
      </c>
      <c r="AV2631" t="s">
        <v>88</v>
      </c>
      <c r="AW2631">
        <v>3000</v>
      </c>
      <c r="AZ2631">
        <v>0</v>
      </c>
      <c r="BA2631">
        <v>7.08</v>
      </c>
    </row>
    <row r="2632" spans="1:53" hidden="1" x14ac:dyDescent="0.3">
      <c r="A2632" t="s">
        <v>717</v>
      </c>
      <c r="C2632" t="s">
        <v>251</v>
      </c>
      <c r="D2632" t="s">
        <v>81</v>
      </c>
      <c r="E2632">
        <v>30000000</v>
      </c>
      <c r="H2632">
        <v>14.25</v>
      </c>
      <c r="I2632" t="s">
        <v>56</v>
      </c>
      <c r="J2632">
        <v>1.4250000000000001E-3</v>
      </c>
      <c r="K2632" t="s">
        <v>57</v>
      </c>
      <c r="L2632" t="s">
        <v>112</v>
      </c>
      <c r="O2632">
        <v>3000</v>
      </c>
      <c r="P2632" t="s">
        <v>277</v>
      </c>
      <c r="T2632">
        <v>28.5</v>
      </c>
      <c r="V2632">
        <v>50</v>
      </c>
      <c r="W2632" t="s">
        <v>147</v>
      </c>
      <c r="Y2632">
        <v>180</v>
      </c>
      <c r="AA2632" t="s">
        <v>94</v>
      </c>
      <c r="AB2632">
        <v>7.13</v>
      </c>
      <c r="AC2632" t="s">
        <v>85</v>
      </c>
      <c r="AI2632">
        <v>3</v>
      </c>
      <c r="AT2632" t="s">
        <v>150</v>
      </c>
      <c r="AV2632" t="s">
        <v>88</v>
      </c>
      <c r="AW2632">
        <v>3000</v>
      </c>
      <c r="AZ2632">
        <v>0</v>
      </c>
      <c r="BA2632">
        <v>7.13</v>
      </c>
    </row>
    <row r="2633" spans="1:53" hidden="1" x14ac:dyDescent="0.3">
      <c r="A2633" t="s">
        <v>717</v>
      </c>
      <c r="C2633" t="s">
        <v>251</v>
      </c>
      <c r="D2633" t="s">
        <v>81</v>
      </c>
      <c r="E2633">
        <v>30000000</v>
      </c>
      <c r="H2633">
        <v>14.25</v>
      </c>
      <c r="I2633" t="s">
        <v>56</v>
      </c>
      <c r="J2633">
        <v>1.4250000000000001E-3</v>
      </c>
      <c r="K2633" t="s">
        <v>57</v>
      </c>
      <c r="L2633" t="s">
        <v>112</v>
      </c>
      <c r="O2633">
        <v>3000</v>
      </c>
      <c r="P2633" t="s">
        <v>277</v>
      </c>
      <c r="T2633">
        <v>28.5</v>
      </c>
      <c r="V2633">
        <v>50</v>
      </c>
      <c r="W2633" t="s">
        <v>460</v>
      </c>
      <c r="Y2633">
        <v>180</v>
      </c>
      <c r="AA2633" t="s">
        <v>94</v>
      </c>
      <c r="AB2633">
        <v>6.91</v>
      </c>
      <c r="AC2633" t="s">
        <v>85</v>
      </c>
      <c r="AI2633">
        <v>3</v>
      </c>
      <c r="AJ2633" t="s">
        <v>461</v>
      </c>
      <c r="AT2633" t="s">
        <v>73</v>
      </c>
      <c r="AV2633" t="s">
        <v>88</v>
      </c>
      <c r="AW2633">
        <v>3000</v>
      </c>
      <c r="AZ2633">
        <v>0</v>
      </c>
      <c r="BA2633">
        <v>6.91</v>
      </c>
    </row>
    <row r="2634" spans="1:53" hidden="1" x14ac:dyDescent="0.3">
      <c r="A2634" t="s">
        <v>717</v>
      </c>
      <c r="C2634" t="s">
        <v>251</v>
      </c>
      <c r="D2634" t="s">
        <v>81</v>
      </c>
      <c r="E2634">
        <v>30000000</v>
      </c>
      <c r="H2634">
        <v>14.25</v>
      </c>
      <c r="I2634" t="s">
        <v>56</v>
      </c>
      <c r="J2634">
        <v>1.4250000000000001E-3</v>
      </c>
      <c r="K2634" t="s">
        <v>57</v>
      </c>
      <c r="L2634" t="s">
        <v>112</v>
      </c>
      <c r="O2634">
        <v>3000</v>
      </c>
      <c r="P2634" t="s">
        <v>277</v>
      </c>
      <c r="T2634">
        <v>28.5</v>
      </c>
      <c r="V2634">
        <v>50</v>
      </c>
      <c r="W2634" t="s">
        <v>466</v>
      </c>
      <c r="Y2634">
        <v>180</v>
      </c>
      <c r="AA2634" t="s">
        <v>94</v>
      </c>
      <c r="AB2634">
        <v>7.29</v>
      </c>
      <c r="AC2634" t="s">
        <v>85</v>
      </c>
      <c r="AI2634">
        <v>3</v>
      </c>
      <c r="AT2634" t="s">
        <v>358</v>
      </c>
      <c r="AV2634" t="s">
        <v>88</v>
      </c>
      <c r="AW2634">
        <v>3000</v>
      </c>
      <c r="AZ2634">
        <v>0</v>
      </c>
      <c r="BA2634">
        <v>7.29</v>
      </c>
    </row>
    <row r="2635" spans="1:53" hidden="1" x14ac:dyDescent="0.3">
      <c r="A2635" t="s">
        <v>717</v>
      </c>
      <c r="C2635" t="s">
        <v>251</v>
      </c>
      <c r="D2635" t="s">
        <v>81</v>
      </c>
      <c r="E2635">
        <v>30000000</v>
      </c>
      <c r="H2635">
        <v>14.25</v>
      </c>
      <c r="I2635" t="s">
        <v>56</v>
      </c>
      <c r="J2635">
        <v>1.4250000000000001E-3</v>
      </c>
      <c r="K2635" t="s">
        <v>57</v>
      </c>
      <c r="L2635" t="s">
        <v>112</v>
      </c>
      <c r="O2635">
        <v>3000</v>
      </c>
      <c r="P2635" t="s">
        <v>277</v>
      </c>
      <c r="T2635">
        <v>28.5</v>
      </c>
      <c r="V2635">
        <v>50</v>
      </c>
      <c r="W2635" t="s">
        <v>465</v>
      </c>
      <c r="Y2635">
        <v>180</v>
      </c>
      <c r="AA2635" t="s">
        <v>94</v>
      </c>
      <c r="AB2635">
        <v>6.73</v>
      </c>
      <c r="AC2635" t="s">
        <v>85</v>
      </c>
      <c r="AI2635">
        <v>3</v>
      </c>
      <c r="AT2635" t="s">
        <v>79</v>
      </c>
      <c r="AV2635" t="s">
        <v>88</v>
      </c>
      <c r="AW2635">
        <v>3000</v>
      </c>
      <c r="AZ2635">
        <v>0</v>
      </c>
      <c r="BA2635">
        <v>6.73</v>
      </c>
    </row>
    <row r="2636" spans="1:53" hidden="1" x14ac:dyDescent="0.3">
      <c r="A2636" t="s">
        <v>717</v>
      </c>
      <c r="C2636" t="s">
        <v>251</v>
      </c>
      <c r="D2636" t="s">
        <v>81</v>
      </c>
      <c r="E2636">
        <v>30000000</v>
      </c>
      <c r="H2636">
        <v>14.25</v>
      </c>
      <c r="I2636" t="s">
        <v>56</v>
      </c>
      <c r="J2636">
        <v>1.4250000000000001E-3</v>
      </c>
      <c r="K2636" t="s">
        <v>57</v>
      </c>
      <c r="L2636" t="s">
        <v>112</v>
      </c>
      <c r="O2636">
        <v>3000</v>
      </c>
      <c r="P2636" t="s">
        <v>277</v>
      </c>
      <c r="T2636">
        <v>28.5</v>
      </c>
      <c r="V2636">
        <v>50</v>
      </c>
      <c r="W2636" t="s">
        <v>462</v>
      </c>
      <c r="Y2636">
        <v>180</v>
      </c>
      <c r="AA2636" t="s">
        <v>94</v>
      </c>
      <c r="AB2636">
        <v>6.25</v>
      </c>
      <c r="AC2636" t="s">
        <v>85</v>
      </c>
      <c r="AI2636">
        <v>3</v>
      </c>
      <c r="AT2636" t="s">
        <v>212</v>
      </c>
      <c r="AV2636" t="s">
        <v>88</v>
      </c>
      <c r="AW2636">
        <v>3000</v>
      </c>
      <c r="AZ2636">
        <v>0</v>
      </c>
      <c r="BA2636">
        <v>6.25</v>
      </c>
    </row>
    <row r="2637" spans="1:53" hidden="1" x14ac:dyDescent="0.3">
      <c r="A2637" t="s">
        <v>717</v>
      </c>
      <c r="C2637" t="s">
        <v>251</v>
      </c>
      <c r="D2637" t="s">
        <v>81</v>
      </c>
      <c r="E2637">
        <v>30000000</v>
      </c>
      <c r="H2637">
        <v>14.25</v>
      </c>
      <c r="I2637" t="s">
        <v>56</v>
      </c>
      <c r="J2637">
        <v>1.4250000000000001E-3</v>
      </c>
      <c r="K2637" t="s">
        <v>57</v>
      </c>
      <c r="L2637" t="s">
        <v>112</v>
      </c>
      <c r="O2637">
        <v>3000</v>
      </c>
      <c r="P2637" t="s">
        <v>277</v>
      </c>
      <c r="T2637">
        <v>28.5</v>
      </c>
      <c r="V2637">
        <v>50</v>
      </c>
      <c r="W2637" t="s">
        <v>463</v>
      </c>
      <c r="Y2637">
        <v>180</v>
      </c>
      <c r="AA2637" t="s">
        <v>94</v>
      </c>
      <c r="AB2637">
        <v>6.75</v>
      </c>
      <c r="AC2637" t="s">
        <v>85</v>
      </c>
      <c r="AI2637">
        <v>3</v>
      </c>
      <c r="AT2637" t="s">
        <v>360</v>
      </c>
      <c r="AV2637" t="s">
        <v>88</v>
      </c>
      <c r="AW2637">
        <v>3000</v>
      </c>
      <c r="AZ2637">
        <v>0</v>
      </c>
      <c r="BA2637">
        <v>6.75</v>
      </c>
    </row>
    <row r="2638" spans="1:53" hidden="1" x14ac:dyDescent="0.3">
      <c r="A2638" t="s">
        <v>717</v>
      </c>
      <c r="C2638" t="s">
        <v>251</v>
      </c>
      <c r="D2638" t="s">
        <v>81</v>
      </c>
      <c r="E2638">
        <v>30000000</v>
      </c>
      <c r="H2638">
        <v>14.25</v>
      </c>
      <c r="I2638" t="s">
        <v>56</v>
      </c>
      <c r="J2638">
        <v>1.4250000000000001E-3</v>
      </c>
      <c r="K2638" t="s">
        <v>57</v>
      </c>
      <c r="L2638" t="s">
        <v>112</v>
      </c>
      <c r="O2638">
        <v>3000</v>
      </c>
      <c r="P2638" t="s">
        <v>277</v>
      </c>
      <c r="T2638">
        <v>28.5</v>
      </c>
      <c r="V2638">
        <v>50</v>
      </c>
      <c r="W2638" t="s">
        <v>464</v>
      </c>
      <c r="Y2638">
        <v>180</v>
      </c>
      <c r="AA2638" t="s">
        <v>94</v>
      </c>
      <c r="AB2638">
        <v>7.48</v>
      </c>
      <c r="AC2638" t="s">
        <v>85</v>
      </c>
      <c r="AI2638">
        <v>3</v>
      </c>
      <c r="AT2638" t="s">
        <v>65</v>
      </c>
      <c r="AV2638" t="s">
        <v>88</v>
      </c>
      <c r="AW2638">
        <v>3000</v>
      </c>
      <c r="AZ2638">
        <v>0</v>
      </c>
      <c r="BA2638">
        <v>7.48</v>
      </c>
    </row>
    <row r="2639" spans="1:53" hidden="1" x14ac:dyDescent="0.3">
      <c r="A2639" t="s">
        <v>717</v>
      </c>
      <c r="C2639" t="s">
        <v>251</v>
      </c>
      <c r="D2639" t="s">
        <v>81</v>
      </c>
      <c r="E2639">
        <v>30000000</v>
      </c>
      <c r="H2639">
        <v>14.25</v>
      </c>
      <c r="I2639" t="s">
        <v>56</v>
      </c>
      <c r="J2639">
        <v>1.4250000000000001E-3</v>
      </c>
      <c r="K2639" t="s">
        <v>57</v>
      </c>
      <c r="L2639" t="s">
        <v>112</v>
      </c>
      <c r="O2639">
        <v>3000</v>
      </c>
      <c r="P2639" t="s">
        <v>277</v>
      </c>
      <c r="T2639">
        <v>28.5</v>
      </c>
      <c r="V2639">
        <v>50</v>
      </c>
      <c r="W2639" t="s">
        <v>147</v>
      </c>
      <c r="Y2639">
        <v>180</v>
      </c>
      <c r="AA2639" t="s">
        <v>94</v>
      </c>
      <c r="AB2639">
        <v>7.07</v>
      </c>
      <c r="AC2639" t="s">
        <v>85</v>
      </c>
      <c r="AI2639">
        <v>3</v>
      </c>
      <c r="AT2639" t="s">
        <v>150</v>
      </c>
      <c r="AV2639" t="s">
        <v>88</v>
      </c>
      <c r="AW2639">
        <v>3000</v>
      </c>
      <c r="AZ2639">
        <v>0</v>
      </c>
      <c r="BA2639">
        <v>7.07</v>
      </c>
    </row>
    <row r="2640" spans="1:53" hidden="1" x14ac:dyDescent="0.3">
      <c r="A2640" t="s">
        <v>717</v>
      </c>
      <c r="C2640" t="s">
        <v>251</v>
      </c>
      <c r="D2640" t="s">
        <v>81</v>
      </c>
      <c r="E2640">
        <v>30000000</v>
      </c>
      <c r="H2640">
        <v>14.25</v>
      </c>
      <c r="I2640" t="s">
        <v>56</v>
      </c>
      <c r="J2640">
        <v>1.4250000000000001E-3</v>
      </c>
      <c r="K2640" t="s">
        <v>57</v>
      </c>
      <c r="L2640" t="s">
        <v>112</v>
      </c>
      <c r="O2640">
        <v>3000</v>
      </c>
      <c r="P2640" t="s">
        <v>277</v>
      </c>
      <c r="T2640">
        <v>28.5</v>
      </c>
      <c r="V2640">
        <v>50</v>
      </c>
      <c r="W2640" t="s">
        <v>460</v>
      </c>
      <c r="Y2640">
        <v>180</v>
      </c>
      <c r="AA2640" t="s">
        <v>94</v>
      </c>
      <c r="AB2640">
        <v>7.33</v>
      </c>
      <c r="AC2640" t="s">
        <v>85</v>
      </c>
      <c r="AI2640">
        <v>3</v>
      </c>
      <c r="AJ2640" t="s">
        <v>461</v>
      </c>
      <c r="AT2640" t="s">
        <v>73</v>
      </c>
      <c r="AV2640" t="s">
        <v>88</v>
      </c>
      <c r="AW2640">
        <v>3000</v>
      </c>
      <c r="AZ2640">
        <v>0</v>
      </c>
      <c r="BA2640">
        <v>7.33</v>
      </c>
    </row>
    <row r="2641" spans="1:53" hidden="1" x14ac:dyDescent="0.3">
      <c r="A2641" t="s">
        <v>717</v>
      </c>
      <c r="C2641" t="s">
        <v>251</v>
      </c>
      <c r="D2641" t="s">
        <v>81</v>
      </c>
      <c r="E2641">
        <v>30000000</v>
      </c>
      <c r="H2641">
        <v>14.25</v>
      </c>
      <c r="I2641" t="s">
        <v>56</v>
      </c>
      <c r="J2641">
        <v>1.4250000000000001E-3</v>
      </c>
      <c r="K2641" t="s">
        <v>57</v>
      </c>
      <c r="L2641" t="s">
        <v>112</v>
      </c>
      <c r="O2641">
        <v>3000</v>
      </c>
      <c r="P2641" t="s">
        <v>277</v>
      </c>
      <c r="T2641">
        <v>28.5</v>
      </c>
      <c r="V2641">
        <v>50</v>
      </c>
      <c r="W2641" t="s">
        <v>466</v>
      </c>
      <c r="Y2641">
        <v>180</v>
      </c>
      <c r="AA2641" t="s">
        <v>94</v>
      </c>
      <c r="AB2641">
        <v>6.63</v>
      </c>
      <c r="AC2641" t="s">
        <v>85</v>
      </c>
      <c r="AI2641">
        <v>3</v>
      </c>
      <c r="AT2641" t="s">
        <v>358</v>
      </c>
      <c r="AV2641" t="s">
        <v>88</v>
      </c>
      <c r="AW2641">
        <v>3000</v>
      </c>
      <c r="AZ2641">
        <v>0</v>
      </c>
      <c r="BA2641">
        <v>6.63</v>
      </c>
    </row>
    <row r="2642" spans="1:53" hidden="1" x14ac:dyDescent="0.3">
      <c r="A2642" t="s">
        <v>717</v>
      </c>
      <c r="C2642" t="s">
        <v>251</v>
      </c>
      <c r="D2642" t="s">
        <v>81</v>
      </c>
      <c r="E2642">
        <v>30000000</v>
      </c>
      <c r="H2642">
        <v>14.25</v>
      </c>
      <c r="I2642" t="s">
        <v>56</v>
      </c>
      <c r="J2642">
        <v>1.4250000000000001E-3</v>
      </c>
      <c r="K2642" t="s">
        <v>57</v>
      </c>
      <c r="L2642" t="s">
        <v>112</v>
      </c>
      <c r="O2642">
        <v>3000</v>
      </c>
      <c r="P2642" t="s">
        <v>277</v>
      </c>
      <c r="T2642">
        <v>28.5</v>
      </c>
      <c r="V2642">
        <v>50</v>
      </c>
      <c r="W2642" t="s">
        <v>465</v>
      </c>
      <c r="Y2642">
        <v>180</v>
      </c>
      <c r="AA2642" t="s">
        <v>94</v>
      </c>
      <c r="AB2642">
        <v>6.58</v>
      </c>
      <c r="AC2642" t="s">
        <v>85</v>
      </c>
      <c r="AI2642">
        <v>3</v>
      </c>
      <c r="AT2642" t="s">
        <v>79</v>
      </c>
      <c r="AV2642" t="s">
        <v>88</v>
      </c>
      <c r="AW2642">
        <v>3000</v>
      </c>
      <c r="AZ2642">
        <v>0</v>
      </c>
      <c r="BA2642">
        <v>6.58</v>
      </c>
    </row>
    <row r="2643" spans="1:53" hidden="1" x14ac:dyDescent="0.3">
      <c r="A2643" t="s">
        <v>718</v>
      </c>
      <c r="C2643" t="s">
        <v>251</v>
      </c>
      <c r="D2643" t="s">
        <v>81</v>
      </c>
      <c r="E2643">
        <v>30000000</v>
      </c>
      <c r="H2643">
        <v>14.25</v>
      </c>
      <c r="I2643" t="s">
        <v>56</v>
      </c>
      <c r="J2643">
        <v>1.4250000000000001E-3</v>
      </c>
      <c r="K2643" t="s">
        <v>57</v>
      </c>
      <c r="L2643" t="s">
        <v>112</v>
      </c>
      <c r="O2643">
        <v>3000</v>
      </c>
      <c r="P2643" t="s">
        <v>315</v>
      </c>
      <c r="T2643">
        <v>23</v>
      </c>
      <c r="V2643">
        <v>40</v>
      </c>
      <c r="W2643" t="s">
        <v>719</v>
      </c>
      <c r="Y2643">
        <v>20</v>
      </c>
      <c r="AB2643">
        <v>0.17</v>
      </c>
      <c r="AC2643" t="s">
        <v>85</v>
      </c>
      <c r="AD2643">
        <v>0.23</v>
      </c>
      <c r="AE2643" t="s">
        <v>63</v>
      </c>
      <c r="AI2643">
        <v>5</v>
      </c>
      <c r="AJ2643" t="s">
        <v>201</v>
      </c>
      <c r="AV2643" t="s">
        <v>88</v>
      </c>
      <c r="AW2643">
        <v>3000</v>
      </c>
    </row>
    <row r="2644" spans="1:53" hidden="1" x14ac:dyDescent="0.3">
      <c r="A2644" t="s">
        <v>718</v>
      </c>
      <c r="C2644" t="s">
        <v>251</v>
      </c>
      <c r="D2644" t="s">
        <v>81</v>
      </c>
      <c r="E2644">
        <v>30000000</v>
      </c>
      <c r="H2644">
        <v>1.69</v>
      </c>
      <c r="I2644" t="s">
        <v>56</v>
      </c>
      <c r="J2644">
        <v>1.6899999999999999E-4</v>
      </c>
      <c r="K2644" t="s">
        <v>57</v>
      </c>
      <c r="L2644" t="s">
        <v>112</v>
      </c>
      <c r="O2644">
        <v>3000</v>
      </c>
      <c r="P2644" t="s">
        <v>315</v>
      </c>
      <c r="T2644">
        <v>23</v>
      </c>
      <c r="V2644">
        <v>40</v>
      </c>
      <c r="W2644" t="s">
        <v>720</v>
      </c>
      <c r="Y2644">
        <v>20</v>
      </c>
      <c r="AA2644" t="s">
        <v>94</v>
      </c>
      <c r="AB2644">
        <v>6.57</v>
      </c>
      <c r="AC2644" t="s">
        <v>85</v>
      </c>
      <c r="AD2644">
        <v>0</v>
      </c>
      <c r="AE2644" t="s">
        <v>63</v>
      </c>
      <c r="AI2644">
        <v>5</v>
      </c>
      <c r="AJ2644" t="s">
        <v>201</v>
      </c>
      <c r="AV2644" t="s">
        <v>88</v>
      </c>
      <c r="AW2644">
        <v>3000</v>
      </c>
      <c r="AZ2644">
        <v>0</v>
      </c>
      <c r="BA2644">
        <v>6.57</v>
      </c>
    </row>
    <row r="2645" spans="1:53" hidden="1" x14ac:dyDescent="0.3">
      <c r="A2645" t="s">
        <v>718</v>
      </c>
      <c r="C2645" t="s">
        <v>251</v>
      </c>
      <c r="D2645" t="s">
        <v>81</v>
      </c>
      <c r="E2645">
        <v>30000000</v>
      </c>
      <c r="H2645">
        <v>14.25</v>
      </c>
      <c r="I2645" t="s">
        <v>56</v>
      </c>
      <c r="J2645">
        <v>1.4250000000000001E-3</v>
      </c>
      <c r="K2645" t="s">
        <v>57</v>
      </c>
      <c r="L2645" t="s">
        <v>112</v>
      </c>
      <c r="O2645">
        <v>3000</v>
      </c>
      <c r="P2645" t="s">
        <v>315</v>
      </c>
      <c r="T2645">
        <v>23</v>
      </c>
      <c r="V2645">
        <v>40</v>
      </c>
      <c r="W2645" t="s">
        <v>72</v>
      </c>
      <c r="Y2645">
        <v>20</v>
      </c>
      <c r="AB2645">
        <v>2.2200000000000002</v>
      </c>
      <c r="AC2645" t="s">
        <v>85</v>
      </c>
      <c r="AD2645">
        <v>0.61</v>
      </c>
      <c r="AE2645" t="s">
        <v>63</v>
      </c>
      <c r="AI2645">
        <v>5</v>
      </c>
      <c r="AJ2645" t="s">
        <v>201</v>
      </c>
      <c r="AT2645" t="s">
        <v>73</v>
      </c>
      <c r="AV2645" t="s">
        <v>88</v>
      </c>
      <c r="AW2645">
        <v>3000</v>
      </c>
    </row>
    <row r="2646" spans="1:53" hidden="1" x14ac:dyDescent="0.3">
      <c r="A2646" t="s">
        <v>718</v>
      </c>
      <c r="C2646" t="s">
        <v>251</v>
      </c>
      <c r="D2646" t="s">
        <v>81</v>
      </c>
      <c r="E2646">
        <v>30000000</v>
      </c>
      <c r="H2646">
        <v>14.25</v>
      </c>
      <c r="I2646" t="s">
        <v>56</v>
      </c>
      <c r="J2646">
        <v>1.4250000000000001E-3</v>
      </c>
      <c r="K2646" t="s">
        <v>57</v>
      </c>
      <c r="L2646" t="s">
        <v>112</v>
      </c>
      <c r="O2646">
        <v>3000</v>
      </c>
      <c r="P2646" t="s">
        <v>315</v>
      </c>
      <c r="T2646">
        <v>23</v>
      </c>
      <c r="V2646">
        <v>40</v>
      </c>
      <c r="W2646" t="s">
        <v>721</v>
      </c>
      <c r="Y2646">
        <v>20</v>
      </c>
      <c r="AB2646">
        <v>3.28</v>
      </c>
      <c r="AC2646" t="s">
        <v>85</v>
      </c>
      <c r="AD2646">
        <v>0.8</v>
      </c>
      <c r="AE2646" t="s">
        <v>63</v>
      </c>
      <c r="AI2646">
        <v>5</v>
      </c>
      <c r="AJ2646" t="s">
        <v>201</v>
      </c>
      <c r="AV2646" t="s">
        <v>88</v>
      </c>
      <c r="AW2646">
        <v>3000</v>
      </c>
    </row>
    <row r="2647" spans="1:53" hidden="1" x14ac:dyDescent="0.3">
      <c r="A2647" t="s">
        <v>718</v>
      </c>
      <c r="C2647" t="s">
        <v>251</v>
      </c>
      <c r="D2647" t="s">
        <v>81</v>
      </c>
      <c r="E2647">
        <v>30000000</v>
      </c>
      <c r="H2647">
        <v>14.25</v>
      </c>
      <c r="I2647" t="s">
        <v>56</v>
      </c>
      <c r="J2647">
        <v>1.4250000000000001E-3</v>
      </c>
      <c r="K2647" t="s">
        <v>57</v>
      </c>
      <c r="L2647" t="s">
        <v>112</v>
      </c>
      <c r="O2647">
        <v>3000</v>
      </c>
      <c r="P2647" t="s">
        <v>315</v>
      </c>
      <c r="T2647">
        <v>23</v>
      </c>
      <c r="V2647">
        <v>40</v>
      </c>
      <c r="W2647" t="s">
        <v>719</v>
      </c>
      <c r="Y2647">
        <v>40</v>
      </c>
      <c r="AB2647">
        <v>0.64</v>
      </c>
      <c r="AC2647" t="s">
        <v>85</v>
      </c>
      <c r="AD2647">
        <v>0.12</v>
      </c>
      <c r="AE2647" t="s">
        <v>63</v>
      </c>
      <c r="AI2647">
        <v>5</v>
      </c>
      <c r="AJ2647" t="s">
        <v>201</v>
      </c>
      <c r="AV2647" t="s">
        <v>88</v>
      </c>
      <c r="AW2647">
        <v>3000</v>
      </c>
    </row>
    <row r="2648" spans="1:53" hidden="1" x14ac:dyDescent="0.3">
      <c r="A2648" t="s">
        <v>718</v>
      </c>
      <c r="C2648" t="s">
        <v>251</v>
      </c>
      <c r="D2648" t="s">
        <v>81</v>
      </c>
      <c r="E2648">
        <v>30000000</v>
      </c>
      <c r="H2648">
        <v>1.69</v>
      </c>
      <c r="I2648" t="s">
        <v>56</v>
      </c>
      <c r="J2648">
        <v>1.6899999999999999E-4</v>
      </c>
      <c r="K2648" t="s">
        <v>57</v>
      </c>
      <c r="L2648" t="s">
        <v>112</v>
      </c>
      <c r="O2648">
        <v>3000</v>
      </c>
      <c r="P2648" t="s">
        <v>315</v>
      </c>
      <c r="T2648">
        <v>23</v>
      </c>
      <c r="V2648">
        <v>40</v>
      </c>
      <c r="W2648" t="s">
        <v>720</v>
      </c>
      <c r="Y2648">
        <v>40</v>
      </c>
      <c r="AA2648" t="s">
        <v>94</v>
      </c>
      <c r="AB2648">
        <v>6.57</v>
      </c>
      <c r="AC2648" t="s">
        <v>85</v>
      </c>
      <c r="AD2648">
        <v>0</v>
      </c>
      <c r="AE2648" t="s">
        <v>63</v>
      </c>
      <c r="AI2648">
        <v>5</v>
      </c>
      <c r="AJ2648" t="s">
        <v>201</v>
      </c>
      <c r="AV2648" t="s">
        <v>88</v>
      </c>
      <c r="AW2648">
        <v>3000</v>
      </c>
      <c r="AZ2648">
        <v>0</v>
      </c>
      <c r="BA2648">
        <v>6.57</v>
      </c>
    </row>
    <row r="2649" spans="1:53" hidden="1" x14ac:dyDescent="0.3">
      <c r="A2649" t="s">
        <v>718</v>
      </c>
      <c r="C2649" t="s">
        <v>251</v>
      </c>
      <c r="D2649" t="s">
        <v>81</v>
      </c>
      <c r="E2649">
        <v>30000000</v>
      </c>
      <c r="H2649">
        <v>14.25</v>
      </c>
      <c r="I2649" t="s">
        <v>56</v>
      </c>
      <c r="J2649">
        <v>1.4250000000000001E-3</v>
      </c>
      <c r="K2649" t="s">
        <v>57</v>
      </c>
      <c r="L2649" t="s">
        <v>112</v>
      </c>
      <c r="O2649">
        <v>3000</v>
      </c>
      <c r="P2649" t="s">
        <v>315</v>
      </c>
      <c r="T2649">
        <v>23</v>
      </c>
      <c r="V2649">
        <v>40</v>
      </c>
      <c r="W2649" t="s">
        <v>72</v>
      </c>
      <c r="Y2649">
        <v>40</v>
      </c>
      <c r="AB2649">
        <v>2.84</v>
      </c>
      <c r="AC2649" t="s">
        <v>85</v>
      </c>
      <c r="AD2649">
        <v>0.24</v>
      </c>
      <c r="AE2649" t="s">
        <v>63</v>
      </c>
      <c r="AI2649">
        <v>5</v>
      </c>
      <c r="AJ2649" t="s">
        <v>201</v>
      </c>
      <c r="AT2649" t="s">
        <v>73</v>
      </c>
      <c r="AV2649" t="s">
        <v>88</v>
      </c>
      <c r="AW2649">
        <v>3000</v>
      </c>
    </row>
    <row r="2650" spans="1:53" hidden="1" x14ac:dyDescent="0.3">
      <c r="A2650" t="s">
        <v>718</v>
      </c>
      <c r="C2650" t="s">
        <v>251</v>
      </c>
      <c r="D2650" t="s">
        <v>81</v>
      </c>
      <c r="E2650">
        <v>30000000</v>
      </c>
      <c r="H2650">
        <v>14.25</v>
      </c>
      <c r="I2650" t="s">
        <v>56</v>
      </c>
      <c r="J2650">
        <v>1.4250000000000001E-3</v>
      </c>
      <c r="K2650" t="s">
        <v>57</v>
      </c>
      <c r="L2650" t="s">
        <v>112</v>
      </c>
      <c r="O2650">
        <v>3000</v>
      </c>
      <c r="P2650" t="s">
        <v>315</v>
      </c>
      <c r="T2650">
        <v>23</v>
      </c>
      <c r="V2650">
        <v>40</v>
      </c>
      <c r="W2650" t="s">
        <v>721</v>
      </c>
      <c r="Y2650">
        <v>40</v>
      </c>
      <c r="AB2650">
        <v>2.65</v>
      </c>
      <c r="AC2650" t="s">
        <v>85</v>
      </c>
      <c r="AD2650">
        <v>0.26</v>
      </c>
      <c r="AE2650" t="s">
        <v>63</v>
      </c>
      <c r="AI2650">
        <v>5</v>
      </c>
      <c r="AJ2650" t="s">
        <v>201</v>
      </c>
      <c r="AV2650" t="s">
        <v>88</v>
      </c>
      <c r="AW2650">
        <v>3000</v>
      </c>
    </row>
    <row r="2651" spans="1:53" hidden="1" x14ac:dyDescent="0.3">
      <c r="A2651" t="s">
        <v>718</v>
      </c>
      <c r="C2651" t="s">
        <v>251</v>
      </c>
      <c r="D2651" t="s">
        <v>81</v>
      </c>
      <c r="E2651">
        <v>30000000</v>
      </c>
      <c r="H2651">
        <v>14.25</v>
      </c>
      <c r="I2651" t="s">
        <v>56</v>
      </c>
      <c r="J2651">
        <v>1.4250000000000001E-3</v>
      </c>
      <c r="K2651" t="s">
        <v>57</v>
      </c>
      <c r="L2651" t="s">
        <v>112</v>
      </c>
      <c r="O2651">
        <v>3000</v>
      </c>
      <c r="P2651" t="s">
        <v>315</v>
      </c>
      <c r="T2651">
        <v>23</v>
      </c>
      <c r="V2651">
        <v>40</v>
      </c>
      <c r="W2651" t="s">
        <v>719</v>
      </c>
      <c r="Y2651">
        <v>60</v>
      </c>
      <c r="AB2651">
        <v>0.57999999999999996</v>
      </c>
      <c r="AC2651" t="s">
        <v>85</v>
      </c>
      <c r="AD2651">
        <v>0.25</v>
      </c>
      <c r="AE2651" t="s">
        <v>63</v>
      </c>
      <c r="AI2651">
        <v>5</v>
      </c>
      <c r="AJ2651" t="s">
        <v>201</v>
      </c>
      <c r="AV2651" t="s">
        <v>88</v>
      </c>
      <c r="AW2651">
        <v>3000</v>
      </c>
    </row>
    <row r="2652" spans="1:53" hidden="1" x14ac:dyDescent="0.3">
      <c r="A2652" t="s">
        <v>718</v>
      </c>
      <c r="C2652" t="s">
        <v>251</v>
      </c>
      <c r="D2652" t="s">
        <v>81</v>
      </c>
      <c r="E2652">
        <v>30000000</v>
      </c>
      <c r="H2652">
        <v>1.69</v>
      </c>
      <c r="I2652" t="s">
        <v>56</v>
      </c>
      <c r="J2652">
        <v>1.6899999999999999E-4</v>
      </c>
      <c r="K2652" t="s">
        <v>57</v>
      </c>
      <c r="L2652" t="s">
        <v>112</v>
      </c>
      <c r="O2652">
        <v>3000</v>
      </c>
      <c r="P2652" t="s">
        <v>315</v>
      </c>
      <c r="T2652">
        <v>23</v>
      </c>
      <c r="V2652">
        <v>40</v>
      </c>
      <c r="W2652" t="s">
        <v>720</v>
      </c>
      <c r="Y2652">
        <v>60</v>
      </c>
      <c r="AA2652" t="s">
        <v>94</v>
      </c>
      <c r="AB2652">
        <v>6.57</v>
      </c>
      <c r="AC2652" t="s">
        <v>85</v>
      </c>
      <c r="AD2652">
        <v>0</v>
      </c>
      <c r="AE2652" t="s">
        <v>63</v>
      </c>
      <c r="AI2652">
        <v>5</v>
      </c>
      <c r="AJ2652" t="s">
        <v>201</v>
      </c>
      <c r="AV2652" t="s">
        <v>88</v>
      </c>
      <c r="AW2652">
        <v>3000</v>
      </c>
      <c r="AZ2652">
        <v>0</v>
      </c>
      <c r="BA2652">
        <v>6.57</v>
      </c>
    </row>
    <row r="2653" spans="1:53" hidden="1" x14ac:dyDescent="0.3">
      <c r="A2653" t="s">
        <v>718</v>
      </c>
      <c r="C2653" t="s">
        <v>251</v>
      </c>
      <c r="D2653" t="s">
        <v>81</v>
      </c>
      <c r="E2653">
        <v>30000000</v>
      </c>
      <c r="H2653">
        <v>14.25</v>
      </c>
      <c r="I2653" t="s">
        <v>56</v>
      </c>
      <c r="J2653">
        <v>1.4250000000000001E-3</v>
      </c>
      <c r="K2653" t="s">
        <v>57</v>
      </c>
      <c r="L2653" t="s">
        <v>112</v>
      </c>
      <c r="O2653">
        <v>3000</v>
      </c>
      <c r="P2653" t="s">
        <v>315</v>
      </c>
      <c r="T2653">
        <v>23</v>
      </c>
      <c r="V2653">
        <v>40</v>
      </c>
      <c r="W2653" t="s">
        <v>72</v>
      </c>
      <c r="Y2653">
        <v>60</v>
      </c>
      <c r="AB2653">
        <v>5.41</v>
      </c>
      <c r="AC2653" t="s">
        <v>85</v>
      </c>
      <c r="AD2653">
        <v>1.24</v>
      </c>
      <c r="AE2653" t="s">
        <v>63</v>
      </c>
      <c r="AI2653">
        <v>5</v>
      </c>
      <c r="AJ2653" t="s">
        <v>201</v>
      </c>
      <c r="AT2653" t="s">
        <v>73</v>
      </c>
      <c r="AV2653" t="s">
        <v>88</v>
      </c>
      <c r="AW2653">
        <v>3000</v>
      </c>
    </row>
    <row r="2654" spans="1:53" hidden="1" x14ac:dyDescent="0.3">
      <c r="A2654" t="s">
        <v>718</v>
      </c>
      <c r="C2654" t="s">
        <v>251</v>
      </c>
      <c r="D2654" t="s">
        <v>81</v>
      </c>
      <c r="E2654">
        <v>30000000</v>
      </c>
      <c r="H2654">
        <v>14.25</v>
      </c>
      <c r="I2654" t="s">
        <v>56</v>
      </c>
      <c r="J2654">
        <v>1.4250000000000001E-3</v>
      </c>
      <c r="K2654" t="s">
        <v>57</v>
      </c>
      <c r="L2654" t="s">
        <v>112</v>
      </c>
      <c r="O2654">
        <v>3000</v>
      </c>
      <c r="P2654" t="s">
        <v>315</v>
      </c>
      <c r="T2654">
        <v>23</v>
      </c>
      <c r="V2654">
        <v>40</v>
      </c>
      <c r="W2654" t="s">
        <v>721</v>
      </c>
      <c r="Y2654">
        <v>60</v>
      </c>
      <c r="AB2654">
        <v>3.29</v>
      </c>
      <c r="AC2654" t="s">
        <v>85</v>
      </c>
      <c r="AD2654">
        <v>0.96</v>
      </c>
      <c r="AE2654" t="s">
        <v>63</v>
      </c>
      <c r="AI2654">
        <v>5</v>
      </c>
      <c r="AJ2654" t="s">
        <v>201</v>
      </c>
      <c r="AV2654" t="s">
        <v>88</v>
      </c>
      <c r="AW2654">
        <v>3000</v>
      </c>
    </row>
    <row r="2655" spans="1:53" hidden="1" x14ac:dyDescent="0.3">
      <c r="A2655" t="s">
        <v>718</v>
      </c>
      <c r="C2655" t="s">
        <v>251</v>
      </c>
      <c r="D2655" t="s">
        <v>81</v>
      </c>
      <c r="E2655">
        <v>30000000</v>
      </c>
      <c r="H2655">
        <v>14.25</v>
      </c>
      <c r="I2655" t="s">
        <v>56</v>
      </c>
      <c r="J2655">
        <v>1.4250000000000001E-3</v>
      </c>
      <c r="K2655" t="s">
        <v>57</v>
      </c>
      <c r="L2655" t="s">
        <v>112</v>
      </c>
      <c r="O2655">
        <v>3000</v>
      </c>
      <c r="P2655" t="s">
        <v>315</v>
      </c>
      <c r="T2655">
        <v>23</v>
      </c>
      <c r="V2655">
        <v>40</v>
      </c>
      <c r="W2655" t="s">
        <v>719</v>
      </c>
      <c r="Y2655">
        <v>90</v>
      </c>
      <c r="AB2655">
        <v>1.54</v>
      </c>
      <c r="AC2655" t="s">
        <v>85</v>
      </c>
      <c r="AD2655">
        <v>0.67</v>
      </c>
      <c r="AE2655" t="s">
        <v>63</v>
      </c>
      <c r="AI2655">
        <v>5</v>
      </c>
      <c r="AJ2655" t="s">
        <v>201</v>
      </c>
      <c r="AV2655" t="s">
        <v>88</v>
      </c>
      <c r="AW2655">
        <v>3000</v>
      </c>
    </row>
    <row r="2656" spans="1:53" hidden="1" x14ac:dyDescent="0.3">
      <c r="A2656" t="s">
        <v>718</v>
      </c>
      <c r="C2656" t="s">
        <v>251</v>
      </c>
      <c r="D2656" t="s">
        <v>81</v>
      </c>
      <c r="E2656">
        <v>30000000</v>
      </c>
      <c r="H2656">
        <v>1.69</v>
      </c>
      <c r="I2656" t="s">
        <v>56</v>
      </c>
      <c r="J2656">
        <v>1.6899999999999999E-4</v>
      </c>
      <c r="K2656" t="s">
        <v>57</v>
      </c>
      <c r="L2656" t="s">
        <v>112</v>
      </c>
      <c r="O2656">
        <v>3000</v>
      </c>
      <c r="P2656" t="s">
        <v>315</v>
      </c>
      <c r="T2656">
        <v>23</v>
      </c>
      <c r="V2656">
        <v>40</v>
      </c>
      <c r="W2656" t="s">
        <v>720</v>
      </c>
      <c r="Y2656">
        <v>90</v>
      </c>
      <c r="AA2656" t="s">
        <v>94</v>
      </c>
      <c r="AB2656">
        <v>6.57</v>
      </c>
      <c r="AC2656" t="s">
        <v>85</v>
      </c>
      <c r="AD2656">
        <v>0</v>
      </c>
      <c r="AE2656" t="s">
        <v>63</v>
      </c>
      <c r="AI2656">
        <v>5</v>
      </c>
      <c r="AJ2656" t="s">
        <v>201</v>
      </c>
      <c r="AV2656" t="s">
        <v>88</v>
      </c>
      <c r="AW2656">
        <v>3000</v>
      </c>
      <c r="AZ2656">
        <v>0</v>
      </c>
      <c r="BA2656">
        <v>6.57</v>
      </c>
    </row>
    <row r="2657" spans="1:53" hidden="1" x14ac:dyDescent="0.3">
      <c r="A2657" t="s">
        <v>718</v>
      </c>
      <c r="C2657" t="s">
        <v>251</v>
      </c>
      <c r="D2657" t="s">
        <v>81</v>
      </c>
      <c r="E2657">
        <v>30000000</v>
      </c>
      <c r="H2657">
        <v>14.25</v>
      </c>
      <c r="I2657" t="s">
        <v>56</v>
      </c>
      <c r="J2657">
        <v>1.4250000000000001E-3</v>
      </c>
      <c r="K2657" t="s">
        <v>57</v>
      </c>
      <c r="L2657" t="s">
        <v>112</v>
      </c>
      <c r="O2657">
        <v>3000</v>
      </c>
      <c r="P2657" t="s">
        <v>315</v>
      </c>
      <c r="T2657">
        <v>23</v>
      </c>
      <c r="V2657">
        <v>40</v>
      </c>
      <c r="W2657" t="s">
        <v>72</v>
      </c>
      <c r="Y2657">
        <v>90</v>
      </c>
      <c r="AB2657">
        <v>5.67</v>
      </c>
      <c r="AC2657" t="s">
        <v>85</v>
      </c>
      <c r="AD2657">
        <v>1.49</v>
      </c>
      <c r="AE2657" t="s">
        <v>63</v>
      </c>
      <c r="AI2657">
        <v>5</v>
      </c>
      <c r="AJ2657" t="s">
        <v>201</v>
      </c>
      <c r="AT2657" t="s">
        <v>73</v>
      </c>
      <c r="AV2657" t="s">
        <v>88</v>
      </c>
      <c r="AW2657">
        <v>3000</v>
      </c>
    </row>
    <row r="2658" spans="1:53" hidden="1" x14ac:dyDescent="0.3">
      <c r="A2658" t="s">
        <v>718</v>
      </c>
      <c r="C2658" t="s">
        <v>251</v>
      </c>
      <c r="D2658" t="s">
        <v>81</v>
      </c>
      <c r="E2658">
        <v>30000000</v>
      </c>
      <c r="H2658">
        <v>14.25</v>
      </c>
      <c r="I2658" t="s">
        <v>56</v>
      </c>
      <c r="J2658">
        <v>1.4250000000000001E-3</v>
      </c>
      <c r="K2658" t="s">
        <v>57</v>
      </c>
      <c r="L2658" t="s">
        <v>112</v>
      </c>
      <c r="O2658">
        <v>3000</v>
      </c>
      <c r="P2658" t="s">
        <v>315</v>
      </c>
      <c r="T2658">
        <v>23</v>
      </c>
      <c r="V2658">
        <v>40</v>
      </c>
      <c r="W2658" t="s">
        <v>721</v>
      </c>
      <c r="Y2658">
        <v>90</v>
      </c>
      <c r="AB2658">
        <v>2.68</v>
      </c>
      <c r="AC2658" t="s">
        <v>85</v>
      </c>
      <c r="AD2658">
        <v>0.42</v>
      </c>
      <c r="AE2658" t="s">
        <v>63</v>
      </c>
      <c r="AI2658">
        <v>5</v>
      </c>
      <c r="AJ2658" t="s">
        <v>201</v>
      </c>
      <c r="AV2658" t="s">
        <v>88</v>
      </c>
      <c r="AW2658">
        <v>3000</v>
      </c>
    </row>
    <row r="2659" spans="1:53" hidden="1" x14ac:dyDescent="0.3">
      <c r="A2659" t="s">
        <v>718</v>
      </c>
      <c r="C2659" t="s">
        <v>251</v>
      </c>
      <c r="D2659" t="s">
        <v>81</v>
      </c>
      <c r="E2659">
        <v>30000000</v>
      </c>
      <c r="H2659">
        <v>14.25</v>
      </c>
      <c r="I2659" t="s">
        <v>56</v>
      </c>
      <c r="J2659">
        <v>1.4250000000000001E-3</v>
      </c>
      <c r="K2659" t="s">
        <v>57</v>
      </c>
      <c r="L2659" t="s">
        <v>112</v>
      </c>
      <c r="O2659">
        <v>3000</v>
      </c>
      <c r="P2659" t="s">
        <v>315</v>
      </c>
      <c r="T2659">
        <v>23</v>
      </c>
      <c r="V2659">
        <v>40</v>
      </c>
      <c r="W2659" t="s">
        <v>719</v>
      </c>
      <c r="Y2659">
        <v>180</v>
      </c>
      <c r="AB2659">
        <v>4.88</v>
      </c>
      <c r="AC2659" t="s">
        <v>85</v>
      </c>
      <c r="AD2659">
        <v>1.66</v>
      </c>
      <c r="AE2659" t="s">
        <v>63</v>
      </c>
      <c r="AI2659">
        <v>5</v>
      </c>
      <c r="AJ2659" t="s">
        <v>722</v>
      </c>
      <c r="AV2659" t="s">
        <v>88</v>
      </c>
      <c r="AW2659">
        <v>3000</v>
      </c>
    </row>
    <row r="2660" spans="1:53" hidden="1" x14ac:dyDescent="0.3">
      <c r="A2660" t="s">
        <v>718</v>
      </c>
      <c r="C2660" t="s">
        <v>251</v>
      </c>
      <c r="D2660" t="s">
        <v>81</v>
      </c>
      <c r="E2660">
        <v>30000000</v>
      </c>
      <c r="H2660">
        <v>1.69</v>
      </c>
      <c r="I2660" t="s">
        <v>56</v>
      </c>
      <c r="J2660">
        <v>1.6899999999999999E-4</v>
      </c>
      <c r="K2660" t="s">
        <v>57</v>
      </c>
      <c r="L2660" t="s">
        <v>112</v>
      </c>
      <c r="O2660">
        <v>3000</v>
      </c>
      <c r="P2660" t="s">
        <v>315</v>
      </c>
      <c r="T2660">
        <v>23</v>
      </c>
      <c r="V2660">
        <v>40</v>
      </c>
      <c r="W2660" t="s">
        <v>720</v>
      </c>
      <c r="Y2660">
        <v>180</v>
      </c>
      <c r="AA2660" t="s">
        <v>94</v>
      </c>
      <c r="AB2660">
        <v>6.57</v>
      </c>
      <c r="AC2660" t="s">
        <v>85</v>
      </c>
      <c r="AD2660">
        <v>0</v>
      </c>
      <c r="AE2660" t="s">
        <v>63</v>
      </c>
      <c r="AI2660">
        <v>5</v>
      </c>
      <c r="AJ2660" t="s">
        <v>201</v>
      </c>
      <c r="AV2660" t="s">
        <v>88</v>
      </c>
      <c r="AW2660">
        <v>3000</v>
      </c>
      <c r="AZ2660">
        <v>0</v>
      </c>
      <c r="BA2660">
        <v>6.57</v>
      </c>
    </row>
    <row r="2661" spans="1:53" hidden="1" x14ac:dyDescent="0.3">
      <c r="A2661" t="s">
        <v>718</v>
      </c>
      <c r="C2661" t="s">
        <v>251</v>
      </c>
      <c r="D2661" t="s">
        <v>81</v>
      </c>
      <c r="E2661">
        <v>30000000</v>
      </c>
      <c r="H2661">
        <v>14.25</v>
      </c>
      <c r="I2661" t="s">
        <v>56</v>
      </c>
      <c r="J2661">
        <v>1.4250000000000001E-3</v>
      </c>
      <c r="K2661" t="s">
        <v>57</v>
      </c>
      <c r="L2661" t="s">
        <v>112</v>
      </c>
      <c r="O2661">
        <v>3000</v>
      </c>
      <c r="P2661" t="s">
        <v>315</v>
      </c>
      <c r="T2661">
        <v>23</v>
      </c>
      <c r="V2661">
        <v>40</v>
      </c>
      <c r="W2661" t="s">
        <v>72</v>
      </c>
      <c r="Y2661">
        <v>180</v>
      </c>
      <c r="AA2661" t="s">
        <v>94</v>
      </c>
      <c r="AB2661">
        <v>6.74</v>
      </c>
      <c r="AC2661" t="s">
        <v>85</v>
      </c>
      <c r="AD2661">
        <v>0</v>
      </c>
      <c r="AE2661" t="s">
        <v>63</v>
      </c>
      <c r="AI2661">
        <v>5</v>
      </c>
      <c r="AJ2661" t="s">
        <v>201</v>
      </c>
      <c r="AT2661" t="s">
        <v>73</v>
      </c>
      <c r="AV2661" t="s">
        <v>88</v>
      </c>
      <c r="AW2661">
        <v>3000</v>
      </c>
      <c r="AZ2661">
        <v>0</v>
      </c>
      <c r="BA2661">
        <v>6.74</v>
      </c>
    </row>
    <row r="2662" spans="1:53" hidden="1" x14ac:dyDescent="0.3">
      <c r="A2662" t="s">
        <v>718</v>
      </c>
      <c r="C2662" t="s">
        <v>251</v>
      </c>
      <c r="D2662" t="s">
        <v>81</v>
      </c>
      <c r="E2662">
        <v>30000000</v>
      </c>
      <c r="H2662">
        <v>14.25</v>
      </c>
      <c r="I2662" t="s">
        <v>56</v>
      </c>
      <c r="J2662">
        <v>1.4250000000000001E-3</v>
      </c>
      <c r="K2662" t="s">
        <v>57</v>
      </c>
      <c r="L2662" t="s">
        <v>112</v>
      </c>
      <c r="O2662">
        <v>3000</v>
      </c>
      <c r="P2662" t="s">
        <v>315</v>
      </c>
      <c r="T2662">
        <v>23</v>
      </c>
      <c r="V2662">
        <v>40</v>
      </c>
      <c r="W2662" t="s">
        <v>721</v>
      </c>
      <c r="Y2662">
        <v>180</v>
      </c>
      <c r="AB2662">
        <v>2.93</v>
      </c>
      <c r="AC2662" t="s">
        <v>85</v>
      </c>
      <c r="AD2662">
        <v>0.55000000000000004</v>
      </c>
      <c r="AE2662" t="s">
        <v>63</v>
      </c>
      <c r="AI2662">
        <v>5</v>
      </c>
      <c r="AJ2662" t="s">
        <v>201</v>
      </c>
      <c r="AV2662" t="s">
        <v>88</v>
      </c>
      <c r="AW2662">
        <v>3000</v>
      </c>
    </row>
    <row r="2663" spans="1:53" hidden="1" x14ac:dyDescent="0.3">
      <c r="A2663" t="s">
        <v>718</v>
      </c>
      <c r="C2663" t="s">
        <v>251</v>
      </c>
      <c r="D2663" t="s">
        <v>81</v>
      </c>
      <c r="E2663">
        <v>30000000</v>
      </c>
      <c r="H2663">
        <v>14.25</v>
      </c>
      <c r="I2663" t="s">
        <v>56</v>
      </c>
      <c r="J2663">
        <v>1.4250000000000001E-3</v>
      </c>
      <c r="K2663" t="s">
        <v>57</v>
      </c>
      <c r="L2663" t="s">
        <v>112</v>
      </c>
      <c r="O2663">
        <v>3000</v>
      </c>
      <c r="P2663" t="s">
        <v>315</v>
      </c>
      <c r="T2663">
        <v>23</v>
      </c>
      <c r="V2663">
        <v>75</v>
      </c>
      <c r="W2663" t="s">
        <v>719</v>
      </c>
      <c r="Y2663">
        <v>20</v>
      </c>
      <c r="AB2663">
        <v>5.95</v>
      </c>
      <c r="AC2663" t="s">
        <v>85</v>
      </c>
      <c r="AD2663">
        <v>1.32</v>
      </c>
      <c r="AE2663" t="s">
        <v>63</v>
      </c>
      <c r="AI2663">
        <v>5</v>
      </c>
      <c r="AJ2663" t="s">
        <v>201</v>
      </c>
      <c r="AV2663" t="s">
        <v>88</v>
      </c>
      <c r="AW2663">
        <v>3000</v>
      </c>
    </row>
    <row r="2664" spans="1:53" hidden="1" x14ac:dyDescent="0.3">
      <c r="A2664" t="s">
        <v>718</v>
      </c>
      <c r="C2664" t="s">
        <v>251</v>
      </c>
      <c r="D2664" t="s">
        <v>81</v>
      </c>
      <c r="E2664">
        <v>30000000</v>
      </c>
      <c r="H2664">
        <v>1.69</v>
      </c>
      <c r="I2664" t="s">
        <v>56</v>
      </c>
      <c r="J2664">
        <v>1.6899999999999999E-4</v>
      </c>
      <c r="K2664" t="s">
        <v>57</v>
      </c>
      <c r="L2664" t="s">
        <v>112</v>
      </c>
      <c r="O2664">
        <v>3000</v>
      </c>
      <c r="P2664" t="s">
        <v>315</v>
      </c>
      <c r="T2664">
        <v>23</v>
      </c>
      <c r="V2664">
        <v>75</v>
      </c>
      <c r="W2664" t="s">
        <v>720</v>
      </c>
      <c r="Y2664">
        <v>20</v>
      </c>
      <c r="AB2664">
        <v>6.65</v>
      </c>
      <c r="AC2664" t="s">
        <v>85</v>
      </c>
      <c r="AD2664">
        <v>0.68</v>
      </c>
      <c r="AE2664" t="s">
        <v>63</v>
      </c>
      <c r="AI2664">
        <v>5</v>
      </c>
      <c r="AJ2664" t="s">
        <v>201</v>
      </c>
      <c r="AV2664" t="s">
        <v>88</v>
      </c>
      <c r="AW2664">
        <v>3000</v>
      </c>
    </row>
    <row r="2665" spans="1:53" hidden="1" x14ac:dyDescent="0.3">
      <c r="A2665" t="s">
        <v>718</v>
      </c>
      <c r="C2665" t="s">
        <v>251</v>
      </c>
      <c r="D2665" t="s">
        <v>81</v>
      </c>
      <c r="E2665">
        <v>30000000</v>
      </c>
      <c r="H2665">
        <v>14.25</v>
      </c>
      <c r="I2665" t="s">
        <v>56</v>
      </c>
      <c r="J2665">
        <v>1.4250000000000001E-3</v>
      </c>
      <c r="K2665" t="s">
        <v>57</v>
      </c>
      <c r="L2665" t="s">
        <v>112</v>
      </c>
      <c r="O2665">
        <v>3000</v>
      </c>
      <c r="P2665" t="s">
        <v>315</v>
      </c>
      <c r="T2665">
        <v>23</v>
      </c>
      <c r="V2665">
        <v>75</v>
      </c>
      <c r="W2665" t="s">
        <v>72</v>
      </c>
      <c r="Y2665">
        <v>20</v>
      </c>
      <c r="AB2665">
        <v>2.68</v>
      </c>
      <c r="AC2665" t="s">
        <v>85</v>
      </c>
      <c r="AD2665">
        <v>0.31</v>
      </c>
      <c r="AE2665" t="s">
        <v>63</v>
      </c>
      <c r="AI2665">
        <v>5</v>
      </c>
      <c r="AJ2665" t="s">
        <v>201</v>
      </c>
      <c r="AT2665" t="s">
        <v>73</v>
      </c>
      <c r="AV2665" t="s">
        <v>88</v>
      </c>
      <c r="AW2665">
        <v>3000</v>
      </c>
    </row>
    <row r="2666" spans="1:53" hidden="1" x14ac:dyDescent="0.3">
      <c r="A2666" t="s">
        <v>718</v>
      </c>
      <c r="C2666" t="s">
        <v>251</v>
      </c>
      <c r="D2666" t="s">
        <v>81</v>
      </c>
      <c r="E2666">
        <v>30000000</v>
      </c>
      <c r="H2666">
        <v>14.25</v>
      </c>
      <c r="I2666" t="s">
        <v>56</v>
      </c>
      <c r="J2666">
        <v>1.4250000000000001E-3</v>
      </c>
      <c r="K2666" t="s">
        <v>57</v>
      </c>
      <c r="L2666" t="s">
        <v>112</v>
      </c>
      <c r="O2666">
        <v>3000</v>
      </c>
      <c r="P2666" t="s">
        <v>315</v>
      </c>
      <c r="T2666">
        <v>23</v>
      </c>
      <c r="V2666">
        <v>75</v>
      </c>
      <c r="W2666" t="s">
        <v>721</v>
      </c>
      <c r="Y2666">
        <v>20</v>
      </c>
      <c r="AB2666">
        <v>5.69</v>
      </c>
      <c r="AC2666" t="s">
        <v>85</v>
      </c>
      <c r="AD2666">
        <v>1.27</v>
      </c>
      <c r="AE2666" t="s">
        <v>63</v>
      </c>
      <c r="AI2666">
        <v>5</v>
      </c>
      <c r="AJ2666" t="s">
        <v>201</v>
      </c>
      <c r="AV2666" t="s">
        <v>88</v>
      </c>
      <c r="AW2666">
        <v>3000</v>
      </c>
    </row>
    <row r="2667" spans="1:53" hidden="1" x14ac:dyDescent="0.3">
      <c r="A2667" t="s">
        <v>718</v>
      </c>
      <c r="C2667" t="s">
        <v>251</v>
      </c>
      <c r="D2667" t="s">
        <v>81</v>
      </c>
      <c r="E2667">
        <v>30000000</v>
      </c>
      <c r="H2667">
        <v>14.25</v>
      </c>
      <c r="I2667" t="s">
        <v>56</v>
      </c>
      <c r="J2667">
        <v>1.4250000000000001E-3</v>
      </c>
      <c r="K2667" t="s">
        <v>57</v>
      </c>
      <c r="L2667" t="s">
        <v>112</v>
      </c>
      <c r="O2667">
        <v>3000</v>
      </c>
      <c r="P2667" t="s">
        <v>315</v>
      </c>
      <c r="T2667">
        <v>23</v>
      </c>
      <c r="V2667">
        <v>75</v>
      </c>
      <c r="W2667" t="s">
        <v>719</v>
      </c>
      <c r="Y2667">
        <v>40</v>
      </c>
      <c r="AB2667">
        <v>4.97</v>
      </c>
      <c r="AC2667" t="s">
        <v>85</v>
      </c>
      <c r="AD2667">
        <v>1.1499999999999999</v>
      </c>
      <c r="AE2667" t="s">
        <v>63</v>
      </c>
      <c r="AI2667">
        <v>5</v>
      </c>
      <c r="AJ2667" t="s">
        <v>201</v>
      </c>
      <c r="AV2667" t="s">
        <v>88</v>
      </c>
      <c r="AW2667">
        <v>3000</v>
      </c>
    </row>
    <row r="2668" spans="1:53" hidden="1" x14ac:dyDescent="0.3">
      <c r="A2668" t="s">
        <v>718</v>
      </c>
      <c r="C2668" t="s">
        <v>251</v>
      </c>
      <c r="D2668" t="s">
        <v>81</v>
      </c>
      <c r="E2668">
        <v>30000000</v>
      </c>
      <c r="H2668">
        <v>1.69</v>
      </c>
      <c r="I2668" t="s">
        <v>56</v>
      </c>
      <c r="J2668">
        <v>1.6899999999999999E-4</v>
      </c>
      <c r="K2668" t="s">
        <v>57</v>
      </c>
      <c r="L2668" t="s">
        <v>112</v>
      </c>
      <c r="O2668">
        <v>3000</v>
      </c>
      <c r="P2668" t="s">
        <v>315</v>
      </c>
      <c r="T2668">
        <v>23</v>
      </c>
      <c r="V2668">
        <v>75</v>
      </c>
      <c r="W2668" t="s">
        <v>720</v>
      </c>
      <c r="Y2668">
        <v>40</v>
      </c>
      <c r="AA2668" t="s">
        <v>94</v>
      </c>
      <c r="AB2668">
        <v>7.15</v>
      </c>
      <c r="AC2668" t="s">
        <v>85</v>
      </c>
      <c r="AD2668">
        <v>0</v>
      </c>
      <c r="AE2668" t="s">
        <v>63</v>
      </c>
      <c r="AI2668">
        <v>5</v>
      </c>
      <c r="AJ2668" t="s">
        <v>201</v>
      </c>
      <c r="AV2668" t="s">
        <v>88</v>
      </c>
      <c r="AW2668">
        <v>3000</v>
      </c>
      <c r="AZ2668">
        <v>0</v>
      </c>
      <c r="BA2668">
        <v>7.15</v>
      </c>
    </row>
    <row r="2669" spans="1:53" hidden="1" x14ac:dyDescent="0.3">
      <c r="A2669" t="s">
        <v>718</v>
      </c>
      <c r="C2669" t="s">
        <v>251</v>
      </c>
      <c r="D2669" t="s">
        <v>81</v>
      </c>
      <c r="E2669">
        <v>30000000</v>
      </c>
      <c r="H2669">
        <v>14.25</v>
      </c>
      <c r="I2669" t="s">
        <v>56</v>
      </c>
      <c r="J2669">
        <v>1.4250000000000001E-3</v>
      </c>
      <c r="K2669" t="s">
        <v>57</v>
      </c>
      <c r="L2669" t="s">
        <v>112</v>
      </c>
      <c r="O2669">
        <v>3000</v>
      </c>
      <c r="P2669" t="s">
        <v>315</v>
      </c>
      <c r="T2669">
        <v>23</v>
      </c>
      <c r="V2669">
        <v>75</v>
      </c>
      <c r="W2669" t="s">
        <v>72</v>
      </c>
      <c r="Y2669">
        <v>40</v>
      </c>
      <c r="AB2669">
        <v>3.4</v>
      </c>
      <c r="AC2669" t="s">
        <v>85</v>
      </c>
      <c r="AD2669">
        <v>0.35</v>
      </c>
      <c r="AE2669" t="s">
        <v>63</v>
      </c>
      <c r="AI2669">
        <v>5</v>
      </c>
      <c r="AJ2669" t="s">
        <v>201</v>
      </c>
      <c r="AT2669" t="s">
        <v>73</v>
      </c>
      <c r="AV2669" t="s">
        <v>88</v>
      </c>
      <c r="AW2669">
        <v>3000</v>
      </c>
    </row>
    <row r="2670" spans="1:53" hidden="1" x14ac:dyDescent="0.3">
      <c r="A2670" t="s">
        <v>718</v>
      </c>
      <c r="C2670" t="s">
        <v>251</v>
      </c>
      <c r="D2670" t="s">
        <v>81</v>
      </c>
      <c r="E2670">
        <v>30000000</v>
      </c>
      <c r="H2670">
        <v>14.25</v>
      </c>
      <c r="I2670" t="s">
        <v>56</v>
      </c>
      <c r="J2670">
        <v>1.4250000000000001E-3</v>
      </c>
      <c r="K2670" t="s">
        <v>57</v>
      </c>
      <c r="L2670" t="s">
        <v>112</v>
      </c>
      <c r="O2670">
        <v>3000</v>
      </c>
      <c r="P2670" t="s">
        <v>315</v>
      </c>
      <c r="T2670">
        <v>23</v>
      </c>
      <c r="V2670">
        <v>75</v>
      </c>
      <c r="W2670" t="s">
        <v>721</v>
      </c>
      <c r="Y2670">
        <v>40</v>
      </c>
      <c r="AB2670">
        <v>6.04</v>
      </c>
      <c r="AC2670" t="s">
        <v>85</v>
      </c>
      <c r="AD2670">
        <v>0.92</v>
      </c>
      <c r="AE2670" t="s">
        <v>63</v>
      </c>
      <c r="AI2670">
        <v>5</v>
      </c>
      <c r="AJ2670" t="s">
        <v>201</v>
      </c>
      <c r="AV2670" t="s">
        <v>88</v>
      </c>
      <c r="AW2670">
        <v>3000</v>
      </c>
    </row>
    <row r="2671" spans="1:53" hidden="1" x14ac:dyDescent="0.3">
      <c r="A2671" t="s">
        <v>718</v>
      </c>
      <c r="C2671" t="s">
        <v>251</v>
      </c>
      <c r="D2671" t="s">
        <v>81</v>
      </c>
      <c r="E2671">
        <v>30000000</v>
      </c>
      <c r="H2671">
        <v>14.25</v>
      </c>
      <c r="I2671" t="s">
        <v>56</v>
      </c>
      <c r="J2671">
        <v>1.4250000000000001E-3</v>
      </c>
      <c r="K2671" t="s">
        <v>57</v>
      </c>
      <c r="L2671" t="s">
        <v>112</v>
      </c>
      <c r="O2671">
        <v>3000</v>
      </c>
      <c r="P2671" t="s">
        <v>315</v>
      </c>
      <c r="T2671">
        <v>23</v>
      </c>
      <c r="V2671">
        <v>75</v>
      </c>
      <c r="W2671" t="s">
        <v>719</v>
      </c>
      <c r="Y2671">
        <v>60</v>
      </c>
      <c r="AB2671">
        <v>4.99</v>
      </c>
      <c r="AC2671" t="s">
        <v>85</v>
      </c>
      <c r="AD2671">
        <v>1.29</v>
      </c>
      <c r="AE2671" t="s">
        <v>63</v>
      </c>
      <c r="AI2671">
        <v>5</v>
      </c>
      <c r="AJ2671" t="s">
        <v>201</v>
      </c>
      <c r="AV2671" t="s">
        <v>88</v>
      </c>
      <c r="AW2671">
        <v>3000</v>
      </c>
    </row>
    <row r="2672" spans="1:53" hidden="1" x14ac:dyDescent="0.3">
      <c r="A2672" t="s">
        <v>718</v>
      </c>
      <c r="C2672" t="s">
        <v>251</v>
      </c>
      <c r="D2672" t="s">
        <v>81</v>
      </c>
      <c r="E2672">
        <v>30000000</v>
      </c>
      <c r="H2672">
        <v>1.69</v>
      </c>
      <c r="I2672" t="s">
        <v>56</v>
      </c>
      <c r="J2672">
        <v>1.6899999999999999E-4</v>
      </c>
      <c r="K2672" t="s">
        <v>57</v>
      </c>
      <c r="L2672" t="s">
        <v>112</v>
      </c>
      <c r="O2672">
        <v>3000</v>
      </c>
      <c r="P2672" t="s">
        <v>315</v>
      </c>
      <c r="T2672">
        <v>23</v>
      </c>
      <c r="V2672">
        <v>75</v>
      </c>
      <c r="W2672" t="s">
        <v>720</v>
      </c>
      <c r="Y2672">
        <v>60</v>
      </c>
      <c r="AA2672" t="s">
        <v>94</v>
      </c>
      <c r="AB2672">
        <v>6.95</v>
      </c>
      <c r="AC2672" t="s">
        <v>85</v>
      </c>
      <c r="AD2672">
        <v>0</v>
      </c>
      <c r="AE2672" t="s">
        <v>63</v>
      </c>
      <c r="AI2672">
        <v>5</v>
      </c>
      <c r="AJ2672" t="s">
        <v>201</v>
      </c>
      <c r="AV2672" t="s">
        <v>88</v>
      </c>
      <c r="AW2672">
        <v>3000</v>
      </c>
      <c r="AZ2672">
        <v>0</v>
      </c>
      <c r="BA2672">
        <v>6.95</v>
      </c>
    </row>
    <row r="2673" spans="1:53" hidden="1" x14ac:dyDescent="0.3">
      <c r="A2673" t="s">
        <v>718</v>
      </c>
      <c r="C2673" t="s">
        <v>251</v>
      </c>
      <c r="D2673" t="s">
        <v>81</v>
      </c>
      <c r="E2673">
        <v>30000000</v>
      </c>
      <c r="H2673">
        <v>14.25</v>
      </c>
      <c r="I2673" t="s">
        <v>56</v>
      </c>
      <c r="J2673">
        <v>1.4250000000000001E-3</v>
      </c>
      <c r="K2673" t="s">
        <v>57</v>
      </c>
      <c r="L2673" t="s">
        <v>112</v>
      </c>
      <c r="O2673">
        <v>3000</v>
      </c>
      <c r="P2673" t="s">
        <v>315</v>
      </c>
      <c r="T2673">
        <v>23</v>
      </c>
      <c r="V2673">
        <v>75</v>
      </c>
      <c r="W2673" t="s">
        <v>72</v>
      </c>
      <c r="Y2673">
        <v>60</v>
      </c>
      <c r="AB2673">
        <v>4.5199999999999996</v>
      </c>
      <c r="AC2673" t="s">
        <v>85</v>
      </c>
      <c r="AD2673">
        <v>0.56999999999999995</v>
      </c>
      <c r="AE2673" t="s">
        <v>63</v>
      </c>
      <c r="AI2673">
        <v>5</v>
      </c>
      <c r="AJ2673" t="s">
        <v>201</v>
      </c>
      <c r="AT2673" t="s">
        <v>73</v>
      </c>
      <c r="AV2673" t="s">
        <v>88</v>
      </c>
      <c r="AW2673">
        <v>3000</v>
      </c>
    </row>
    <row r="2674" spans="1:53" hidden="1" x14ac:dyDescent="0.3">
      <c r="A2674" t="s">
        <v>718</v>
      </c>
      <c r="C2674" t="s">
        <v>251</v>
      </c>
      <c r="D2674" t="s">
        <v>81</v>
      </c>
      <c r="E2674">
        <v>30000000</v>
      </c>
      <c r="H2674">
        <v>14.25</v>
      </c>
      <c r="I2674" t="s">
        <v>56</v>
      </c>
      <c r="J2674">
        <v>1.4250000000000001E-3</v>
      </c>
      <c r="K2674" t="s">
        <v>57</v>
      </c>
      <c r="L2674" t="s">
        <v>112</v>
      </c>
      <c r="O2674">
        <v>3000</v>
      </c>
      <c r="P2674" t="s">
        <v>315</v>
      </c>
      <c r="T2674">
        <v>23</v>
      </c>
      <c r="V2674">
        <v>75</v>
      </c>
      <c r="W2674" t="s">
        <v>721</v>
      </c>
      <c r="Y2674">
        <v>60</v>
      </c>
      <c r="AB2674">
        <v>5.31</v>
      </c>
      <c r="AC2674" t="s">
        <v>85</v>
      </c>
      <c r="AD2674">
        <v>1</v>
      </c>
      <c r="AE2674" t="s">
        <v>63</v>
      </c>
      <c r="AI2674">
        <v>5</v>
      </c>
      <c r="AJ2674" t="s">
        <v>201</v>
      </c>
      <c r="AV2674" t="s">
        <v>88</v>
      </c>
      <c r="AW2674">
        <v>3000</v>
      </c>
    </row>
    <row r="2675" spans="1:53" hidden="1" x14ac:dyDescent="0.3">
      <c r="A2675" t="s">
        <v>718</v>
      </c>
      <c r="C2675" t="s">
        <v>251</v>
      </c>
      <c r="D2675" t="s">
        <v>81</v>
      </c>
      <c r="E2675">
        <v>30000000</v>
      </c>
      <c r="H2675">
        <v>14.25</v>
      </c>
      <c r="I2675" t="s">
        <v>56</v>
      </c>
      <c r="J2675">
        <v>1.4250000000000001E-3</v>
      </c>
      <c r="K2675" t="s">
        <v>57</v>
      </c>
      <c r="L2675" t="s">
        <v>112</v>
      </c>
      <c r="O2675">
        <v>3000</v>
      </c>
      <c r="P2675" t="s">
        <v>315</v>
      </c>
      <c r="T2675">
        <v>23</v>
      </c>
      <c r="V2675">
        <v>75</v>
      </c>
      <c r="W2675" t="s">
        <v>719</v>
      </c>
      <c r="Y2675">
        <v>90</v>
      </c>
      <c r="AB2675">
        <v>5.35</v>
      </c>
      <c r="AC2675" t="s">
        <v>85</v>
      </c>
      <c r="AD2675">
        <v>1.44</v>
      </c>
      <c r="AE2675" t="s">
        <v>63</v>
      </c>
      <c r="AI2675">
        <v>5</v>
      </c>
      <c r="AJ2675" t="s">
        <v>201</v>
      </c>
      <c r="AV2675" t="s">
        <v>88</v>
      </c>
      <c r="AW2675">
        <v>3000</v>
      </c>
    </row>
    <row r="2676" spans="1:53" hidden="1" x14ac:dyDescent="0.3">
      <c r="A2676" t="s">
        <v>718</v>
      </c>
      <c r="C2676" t="s">
        <v>251</v>
      </c>
      <c r="D2676" t="s">
        <v>81</v>
      </c>
      <c r="E2676">
        <v>30000000</v>
      </c>
      <c r="H2676">
        <v>1.69</v>
      </c>
      <c r="I2676" t="s">
        <v>56</v>
      </c>
      <c r="J2676">
        <v>1.6899999999999999E-4</v>
      </c>
      <c r="K2676" t="s">
        <v>57</v>
      </c>
      <c r="L2676" t="s">
        <v>112</v>
      </c>
      <c r="O2676">
        <v>3000</v>
      </c>
      <c r="P2676" t="s">
        <v>315</v>
      </c>
      <c r="T2676">
        <v>23</v>
      </c>
      <c r="V2676">
        <v>75</v>
      </c>
      <c r="W2676" t="s">
        <v>720</v>
      </c>
      <c r="Y2676">
        <v>90</v>
      </c>
      <c r="AA2676" t="s">
        <v>94</v>
      </c>
      <c r="AB2676">
        <v>6.96</v>
      </c>
      <c r="AC2676" t="s">
        <v>85</v>
      </c>
      <c r="AD2676">
        <v>0</v>
      </c>
      <c r="AE2676" t="s">
        <v>63</v>
      </c>
      <c r="AI2676">
        <v>5</v>
      </c>
      <c r="AJ2676" t="s">
        <v>201</v>
      </c>
      <c r="AV2676" t="s">
        <v>88</v>
      </c>
      <c r="AW2676">
        <v>3000</v>
      </c>
      <c r="AZ2676">
        <v>0</v>
      </c>
      <c r="BA2676">
        <v>6.96</v>
      </c>
    </row>
    <row r="2677" spans="1:53" hidden="1" x14ac:dyDescent="0.3">
      <c r="A2677" t="s">
        <v>718</v>
      </c>
      <c r="C2677" t="s">
        <v>251</v>
      </c>
      <c r="D2677" t="s">
        <v>81</v>
      </c>
      <c r="E2677">
        <v>30000000</v>
      </c>
      <c r="H2677">
        <v>14.25</v>
      </c>
      <c r="I2677" t="s">
        <v>56</v>
      </c>
      <c r="J2677">
        <v>1.4250000000000001E-3</v>
      </c>
      <c r="K2677" t="s">
        <v>57</v>
      </c>
      <c r="L2677" t="s">
        <v>112</v>
      </c>
      <c r="O2677">
        <v>3000</v>
      </c>
      <c r="P2677" t="s">
        <v>315</v>
      </c>
      <c r="T2677">
        <v>23</v>
      </c>
      <c r="V2677">
        <v>75</v>
      </c>
      <c r="W2677" t="s">
        <v>72</v>
      </c>
      <c r="Y2677">
        <v>90</v>
      </c>
      <c r="AA2677" t="s">
        <v>94</v>
      </c>
      <c r="AB2677">
        <v>6.57</v>
      </c>
      <c r="AC2677" t="s">
        <v>85</v>
      </c>
      <c r="AD2677">
        <v>0</v>
      </c>
      <c r="AE2677" t="s">
        <v>63</v>
      </c>
      <c r="AI2677">
        <v>5</v>
      </c>
      <c r="AJ2677" t="s">
        <v>201</v>
      </c>
      <c r="AT2677" t="s">
        <v>73</v>
      </c>
      <c r="AV2677" t="s">
        <v>88</v>
      </c>
      <c r="AW2677">
        <v>3000</v>
      </c>
      <c r="AZ2677">
        <v>0</v>
      </c>
      <c r="BA2677">
        <v>6.57</v>
      </c>
    </row>
    <row r="2678" spans="1:53" hidden="1" x14ac:dyDescent="0.3">
      <c r="A2678" t="s">
        <v>718</v>
      </c>
      <c r="C2678" t="s">
        <v>251</v>
      </c>
      <c r="D2678" t="s">
        <v>81</v>
      </c>
      <c r="E2678">
        <v>30000000</v>
      </c>
      <c r="H2678">
        <v>14.25</v>
      </c>
      <c r="I2678" t="s">
        <v>56</v>
      </c>
      <c r="J2678">
        <v>1.4250000000000001E-3</v>
      </c>
      <c r="K2678" t="s">
        <v>57</v>
      </c>
      <c r="L2678" t="s">
        <v>112</v>
      </c>
      <c r="O2678">
        <v>3000</v>
      </c>
      <c r="P2678" t="s">
        <v>315</v>
      </c>
      <c r="T2678">
        <v>23</v>
      </c>
      <c r="V2678">
        <v>75</v>
      </c>
      <c r="W2678" t="s">
        <v>721</v>
      </c>
      <c r="Y2678">
        <v>90</v>
      </c>
      <c r="AA2678" t="s">
        <v>94</v>
      </c>
      <c r="AB2678">
        <v>6.56</v>
      </c>
      <c r="AC2678" t="s">
        <v>85</v>
      </c>
      <c r="AD2678">
        <v>0</v>
      </c>
      <c r="AE2678" t="s">
        <v>63</v>
      </c>
      <c r="AI2678">
        <v>5</v>
      </c>
      <c r="AJ2678" t="s">
        <v>201</v>
      </c>
      <c r="AV2678" t="s">
        <v>88</v>
      </c>
      <c r="AW2678">
        <v>3000</v>
      </c>
      <c r="AZ2678">
        <v>0</v>
      </c>
      <c r="BA2678">
        <v>6.56</v>
      </c>
    </row>
    <row r="2679" spans="1:53" hidden="1" x14ac:dyDescent="0.3">
      <c r="A2679" t="s">
        <v>718</v>
      </c>
      <c r="C2679" t="s">
        <v>251</v>
      </c>
      <c r="D2679" t="s">
        <v>81</v>
      </c>
      <c r="E2679">
        <v>30000000</v>
      </c>
      <c r="H2679">
        <v>14.25</v>
      </c>
      <c r="I2679" t="s">
        <v>56</v>
      </c>
      <c r="J2679">
        <v>1.4250000000000001E-3</v>
      </c>
      <c r="K2679" t="s">
        <v>57</v>
      </c>
      <c r="L2679" t="s">
        <v>112</v>
      </c>
      <c r="O2679">
        <v>3000</v>
      </c>
      <c r="P2679" t="s">
        <v>315</v>
      </c>
      <c r="T2679">
        <v>23</v>
      </c>
      <c r="V2679">
        <v>75</v>
      </c>
      <c r="W2679" t="s">
        <v>719</v>
      </c>
      <c r="Y2679">
        <v>180</v>
      </c>
      <c r="AB2679">
        <v>6.19</v>
      </c>
      <c r="AC2679" t="s">
        <v>85</v>
      </c>
      <c r="AD2679">
        <v>0.92</v>
      </c>
      <c r="AE2679" t="s">
        <v>63</v>
      </c>
      <c r="AI2679">
        <v>5</v>
      </c>
      <c r="AJ2679" t="s">
        <v>722</v>
      </c>
      <c r="AV2679" t="s">
        <v>88</v>
      </c>
      <c r="AW2679">
        <v>3000</v>
      </c>
    </row>
    <row r="2680" spans="1:53" hidden="1" x14ac:dyDescent="0.3">
      <c r="A2680" t="s">
        <v>718</v>
      </c>
      <c r="C2680" t="s">
        <v>251</v>
      </c>
      <c r="D2680" t="s">
        <v>81</v>
      </c>
      <c r="E2680">
        <v>30000000</v>
      </c>
      <c r="H2680">
        <v>1.69</v>
      </c>
      <c r="I2680" t="s">
        <v>56</v>
      </c>
      <c r="J2680">
        <v>1.6899999999999999E-4</v>
      </c>
      <c r="K2680" t="s">
        <v>57</v>
      </c>
      <c r="L2680" t="s">
        <v>112</v>
      </c>
      <c r="O2680">
        <v>3000</v>
      </c>
      <c r="P2680" t="s">
        <v>315</v>
      </c>
      <c r="T2680">
        <v>23</v>
      </c>
      <c r="V2680">
        <v>75</v>
      </c>
      <c r="W2680" t="s">
        <v>720</v>
      </c>
      <c r="Y2680">
        <v>180</v>
      </c>
      <c r="AA2680" t="s">
        <v>94</v>
      </c>
      <c r="AB2680">
        <v>7.22</v>
      </c>
      <c r="AC2680" t="s">
        <v>85</v>
      </c>
      <c r="AD2680">
        <v>0</v>
      </c>
      <c r="AE2680" t="s">
        <v>63</v>
      </c>
      <c r="AI2680">
        <v>5</v>
      </c>
      <c r="AJ2680" t="s">
        <v>201</v>
      </c>
      <c r="AV2680" t="s">
        <v>88</v>
      </c>
      <c r="AW2680">
        <v>3000</v>
      </c>
      <c r="AZ2680">
        <v>0</v>
      </c>
      <c r="BA2680">
        <v>7.22</v>
      </c>
    </row>
    <row r="2681" spans="1:53" hidden="1" x14ac:dyDescent="0.3">
      <c r="A2681" t="s">
        <v>718</v>
      </c>
      <c r="C2681" t="s">
        <v>251</v>
      </c>
      <c r="D2681" t="s">
        <v>81</v>
      </c>
      <c r="E2681">
        <v>30000000</v>
      </c>
      <c r="H2681">
        <v>14.25</v>
      </c>
      <c r="I2681" t="s">
        <v>56</v>
      </c>
      <c r="J2681">
        <v>1.4250000000000001E-3</v>
      </c>
      <c r="K2681" t="s">
        <v>57</v>
      </c>
      <c r="L2681" t="s">
        <v>112</v>
      </c>
      <c r="O2681">
        <v>3000</v>
      </c>
      <c r="P2681" t="s">
        <v>315</v>
      </c>
      <c r="T2681">
        <v>23</v>
      </c>
      <c r="V2681">
        <v>75</v>
      </c>
      <c r="W2681" t="s">
        <v>72</v>
      </c>
      <c r="Y2681">
        <v>180</v>
      </c>
      <c r="AA2681" t="s">
        <v>94</v>
      </c>
      <c r="AB2681">
        <v>6.78</v>
      </c>
      <c r="AC2681" t="s">
        <v>85</v>
      </c>
      <c r="AD2681">
        <v>0</v>
      </c>
      <c r="AE2681" t="s">
        <v>63</v>
      </c>
      <c r="AI2681">
        <v>5</v>
      </c>
      <c r="AJ2681" t="s">
        <v>201</v>
      </c>
      <c r="AT2681" t="s">
        <v>73</v>
      </c>
      <c r="AV2681" t="s">
        <v>88</v>
      </c>
      <c r="AW2681">
        <v>3000</v>
      </c>
      <c r="AZ2681">
        <v>0</v>
      </c>
      <c r="BA2681">
        <v>6.78</v>
      </c>
    </row>
    <row r="2682" spans="1:53" hidden="1" x14ac:dyDescent="0.3">
      <c r="A2682" t="s">
        <v>718</v>
      </c>
      <c r="C2682" t="s">
        <v>251</v>
      </c>
      <c r="D2682" t="s">
        <v>81</v>
      </c>
      <c r="E2682">
        <v>30000000</v>
      </c>
      <c r="H2682">
        <v>14.25</v>
      </c>
      <c r="I2682" t="s">
        <v>56</v>
      </c>
      <c r="J2682">
        <v>1.4250000000000001E-3</v>
      </c>
      <c r="K2682" t="s">
        <v>57</v>
      </c>
      <c r="L2682" t="s">
        <v>112</v>
      </c>
      <c r="O2682">
        <v>3000</v>
      </c>
      <c r="P2682" t="s">
        <v>315</v>
      </c>
      <c r="T2682">
        <v>23</v>
      </c>
      <c r="V2682">
        <v>75</v>
      </c>
      <c r="W2682" t="s">
        <v>721</v>
      </c>
      <c r="Y2682">
        <v>180</v>
      </c>
      <c r="AA2682" t="s">
        <v>94</v>
      </c>
      <c r="AB2682">
        <v>6.5</v>
      </c>
      <c r="AC2682" t="s">
        <v>85</v>
      </c>
      <c r="AD2682">
        <v>0</v>
      </c>
      <c r="AE2682" t="s">
        <v>63</v>
      </c>
      <c r="AI2682">
        <v>5</v>
      </c>
      <c r="AJ2682" t="s">
        <v>201</v>
      </c>
      <c r="AV2682" t="s">
        <v>88</v>
      </c>
      <c r="AW2682">
        <v>3000</v>
      </c>
      <c r="AZ2682">
        <v>0</v>
      </c>
      <c r="BA2682">
        <v>6.5</v>
      </c>
    </row>
    <row r="2683" spans="1:53" hidden="1" x14ac:dyDescent="0.3">
      <c r="A2683" t="s">
        <v>718</v>
      </c>
      <c r="C2683" t="s">
        <v>251</v>
      </c>
      <c r="D2683" t="s">
        <v>81</v>
      </c>
      <c r="E2683">
        <v>30000000</v>
      </c>
      <c r="H2683">
        <v>14.25</v>
      </c>
      <c r="I2683" t="s">
        <v>56</v>
      </c>
      <c r="J2683">
        <v>1.4250000000000001E-3</v>
      </c>
      <c r="K2683" t="s">
        <v>57</v>
      </c>
      <c r="L2683" t="s">
        <v>112</v>
      </c>
      <c r="O2683">
        <v>0</v>
      </c>
      <c r="T2683">
        <v>22</v>
      </c>
      <c r="V2683">
        <v>75</v>
      </c>
      <c r="W2683" t="s">
        <v>72</v>
      </c>
      <c r="X2683" t="s">
        <v>723</v>
      </c>
      <c r="Y2683">
        <v>15</v>
      </c>
      <c r="AB2683">
        <v>0.82</v>
      </c>
      <c r="AC2683" t="s">
        <v>85</v>
      </c>
      <c r="AD2683">
        <v>0.26</v>
      </c>
      <c r="AE2683" t="s">
        <v>63</v>
      </c>
      <c r="AI2683">
        <v>5</v>
      </c>
      <c r="AJ2683" t="s">
        <v>201</v>
      </c>
      <c r="AT2683" t="s">
        <v>73</v>
      </c>
      <c r="AV2683" t="s">
        <v>88</v>
      </c>
    </row>
    <row r="2684" spans="1:53" hidden="1" x14ac:dyDescent="0.3">
      <c r="A2684" t="s">
        <v>718</v>
      </c>
      <c r="C2684" t="s">
        <v>251</v>
      </c>
      <c r="D2684" t="s">
        <v>81</v>
      </c>
      <c r="E2684">
        <v>30000000</v>
      </c>
      <c r="H2684">
        <v>14.25</v>
      </c>
      <c r="I2684" t="s">
        <v>56</v>
      </c>
      <c r="J2684">
        <v>1.4250000000000001E-3</v>
      </c>
      <c r="K2684" t="s">
        <v>57</v>
      </c>
      <c r="L2684" t="s">
        <v>112</v>
      </c>
      <c r="O2684">
        <v>0</v>
      </c>
      <c r="T2684">
        <v>22</v>
      </c>
      <c r="V2684">
        <v>75</v>
      </c>
      <c r="W2684" t="s">
        <v>72</v>
      </c>
      <c r="X2684" t="s">
        <v>723</v>
      </c>
      <c r="Y2684">
        <v>30</v>
      </c>
      <c r="AB2684">
        <v>1.49</v>
      </c>
      <c r="AC2684" t="s">
        <v>85</v>
      </c>
      <c r="AD2684">
        <v>0.52</v>
      </c>
      <c r="AE2684" t="s">
        <v>63</v>
      </c>
      <c r="AI2684">
        <v>5</v>
      </c>
      <c r="AJ2684" t="s">
        <v>201</v>
      </c>
      <c r="AT2684" t="s">
        <v>73</v>
      </c>
      <c r="AV2684" t="s">
        <v>88</v>
      </c>
    </row>
    <row r="2685" spans="1:53" hidden="1" x14ac:dyDescent="0.3">
      <c r="A2685" t="s">
        <v>718</v>
      </c>
      <c r="C2685" t="s">
        <v>251</v>
      </c>
      <c r="D2685" t="s">
        <v>81</v>
      </c>
      <c r="E2685">
        <v>30000000</v>
      </c>
      <c r="H2685">
        <v>14.25</v>
      </c>
      <c r="I2685" t="s">
        <v>56</v>
      </c>
      <c r="J2685">
        <v>1.4250000000000001E-3</v>
      </c>
      <c r="K2685" t="s">
        <v>57</v>
      </c>
      <c r="L2685" t="s">
        <v>112</v>
      </c>
      <c r="O2685">
        <v>0</v>
      </c>
      <c r="T2685">
        <v>22</v>
      </c>
      <c r="V2685">
        <v>75</v>
      </c>
      <c r="W2685" t="s">
        <v>72</v>
      </c>
      <c r="X2685" t="s">
        <v>723</v>
      </c>
      <c r="Y2685">
        <v>60</v>
      </c>
      <c r="AA2685" t="s">
        <v>94</v>
      </c>
      <c r="AB2685">
        <v>6.65</v>
      </c>
      <c r="AC2685" t="s">
        <v>85</v>
      </c>
      <c r="AD2685">
        <v>0</v>
      </c>
      <c r="AE2685" t="s">
        <v>63</v>
      </c>
      <c r="AI2685">
        <v>5</v>
      </c>
      <c r="AJ2685" t="s">
        <v>201</v>
      </c>
      <c r="AT2685" t="s">
        <v>73</v>
      </c>
      <c r="AV2685" t="s">
        <v>88</v>
      </c>
      <c r="AZ2685">
        <v>0</v>
      </c>
      <c r="BA2685">
        <v>6.65</v>
      </c>
    </row>
    <row r="2686" spans="1:53" hidden="1" x14ac:dyDescent="0.3">
      <c r="A2686" t="s">
        <v>718</v>
      </c>
      <c r="C2686" t="s">
        <v>251</v>
      </c>
      <c r="D2686" t="s">
        <v>81</v>
      </c>
      <c r="E2686">
        <v>30000000</v>
      </c>
      <c r="H2686">
        <v>14.25</v>
      </c>
      <c r="I2686" t="s">
        <v>56</v>
      </c>
      <c r="J2686">
        <v>1.4250000000000001E-3</v>
      </c>
      <c r="K2686" t="s">
        <v>57</v>
      </c>
      <c r="L2686" t="s">
        <v>112</v>
      </c>
      <c r="O2686">
        <v>0</v>
      </c>
      <c r="T2686">
        <v>22</v>
      </c>
      <c r="V2686">
        <v>75</v>
      </c>
      <c r="W2686" t="s">
        <v>72</v>
      </c>
      <c r="X2686" t="s">
        <v>723</v>
      </c>
      <c r="Y2686">
        <v>90</v>
      </c>
      <c r="AB2686">
        <v>4.59</v>
      </c>
      <c r="AC2686" t="s">
        <v>85</v>
      </c>
      <c r="AD2686">
        <v>2.82</v>
      </c>
      <c r="AE2686" t="s">
        <v>63</v>
      </c>
      <c r="AI2686">
        <v>5</v>
      </c>
      <c r="AJ2686" t="s">
        <v>201</v>
      </c>
      <c r="AT2686" t="s">
        <v>73</v>
      </c>
      <c r="AV2686" t="s">
        <v>88</v>
      </c>
    </row>
    <row r="2687" spans="1:53" hidden="1" x14ac:dyDescent="0.3">
      <c r="A2687" t="s">
        <v>718</v>
      </c>
      <c r="C2687" t="s">
        <v>251</v>
      </c>
      <c r="D2687" t="s">
        <v>81</v>
      </c>
      <c r="E2687">
        <v>30000000</v>
      </c>
      <c r="H2687">
        <v>14.25</v>
      </c>
      <c r="I2687" t="s">
        <v>56</v>
      </c>
      <c r="J2687">
        <v>1.4250000000000001E-3</v>
      </c>
      <c r="K2687" t="s">
        <v>57</v>
      </c>
      <c r="L2687" t="s">
        <v>112</v>
      </c>
      <c r="O2687">
        <v>0</v>
      </c>
      <c r="T2687">
        <v>22</v>
      </c>
      <c r="V2687">
        <v>75</v>
      </c>
      <c r="W2687" t="s">
        <v>72</v>
      </c>
      <c r="X2687" t="s">
        <v>723</v>
      </c>
      <c r="Y2687">
        <v>120</v>
      </c>
      <c r="AB2687">
        <v>4.74</v>
      </c>
      <c r="AC2687" t="s">
        <v>85</v>
      </c>
      <c r="AD2687">
        <v>2.61</v>
      </c>
      <c r="AE2687" t="s">
        <v>63</v>
      </c>
      <c r="AI2687">
        <v>5</v>
      </c>
      <c r="AJ2687" t="s">
        <v>201</v>
      </c>
      <c r="AT2687" t="s">
        <v>73</v>
      </c>
      <c r="AV2687" t="s">
        <v>88</v>
      </c>
    </row>
    <row r="2688" spans="1:53" hidden="1" x14ac:dyDescent="0.3">
      <c r="A2688" t="s">
        <v>718</v>
      </c>
      <c r="C2688" t="s">
        <v>251</v>
      </c>
      <c r="D2688" t="s">
        <v>81</v>
      </c>
      <c r="E2688">
        <v>30000000</v>
      </c>
      <c r="H2688">
        <v>14.25</v>
      </c>
      <c r="I2688" t="s">
        <v>56</v>
      </c>
      <c r="J2688">
        <v>1.4250000000000001E-3</v>
      </c>
      <c r="K2688" t="s">
        <v>57</v>
      </c>
      <c r="L2688" t="s">
        <v>112</v>
      </c>
      <c r="O2688">
        <v>0</v>
      </c>
      <c r="T2688">
        <v>22</v>
      </c>
      <c r="V2688">
        <v>75</v>
      </c>
      <c r="W2688" t="s">
        <v>72</v>
      </c>
      <c r="X2688" t="s">
        <v>723</v>
      </c>
      <c r="Y2688">
        <v>180</v>
      </c>
      <c r="AA2688" t="s">
        <v>94</v>
      </c>
      <c r="AB2688">
        <v>6.65</v>
      </c>
      <c r="AC2688" t="s">
        <v>85</v>
      </c>
      <c r="AD2688">
        <v>0</v>
      </c>
      <c r="AE2688" t="s">
        <v>63</v>
      </c>
      <c r="AI2688">
        <v>5</v>
      </c>
      <c r="AJ2688" t="s">
        <v>201</v>
      </c>
      <c r="AT2688" t="s">
        <v>73</v>
      </c>
      <c r="AV2688" t="s">
        <v>88</v>
      </c>
      <c r="AZ2688">
        <v>0</v>
      </c>
      <c r="BA2688">
        <v>6.65</v>
      </c>
    </row>
    <row r="2689" spans="1:53" hidden="1" x14ac:dyDescent="0.3">
      <c r="A2689" t="s">
        <v>718</v>
      </c>
      <c r="C2689" t="s">
        <v>251</v>
      </c>
      <c r="D2689" t="s">
        <v>81</v>
      </c>
      <c r="E2689">
        <v>30000000</v>
      </c>
      <c r="H2689">
        <v>14.25</v>
      </c>
      <c r="I2689" t="s">
        <v>56</v>
      </c>
      <c r="J2689">
        <v>1.4250000000000001E-3</v>
      </c>
      <c r="K2689" t="s">
        <v>57</v>
      </c>
      <c r="L2689" t="s">
        <v>112</v>
      </c>
      <c r="O2689">
        <v>0</v>
      </c>
      <c r="T2689">
        <v>22</v>
      </c>
      <c r="V2689">
        <v>75</v>
      </c>
      <c r="W2689" t="s">
        <v>72</v>
      </c>
      <c r="X2689" t="s">
        <v>724</v>
      </c>
      <c r="Y2689">
        <v>15</v>
      </c>
      <c r="AB2689">
        <v>0.33</v>
      </c>
      <c r="AC2689" t="s">
        <v>85</v>
      </c>
      <c r="AD2689">
        <v>0.32</v>
      </c>
      <c r="AE2689" t="s">
        <v>63</v>
      </c>
      <c r="AI2689">
        <v>5</v>
      </c>
      <c r="AJ2689" t="s">
        <v>201</v>
      </c>
      <c r="AT2689" t="s">
        <v>73</v>
      </c>
      <c r="AV2689" t="s">
        <v>88</v>
      </c>
    </row>
    <row r="2690" spans="1:53" hidden="1" x14ac:dyDescent="0.3">
      <c r="A2690" t="s">
        <v>718</v>
      </c>
      <c r="C2690" t="s">
        <v>251</v>
      </c>
      <c r="D2690" t="s">
        <v>81</v>
      </c>
      <c r="E2690">
        <v>30000000</v>
      </c>
      <c r="H2690">
        <v>14.25</v>
      </c>
      <c r="I2690" t="s">
        <v>56</v>
      </c>
      <c r="J2690">
        <v>1.4250000000000001E-3</v>
      </c>
      <c r="K2690" t="s">
        <v>57</v>
      </c>
      <c r="L2690" t="s">
        <v>112</v>
      </c>
      <c r="O2690">
        <v>0</v>
      </c>
      <c r="T2690">
        <v>22</v>
      </c>
      <c r="V2690">
        <v>75</v>
      </c>
      <c r="W2690" t="s">
        <v>72</v>
      </c>
      <c r="X2690" t="s">
        <v>724</v>
      </c>
      <c r="Y2690">
        <v>30</v>
      </c>
      <c r="AB2690">
        <v>0.47</v>
      </c>
      <c r="AC2690" t="s">
        <v>85</v>
      </c>
      <c r="AD2690">
        <v>0.09</v>
      </c>
      <c r="AE2690" t="s">
        <v>63</v>
      </c>
      <c r="AI2690">
        <v>5</v>
      </c>
      <c r="AJ2690" t="s">
        <v>201</v>
      </c>
      <c r="AT2690" t="s">
        <v>73</v>
      </c>
      <c r="AV2690" t="s">
        <v>88</v>
      </c>
    </row>
    <row r="2691" spans="1:53" hidden="1" x14ac:dyDescent="0.3">
      <c r="A2691" t="s">
        <v>718</v>
      </c>
      <c r="C2691" t="s">
        <v>251</v>
      </c>
      <c r="D2691" t="s">
        <v>81</v>
      </c>
      <c r="E2691">
        <v>30000000</v>
      </c>
      <c r="H2691">
        <v>14.25</v>
      </c>
      <c r="I2691" t="s">
        <v>56</v>
      </c>
      <c r="J2691">
        <v>1.4250000000000001E-3</v>
      </c>
      <c r="K2691" t="s">
        <v>57</v>
      </c>
      <c r="L2691" t="s">
        <v>112</v>
      </c>
      <c r="O2691">
        <v>0</v>
      </c>
      <c r="T2691">
        <v>22</v>
      </c>
      <c r="V2691">
        <v>75</v>
      </c>
      <c r="W2691" t="s">
        <v>72</v>
      </c>
      <c r="X2691" t="s">
        <v>724</v>
      </c>
      <c r="Y2691">
        <v>60</v>
      </c>
      <c r="AB2691">
        <v>1.62</v>
      </c>
      <c r="AC2691" t="s">
        <v>85</v>
      </c>
      <c r="AD2691">
        <v>1.28</v>
      </c>
      <c r="AE2691" t="s">
        <v>63</v>
      </c>
      <c r="AI2691">
        <v>5</v>
      </c>
      <c r="AJ2691" t="s">
        <v>201</v>
      </c>
      <c r="AT2691" t="s">
        <v>73</v>
      </c>
      <c r="AV2691" t="s">
        <v>88</v>
      </c>
    </row>
    <row r="2692" spans="1:53" hidden="1" x14ac:dyDescent="0.3">
      <c r="A2692" t="s">
        <v>718</v>
      </c>
      <c r="C2692" t="s">
        <v>251</v>
      </c>
      <c r="D2692" t="s">
        <v>81</v>
      </c>
      <c r="E2692">
        <v>30000000</v>
      </c>
      <c r="H2692">
        <v>14.25</v>
      </c>
      <c r="I2692" t="s">
        <v>56</v>
      </c>
      <c r="J2692">
        <v>1.4250000000000001E-3</v>
      </c>
      <c r="K2692" t="s">
        <v>57</v>
      </c>
      <c r="L2692" t="s">
        <v>112</v>
      </c>
      <c r="O2692">
        <v>0</v>
      </c>
      <c r="T2692">
        <v>22</v>
      </c>
      <c r="V2692">
        <v>75</v>
      </c>
      <c r="W2692" t="s">
        <v>72</v>
      </c>
      <c r="X2692" t="s">
        <v>724</v>
      </c>
      <c r="Y2692">
        <v>90</v>
      </c>
      <c r="AB2692">
        <v>0.99</v>
      </c>
      <c r="AC2692" t="s">
        <v>85</v>
      </c>
      <c r="AD2692">
        <v>0.27</v>
      </c>
      <c r="AE2692" t="s">
        <v>63</v>
      </c>
      <c r="AI2692">
        <v>5</v>
      </c>
      <c r="AJ2692" t="s">
        <v>201</v>
      </c>
      <c r="AT2692" t="s">
        <v>73</v>
      </c>
      <c r="AV2692" t="s">
        <v>88</v>
      </c>
    </row>
    <row r="2693" spans="1:53" hidden="1" x14ac:dyDescent="0.3">
      <c r="A2693" t="s">
        <v>718</v>
      </c>
      <c r="C2693" t="s">
        <v>251</v>
      </c>
      <c r="D2693" t="s">
        <v>81</v>
      </c>
      <c r="E2693">
        <v>30000000</v>
      </c>
      <c r="H2693">
        <v>14.25</v>
      </c>
      <c r="I2693" t="s">
        <v>56</v>
      </c>
      <c r="J2693">
        <v>1.4250000000000001E-3</v>
      </c>
      <c r="K2693" t="s">
        <v>57</v>
      </c>
      <c r="L2693" t="s">
        <v>112</v>
      </c>
      <c r="O2693">
        <v>0</v>
      </c>
      <c r="T2693">
        <v>22</v>
      </c>
      <c r="V2693">
        <v>75</v>
      </c>
      <c r="W2693" t="s">
        <v>72</v>
      </c>
      <c r="X2693" t="s">
        <v>723</v>
      </c>
      <c r="Y2693">
        <v>60</v>
      </c>
      <c r="AB2693">
        <v>4.1399999999999997</v>
      </c>
      <c r="AC2693" t="s">
        <v>85</v>
      </c>
      <c r="AD2693">
        <v>2.2599999999999998</v>
      </c>
      <c r="AE2693" t="s">
        <v>63</v>
      </c>
      <c r="AI2693">
        <v>5</v>
      </c>
      <c r="AJ2693" t="s">
        <v>201</v>
      </c>
      <c r="AT2693" t="s">
        <v>73</v>
      </c>
      <c r="AV2693" t="s">
        <v>88</v>
      </c>
    </row>
    <row r="2694" spans="1:53" hidden="1" x14ac:dyDescent="0.3">
      <c r="A2694" t="s">
        <v>718</v>
      </c>
      <c r="C2694" t="s">
        <v>251</v>
      </c>
      <c r="D2694" t="s">
        <v>81</v>
      </c>
      <c r="E2694">
        <v>30000000</v>
      </c>
      <c r="H2694">
        <v>14.25</v>
      </c>
      <c r="I2694" t="s">
        <v>56</v>
      </c>
      <c r="J2694">
        <v>1.4250000000000001E-3</v>
      </c>
      <c r="K2694" t="s">
        <v>57</v>
      </c>
      <c r="L2694" t="s">
        <v>112</v>
      </c>
      <c r="O2694">
        <v>0</v>
      </c>
      <c r="T2694">
        <v>22</v>
      </c>
      <c r="V2694">
        <v>75</v>
      </c>
      <c r="W2694" t="s">
        <v>72</v>
      </c>
      <c r="X2694" t="s">
        <v>723</v>
      </c>
      <c r="Y2694">
        <v>120</v>
      </c>
      <c r="AB2694">
        <v>3.22</v>
      </c>
      <c r="AC2694" t="s">
        <v>85</v>
      </c>
      <c r="AD2694">
        <v>2.97</v>
      </c>
      <c r="AE2694" t="s">
        <v>63</v>
      </c>
      <c r="AI2694">
        <v>5</v>
      </c>
      <c r="AJ2694" t="s">
        <v>201</v>
      </c>
      <c r="AT2694" t="s">
        <v>73</v>
      </c>
      <c r="AV2694" t="s">
        <v>88</v>
      </c>
    </row>
    <row r="2695" spans="1:53" hidden="1" x14ac:dyDescent="0.3">
      <c r="A2695" t="s">
        <v>718</v>
      </c>
      <c r="C2695" t="s">
        <v>251</v>
      </c>
      <c r="D2695" t="s">
        <v>81</v>
      </c>
      <c r="E2695">
        <v>30000000</v>
      </c>
      <c r="H2695">
        <v>14.25</v>
      </c>
      <c r="I2695" t="s">
        <v>56</v>
      </c>
      <c r="J2695">
        <v>1.4250000000000001E-3</v>
      </c>
      <c r="K2695" t="s">
        <v>57</v>
      </c>
      <c r="L2695" t="s">
        <v>112</v>
      </c>
      <c r="O2695">
        <v>0</v>
      </c>
      <c r="T2695">
        <v>22</v>
      </c>
      <c r="V2695">
        <v>75</v>
      </c>
      <c r="W2695" t="s">
        <v>72</v>
      </c>
      <c r="X2695" t="s">
        <v>723</v>
      </c>
      <c r="Y2695">
        <v>180</v>
      </c>
      <c r="AB2695">
        <v>3.71</v>
      </c>
      <c r="AC2695" t="s">
        <v>85</v>
      </c>
      <c r="AD2695">
        <v>2.52</v>
      </c>
      <c r="AE2695" t="s">
        <v>63</v>
      </c>
      <c r="AI2695">
        <v>5</v>
      </c>
      <c r="AJ2695" t="s">
        <v>201</v>
      </c>
      <c r="AT2695" t="s">
        <v>73</v>
      </c>
      <c r="AV2695" t="s">
        <v>88</v>
      </c>
    </row>
    <row r="2696" spans="1:53" hidden="1" x14ac:dyDescent="0.3">
      <c r="A2696" t="s">
        <v>718</v>
      </c>
      <c r="C2696" t="s">
        <v>251</v>
      </c>
      <c r="D2696" t="s">
        <v>81</v>
      </c>
      <c r="E2696">
        <v>30000000</v>
      </c>
      <c r="H2696">
        <v>14.25</v>
      </c>
      <c r="I2696" t="s">
        <v>56</v>
      </c>
      <c r="J2696">
        <v>1.4250000000000001E-3</v>
      </c>
      <c r="K2696" t="s">
        <v>57</v>
      </c>
      <c r="L2696" t="s">
        <v>112</v>
      </c>
      <c r="O2696">
        <v>0</v>
      </c>
      <c r="T2696">
        <v>22</v>
      </c>
      <c r="V2696">
        <v>75</v>
      </c>
      <c r="W2696" t="s">
        <v>420</v>
      </c>
      <c r="X2696" t="s">
        <v>723</v>
      </c>
      <c r="Y2696">
        <v>180</v>
      </c>
      <c r="AA2696" t="s">
        <v>94</v>
      </c>
      <c r="AB2696">
        <v>6.86</v>
      </c>
      <c r="AC2696" t="s">
        <v>85</v>
      </c>
      <c r="AD2696">
        <v>0</v>
      </c>
      <c r="AE2696" t="s">
        <v>63</v>
      </c>
      <c r="AI2696">
        <v>5</v>
      </c>
      <c r="AJ2696" t="s">
        <v>201</v>
      </c>
      <c r="AV2696" t="s">
        <v>88</v>
      </c>
      <c r="AZ2696">
        <v>0</v>
      </c>
      <c r="BA2696">
        <v>6.86</v>
      </c>
    </row>
    <row r="2697" spans="1:53" hidden="1" x14ac:dyDescent="0.3">
      <c r="A2697" t="s">
        <v>718</v>
      </c>
      <c r="C2697" t="s">
        <v>251</v>
      </c>
      <c r="D2697" t="s">
        <v>81</v>
      </c>
      <c r="E2697">
        <v>30000000</v>
      </c>
      <c r="H2697">
        <v>14.25</v>
      </c>
      <c r="I2697" t="s">
        <v>56</v>
      </c>
      <c r="J2697">
        <v>1.4250000000000001E-3</v>
      </c>
      <c r="K2697" t="s">
        <v>57</v>
      </c>
      <c r="L2697" t="s">
        <v>112</v>
      </c>
      <c r="O2697">
        <v>0</v>
      </c>
      <c r="T2697">
        <v>22</v>
      </c>
      <c r="V2697">
        <v>75</v>
      </c>
      <c r="W2697" t="s">
        <v>725</v>
      </c>
      <c r="X2697" t="s">
        <v>723</v>
      </c>
      <c r="Y2697">
        <v>180</v>
      </c>
      <c r="AA2697" t="s">
        <v>94</v>
      </c>
      <c r="AB2697">
        <v>6.46</v>
      </c>
      <c r="AC2697" t="s">
        <v>85</v>
      </c>
      <c r="AD2697">
        <v>0</v>
      </c>
      <c r="AE2697" t="s">
        <v>63</v>
      </c>
      <c r="AI2697">
        <v>5</v>
      </c>
      <c r="AJ2697" t="s">
        <v>201</v>
      </c>
      <c r="AT2697" t="s">
        <v>65</v>
      </c>
      <c r="AV2697" t="s">
        <v>88</v>
      </c>
      <c r="AZ2697">
        <v>0</v>
      </c>
      <c r="BA2697">
        <v>6.46</v>
      </c>
    </row>
    <row r="2698" spans="1:53" hidden="1" x14ac:dyDescent="0.3">
      <c r="A2698" t="s">
        <v>718</v>
      </c>
      <c r="C2698" t="s">
        <v>251</v>
      </c>
      <c r="D2698" t="s">
        <v>81</v>
      </c>
      <c r="E2698">
        <v>30000000</v>
      </c>
      <c r="H2698">
        <v>14.25</v>
      </c>
      <c r="I2698" t="s">
        <v>56</v>
      </c>
      <c r="J2698">
        <v>1.4250000000000001E-3</v>
      </c>
      <c r="K2698" t="s">
        <v>57</v>
      </c>
      <c r="L2698" t="s">
        <v>112</v>
      </c>
      <c r="O2698">
        <v>0</v>
      </c>
      <c r="T2698">
        <v>22</v>
      </c>
      <c r="V2698">
        <v>75</v>
      </c>
      <c r="W2698" t="s">
        <v>72</v>
      </c>
      <c r="X2698" t="s">
        <v>723</v>
      </c>
      <c r="Y2698">
        <v>180</v>
      </c>
      <c r="AB2698">
        <v>4.68</v>
      </c>
      <c r="AC2698" t="s">
        <v>85</v>
      </c>
      <c r="AD2698">
        <v>2.84</v>
      </c>
      <c r="AE2698" t="s">
        <v>63</v>
      </c>
      <c r="AI2698">
        <v>5</v>
      </c>
      <c r="AJ2698" t="s">
        <v>201</v>
      </c>
      <c r="AT2698" t="s">
        <v>73</v>
      </c>
      <c r="AV2698" t="s">
        <v>88</v>
      </c>
    </row>
    <row r="2699" spans="1:53" hidden="1" x14ac:dyDescent="0.3">
      <c r="A2699" t="s">
        <v>718</v>
      </c>
      <c r="C2699" t="s">
        <v>251</v>
      </c>
      <c r="D2699" t="s">
        <v>81</v>
      </c>
      <c r="E2699">
        <v>30000000</v>
      </c>
      <c r="H2699">
        <v>14.25</v>
      </c>
      <c r="I2699" t="s">
        <v>56</v>
      </c>
      <c r="J2699">
        <v>1.4250000000000001E-3</v>
      </c>
      <c r="K2699" t="s">
        <v>57</v>
      </c>
      <c r="L2699" t="s">
        <v>112</v>
      </c>
      <c r="O2699">
        <v>0</v>
      </c>
      <c r="T2699">
        <v>22</v>
      </c>
      <c r="V2699">
        <v>75</v>
      </c>
      <c r="W2699" t="s">
        <v>358</v>
      </c>
      <c r="X2699" t="s">
        <v>723</v>
      </c>
      <c r="Y2699">
        <v>180</v>
      </c>
      <c r="AB2699">
        <v>5.46</v>
      </c>
      <c r="AC2699" t="s">
        <v>85</v>
      </c>
      <c r="AD2699">
        <v>2.0699999999999998</v>
      </c>
      <c r="AE2699" t="s">
        <v>63</v>
      </c>
      <c r="AI2699">
        <v>5</v>
      </c>
      <c r="AJ2699" t="s">
        <v>201</v>
      </c>
      <c r="AT2699" t="s">
        <v>358</v>
      </c>
      <c r="AV2699" t="s">
        <v>88</v>
      </c>
    </row>
    <row r="2700" spans="1:53" hidden="1" x14ac:dyDescent="0.3">
      <c r="A2700" t="s">
        <v>718</v>
      </c>
      <c r="C2700" t="s">
        <v>251</v>
      </c>
      <c r="D2700" t="s">
        <v>81</v>
      </c>
      <c r="E2700">
        <v>30000000</v>
      </c>
      <c r="H2700">
        <v>14.25</v>
      </c>
      <c r="I2700" t="s">
        <v>56</v>
      </c>
      <c r="J2700">
        <v>1.4250000000000001E-3</v>
      </c>
      <c r="K2700" t="s">
        <v>57</v>
      </c>
      <c r="L2700" t="s">
        <v>112</v>
      </c>
      <c r="O2700">
        <v>0</v>
      </c>
      <c r="T2700">
        <v>22</v>
      </c>
      <c r="V2700">
        <v>75</v>
      </c>
      <c r="W2700" t="s">
        <v>726</v>
      </c>
      <c r="X2700" t="s">
        <v>723</v>
      </c>
      <c r="Y2700">
        <v>180</v>
      </c>
      <c r="AB2700">
        <v>2.16</v>
      </c>
      <c r="AC2700" t="s">
        <v>85</v>
      </c>
      <c r="AD2700">
        <v>0.64</v>
      </c>
      <c r="AE2700" t="s">
        <v>63</v>
      </c>
      <c r="AI2700">
        <v>5</v>
      </c>
      <c r="AJ2700" t="s">
        <v>201</v>
      </c>
      <c r="AT2700" t="s">
        <v>212</v>
      </c>
      <c r="AV2700" t="s">
        <v>88</v>
      </c>
    </row>
    <row r="2701" spans="1:53" hidden="1" x14ac:dyDescent="0.3">
      <c r="A2701" t="s">
        <v>718</v>
      </c>
      <c r="C2701" t="s">
        <v>251</v>
      </c>
      <c r="D2701" t="s">
        <v>81</v>
      </c>
      <c r="E2701">
        <v>30000000</v>
      </c>
      <c r="H2701">
        <v>14.25</v>
      </c>
      <c r="I2701" t="s">
        <v>56</v>
      </c>
      <c r="J2701">
        <v>1.4250000000000001E-3</v>
      </c>
      <c r="K2701" t="s">
        <v>57</v>
      </c>
      <c r="L2701" t="s">
        <v>112</v>
      </c>
      <c r="O2701">
        <v>0</v>
      </c>
      <c r="T2701">
        <v>22</v>
      </c>
      <c r="V2701">
        <v>75</v>
      </c>
      <c r="W2701" t="s">
        <v>147</v>
      </c>
      <c r="X2701" t="s">
        <v>723</v>
      </c>
      <c r="Y2701">
        <v>180</v>
      </c>
      <c r="AA2701" t="s">
        <v>94</v>
      </c>
      <c r="AB2701">
        <v>6.79</v>
      </c>
      <c r="AC2701" t="s">
        <v>85</v>
      </c>
      <c r="AD2701">
        <v>0</v>
      </c>
      <c r="AE2701" t="s">
        <v>63</v>
      </c>
      <c r="AI2701">
        <v>5</v>
      </c>
      <c r="AJ2701" t="s">
        <v>201</v>
      </c>
      <c r="AT2701" t="s">
        <v>150</v>
      </c>
      <c r="AV2701" t="s">
        <v>88</v>
      </c>
      <c r="AZ2701">
        <v>0</v>
      </c>
      <c r="BA2701">
        <v>6.79</v>
      </c>
    </row>
    <row r="2702" spans="1:53" hidden="1" x14ac:dyDescent="0.3">
      <c r="A2702" t="s">
        <v>718</v>
      </c>
      <c r="C2702" t="s">
        <v>251</v>
      </c>
      <c r="D2702" t="s">
        <v>81</v>
      </c>
      <c r="E2702">
        <v>30000000</v>
      </c>
      <c r="H2702">
        <v>14.25</v>
      </c>
      <c r="I2702" t="s">
        <v>56</v>
      </c>
      <c r="J2702">
        <v>1.4250000000000001E-3</v>
      </c>
      <c r="K2702" t="s">
        <v>57</v>
      </c>
      <c r="L2702" t="s">
        <v>112</v>
      </c>
      <c r="O2702">
        <v>0</v>
      </c>
      <c r="T2702">
        <v>22</v>
      </c>
      <c r="V2702">
        <v>75</v>
      </c>
      <c r="W2702" t="s">
        <v>468</v>
      </c>
      <c r="X2702" t="s">
        <v>723</v>
      </c>
      <c r="Y2702">
        <v>180</v>
      </c>
      <c r="AA2702" t="s">
        <v>94</v>
      </c>
      <c r="AB2702">
        <v>5.82</v>
      </c>
      <c r="AC2702" t="s">
        <v>85</v>
      </c>
      <c r="AD2702">
        <v>0</v>
      </c>
      <c r="AE2702" t="s">
        <v>63</v>
      </c>
      <c r="AI2702">
        <v>5</v>
      </c>
      <c r="AJ2702" t="s">
        <v>201</v>
      </c>
      <c r="AT2702" t="s">
        <v>318</v>
      </c>
      <c r="AV2702" t="s">
        <v>88</v>
      </c>
      <c r="AZ2702">
        <v>0</v>
      </c>
      <c r="BA2702">
        <v>5.82</v>
      </c>
    </row>
    <row r="2703" spans="1:53" hidden="1" x14ac:dyDescent="0.3">
      <c r="A2703" t="s">
        <v>718</v>
      </c>
      <c r="C2703" t="s">
        <v>251</v>
      </c>
      <c r="D2703" t="s">
        <v>81</v>
      </c>
      <c r="E2703">
        <v>30000000</v>
      </c>
      <c r="H2703">
        <v>1.69</v>
      </c>
      <c r="I2703" t="s">
        <v>56</v>
      </c>
      <c r="J2703">
        <v>1.6899999999999999E-4</v>
      </c>
      <c r="K2703" t="s">
        <v>57</v>
      </c>
      <c r="L2703" t="s">
        <v>112</v>
      </c>
      <c r="O2703">
        <v>0</v>
      </c>
      <c r="T2703">
        <v>22</v>
      </c>
      <c r="V2703">
        <v>45</v>
      </c>
      <c r="W2703" t="s">
        <v>720</v>
      </c>
      <c r="X2703" t="s">
        <v>727</v>
      </c>
      <c r="Y2703">
        <v>30</v>
      </c>
      <c r="AA2703" t="s">
        <v>94</v>
      </c>
      <c r="AB2703">
        <v>6.14</v>
      </c>
      <c r="AC2703" t="s">
        <v>85</v>
      </c>
      <c r="AD2703">
        <v>0</v>
      </c>
      <c r="AE2703" t="s">
        <v>63</v>
      </c>
      <c r="AI2703">
        <v>5</v>
      </c>
      <c r="AJ2703" t="s">
        <v>201</v>
      </c>
      <c r="AV2703" t="s">
        <v>88</v>
      </c>
      <c r="AZ2703">
        <v>0</v>
      </c>
      <c r="BA2703">
        <v>6.14</v>
      </c>
    </row>
    <row r="2704" spans="1:53" hidden="1" x14ac:dyDescent="0.3">
      <c r="A2704" t="s">
        <v>718</v>
      </c>
      <c r="C2704" t="s">
        <v>251</v>
      </c>
      <c r="D2704" t="s">
        <v>81</v>
      </c>
      <c r="E2704">
        <v>30000000</v>
      </c>
      <c r="H2704">
        <v>14.25</v>
      </c>
      <c r="I2704" t="s">
        <v>56</v>
      </c>
      <c r="J2704">
        <v>1.4250000000000001E-3</v>
      </c>
      <c r="K2704" t="s">
        <v>57</v>
      </c>
      <c r="L2704" t="s">
        <v>112</v>
      </c>
      <c r="O2704">
        <v>0</v>
      </c>
      <c r="T2704">
        <v>22</v>
      </c>
      <c r="V2704">
        <v>45</v>
      </c>
      <c r="W2704" t="s">
        <v>72</v>
      </c>
      <c r="X2704" t="s">
        <v>727</v>
      </c>
      <c r="Y2704">
        <v>30</v>
      </c>
      <c r="AB2704">
        <v>0.8</v>
      </c>
      <c r="AC2704" t="s">
        <v>85</v>
      </c>
      <c r="AD2704">
        <v>0.16</v>
      </c>
      <c r="AE2704" t="s">
        <v>63</v>
      </c>
      <c r="AI2704">
        <v>5</v>
      </c>
      <c r="AJ2704" t="s">
        <v>201</v>
      </c>
      <c r="AT2704" t="s">
        <v>73</v>
      </c>
      <c r="AV2704" t="s">
        <v>88</v>
      </c>
    </row>
    <row r="2705" spans="1:53" hidden="1" x14ac:dyDescent="0.3">
      <c r="A2705" t="s">
        <v>718</v>
      </c>
      <c r="C2705" t="s">
        <v>251</v>
      </c>
      <c r="D2705" t="s">
        <v>81</v>
      </c>
      <c r="E2705">
        <v>30000000</v>
      </c>
      <c r="H2705">
        <v>1.69</v>
      </c>
      <c r="I2705" t="s">
        <v>56</v>
      </c>
      <c r="J2705">
        <v>1.6899999999999999E-4</v>
      </c>
      <c r="K2705" t="s">
        <v>57</v>
      </c>
      <c r="L2705" t="s">
        <v>112</v>
      </c>
      <c r="O2705">
        <v>0</v>
      </c>
      <c r="T2705">
        <v>22</v>
      </c>
      <c r="V2705">
        <v>45</v>
      </c>
      <c r="W2705" t="s">
        <v>720</v>
      </c>
      <c r="X2705" t="s">
        <v>727</v>
      </c>
      <c r="Y2705">
        <v>60</v>
      </c>
      <c r="AA2705" t="s">
        <v>94</v>
      </c>
      <c r="AB2705">
        <v>6.09</v>
      </c>
      <c r="AC2705" t="s">
        <v>85</v>
      </c>
      <c r="AD2705">
        <v>0</v>
      </c>
      <c r="AE2705" t="s">
        <v>63</v>
      </c>
      <c r="AI2705">
        <v>5</v>
      </c>
      <c r="AJ2705" t="s">
        <v>201</v>
      </c>
      <c r="AV2705" t="s">
        <v>88</v>
      </c>
      <c r="AZ2705">
        <v>0</v>
      </c>
      <c r="BA2705">
        <v>6.09</v>
      </c>
    </row>
    <row r="2706" spans="1:53" hidden="1" x14ac:dyDescent="0.3">
      <c r="A2706" t="s">
        <v>718</v>
      </c>
      <c r="C2706" t="s">
        <v>251</v>
      </c>
      <c r="D2706" t="s">
        <v>81</v>
      </c>
      <c r="E2706">
        <v>30000000</v>
      </c>
      <c r="H2706">
        <v>14.25</v>
      </c>
      <c r="I2706" t="s">
        <v>56</v>
      </c>
      <c r="J2706">
        <v>1.4250000000000001E-3</v>
      </c>
      <c r="K2706" t="s">
        <v>57</v>
      </c>
      <c r="L2706" t="s">
        <v>112</v>
      </c>
      <c r="O2706">
        <v>0</v>
      </c>
      <c r="T2706">
        <v>22</v>
      </c>
      <c r="V2706">
        <v>45</v>
      </c>
      <c r="W2706" t="s">
        <v>72</v>
      </c>
      <c r="X2706" t="s">
        <v>727</v>
      </c>
      <c r="Y2706">
        <v>60</v>
      </c>
      <c r="AB2706">
        <v>0.56000000000000005</v>
      </c>
      <c r="AC2706" t="s">
        <v>85</v>
      </c>
      <c r="AD2706">
        <v>0.19</v>
      </c>
      <c r="AE2706" t="s">
        <v>63</v>
      </c>
      <c r="AI2706">
        <v>5</v>
      </c>
      <c r="AJ2706" t="s">
        <v>201</v>
      </c>
      <c r="AT2706" t="s">
        <v>73</v>
      </c>
      <c r="AV2706" t="s">
        <v>88</v>
      </c>
    </row>
    <row r="2707" spans="1:53" hidden="1" x14ac:dyDescent="0.3">
      <c r="A2707" t="s">
        <v>718</v>
      </c>
      <c r="C2707" t="s">
        <v>251</v>
      </c>
      <c r="D2707" t="s">
        <v>81</v>
      </c>
      <c r="E2707">
        <v>30000000</v>
      </c>
      <c r="H2707">
        <v>14.25</v>
      </c>
      <c r="I2707" t="s">
        <v>56</v>
      </c>
      <c r="J2707">
        <v>1.4250000000000001E-3</v>
      </c>
      <c r="K2707" t="s">
        <v>57</v>
      </c>
      <c r="L2707" t="s">
        <v>112</v>
      </c>
      <c r="O2707">
        <v>0</v>
      </c>
      <c r="T2707">
        <v>22</v>
      </c>
      <c r="V2707">
        <v>45</v>
      </c>
      <c r="W2707" t="s">
        <v>72</v>
      </c>
      <c r="X2707" t="s">
        <v>728</v>
      </c>
      <c r="Y2707">
        <v>60</v>
      </c>
      <c r="AB2707">
        <v>0.68</v>
      </c>
      <c r="AC2707" t="s">
        <v>85</v>
      </c>
      <c r="AD2707">
        <v>0.17</v>
      </c>
      <c r="AE2707" t="s">
        <v>63</v>
      </c>
      <c r="AI2707">
        <v>5</v>
      </c>
      <c r="AJ2707" t="s">
        <v>201</v>
      </c>
      <c r="AT2707" t="s">
        <v>73</v>
      </c>
      <c r="AV2707" t="s">
        <v>88</v>
      </c>
    </row>
    <row r="2708" spans="1:53" hidden="1" x14ac:dyDescent="0.3">
      <c r="A2708" t="s">
        <v>718</v>
      </c>
      <c r="C2708" t="s">
        <v>251</v>
      </c>
      <c r="D2708" t="s">
        <v>81</v>
      </c>
      <c r="E2708">
        <v>30000000</v>
      </c>
      <c r="H2708">
        <v>14.25</v>
      </c>
      <c r="I2708" t="s">
        <v>56</v>
      </c>
      <c r="J2708">
        <v>1.4250000000000001E-3</v>
      </c>
      <c r="K2708" t="s">
        <v>57</v>
      </c>
      <c r="L2708" t="s">
        <v>112</v>
      </c>
      <c r="O2708">
        <v>0</v>
      </c>
      <c r="T2708">
        <v>22</v>
      </c>
      <c r="V2708">
        <v>45</v>
      </c>
      <c r="W2708" t="s">
        <v>72</v>
      </c>
      <c r="X2708" t="s">
        <v>728</v>
      </c>
      <c r="Y2708">
        <v>126</v>
      </c>
      <c r="AB2708">
        <v>3.82</v>
      </c>
      <c r="AC2708" t="s">
        <v>85</v>
      </c>
      <c r="AD2708">
        <v>2.61</v>
      </c>
      <c r="AE2708" t="s">
        <v>63</v>
      </c>
      <c r="AI2708">
        <v>5</v>
      </c>
      <c r="AJ2708" t="s">
        <v>201</v>
      </c>
      <c r="AT2708" t="s">
        <v>73</v>
      </c>
      <c r="AV2708" t="s">
        <v>88</v>
      </c>
    </row>
    <row r="2709" spans="1:53" hidden="1" x14ac:dyDescent="0.3">
      <c r="A2709" t="s">
        <v>718</v>
      </c>
      <c r="C2709" t="s">
        <v>251</v>
      </c>
      <c r="D2709" t="s">
        <v>81</v>
      </c>
      <c r="E2709">
        <v>30000000</v>
      </c>
      <c r="H2709">
        <v>14.25</v>
      </c>
      <c r="I2709" t="s">
        <v>56</v>
      </c>
      <c r="J2709">
        <v>1.4250000000000001E-3</v>
      </c>
      <c r="K2709" t="s">
        <v>57</v>
      </c>
      <c r="L2709" t="s">
        <v>112</v>
      </c>
      <c r="O2709">
        <v>0</v>
      </c>
      <c r="T2709">
        <v>22</v>
      </c>
      <c r="V2709">
        <v>45</v>
      </c>
      <c r="W2709" t="s">
        <v>72</v>
      </c>
      <c r="X2709" t="s">
        <v>728</v>
      </c>
      <c r="Y2709">
        <v>192</v>
      </c>
      <c r="AB2709">
        <v>4.92</v>
      </c>
      <c r="AC2709" t="s">
        <v>85</v>
      </c>
      <c r="AD2709">
        <v>2.39</v>
      </c>
      <c r="AE2709" t="s">
        <v>63</v>
      </c>
      <c r="AI2709">
        <v>5</v>
      </c>
      <c r="AJ2709" t="s">
        <v>201</v>
      </c>
      <c r="AT2709" t="s">
        <v>73</v>
      </c>
      <c r="AV2709" t="s">
        <v>88</v>
      </c>
    </row>
    <row r="2710" spans="1:53" hidden="1" x14ac:dyDescent="0.3">
      <c r="A2710" t="s">
        <v>718</v>
      </c>
      <c r="C2710" t="s">
        <v>251</v>
      </c>
      <c r="D2710" t="s">
        <v>81</v>
      </c>
      <c r="E2710">
        <v>30000000</v>
      </c>
      <c r="H2710">
        <v>14.25</v>
      </c>
      <c r="I2710" t="s">
        <v>56</v>
      </c>
      <c r="J2710">
        <v>1.4250000000000001E-3</v>
      </c>
      <c r="K2710" t="s">
        <v>57</v>
      </c>
      <c r="L2710" t="s">
        <v>112</v>
      </c>
      <c r="O2710">
        <v>0</v>
      </c>
      <c r="T2710">
        <v>22</v>
      </c>
      <c r="V2710">
        <v>45</v>
      </c>
      <c r="W2710" t="s">
        <v>719</v>
      </c>
      <c r="X2710" t="s">
        <v>729</v>
      </c>
      <c r="Y2710">
        <v>75</v>
      </c>
      <c r="AA2710" t="s">
        <v>94</v>
      </c>
      <c r="AB2710">
        <v>5.0999999999999996</v>
      </c>
      <c r="AC2710" t="s">
        <v>85</v>
      </c>
      <c r="AD2710">
        <v>0</v>
      </c>
      <c r="AE2710" t="s">
        <v>63</v>
      </c>
      <c r="AI2710">
        <v>5</v>
      </c>
      <c r="AJ2710" t="s">
        <v>201</v>
      </c>
      <c r="AV2710" t="s">
        <v>88</v>
      </c>
      <c r="AZ2710">
        <v>0</v>
      </c>
      <c r="BA2710">
        <v>5.0999999999999996</v>
      </c>
    </row>
    <row r="2711" spans="1:53" hidden="1" x14ac:dyDescent="0.3">
      <c r="A2711" t="s">
        <v>718</v>
      </c>
      <c r="C2711" t="s">
        <v>251</v>
      </c>
      <c r="D2711" t="s">
        <v>81</v>
      </c>
      <c r="E2711">
        <v>30000000</v>
      </c>
      <c r="H2711">
        <v>1.69</v>
      </c>
      <c r="I2711" t="s">
        <v>56</v>
      </c>
      <c r="J2711">
        <v>1.6899999999999999E-4</v>
      </c>
      <c r="K2711" t="s">
        <v>57</v>
      </c>
      <c r="L2711" t="s">
        <v>112</v>
      </c>
      <c r="O2711">
        <v>0</v>
      </c>
      <c r="T2711">
        <v>22</v>
      </c>
      <c r="V2711">
        <v>45</v>
      </c>
      <c r="W2711" t="s">
        <v>720</v>
      </c>
      <c r="X2711" t="s">
        <v>729</v>
      </c>
      <c r="Y2711">
        <v>75</v>
      </c>
      <c r="AA2711" t="s">
        <v>94</v>
      </c>
      <c r="AB2711">
        <v>5.26</v>
      </c>
      <c r="AC2711" t="s">
        <v>85</v>
      </c>
      <c r="AD2711">
        <v>0</v>
      </c>
      <c r="AE2711" t="s">
        <v>63</v>
      </c>
      <c r="AI2711">
        <v>5</v>
      </c>
      <c r="AJ2711" t="s">
        <v>201</v>
      </c>
      <c r="AV2711" t="s">
        <v>88</v>
      </c>
      <c r="AZ2711">
        <v>0</v>
      </c>
      <c r="BA2711">
        <v>5.26</v>
      </c>
    </row>
    <row r="2712" spans="1:53" hidden="1" x14ac:dyDescent="0.3">
      <c r="A2712" t="s">
        <v>718</v>
      </c>
      <c r="C2712" t="s">
        <v>251</v>
      </c>
      <c r="D2712" t="s">
        <v>81</v>
      </c>
      <c r="E2712">
        <v>30000000</v>
      </c>
      <c r="H2712">
        <v>14.25</v>
      </c>
      <c r="I2712" t="s">
        <v>56</v>
      </c>
      <c r="J2712">
        <v>1.4250000000000001E-3</v>
      </c>
      <c r="K2712" t="s">
        <v>57</v>
      </c>
      <c r="L2712" t="s">
        <v>112</v>
      </c>
      <c r="O2712">
        <v>0</v>
      </c>
      <c r="T2712">
        <v>22</v>
      </c>
      <c r="V2712">
        <v>45</v>
      </c>
      <c r="W2712" t="s">
        <v>72</v>
      </c>
      <c r="X2712" t="s">
        <v>729</v>
      </c>
      <c r="Y2712">
        <v>75</v>
      </c>
      <c r="AB2712">
        <v>0.81</v>
      </c>
      <c r="AC2712" t="s">
        <v>85</v>
      </c>
      <c r="AD2712">
        <v>0.41</v>
      </c>
      <c r="AE2712" t="s">
        <v>63</v>
      </c>
      <c r="AI2712">
        <v>5</v>
      </c>
      <c r="AJ2712" t="s">
        <v>201</v>
      </c>
      <c r="AT2712" t="s">
        <v>73</v>
      </c>
      <c r="AV2712" t="s">
        <v>88</v>
      </c>
    </row>
    <row r="2713" spans="1:53" hidden="1" x14ac:dyDescent="0.3">
      <c r="A2713" t="s">
        <v>718</v>
      </c>
      <c r="C2713" t="s">
        <v>251</v>
      </c>
      <c r="D2713" t="s">
        <v>81</v>
      </c>
      <c r="E2713">
        <v>30000000</v>
      </c>
      <c r="H2713">
        <v>14.25</v>
      </c>
      <c r="I2713" t="s">
        <v>56</v>
      </c>
      <c r="J2713">
        <v>1.4250000000000001E-3</v>
      </c>
      <c r="K2713" t="s">
        <v>57</v>
      </c>
      <c r="L2713" t="s">
        <v>112</v>
      </c>
      <c r="O2713">
        <v>0</v>
      </c>
      <c r="T2713">
        <v>22</v>
      </c>
      <c r="V2713">
        <v>45</v>
      </c>
      <c r="W2713" t="s">
        <v>721</v>
      </c>
      <c r="X2713" t="s">
        <v>729</v>
      </c>
      <c r="Y2713">
        <v>75</v>
      </c>
      <c r="AA2713" t="s">
        <v>94</v>
      </c>
      <c r="AB2713">
        <v>6.26</v>
      </c>
      <c r="AC2713" t="s">
        <v>85</v>
      </c>
      <c r="AD2713">
        <v>0</v>
      </c>
      <c r="AE2713" t="s">
        <v>63</v>
      </c>
      <c r="AI2713">
        <v>5</v>
      </c>
      <c r="AJ2713" t="s">
        <v>201</v>
      </c>
      <c r="AV2713" t="s">
        <v>88</v>
      </c>
      <c r="AZ2713">
        <v>0</v>
      </c>
      <c r="BA2713">
        <v>6.26</v>
      </c>
    </row>
    <row r="2714" spans="1:53" hidden="1" x14ac:dyDescent="0.3">
      <c r="A2714" t="s">
        <v>718</v>
      </c>
      <c r="C2714" t="s">
        <v>251</v>
      </c>
      <c r="D2714" t="s">
        <v>81</v>
      </c>
      <c r="E2714">
        <v>30000000</v>
      </c>
      <c r="H2714">
        <v>14.25</v>
      </c>
      <c r="I2714" t="s">
        <v>56</v>
      </c>
      <c r="J2714">
        <v>1.4250000000000001E-3</v>
      </c>
      <c r="K2714" t="s">
        <v>57</v>
      </c>
      <c r="L2714" t="s">
        <v>112</v>
      </c>
      <c r="O2714">
        <v>500</v>
      </c>
      <c r="P2714" t="s">
        <v>315</v>
      </c>
      <c r="T2714">
        <v>25</v>
      </c>
      <c r="V2714">
        <v>75</v>
      </c>
      <c r="W2714" t="s">
        <v>719</v>
      </c>
      <c r="Y2714">
        <v>30</v>
      </c>
      <c r="AA2714" t="s">
        <v>94</v>
      </c>
      <c r="AB2714">
        <v>8.86</v>
      </c>
      <c r="AC2714" t="s">
        <v>85</v>
      </c>
      <c r="AD2714">
        <v>0</v>
      </c>
      <c r="AE2714" t="s">
        <v>63</v>
      </c>
      <c r="AI2714">
        <v>5</v>
      </c>
      <c r="AJ2714" t="s">
        <v>201</v>
      </c>
      <c r="AV2714" t="s">
        <v>88</v>
      </c>
      <c r="AY2714">
        <v>500</v>
      </c>
      <c r="AZ2714">
        <v>0</v>
      </c>
      <c r="BA2714">
        <v>8.86</v>
      </c>
    </row>
    <row r="2715" spans="1:53" hidden="1" x14ac:dyDescent="0.3">
      <c r="A2715" t="s">
        <v>718</v>
      </c>
      <c r="C2715" t="s">
        <v>251</v>
      </c>
      <c r="D2715" t="s">
        <v>81</v>
      </c>
      <c r="E2715">
        <v>30000000</v>
      </c>
      <c r="H2715">
        <v>1.69</v>
      </c>
      <c r="I2715" t="s">
        <v>56</v>
      </c>
      <c r="J2715">
        <v>1.6899999999999999E-4</v>
      </c>
      <c r="K2715" t="s">
        <v>57</v>
      </c>
      <c r="L2715" t="s">
        <v>112</v>
      </c>
      <c r="O2715">
        <v>500</v>
      </c>
      <c r="P2715" t="s">
        <v>315</v>
      </c>
      <c r="T2715">
        <v>25</v>
      </c>
      <c r="V2715">
        <v>75</v>
      </c>
      <c r="W2715" t="s">
        <v>720</v>
      </c>
      <c r="Y2715">
        <v>30</v>
      </c>
      <c r="AA2715" t="s">
        <v>94</v>
      </c>
      <c r="AB2715">
        <v>8.6</v>
      </c>
      <c r="AC2715" t="s">
        <v>85</v>
      </c>
      <c r="AD2715">
        <v>0</v>
      </c>
      <c r="AE2715" t="s">
        <v>63</v>
      </c>
      <c r="AI2715">
        <v>5</v>
      </c>
      <c r="AJ2715" t="s">
        <v>201</v>
      </c>
      <c r="AV2715" t="s">
        <v>88</v>
      </c>
      <c r="AY2715">
        <v>500</v>
      </c>
      <c r="AZ2715">
        <v>0</v>
      </c>
      <c r="BA2715">
        <v>8.6</v>
      </c>
    </row>
    <row r="2716" spans="1:53" hidden="1" x14ac:dyDescent="0.3">
      <c r="A2716" t="s">
        <v>718</v>
      </c>
      <c r="C2716" t="s">
        <v>251</v>
      </c>
      <c r="D2716" t="s">
        <v>81</v>
      </c>
      <c r="E2716">
        <v>30000000</v>
      </c>
      <c r="H2716">
        <v>14.25</v>
      </c>
      <c r="I2716" t="s">
        <v>56</v>
      </c>
      <c r="J2716">
        <v>1.4250000000000001E-3</v>
      </c>
      <c r="K2716" t="s">
        <v>57</v>
      </c>
      <c r="L2716" t="s">
        <v>112</v>
      </c>
      <c r="O2716">
        <v>500</v>
      </c>
      <c r="P2716" t="s">
        <v>315</v>
      </c>
      <c r="T2716">
        <v>25</v>
      </c>
      <c r="V2716">
        <v>75</v>
      </c>
      <c r="W2716" t="s">
        <v>73</v>
      </c>
      <c r="Y2716">
        <v>30</v>
      </c>
      <c r="AB2716">
        <v>4.3099999999999996</v>
      </c>
      <c r="AC2716" t="s">
        <v>85</v>
      </c>
      <c r="AD2716">
        <v>1.21</v>
      </c>
      <c r="AE2716" t="s">
        <v>63</v>
      </c>
      <c r="AI2716">
        <v>5</v>
      </c>
      <c r="AJ2716" t="s">
        <v>201</v>
      </c>
      <c r="AT2716" t="s">
        <v>73</v>
      </c>
      <c r="AV2716" t="s">
        <v>88</v>
      </c>
      <c r="AY2716">
        <v>500</v>
      </c>
    </row>
    <row r="2717" spans="1:53" hidden="1" x14ac:dyDescent="0.3">
      <c r="A2717" t="s">
        <v>718</v>
      </c>
      <c r="C2717" t="s">
        <v>251</v>
      </c>
      <c r="D2717" t="s">
        <v>81</v>
      </c>
      <c r="E2717">
        <v>30000000</v>
      </c>
      <c r="H2717">
        <v>14.25</v>
      </c>
      <c r="I2717" t="s">
        <v>56</v>
      </c>
      <c r="J2717">
        <v>1.4250000000000001E-3</v>
      </c>
      <c r="K2717" t="s">
        <v>57</v>
      </c>
      <c r="L2717" t="s">
        <v>112</v>
      </c>
      <c r="O2717">
        <v>500</v>
      </c>
      <c r="P2717" t="s">
        <v>315</v>
      </c>
      <c r="T2717">
        <v>25</v>
      </c>
      <c r="V2717">
        <v>75</v>
      </c>
      <c r="W2717" t="s">
        <v>721</v>
      </c>
      <c r="Y2717">
        <v>30</v>
      </c>
      <c r="AA2717" t="s">
        <v>94</v>
      </c>
      <c r="AB2717">
        <v>8.73</v>
      </c>
      <c r="AC2717" t="s">
        <v>85</v>
      </c>
      <c r="AD2717">
        <v>0</v>
      </c>
      <c r="AE2717" t="s">
        <v>63</v>
      </c>
      <c r="AI2717">
        <v>5</v>
      </c>
      <c r="AJ2717" t="s">
        <v>201</v>
      </c>
      <c r="AV2717" t="s">
        <v>88</v>
      </c>
      <c r="AY2717">
        <v>500</v>
      </c>
      <c r="AZ2717">
        <v>0</v>
      </c>
      <c r="BA2717">
        <v>8.73</v>
      </c>
    </row>
    <row r="2718" spans="1:53" hidden="1" x14ac:dyDescent="0.3">
      <c r="A2718" t="s">
        <v>718</v>
      </c>
      <c r="C2718" t="s">
        <v>251</v>
      </c>
      <c r="D2718" t="s">
        <v>81</v>
      </c>
      <c r="E2718">
        <v>30000000</v>
      </c>
      <c r="H2718">
        <v>14.25</v>
      </c>
      <c r="I2718" t="s">
        <v>56</v>
      </c>
      <c r="J2718">
        <v>1.4250000000000001E-3</v>
      </c>
      <c r="K2718" t="s">
        <v>57</v>
      </c>
      <c r="L2718" t="s">
        <v>112</v>
      </c>
      <c r="O2718">
        <v>500</v>
      </c>
      <c r="P2718" t="s">
        <v>315</v>
      </c>
      <c r="T2718">
        <v>25</v>
      </c>
      <c r="V2718">
        <v>75</v>
      </c>
      <c r="W2718" t="s">
        <v>719</v>
      </c>
      <c r="Y2718">
        <v>60</v>
      </c>
      <c r="AA2718" t="s">
        <v>94</v>
      </c>
      <c r="AB2718">
        <v>8.86</v>
      </c>
      <c r="AC2718" t="s">
        <v>85</v>
      </c>
      <c r="AD2718">
        <v>0</v>
      </c>
      <c r="AE2718" t="s">
        <v>63</v>
      </c>
      <c r="AI2718">
        <v>5</v>
      </c>
      <c r="AJ2718" t="s">
        <v>201</v>
      </c>
      <c r="AV2718" t="s">
        <v>88</v>
      </c>
      <c r="AY2718">
        <v>500</v>
      </c>
      <c r="AZ2718">
        <v>0</v>
      </c>
      <c r="BA2718">
        <v>8.86</v>
      </c>
    </row>
    <row r="2719" spans="1:53" hidden="1" x14ac:dyDescent="0.3">
      <c r="A2719" t="s">
        <v>718</v>
      </c>
      <c r="C2719" t="s">
        <v>251</v>
      </c>
      <c r="D2719" t="s">
        <v>81</v>
      </c>
      <c r="E2719">
        <v>30000000</v>
      </c>
      <c r="H2719">
        <v>1.69</v>
      </c>
      <c r="I2719" t="s">
        <v>56</v>
      </c>
      <c r="J2719">
        <v>1.6899999999999999E-4</v>
      </c>
      <c r="K2719" t="s">
        <v>57</v>
      </c>
      <c r="L2719" t="s">
        <v>112</v>
      </c>
      <c r="O2719">
        <v>500</v>
      </c>
      <c r="P2719" t="s">
        <v>315</v>
      </c>
      <c r="T2719">
        <v>25</v>
      </c>
      <c r="V2719">
        <v>75</v>
      </c>
      <c r="W2719" t="s">
        <v>720</v>
      </c>
      <c r="Y2719">
        <v>60</v>
      </c>
      <c r="AA2719" t="s">
        <v>94</v>
      </c>
      <c r="AB2719">
        <v>8.6</v>
      </c>
      <c r="AC2719" t="s">
        <v>85</v>
      </c>
      <c r="AD2719">
        <v>0</v>
      </c>
      <c r="AE2719" t="s">
        <v>63</v>
      </c>
      <c r="AI2719">
        <v>5</v>
      </c>
      <c r="AJ2719" t="s">
        <v>201</v>
      </c>
      <c r="AV2719" t="s">
        <v>88</v>
      </c>
      <c r="AY2719">
        <v>500</v>
      </c>
      <c r="AZ2719">
        <v>0</v>
      </c>
      <c r="BA2719">
        <v>8.6</v>
      </c>
    </row>
    <row r="2720" spans="1:53" hidden="1" x14ac:dyDescent="0.3">
      <c r="A2720" t="s">
        <v>718</v>
      </c>
      <c r="C2720" t="s">
        <v>251</v>
      </c>
      <c r="D2720" t="s">
        <v>81</v>
      </c>
      <c r="E2720">
        <v>30000000</v>
      </c>
      <c r="H2720">
        <v>14.25</v>
      </c>
      <c r="I2720" t="s">
        <v>56</v>
      </c>
      <c r="J2720">
        <v>1.4250000000000001E-3</v>
      </c>
      <c r="K2720" t="s">
        <v>57</v>
      </c>
      <c r="L2720" t="s">
        <v>112</v>
      </c>
      <c r="O2720">
        <v>500</v>
      </c>
      <c r="P2720" t="s">
        <v>315</v>
      </c>
      <c r="T2720">
        <v>25</v>
      </c>
      <c r="V2720">
        <v>75</v>
      </c>
      <c r="W2720" t="s">
        <v>73</v>
      </c>
      <c r="Y2720">
        <v>60</v>
      </c>
      <c r="AB2720">
        <v>6.7</v>
      </c>
      <c r="AC2720" t="s">
        <v>85</v>
      </c>
      <c r="AD2720">
        <v>2.35</v>
      </c>
      <c r="AE2720" t="s">
        <v>63</v>
      </c>
      <c r="AI2720">
        <v>5</v>
      </c>
      <c r="AJ2720" t="s">
        <v>201</v>
      </c>
      <c r="AT2720" t="s">
        <v>73</v>
      </c>
      <c r="AV2720" t="s">
        <v>88</v>
      </c>
      <c r="AY2720">
        <v>500</v>
      </c>
    </row>
    <row r="2721" spans="1:53" hidden="1" x14ac:dyDescent="0.3">
      <c r="A2721" t="s">
        <v>718</v>
      </c>
      <c r="C2721" t="s">
        <v>251</v>
      </c>
      <c r="D2721" t="s">
        <v>81</v>
      </c>
      <c r="E2721">
        <v>30000000</v>
      </c>
      <c r="H2721">
        <v>14.25</v>
      </c>
      <c r="I2721" t="s">
        <v>56</v>
      </c>
      <c r="J2721">
        <v>1.4250000000000001E-3</v>
      </c>
      <c r="K2721" t="s">
        <v>57</v>
      </c>
      <c r="L2721" t="s">
        <v>112</v>
      </c>
      <c r="O2721">
        <v>500</v>
      </c>
      <c r="P2721" t="s">
        <v>315</v>
      </c>
      <c r="T2721">
        <v>25</v>
      </c>
      <c r="V2721">
        <v>75</v>
      </c>
      <c r="W2721" t="s">
        <v>721</v>
      </c>
      <c r="Y2721">
        <v>60</v>
      </c>
      <c r="AA2721" t="s">
        <v>94</v>
      </c>
      <c r="AB2721">
        <v>8.73</v>
      </c>
      <c r="AC2721" t="s">
        <v>85</v>
      </c>
      <c r="AD2721">
        <v>0</v>
      </c>
      <c r="AE2721" t="s">
        <v>63</v>
      </c>
      <c r="AI2721">
        <v>5</v>
      </c>
      <c r="AJ2721" t="s">
        <v>201</v>
      </c>
      <c r="AV2721" t="s">
        <v>88</v>
      </c>
      <c r="AY2721">
        <v>500</v>
      </c>
      <c r="AZ2721">
        <v>0</v>
      </c>
      <c r="BA2721">
        <v>8.73</v>
      </c>
    </row>
    <row r="2722" spans="1:53" hidden="1" x14ac:dyDescent="0.3">
      <c r="A2722" t="s">
        <v>718</v>
      </c>
      <c r="C2722" t="s">
        <v>251</v>
      </c>
      <c r="D2722" t="s">
        <v>81</v>
      </c>
      <c r="E2722">
        <v>30000000</v>
      </c>
      <c r="H2722">
        <v>14.25</v>
      </c>
      <c r="I2722" t="s">
        <v>56</v>
      </c>
      <c r="J2722">
        <v>1.4250000000000001E-3</v>
      </c>
      <c r="K2722" t="s">
        <v>57</v>
      </c>
      <c r="L2722" t="s">
        <v>112</v>
      </c>
      <c r="O2722">
        <v>500</v>
      </c>
      <c r="P2722" t="s">
        <v>315</v>
      </c>
      <c r="T2722">
        <v>25</v>
      </c>
      <c r="V2722">
        <v>75</v>
      </c>
      <c r="W2722" t="s">
        <v>719</v>
      </c>
      <c r="Y2722">
        <v>120</v>
      </c>
      <c r="AA2722" t="s">
        <v>94</v>
      </c>
      <c r="AB2722">
        <v>8.86</v>
      </c>
      <c r="AC2722" t="s">
        <v>85</v>
      </c>
      <c r="AD2722">
        <v>0</v>
      </c>
      <c r="AE2722" t="s">
        <v>63</v>
      </c>
      <c r="AI2722">
        <v>5</v>
      </c>
      <c r="AJ2722" t="s">
        <v>201</v>
      </c>
      <c r="AV2722" t="s">
        <v>88</v>
      </c>
      <c r="AY2722">
        <v>500</v>
      </c>
      <c r="AZ2722">
        <v>0</v>
      </c>
      <c r="BA2722">
        <v>8.86</v>
      </c>
    </row>
    <row r="2723" spans="1:53" hidden="1" x14ac:dyDescent="0.3">
      <c r="A2723" t="s">
        <v>718</v>
      </c>
      <c r="C2723" t="s">
        <v>251</v>
      </c>
      <c r="D2723" t="s">
        <v>81</v>
      </c>
      <c r="E2723">
        <v>30000000</v>
      </c>
      <c r="H2723">
        <v>1.69</v>
      </c>
      <c r="I2723" t="s">
        <v>56</v>
      </c>
      <c r="J2723">
        <v>1.6899999999999999E-4</v>
      </c>
      <c r="K2723" t="s">
        <v>57</v>
      </c>
      <c r="L2723" t="s">
        <v>112</v>
      </c>
      <c r="O2723">
        <v>500</v>
      </c>
      <c r="P2723" t="s">
        <v>315</v>
      </c>
      <c r="T2723">
        <v>25</v>
      </c>
      <c r="V2723">
        <v>75</v>
      </c>
      <c r="W2723" t="s">
        <v>720</v>
      </c>
      <c r="Y2723">
        <v>120</v>
      </c>
      <c r="AA2723" t="s">
        <v>94</v>
      </c>
      <c r="AB2723">
        <v>8.6</v>
      </c>
      <c r="AC2723" t="s">
        <v>85</v>
      </c>
      <c r="AD2723">
        <v>0</v>
      </c>
      <c r="AE2723" t="s">
        <v>63</v>
      </c>
      <c r="AI2723">
        <v>5</v>
      </c>
      <c r="AJ2723" t="s">
        <v>201</v>
      </c>
      <c r="AV2723" t="s">
        <v>88</v>
      </c>
      <c r="AY2723">
        <v>500</v>
      </c>
      <c r="AZ2723">
        <v>0</v>
      </c>
      <c r="BA2723">
        <v>8.6</v>
      </c>
    </row>
    <row r="2724" spans="1:53" hidden="1" x14ac:dyDescent="0.3">
      <c r="A2724" t="s">
        <v>718</v>
      </c>
      <c r="C2724" t="s">
        <v>251</v>
      </c>
      <c r="D2724" t="s">
        <v>81</v>
      </c>
      <c r="E2724">
        <v>30000000</v>
      </c>
      <c r="H2724">
        <v>14.25</v>
      </c>
      <c r="I2724" t="s">
        <v>56</v>
      </c>
      <c r="J2724">
        <v>1.4250000000000001E-3</v>
      </c>
      <c r="K2724" t="s">
        <v>57</v>
      </c>
      <c r="L2724" t="s">
        <v>112</v>
      </c>
      <c r="O2724">
        <v>500</v>
      </c>
      <c r="P2724" t="s">
        <v>315</v>
      </c>
      <c r="T2724">
        <v>25</v>
      </c>
      <c r="V2724">
        <v>75</v>
      </c>
      <c r="W2724" t="s">
        <v>73</v>
      </c>
      <c r="Y2724">
        <v>120</v>
      </c>
      <c r="AA2724" t="s">
        <v>94</v>
      </c>
      <c r="AB2724">
        <v>8.89</v>
      </c>
      <c r="AC2724" t="s">
        <v>85</v>
      </c>
      <c r="AD2724">
        <v>0</v>
      </c>
      <c r="AE2724" t="s">
        <v>63</v>
      </c>
      <c r="AI2724">
        <v>5</v>
      </c>
      <c r="AJ2724" t="s">
        <v>201</v>
      </c>
      <c r="AT2724" t="s">
        <v>73</v>
      </c>
      <c r="AV2724" t="s">
        <v>88</v>
      </c>
      <c r="AY2724">
        <v>500</v>
      </c>
      <c r="AZ2724">
        <v>0</v>
      </c>
      <c r="BA2724">
        <v>8.89</v>
      </c>
    </row>
    <row r="2725" spans="1:53" hidden="1" x14ac:dyDescent="0.3">
      <c r="A2725" t="s">
        <v>718</v>
      </c>
      <c r="C2725" t="s">
        <v>251</v>
      </c>
      <c r="D2725" t="s">
        <v>81</v>
      </c>
      <c r="E2725">
        <v>30000000</v>
      </c>
      <c r="H2725">
        <v>14.25</v>
      </c>
      <c r="I2725" t="s">
        <v>56</v>
      </c>
      <c r="J2725">
        <v>1.4250000000000001E-3</v>
      </c>
      <c r="K2725" t="s">
        <v>57</v>
      </c>
      <c r="L2725" t="s">
        <v>112</v>
      </c>
      <c r="O2725">
        <v>500</v>
      </c>
      <c r="P2725" t="s">
        <v>315</v>
      </c>
      <c r="T2725">
        <v>25</v>
      </c>
      <c r="V2725">
        <v>75</v>
      </c>
      <c r="W2725" t="s">
        <v>721</v>
      </c>
      <c r="Y2725">
        <v>120</v>
      </c>
      <c r="AA2725" t="s">
        <v>94</v>
      </c>
      <c r="AB2725">
        <v>8.73</v>
      </c>
      <c r="AC2725" t="s">
        <v>85</v>
      </c>
      <c r="AD2725">
        <v>0</v>
      </c>
      <c r="AE2725" t="s">
        <v>63</v>
      </c>
      <c r="AI2725">
        <v>5</v>
      </c>
      <c r="AJ2725" t="s">
        <v>201</v>
      </c>
      <c r="AV2725" t="s">
        <v>88</v>
      </c>
      <c r="AY2725">
        <v>500</v>
      </c>
      <c r="AZ2725">
        <v>0</v>
      </c>
      <c r="BA2725">
        <v>8.73</v>
      </c>
    </row>
    <row r="2726" spans="1:53" hidden="1" x14ac:dyDescent="0.3">
      <c r="A2726" t="s">
        <v>718</v>
      </c>
      <c r="C2726" t="s">
        <v>251</v>
      </c>
      <c r="D2726" t="s">
        <v>81</v>
      </c>
      <c r="E2726">
        <v>30000000</v>
      </c>
      <c r="H2726">
        <v>14.25</v>
      </c>
      <c r="I2726" t="s">
        <v>56</v>
      </c>
      <c r="J2726">
        <v>1.4250000000000001E-3</v>
      </c>
      <c r="K2726" t="s">
        <v>57</v>
      </c>
      <c r="L2726" t="s">
        <v>112</v>
      </c>
      <c r="O2726">
        <v>500</v>
      </c>
      <c r="P2726" t="s">
        <v>315</v>
      </c>
      <c r="T2726">
        <v>25</v>
      </c>
      <c r="V2726">
        <v>75</v>
      </c>
      <c r="W2726" t="s">
        <v>719</v>
      </c>
      <c r="Y2726">
        <v>240</v>
      </c>
      <c r="AA2726" t="s">
        <v>94</v>
      </c>
      <c r="AB2726">
        <v>8.86</v>
      </c>
      <c r="AC2726" t="s">
        <v>85</v>
      </c>
      <c r="AD2726">
        <v>0</v>
      </c>
      <c r="AE2726" t="s">
        <v>63</v>
      </c>
      <c r="AI2726">
        <v>5</v>
      </c>
      <c r="AJ2726" t="s">
        <v>201</v>
      </c>
      <c r="AV2726" t="s">
        <v>88</v>
      </c>
      <c r="AY2726">
        <v>500</v>
      </c>
      <c r="AZ2726">
        <v>0</v>
      </c>
      <c r="BA2726">
        <v>8.86</v>
      </c>
    </row>
    <row r="2727" spans="1:53" hidden="1" x14ac:dyDescent="0.3">
      <c r="A2727" t="s">
        <v>718</v>
      </c>
      <c r="C2727" t="s">
        <v>251</v>
      </c>
      <c r="D2727" t="s">
        <v>81</v>
      </c>
      <c r="E2727">
        <v>30000000</v>
      </c>
      <c r="H2727">
        <v>1.69</v>
      </c>
      <c r="I2727" t="s">
        <v>56</v>
      </c>
      <c r="J2727">
        <v>1.6899999999999999E-4</v>
      </c>
      <c r="K2727" t="s">
        <v>57</v>
      </c>
      <c r="L2727" t="s">
        <v>112</v>
      </c>
      <c r="O2727">
        <v>500</v>
      </c>
      <c r="P2727" t="s">
        <v>315</v>
      </c>
      <c r="T2727">
        <v>25</v>
      </c>
      <c r="V2727">
        <v>75</v>
      </c>
      <c r="W2727" t="s">
        <v>720</v>
      </c>
      <c r="Y2727">
        <v>240</v>
      </c>
      <c r="AA2727" t="s">
        <v>94</v>
      </c>
      <c r="AB2727">
        <v>8.6</v>
      </c>
      <c r="AC2727" t="s">
        <v>85</v>
      </c>
      <c r="AD2727">
        <v>0</v>
      </c>
      <c r="AE2727" t="s">
        <v>63</v>
      </c>
      <c r="AI2727">
        <v>5</v>
      </c>
      <c r="AJ2727" t="s">
        <v>201</v>
      </c>
      <c r="AV2727" t="s">
        <v>88</v>
      </c>
      <c r="AY2727">
        <v>500</v>
      </c>
      <c r="AZ2727">
        <v>0</v>
      </c>
      <c r="BA2727">
        <v>8.6</v>
      </c>
    </row>
    <row r="2728" spans="1:53" hidden="1" x14ac:dyDescent="0.3">
      <c r="A2728" t="s">
        <v>718</v>
      </c>
      <c r="C2728" t="s">
        <v>251</v>
      </c>
      <c r="D2728" t="s">
        <v>81</v>
      </c>
      <c r="E2728">
        <v>30000000</v>
      </c>
      <c r="H2728">
        <v>14.25</v>
      </c>
      <c r="I2728" t="s">
        <v>56</v>
      </c>
      <c r="J2728">
        <v>1.4250000000000001E-3</v>
      </c>
      <c r="K2728" t="s">
        <v>57</v>
      </c>
      <c r="L2728" t="s">
        <v>112</v>
      </c>
      <c r="O2728">
        <v>500</v>
      </c>
      <c r="P2728" t="s">
        <v>315</v>
      </c>
      <c r="T2728">
        <v>25</v>
      </c>
      <c r="V2728">
        <v>75</v>
      </c>
      <c r="W2728" t="s">
        <v>73</v>
      </c>
      <c r="Y2728">
        <v>240</v>
      </c>
      <c r="AA2728" t="s">
        <v>94</v>
      </c>
      <c r="AB2728">
        <v>8.89</v>
      </c>
      <c r="AC2728" t="s">
        <v>85</v>
      </c>
      <c r="AD2728">
        <v>0</v>
      </c>
      <c r="AE2728" t="s">
        <v>63</v>
      </c>
      <c r="AI2728">
        <v>5</v>
      </c>
      <c r="AJ2728" t="s">
        <v>201</v>
      </c>
      <c r="AT2728" t="s">
        <v>73</v>
      </c>
      <c r="AV2728" t="s">
        <v>88</v>
      </c>
      <c r="AY2728">
        <v>500</v>
      </c>
      <c r="AZ2728">
        <v>0</v>
      </c>
      <c r="BA2728">
        <v>8.89</v>
      </c>
    </row>
    <row r="2729" spans="1:53" hidden="1" x14ac:dyDescent="0.3">
      <c r="A2729" t="s">
        <v>718</v>
      </c>
      <c r="C2729" t="s">
        <v>251</v>
      </c>
      <c r="D2729" t="s">
        <v>81</v>
      </c>
      <c r="E2729">
        <v>30000000</v>
      </c>
      <c r="H2729">
        <v>14.25</v>
      </c>
      <c r="I2729" t="s">
        <v>56</v>
      </c>
      <c r="J2729">
        <v>1.4250000000000001E-3</v>
      </c>
      <c r="K2729" t="s">
        <v>57</v>
      </c>
      <c r="L2729" t="s">
        <v>112</v>
      </c>
      <c r="O2729">
        <v>500</v>
      </c>
      <c r="P2729" t="s">
        <v>315</v>
      </c>
      <c r="T2729">
        <v>25</v>
      </c>
      <c r="V2729">
        <v>75</v>
      </c>
      <c r="W2729" t="s">
        <v>721</v>
      </c>
      <c r="Y2729">
        <v>240</v>
      </c>
      <c r="AA2729" t="s">
        <v>94</v>
      </c>
      <c r="AB2729">
        <v>8.73</v>
      </c>
      <c r="AC2729" t="s">
        <v>85</v>
      </c>
      <c r="AD2729">
        <v>0</v>
      </c>
      <c r="AE2729" t="s">
        <v>63</v>
      </c>
      <c r="AI2729">
        <v>5</v>
      </c>
      <c r="AJ2729" t="s">
        <v>201</v>
      </c>
      <c r="AV2729" t="s">
        <v>88</v>
      </c>
      <c r="AY2729">
        <v>500</v>
      </c>
      <c r="AZ2729">
        <v>0</v>
      </c>
      <c r="BA2729">
        <v>8.73</v>
      </c>
    </row>
    <row r="2730" spans="1:53" hidden="1" x14ac:dyDescent="0.3">
      <c r="A2730" t="s">
        <v>718</v>
      </c>
      <c r="C2730" t="s">
        <v>251</v>
      </c>
      <c r="D2730" t="s">
        <v>81</v>
      </c>
      <c r="E2730">
        <v>30000000</v>
      </c>
      <c r="H2730">
        <v>14.25</v>
      </c>
      <c r="I2730" t="s">
        <v>56</v>
      </c>
      <c r="J2730">
        <v>1.4250000000000001E-3</v>
      </c>
      <c r="K2730" t="s">
        <v>57</v>
      </c>
      <c r="L2730" t="s">
        <v>112</v>
      </c>
      <c r="O2730">
        <v>500</v>
      </c>
      <c r="P2730" t="s">
        <v>315</v>
      </c>
      <c r="T2730">
        <v>25</v>
      </c>
      <c r="V2730">
        <v>75</v>
      </c>
      <c r="W2730" t="s">
        <v>719</v>
      </c>
      <c r="X2730" t="s">
        <v>730</v>
      </c>
      <c r="Y2730">
        <v>240</v>
      </c>
      <c r="AA2730" t="s">
        <v>94</v>
      </c>
      <c r="AB2730">
        <v>8.86</v>
      </c>
      <c r="AC2730" t="s">
        <v>85</v>
      </c>
      <c r="AD2730">
        <v>0</v>
      </c>
      <c r="AE2730" t="s">
        <v>63</v>
      </c>
      <c r="AI2730">
        <v>5</v>
      </c>
      <c r="AJ2730" t="s">
        <v>201</v>
      </c>
      <c r="AV2730" t="s">
        <v>88</v>
      </c>
      <c r="AY2730">
        <v>500</v>
      </c>
      <c r="AZ2730">
        <v>0</v>
      </c>
      <c r="BA2730">
        <v>8.86</v>
      </c>
    </row>
    <row r="2731" spans="1:53" hidden="1" x14ac:dyDescent="0.3">
      <c r="A2731" t="s">
        <v>718</v>
      </c>
      <c r="C2731" t="s">
        <v>251</v>
      </c>
      <c r="D2731" t="s">
        <v>81</v>
      </c>
      <c r="E2731">
        <v>10000000</v>
      </c>
      <c r="H2731">
        <v>1.69</v>
      </c>
      <c r="I2731" t="s">
        <v>56</v>
      </c>
      <c r="J2731">
        <v>1.6899999999999999E-4</v>
      </c>
      <c r="K2731" t="s">
        <v>57</v>
      </c>
      <c r="L2731" t="s">
        <v>112</v>
      </c>
      <c r="O2731">
        <v>500</v>
      </c>
      <c r="P2731" t="s">
        <v>315</v>
      </c>
      <c r="T2731">
        <v>25</v>
      </c>
      <c r="V2731">
        <v>75</v>
      </c>
      <c r="W2731" t="s">
        <v>720</v>
      </c>
      <c r="X2731" t="s">
        <v>730</v>
      </c>
      <c r="Y2731">
        <v>240</v>
      </c>
      <c r="AA2731" t="s">
        <v>94</v>
      </c>
      <c r="AB2731">
        <v>8.6</v>
      </c>
      <c r="AC2731" t="s">
        <v>85</v>
      </c>
      <c r="AD2731">
        <v>0</v>
      </c>
      <c r="AE2731" t="s">
        <v>63</v>
      </c>
      <c r="AI2731">
        <v>5</v>
      </c>
      <c r="AJ2731" t="s">
        <v>201</v>
      </c>
      <c r="AV2731" t="s">
        <v>88</v>
      </c>
      <c r="AY2731">
        <v>500</v>
      </c>
      <c r="AZ2731">
        <v>0</v>
      </c>
      <c r="BA2731">
        <v>8.6</v>
      </c>
    </row>
    <row r="2732" spans="1:53" hidden="1" x14ac:dyDescent="0.3">
      <c r="A2732" t="s">
        <v>718</v>
      </c>
      <c r="C2732" t="s">
        <v>251</v>
      </c>
      <c r="D2732" t="s">
        <v>81</v>
      </c>
      <c r="E2732">
        <v>10000000</v>
      </c>
      <c r="H2732">
        <v>14.25</v>
      </c>
      <c r="I2732" t="s">
        <v>56</v>
      </c>
      <c r="J2732">
        <v>1.4250000000000001E-3</v>
      </c>
      <c r="K2732" t="s">
        <v>57</v>
      </c>
      <c r="L2732" t="s">
        <v>112</v>
      </c>
      <c r="O2732">
        <v>500</v>
      </c>
      <c r="P2732" t="s">
        <v>315</v>
      </c>
      <c r="T2732">
        <v>25</v>
      </c>
      <c r="V2732">
        <v>75</v>
      </c>
      <c r="W2732" t="s">
        <v>73</v>
      </c>
      <c r="X2732" t="s">
        <v>730</v>
      </c>
      <c r="Y2732">
        <v>240</v>
      </c>
      <c r="AA2732" t="s">
        <v>94</v>
      </c>
      <c r="AB2732">
        <v>8.89</v>
      </c>
      <c r="AC2732" t="s">
        <v>85</v>
      </c>
      <c r="AD2732">
        <v>0</v>
      </c>
      <c r="AE2732" t="s">
        <v>63</v>
      </c>
      <c r="AI2732">
        <v>5</v>
      </c>
      <c r="AJ2732" t="s">
        <v>201</v>
      </c>
      <c r="AT2732" t="s">
        <v>73</v>
      </c>
      <c r="AV2732" t="s">
        <v>88</v>
      </c>
      <c r="AY2732">
        <v>500</v>
      </c>
      <c r="AZ2732">
        <v>0</v>
      </c>
      <c r="BA2732">
        <v>8.89</v>
      </c>
    </row>
    <row r="2733" spans="1:53" hidden="1" x14ac:dyDescent="0.3">
      <c r="A2733" t="s">
        <v>718</v>
      </c>
      <c r="C2733" t="s">
        <v>251</v>
      </c>
      <c r="D2733" t="s">
        <v>81</v>
      </c>
      <c r="E2733">
        <v>10000000</v>
      </c>
      <c r="H2733">
        <v>14.25</v>
      </c>
      <c r="I2733" t="s">
        <v>56</v>
      </c>
      <c r="J2733">
        <v>1.4250000000000001E-3</v>
      </c>
      <c r="K2733" t="s">
        <v>57</v>
      </c>
      <c r="L2733" t="s">
        <v>112</v>
      </c>
      <c r="O2733">
        <v>500</v>
      </c>
      <c r="P2733" t="s">
        <v>315</v>
      </c>
      <c r="T2733">
        <v>25</v>
      </c>
      <c r="V2733">
        <v>75</v>
      </c>
      <c r="W2733" t="s">
        <v>721</v>
      </c>
      <c r="X2733" t="s">
        <v>730</v>
      </c>
      <c r="Y2733">
        <v>240</v>
      </c>
      <c r="AA2733" t="s">
        <v>94</v>
      </c>
      <c r="AB2733">
        <v>8.73</v>
      </c>
      <c r="AC2733" t="s">
        <v>85</v>
      </c>
      <c r="AD2733">
        <v>0</v>
      </c>
      <c r="AE2733" t="s">
        <v>63</v>
      </c>
      <c r="AI2733">
        <v>5</v>
      </c>
      <c r="AJ2733" t="s">
        <v>201</v>
      </c>
      <c r="AV2733" t="s">
        <v>88</v>
      </c>
      <c r="AY2733">
        <v>500</v>
      </c>
      <c r="AZ2733">
        <v>0</v>
      </c>
      <c r="BA2733">
        <v>8.73</v>
      </c>
    </row>
    <row r="2734" spans="1:53" hidden="1" x14ac:dyDescent="0.3">
      <c r="A2734" t="s">
        <v>718</v>
      </c>
      <c r="C2734" t="s">
        <v>251</v>
      </c>
      <c r="D2734" t="s">
        <v>81</v>
      </c>
      <c r="E2734">
        <v>10000000</v>
      </c>
      <c r="H2734">
        <v>14.25</v>
      </c>
      <c r="I2734" t="s">
        <v>56</v>
      </c>
      <c r="J2734">
        <v>1.4250000000000001E-3</v>
      </c>
      <c r="K2734" t="s">
        <v>57</v>
      </c>
      <c r="L2734" t="s">
        <v>112</v>
      </c>
      <c r="O2734">
        <v>500</v>
      </c>
      <c r="P2734" t="s">
        <v>315</v>
      </c>
      <c r="T2734">
        <v>25</v>
      </c>
      <c r="V2734">
        <v>75</v>
      </c>
      <c r="W2734" t="s">
        <v>420</v>
      </c>
      <c r="Y2734">
        <v>30</v>
      </c>
      <c r="AA2734" t="s">
        <v>94</v>
      </c>
      <c r="AB2734">
        <v>8.42</v>
      </c>
      <c r="AC2734" t="s">
        <v>85</v>
      </c>
      <c r="AD2734">
        <v>0</v>
      </c>
      <c r="AE2734" t="s">
        <v>63</v>
      </c>
      <c r="AI2734">
        <v>5</v>
      </c>
      <c r="AJ2734" t="s">
        <v>201</v>
      </c>
      <c r="AV2734" t="s">
        <v>88</v>
      </c>
      <c r="AY2734">
        <v>500</v>
      </c>
      <c r="AZ2734">
        <v>0</v>
      </c>
      <c r="BA2734">
        <v>8.42</v>
      </c>
    </row>
    <row r="2735" spans="1:53" hidden="1" x14ac:dyDescent="0.3">
      <c r="A2735" t="s">
        <v>718</v>
      </c>
      <c r="C2735" t="s">
        <v>251</v>
      </c>
      <c r="D2735" t="s">
        <v>81</v>
      </c>
      <c r="E2735">
        <v>10000000</v>
      </c>
      <c r="H2735">
        <v>14.25</v>
      </c>
      <c r="I2735" t="s">
        <v>56</v>
      </c>
      <c r="J2735">
        <v>1.4250000000000001E-3</v>
      </c>
      <c r="K2735" t="s">
        <v>57</v>
      </c>
      <c r="L2735" t="s">
        <v>112</v>
      </c>
      <c r="O2735">
        <v>500</v>
      </c>
      <c r="P2735" t="s">
        <v>315</v>
      </c>
      <c r="T2735">
        <v>25</v>
      </c>
      <c r="V2735">
        <v>75</v>
      </c>
      <c r="W2735" t="s">
        <v>725</v>
      </c>
      <c r="Y2735">
        <v>30</v>
      </c>
      <c r="AA2735" t="s">
        <v>94</v>
      </c>
      <c r="AB2735">
        <v>8.2200000000000006</v>
      </c>
      <c r="AC2735" t="s">
        <v>85</v>
      </c>
      <c r="AD2735">
        <v>0</v>
      </c>
      <c r="AE2735" t="s">
        <v>63</v>
      </c>
      <c r="AI2735">
        <v>5</v>
      </c>
      <c r="AJ2735" t="s">
        <v>201</v>
      </c>
      <c r="AT2735" t="s">
        <v>65</v>
      </c>
      <c r="AV2735" t="s">
        <v>88</v>
      </c>
      <c r="AY2735">
        <v>500</v>
      </c>
      <c r="AZ2735">
        <v>0</v>
      </c>
      <c r="BA2735">
        <v>8.2200000000000006</v>
      </c>
    </row>
    <row r="2736" spans="1:53" hidden="1" x14ac:dyDescent="0.3">
      <c r="A2736" t="s">
        <v>718</v>
      </c>
      <c r="C2736" t="s">
        <v>251</v>
      </c>
      <c r="D2736" t="s">
        <v>81</v>
      </c>
      <c r="E2736">
        <v>10000000</v>
      </c>
      <c r="H2736">
        <v>14.25</v>
      </c>
      <c r="I2736" t="s">
        <v>56</v>
      </c>
      <c r="J2736">
        <v>1.4250000000000001E-3</v>
      </c>
      <c r="K2736" t="s">
        <v>57</v>
      </c>
      <c r="L2736" t="s">
        <v>112</v>
      </c>
      <c r="O2736">
        <v>500</v>
      </c>
      <c r="P2736" t="s">
        <v>315</v>
      </c>
      <c r="T2736">
        <v>25</v>
      </c>
      <c r="V2736">
        <v>75</v>
      </c>
      <c r="W2736" t="s">
        <v>73</v>
      </c>
      <c r="Y2736">
        <v>30</v>
      </c>
      <c r="AB2736">
        <v>3.44</v>
      </c>
      <c r="AC2736" t="s">
        <v>85</v>
      </c>
      <c r="AD2736">
        <v>0.85</v>
      </c>
      <c r="AE2736" t="s">
        <v>63</v>
      </c>
      <c r="AI2736">
        <v>5</v>
      </c>
      <c r="AJ2736" t="s">
        <v>201</v>
      </c>
      <c r="AT2736" t="s">
        <v>73</v>
      </c>
      <c r="AV2736" t="s">
        <v>88</v>
      </c>
      <c r="AY2736">
        <v>500</v>
      </c>
    </row>
    <row r="2737" spans="1:53" hidden="1" x14ac:dyDescent="0.3">
      <c r="A2737" t="s">
        <v>718</v>
      </c>
      <c r="C2737" t="s">
        <v>251</v>
      </c>
      <c r="D2737" t="s">
        <v>81</v>
      </c>
      <c r="E2737">
        <v>10000000</v>
      </c>
      <c r="H2737">
        <v>14.25</v>
      </c>
      <c r="I2737" t="s">
        <v>56</v>
      </c>
      <c r="J2737">
        <v>1.4250000000000001E-3</v>
      </c>
      <c r="K2737" t="s">
        <v>57</v>
      </c>
      <c r="L2737" t="s">
        <v>112</v>
      </c>
      <c r="O2737">
        <v>500</v>
      </c>
      <c r="P2737" t="s">
        <v>315</v>
      </c>
      <c r="T2737">
        <v>25</v>
      </c>
      <c r="V2737">
        <v>75</v>
      </c>
      <c r="W2737" t="s">
        <v>358</v>
      </c>
      <c r="Y2737">
        <v>30</v>
      </c>
      <c r="AB2737">
        <v>7.8</v>
      </c>
      <c r="AC2737" t="s">
        <v>85</v>
      </c>
      <c r="AD2737">
        <v>1.24</v>
      </c>
      <c r="AE2737" t="s">
        <v>63</v>
      </c>
      <c r="AI2737">
        <v>5</v>
      </c>
      <c r="AJ2737" t="s">
        <v>201</v>
      </c>
      <c r="AT2737" t="s">
        <v>358</v>
      </c>
      <c r="AV2737" t="s">
        <v>88</v>
      </c>
      <c r="AY2737">
        <v>500</v>
      </c>
    </row>
    <row r="2738" spans="1:53" hidden="1" x14ac:dyDescent="0.3">
      <c r="A2738" t="s">
        <v>718</v>
      </c>
      <c r="C2738" t="s">
        <v>251</v>
      </c>
      <c r="D2738" t="s">
        <v>81</v>
      </c>
      <c r="E2738">
        <v>10000000</v>
      </c>
      <c r="H2738">
        <v>14.25</v>
      </c>
      <c r="I2738" t="s">
        <v>56</v>
      </c>
      <c r="J2738">
        <v>1.4250000000000001E-3</v>
      </c>
      <c r="K2738" t="s">
        <v>57</v>
      </c>
      <c r="L2738" t="s">
        <v>112</v>
      </c>
      <c r="O2738">
        <v>500</v>
      </c>
      <c r="P2738" t="s">
        <v>315</v>
      </c>
      <c r="T2738">
        <v>25</v>
      </c>
      <c r="V2738">
        <v>75</v>
      </c>
      <c r="W2738" t="s">
        <v>420</v>
      </c>
      <c r="Y2738">
        <v>60</v>
      </c>
      <c r="AA2738" t="s">
        <v>94</v>
      </c>
      <c r="AB2738">
        <v>8.42</v>
      </c>
      <c r="AC2738" t="s">
        <v>85</v>
      </c>
      <c r="AD2738">
        <v>0</v>
      </c>
      <c r="AE2738" t="s">
        <v>63</v>
      </c>
      <c r="AI2738">
        <v>5</v>
      </c>
      <c r="AJ2738" t="s">
        <v>201</v>
      </c>
      <c r="AV2738" t="s">
        <v>88</v>
      </c>
      <c r="AY2738">
        <v>500</v>
      </c>
      <c r="AZ2738">
        <v>0</v>
      </c>
      <c r="BA2738">
        <v>8.42</v>
      </c>
    </row>
    <row r="2739" spans="1:53" hidden="1" x14ac:dyDescent="0.3">
      <c r="A2739" t="s">
        <v>718</v>
      </c>
      <c r="C2739" t="s">
        <v>251</v>
      </c>
      <c r="D2739" t="s">
        <v>81</v>
      </c>
      <c r="E2739">
        <v>10000000</v>
      </c>
      <c r="H2739">
        <v>14.25</v>
      </c>
      <c r="I2739" t="s">
        <v>56</v>
      </c>
      <c r="J2739">
        <v>1.4250000000000001E-3</v>
      </c>
      <c r="K2739" t="s">
        <v>57</v>
      </c>
      <c r="L2739" t="s">
        <v>112</v>
      </c>
      <c r="O2739">
        <v>500</v>
      </c>
      <c r="P2739" t="s">
        <v>315</v>
      </c>
      <c r="T2739">
        <v>25</v>
      </c>
      <c r="V2739">
        <v>75</v>
      </c>
      <c r="W2739" t="s">
        <v>725</v>
      </c>
      <c r="Y2739">
        <v>60</v>
      </c>
      <c r="AA2739" t="s">
        <v>94</v>
      </c>
      <c r="AB2739">
        <v>8.2200000000000006</v>
      </c>
      <c r="AC2739" t="s">
        <v>85</v>
      </c>
      <c r="AD2739">
        <v>0</v>
      </c>
      <c r="AE2739" t="s">
        <v>63</v>
      </c>
      <c r="AI2739">
        <v>5</v>
      </c>
      <c r="AJ2739" t="s">
        <v>201</v>
      </c>
      <c r="AT2739" t="s">
        <v>65</v>
      </c>
      <c r="AV2739" t="s">
        <v>88</v>
      </c>
      <c r="AY2739">
        <v>500</v>
      </c>
      <c r="AZ2739">
        <v>0</v>
      </c>
      <c r="BA2739">
        <v>8.2200000000000006</v>
      </c>
    </row>
    <row r="2740" spans="1:53" hidden="1" x14ac:dyDescent="0.3">
      <c r="A2740" t="s">
        <v>718</v>
      </c>
      <c r="C2740" t="s">
        <v>251</v>
      </c>
      <c r="D2740" t="s">
        <v>81</v>
      </c>
      <c r="E2740">
        <v>10000000</v>
      </c>
      <c r="H2740">
        <v>14.25</v>
      </c>
      <c r="I2740" t="s">
        <v>56</v>
      </c>
      <c r="J2740">
        <v>1.4250000000000001E-3</v>
      </c>
      <c r="K2740" t="s">
        <v>57</v>
      </c>
      <c r="L2740" t="s">
        <v>112</v>
      </c>
      <c r="O2740">
        <v>500</v>
      </c>
      <c r="P2740" t="s">
        <v>315</v>
      </c>
      <c r="T2740">
        <v>25</v>
      </c>
      <c r="V2740">
        <v>75</v>
      </c>
      <c r="W2740" t="s">
        <v>73</v>
      </c>
      <c r="Y2740">
        <v>60</v>
      </c>
      <c r="AB2740">
        <v>3.44</v>
      </c>
      <c r="AC2740" t="s">
        <v>85</v>
      </c>
      <c r="AD2740">
        <v>0.85</v>
      </c>
      <c r="AE2740" t="s">
        <v>63</v>
      </c>
      <c r="AI2740">
        <v>5</v>
      </c>
      <c r="AJ2740" t="s">
        <v>201</v>
      </c>
      <c r="AT2740" t="s">
        <v>73</v>
      </c>
      <c r="AV2740" t="s">
        <v>88</v>
      </c>
      <c r="AY2740">
        <v>500</v>
      </c>
    </row>
    <row r="2741" spans="1:53" hidden="1" x14ac:dyDescent="0.3">
      <c r="A2741" t="s">
        <v>718</v>
      </c>
      <c r="C2741" t="s">
        <v>251</v>
      </c>
      <c r="D2741" t="s">
        <v>81</v>
      </c>
      <c r="E2741">
        <v>10000000</v>
      </c>
      <c r="H2741">
        <v>14.25</v>
      </c>
      <c r="I2741" t="s">
        <v>56</v>
      </c>
      <c r="J2741">
        <v>1.4250000000000001E-3</v>
      </c>
      <c r="K2741" t="s">
        <v>57</v>
      </c>
      <c r="L2741" t="s">
        <v>112</v>
      </c>
      <c r="O2741">
        <v>500</v>
      </c>
      <c r="P2741" t="s">
        <v>315</v>
      </c>
      <c r="T2741">
        <v>25</v>
      </c>
      <c r="V2741">
        <v>75</v>
      </c>
      <c r="W2741" t="s">
        <v>358</v>
      </c>
      <c r="Y2741">
        <v>60</v>
      </c>
      <c r="AB2741">
        <v>7.8</v>
      </c>
      <c r="AC2741" t="s">
        <v>85</v>
      </c>
      <c r="AD2741">
        <v>1.24</v>
      </c>
      <c r="AE2741" t="s">
        <v>63</v>
      </c>
      <c r="AI2741">
        <v>5</v>
      </c>
      <c r="AJ2741" t="s">
        <v>201</v>
      </c>
      <c r="AT2741" t="s">
        <v>358</v>
      </c>
      <c r="AV2741" t="s">
        <v>88</v>
      </c>
      <c r="AY2741">
        <v>500</v>
      </c>
    </row>
    <row r="2742" spans="1:53" hidden="1" x14ac:dyDescent="0.3">
      <c r="A2742" t="s">
        <v>718</v>
      </c>
      <c r="C2742" t="s">
        <v>251</v>
      </c>
      <c r="D2742" t="s">
        <v>81</v>
      </c>
      <c r="E2742">
        <v>10000000</v>
      </c>
      <c r="H2742">
        <v>14.25</v>
      </c>
      <c r="I2742" t="s">
        <v>56</v>
      </c>
      <c r="J2742">
        <v>1.4250000000000001E-3</v>
      </c>
      <c r="K2742" t="s">
        <v>57</v>
      </c>
      <c r="L2742" t="s">
        <v>112</v>
      </c>
      <c r="O2742">
        <v>500</v>
      </c>
      <c r="P2742" t="s">
        <v>315</v>
      </c>
      <c r="T2742">
        <v>25</v>
      </c>
      <c r="V2742">
        <v>75</v>
      </c>
      <c r="W2742" t="s">
        <v>420</v>
      </c>
      <c r="Y2742">
        <v>120</v>
      </c>
      <c r="AA2742" t="s">
        <v>94</v>
      </c>
      <c r="AB2742">
        <v>8.42</v>
      </c>
      <c r="AC2742" t="s">
        <v>85</v>
      </c>
      <c r="AD2742">
        <v>0</v>
      </c>
      <c r="AE2742" t="s">
        <v>63</v>
      </c>
      <c r="AI2742">
        <v>5</v>
      </c>
      <c r="AJ2742" t="s">
        <v>201</v>
      </c>
      <c r="AV2742" t="s">
        <v>88</v>
      </c>
      <c r="AY2742">
        <v>500</v>
      </c>
      <c r="AZ2742">
        <v>0</v>
      </c>
      <c r="BA2742">
        <v>8.42</v>
      </c>
    </row>
    <row r="2743" spans="1:53" hidden="1" x14ac:dyDescent="0.3">
      <c r="A2743" t="s">
        <v>718</v>
      </c>
      <c r="C2743" t="s">
        <v>251</v>
      </c>
      <c r="D2743" t="s">
        <v>81</v>
      </c>
      <c r="E2743">
        <v>10000000</v>
      </c>
      <c r="H2743">
        <v>14.25</v>
      </c>
      <c r="I2743" t="s">
        <v>56</v>
      </c>
      <c r="J2743">
        <v>1.4250000000000001E-3</v>
      </c>
      <c r="K2743" t="s">
        <v>57</v>
      </c>
      <c r="L2743" t="s">
        <v>112</v>
      </c>
      <c r="O2743">
        <v>500</v>
      </c>
      <c r="P2743" t="s">
        <v>315</v>
      </c>
      <c r="T2743">
        <v>25</v>
      </c>
      <c r="V2743">
        <v>75</v>
      </c>
      <c r="W2743" t="s">
        <v>725</v>
      </c>
      <c r="Y2743">
        <v>120</v>
      </c>
      <c r="AA2743" t="s">
        <v>94</v>
      </c>
      <c r="AB2743">
        <v>8.2200000000000006</v>
      </c>
      <c r="AC2743" t="s">
        <v>85</v>
      </c>
      <c r="AD2743">
        <v>0</v>
      </c>
      <c r="AE2743" t="s">
        <v>63</v>
      </c>
      <c r="AI2743">
        <v>5</v>
      </c>
      <c r="AJ2743" t="s">
        <v>201</v>
      </c>
      <c r="AT2743" t="s">
        <v>65</v>
      </c>
      <c r="AV2743" t="s">
        <v>88</v>
      </c>
      <c r="AY2743">
        <v>500</v>
      </c>
      <c r="AZ2743">
        <v>0</v>
      </c>
      <c r="BA2743">
        <v>8.2200000000000006</v>
      </c>
    </row>
    <row r="2744" spans="1:53" hidden="1" x14ac:dyDescent="0.3">
      <c r="A2744" t="s">
        <v>718</v>
      </c>
      <c r="C2744" t="s">
        <v>251</v>
      </c>
      <c r="D2744" t="s">
        <v>81</v>
      </c>
      <c r="E2744">
        <v>10000000</v>
      </c>
      <c r="H2744">
        <v>14.25</v>
      </c>
      <c r="I2744" t="s">
        <v>56</v>
      </c>
      <c r="J2744">
        <v>1.4250000000000001E-3</v>
      </c>
      <c r="K2744" t="s">
        <v>57</v>
      </c>
      <c r="L2744" t="s">
        <v>112</v>
      </c>
      <c r="O2744">
        <v>500</v>
      </c>
      <c r="P2744" t="s">
        <v>315</v>
      </c>
      <c r="T2744">
        <v>25</v>
      </c>
      <c r="V2744">
        <v>75</v>
      </c>
      <c r="W2744" t="s">
        <v>73</v>
      </c>
      <c r="Y2744">
        <v>120</v>
      </c>
      <c r="AB2744">
        <v>3.44</v>
      </c>
      <c r="AC2744" t="s">
        <v>85</v>
      </c>
      <c r="AD2744">
        <v>0.85</v>
      </c>
      <c r="AE2744" t="s">
        <v>63</v>
      </c>
      <c r="AI2744">
        <v>5</v>
      </c>
      <c r="AJ2744" t="s">
        <v>201</v>
      </c>
      <c r="AT2744" t="s">
        <v>73</v>
      </c>
      <c r="AV2744" t="s">
        <v>88</v>
      </c>
      <c r="AY2744">
        <v>500</v>
      </c>
    </row>
    <row r="2745" spans="1:53" hidden="1" x14ac:dyDescent="0.3">
      <c r="A2745" t="s">
        <v>718</v>
      </c>
      <c r="C2745" t="s">
        <v>251</v>
      </c>
      <c r="D2745" t="s">
        <v>81</v>
      </c>
      <c r="E2745">
        <v>10000000</v>
      </c>
      <c r="H2745">
        <v>14.25</v>
      </c>
      <c r="I2745" t="s">
        <v>56</v>
      </c>
      <c r="J2745">
        <v>1.4250000000000001E-3</v>
      </c>
      <c r="K2745" t="s">
        <v>57</v>
      </c>
      <c r="L2745" t="s">
        <v>112</v>
      </c>
      <c r="O2745">
        <v>500</v>
      </c>
      <c r="P2745" t="s">
        <v>315</v>
      </c>
      <c r="T2745">
        <v>25</v>
      </c>
      <c r="V2745">
        <v>75</v>
      </c>
      <c r="W2745" t="s">
        <v>358</v>
      </c>
      <c r="Y2745">
        <v>120</v>
      </c>
      <c r="AB2745">
        <v>7.8</v>
      </c>
      <c r="AC2745" t="s">
        <v>85</v>
      </c>
      <c r="AD2745">
        <v>1.24</v>
      </c>
      <c r="AE2745" t="s">
        <v>63</v>
      </c>
      <c r="AI2745">
        <v>5</v>
      </c>
      <c r="AJ2745" t="s">
        <v>201</v>
      </c>
      <c r="AT2745" t="s">
        <v>358</v>
      </c>
      <c r="AV2745" t="s">
        <v>88</v>
      </c>
      <c r="AY2745">
        <v>500</v>
      </c>
    </row>
    <row r="2746" spans="1:53" hidden="1" x14ac:dyDescent="0.3">
      <c r="A2746" t="s">
        <v>718</v>
      </c>
      <c r="C2746" t="s">
        <v>251</v>
      </c>
      <c r="D2746" t="s">
        <v>81</v>
      </c>
      <c r="E2746">
        <v>10000000</v>
      </c>
      <c r="H2746">
        <v>14.25</v>
      </c>
      <c r="I2746" t="s">
        <v>56</v>
      </c>
      <c r="J2746">
        <v>1.4250000000000001E-3</v>
      </c>
      <c r="K2746" t="s">
        <v>57</v>
      </c>
      <c r="L2746" t="s">
        <v>112</v>
      </c>
      <c r="O2746">
        <v>500</v>
      </c>
      <c r="P2746" t="s">
        <v>315</v>
      </c>
      <c r="T2746">
        <v>25</v>
      </c>
      <c r="V2746">
        <v>75</v>
      </c>
      <c r="W2746" t="s">
        <v>420</v>
      </c>
      <c r="Y2746">
        <v>240</v>
      </c>
      <c r="AA2746" t="s">
        <v>94</v>
      </c>
      <c r="AB2746">
        <v>8.42</v>
      </c>
      <c r="AC2746" t="s">
        <v>85</v>
      </c>
      <c r="AD2746">
        <v>0</v>
      </c>
      <c r="AE2746" t="s">
        <v>63</v>
      </c>
      <c r="AI2746">
        <v>5</v>
      </c>
      <c r="AJ2746" t="s">
        <v>201</v>
      </c>
      <c r="AV2746" t="s">
        <v>88</v>
      </c>
      <c r="AY2746">
        <v>500</v>
      </c>
      <c r="AZ2746">
        <v>0</v>
      </c>
      <c r="BA2746">
        <v>8.42</v>
      </c>
    </row>
    <row r="2747" spans="1:53" hidden="1" x14ac:dyDescent="0.3">
      <c r="A2747" t="s">
        <v>718</v>
      </c>
      <c r="C2747" t="s">
        <v>251</v>
      </c>
      <c r="D2747" t="s">
        <v>81</v>
      </c>
      <c r="E2747">
        <v>10000000</v>
      </c>
      <c r="H2747">
        <v>14.25</v>
      </c>
      <c r="I2747" t="s">
        <v>56</v>
      </c>
      <c r="J2747">
        <v>1.4250000000000001E-3</v>
      </c>
      <c r="K2747" t="s">
        <v>57</v>
      </c>
      <c r="L2747" t="s">
        <v>112</v>
      </c>
      <c r="O2747">
        <v>500</v>
      </c>
      <c r="P2747" t="s">
        <v>315</v>
      </c>
      <c r="T2747">
        <v>25</v>
      </c>
      <c r="V2747">
        <v>75</v>
      </c>
      <c r="W2747" t="s">
        <v>725</v>
      </c>
      <c r="Y2747">
        <v>240</v>
      </c>
      <c r="AA2747" t="s">
        <v>94</v>
      </c>
      <c r="AB2747">
        <v>8.2200000000000006</v>
      </c>
      <c r="AC2747" t="s">
        <v>85</v>
      </c>
      <c r="AD2747">
        <v>0</v>
      </c>
      <c r="AE2747" t="s">
        <v>63</v>
      </c>
      <c r="AI2747">
        <v>5</v>
      </c>
      <c r="AJ2747" t="s">
        <v>201</v>
      </c>
      <c r="AT2747" t="s">
        <v>65</v>
      </c>
      <c r="AV2747" t="s">
        <v>88</v>
      </c>
      <c r="AY2747">
        <v>500</v>
      </c>
      <c r="AZ2747">
        <v>0</v>
      </c>
      <c r="BA2747">
        <v>8.2200000000000006</v>
      </c>
    </row>
    <row r="2748" spans="1:53" hidden="1" x14ac:dyDescent="0.3">
      <c r="A2748" t="s">
        <v>718</v>
      </c>
      <c r="C2748" t="s">
        <v>251</v>
      </c>
      <c r="D2748" t="s">
        <v>81</v>
      </c>
      <c r="E2748">
        <v>10000000</v>
      </c>
      <c r="H2748">
        <v>14.25</v>
      </c>
      <c r="I2748" t="s">
        <v>56</v>
      </c>
      <c r="J2748">
        <v>1.4250000000000001E-3</v>
      </c>
      <c r="K2748" t="s">
        <v>57</v>
      </c>
      <c r="L2748" t="s">
        <v>112</v>
      </c>
      <c r="O2748">
        <v>500</v>
      </c>
      <c r="P2748" t="s">
        <v>315</v>
      </c>
      <c r="T2748">
        <v>25</v>
      </c>
      <c r="V2748">
        <v>75</v>
      </c>
      <c r="W2748" t="s">
        <v>73</v>
      </c>
      <c r="Y2748">
        <v>240</v>
      </c>
      <c r="AB2748">
        <v>3.44</v>
      </c>
      <c r="AC2748" t="s">
        <v>85</v>
      </c>
      <c r="AD2748">
        <v>0.85</v>
      </c>
      <c r="AE2748" t="s">
        <v>63</v>
      </c>
      <c r="AI2748">
        <v>5</v>
      </c>
      <c r="AJ2748" t="s">
        <v>201</v>
      </c>
      <c r="AT2748" t="s">
        <v>73</v>
      </c>
      <c r="AV2748" t="s">
        <v>88</v>
      </c>
      <c r="AY2748">
        <v>500</v>
      </c>
    </row>
    <row r="2749" spans="1:53" hidden="1" x14ac:dyDescent="0.3">
      <c r="A2749" t="s">
        <v>718</v>
      </c>
      <c r="C2749" t="s">
        <v>251</v>
      </c>
      <c r="D2749" t="s">
        <v>81</v>
      </c>
      <c r="E2749">
        <v>1000000</v>
      </c>
      <c r="H2749">
        <v>14.25</v>
      </c>
      <c r="I2749" t="s">
        <v>56</v>
      </c>
      <c r="J2749">
        <v>1.4250000000000001E-3</v>
      </c>
      <c r="K2749" t="s">
        <v>57</v>
      </c>
      <c r="L2749" t="s">
        <v>112</v>
      </c>
      <c r="O2749">
        <v>500</v>
      </c>
      <c r="P2749" t="s">
        <v>315</v>
      </c>
      <c r="T2749">
        <v>25</v>
      </c>
      <c r="V2749">
        <v>75</v>
      </c>
      <c r="W2749" t="s">
        <v>358</v>
      </c>
      <c r="Y2749">
        <v>240</v>
      </c>
      <c r="AB2749">
        <v>7.8</v>
      </c>
      <c r="AC2749" t="s">
        <v>85</v>
      </c>
      <c r="AD2749">
        <v>1.24</v>
      </c>
      <c r="AE2749" t="s">
        <v>63</v>
      </c>
      <c r="AI2749">
        <v>5</v>
      </c>
      <c r="AJ2749" t="s">
        <v>201</v>
      </c>
      <c r="AT2749" t="s">
        <v>358</v>
      </c>
      <c r="AV2749" t="s">
        <v>88</v>
      </c>
      <c r="AY2749">
        <v>500</v>
      </c>
    </row>
    <row r="2750" spans="1:53" hidden="1" x14ac:dyDescent="0.3">
      <c r="A2750" t="s">
        <v>718</v>
      </c>
      <c r="C2750" t="s">
        <v>251</v>
      </c>
      <c r="D2750" t="s">
        <v>81</v>
      </c>
      <c r="E2750">
        <v>1000000</v>
      </c>
      <c r="H2750">
        <v>14.25</v>
      </c>
      <c r="I2750" t="s">
        <v>56</v>
      </c>
      <c r="J2750">
        <v>1.4250000000000001E-3</v>
      </c>
      <c r="K2750" t="s">
        <v>57</v>
      </c>
      <c r="L2750" t="s">
        <v>112</v>
      </c>
      <c r="O2750">
        <v>500</v>
      </c>
      <c r="P2750" t="s">
        <v>315</v>
      </c>
      <c r="T2750">
        <v>25</v>
      </c>
      <c r="V2750">
        <v>75</v>
      </c>
      <c r="W2750" t="s">
        <v>420</v>
      </c>
      <c r="X2750" t="s">
        <v>730</v>
      </c>
      <c r="Y2750">
        <v>240</v>
      </c>
      <c r="AA2750" t="s">
        <v>94</v>
      </c>
      <c r="AB2750">
        <v>8.42</v>
      </c>
      <c r="AC2750" t="s">
        <v>85</v>
      </c>
      <c r="AD2750">
        <v>0</v>
      </c>
      <c r="AE2750" t="s">
        <v>63</v>
      </c>
      <c r="AI2750">
        <v>5</v>
      </c>
      <c r="AJ2750" t="s">
        <v>201</v>
      </c>
      <c r="AV2750" t="s">
        <v>88</v>
      </c>
      <c r="AY2750">
        <v>500</v>
      </c>
      <c r="AZ2750">
        <v>0</v>
      </c>
      <c r="BA2750">
        <v>8.42</v>
      </c>
    </row>
    <row r="2751" spans="1:53" hidden="1" x14ac:dyDescent="0.3">
      <c r="A2751" t="s">
        <v>718</v>
      </c>
      <c r="C2751" t="s">
        <v>251</v>
      </c>
      <c r="D2751" t="s">
        <v>81</v>
      </c>
      <c r="E2751">
        <v>1000000</v>
      </c>
      <c r="H2751">
        <v>14.25</v>
      </c>
      <c r="I2751" t="s">
        <v>56</v>
      </c>
      <c r="J2751">
        <v>1.4250000000000001E-3</v>
      </c>
      <c r="K2751" t="s">
        <v>57</v>
      </c>
      <c r="L2751" t="s">
        <v>112</v>
      </c>
      <c r="O2751">
        <v>500</v>
      </c>
      <c r="P2751" t="s">
        <v>315</v>
      </c>
      <c r="T2751">
        <v>25</v>
      </c>
      <c r="V2751">
        <v>75</v>
      </c>
      <c r="W2751" t="s">
        <v>725</v>
      </c>
      <c r="X2751" t="s">
        <v>730</v>
      </c>
      <c r="Y2751">
        <v>240</v>
      </c>
      <c r="AA2751" t="s">
        <v>94</v>
      </c>
      <c r="AB2751">
        <v>8.2200000000000006</v>
      </c>
      <c r="AC2751" t="s">
        <v>85</v>
      </c>
      <c r="AD2751">
        <v>0</v>
      </c>
      <c r="AE2751" t="s">
        <v>63</v>
      </c>
      <c r="AI2751">
        <v>5</v>
      </c>
      <c r="AJ2751" t="s">
        <v>201</v>
      </c>
      <c r="AT2751" t="s">
        <v>65</v>
      </c>
      <c r="AV2751" t="s">
        <v>88</v>
      </c>
      <c r="AY2751">
        <v>500</v>
      </c>
      <c r="AZ2751">
        <v>0</v>
      </c>
      <c r="BA2751">
        <v>8.2200000000000006</v>
      </c>
    </row>
    <row r="2752" spans="1:53" hidden="1" x14ac:dyDescent="0.3">
      <c r="A2752" t="s">
        <v>718</v>
      </c>
      <c r="C2752" t="s">
        <v>251</v>
      </c>
      <c r="D2752" t="s">
        <v>81</v>
      </c>
      <c r="E2752">
        <v>1000000</v>
      </c>
      <c r="H2752">
        <v>14.25</v>
      </c>
      <c r="I2752" t="s">
        <v>56</v>
      </c>
      <c r="J2752">
        <v>1.4250000000000001E-3</v>
      </c>
      <c r="K2752" t="s">
        <v>57</v>
      </c>
      <c r="L2752" t="s">
        <v>112</v>
      </c>
      <c r="O2752">
        <v>500</v>
      </c>
      <c r="P2752" t="s">
        <v>315</v>
      </c>
      <c r="T2752">
        <v>25</v>
      </c>
      <c r="V2752">
        <v>75</v>
      </c>
      <c r="W2752" t="s">
        <v>73</v>
      </c>
      <c r="X2752" t="s">
        <v>730</v>
      </c>
      <c r="Y2752">
        <v>240</v>
      </c>
      <c r="AB2752">
        <v>3.44</v>
      </c>
      <c r="AC2752" t="s">
        <v>85</v>
      </c>
      <c r="AD2752">
        <v>0.85</v>
      </c>
      <c r="AE2752" t="s">
        <v>63</v>
      </c>
      <c r="AI2752">
        <v>5</v>
      </c>
      <c r="AJ2752" t="s">
        <v>201</v>
      </c>
      <c r="AT2752" t="s">
        <v>73</v>
      </c>
      <c r="AV2752" t="s">
        <v>88</v>
      </c>
      <c r="AY2752">
        <v>500</v>
      </c>
    </row>
    <row r="2753" spans="1:53" hidden="1" x14ac:dyDescent="0.3">
      <c r="A2753" t="s">
        <v>718</v>
      </c>
      <c r="C2753" t="s">
        <v>251</v>
      </c>
      <c r="D2753" t="s">
        <v>81</v>
      </c>
      <c r="E2753">
        <v>1000000</v>
      </c>
      <c r="H2753">
        <v>14.25</v>
      </c>
      <c r="I2753" t="s">
        <v>56</v>
      </c>
      <c r="J2753">
        <v>1.4250000000000001E-3</v>
      </c>
      <c r="K2753" t="s">
        <v>57</v>
      </c>
      <c r="L2753" t="s">
        <v>112</v>
      </c>
      <c r="O2753">
        <v>500</v>
      </c>
      <c r="P2753" t="s">
        <v>315</v>
      </c>
      <c r="T2753">
        <v>25</v>
      </c>
      <c r="V2753">
        <v>75</v>
      </c>
      <c r="W2753" t="s">
        <v>358</v>
      </c>
      <c r="X2753" t="s">
        <v>730</v>
      </c>
      <c r="Y2753">
        <v>240</v>
      </c>
      <c r="AB2753">
        <v>7.8</v>
      </c>
      <c r="AC2753" t="s">
        <v>85</v>
      </c>
      <c r="AD2753">
        <v>1.24</v>
      </c>
      <c r="AE2753" t="s">
        <v>63</v>
      </c>
      <c r="AI2753">
        <v>5</v>
      </c>
      <c r="AJ2753" t="s">
        <v>201</v>
      </c>
      <c r="AT2753" t="s">
        <v>358</v>
      </c>
      <c r="AV2753" t="s">
        <v>88</v>
      </c>
      <c r="AY2753">
        <v>500</v>
      </c>
    </row>
    <row r="2754" spans="1:53" hidden="1" x14ac:dyDescent="0.3">
      <c r="A2754" t="s">
        <v>718</v>
      </c>
      <c r="C2754" t="s">
        <v>251</v>
      </c>
      <c r="D2754" t="s">
        <v>81</v>
      </c>
      <c r="E2754">
        <v>1000000</v>
      </c>
      <c r="H2754">
        <v>14.25</v>
      </c>
      <c r="I2754" t="s">
        <v>56</v>
      </c>
      <c r="J2754">
        <v>1.4250000000000001E-3</v>
      </c>
      <c r="K2754" t="s">
        <v>57</v>
      </c>
      <c r="L2754" t="s">
        <v>112</v>
      </c>
      <c r="O2754">
        <v>225</v>
      </c>
      <c r="P2754" t="s">
        <v>315</v>
      </c>
      <c r="T2754">
        <v>25</v>
      </c>
      <c r="V2754">
        <v>75</v>
      </c>
      <c r="W2754" t="s">
        <v>420</v>
      </c>
      <c r="Y2754">
        <v>30</v>
      </c>
      <c r="AB2754">
        <v>6.14</v>
      </c>
      <c r="AC2754" t="s">
        <v>85</v>
      </c>
      <c r="AD2754">
        <v>0.82</v>
      </c>
      <c r="AE2754" t="s">
        <v>63</v>
      </c>
      <c r="AI2754">
        <v>5</v>
      </c>
      <c r="AJ2754" t="s">
        <v>201</v>
      </c>
      <c r="AV2754" t="s">
        <v>88</v>
      </c>
      <c r="AY2754">
        <v>225</v>
      </c>
    </row>
    <row r="2755" spans="1:53" hidden="1" x14ac:dyDescent="0.3">
      <c r="A2755" t="s">
        <v>718</v>
      </c>
      <c r="C2755" t="s">
        <v>251</v>
      </c>
      <c r="D2755" t="s">
        <v>81</v>
      </c>
      <c r="E2755">
        <v>1000000</v>
      </c>
      <c r="H2755">
        <v>14.25</v>
      </c>
      <c r="I2755" t="s">
        <v>56</v>
      </c>
      <c r="J2755">
        <v>1.4250000000000001E-3</v>
      </c>
      <c r="K2755" t="s">
        <v>57</v>
      </c>
      <c r="L2755" t="s">
        <v>112</v>
      </c>
      <c r="O2755">
        <v>225</v>
      </c>
      <c r="P2755" t="s">
        <v>315</v>
      </c>
      <c r="T2755">
        <v>25</v>
      </c>
      <c r="V2755">
        <v>75</v>
      </c>
      <c r="W2755" t="s">
        <v>725</v>
      </c>
      <c r="Y2755">
        <v>30</v>
      </c>
      <c r="AA2755" t="s">
        <v>94</v>
      </c>
      <c r="AB2755">
        <v>6.72</v>
      </c>
      <c r="AC2755" t="s">
        <v>85</v>
      </c>
      <c r="AD2755">
        <v>0</v>
      </c>
      <c r="AE2755" t="s">
        <v>63</v>
      </c>
      <c r="AI2755">
        <v>5</v>
      </c>
      <c r="AJ2755" t="s">
        <v>201</v>
      </c>
      <c r="AT2755" t="s">
        <v>65</v>
      </c>
      <c r="AV2755" t="s">
        <v>88</v>
      </c>
      <c r="AY2755">
        <v>225</v>
      </c>
      <c r="AZ2755">
        <v>0</v>
      </c>
      <c r="BA2755">
        <v>6.72</v>
      </c>
    </row>
    <row r="2756" spans="1:53" hidden="1" x14ac:dyDescent="0.3">
      <c r="A2756" t="s">
        <v>718</v>
      </c>
      <c r="C2756" t="s">
        <v>251</v>
      </c>
      <c r="D2756" t="s">
        <v>81</v>
      </c>
      <c r="E2756">
        <v>1000000</v>
      </c>
      <c r="H2756">
        <v>14.25</v>
      </c>
      <c r="I2756" t="s">
        <v>56</v>
      </c>
      <c r="J2756">
        <v>1.4250000000000001E-3</v>
      </c>
      <c r="K2756" t="s">
        <v>57</v>
      </c>
      <c r="L2756" t="s">
        <v>112</v>
      </c>
      <c r="O2756">
        <v>225</v>
      </c>
      <c r="P2756" t="s">
        <v>315</v>
      </c>
      <c r="T2756">
        <v>25</v>
      </c>
      <c r="V2756">
        <v>75</v>
      </c>
      <c r="W2756" t="s">
        <v>73</v>
      </c>
      <c r="Y2756">
        <v>30</v>
      </c>
      <c r="AB2756">
        <v>1.27</v>
      </c>
      <c r="AC2756" t="s">
        <v>85</v>
      </c>
      <c r="AD2756">
        <v>0.09</v>
      </c>
      <c r="AE2756" t="s">
        <v>63</v>
      </c>
      <c r="AI2756">
        <v>5</v>
      </c>
      <c r="AJ2756" t="s">
        <v>201</v>
      </c>
      <c r="AT2756" t="s">
        <v>73</v>
      </c>
      <c r="AV2756" t="s">
        <v>88</v>
      </c>
      <c r="AY2756">
        <v>225</v>
      </c>
    </row>
    <row r="2757" spans="1:53" hidden="1" x14ac:dyDescent="0.3">
      <c r="A2757" t="s">
        <v>718</v>
      </c>
      <c r="C2757" t="s">
        <v>251</v>
      </c>
      <c r="D2757" t="s">
        <v>81</v>
      </c>
      <c r="E2757">
        <v>1000000</v>
      </c>
      <c r="H2757">
        <v>14.25</v>
      </c>
      <c r="I2757" t="s">
        <v>56</v>
      </c>
      <c r="J2757">
        <v>1.4250000000000001E-3</v>
      </c>
      <c r="K2757" t="s">
        <v>57</v>
      </c>
      <c r="L2757" t="s">
        <v>112</v>
      </c>
      <c r="O2757">
        <v>225</v>
      </c>
      <c r="P2757" t="s">
        <v>315</v>
      </c>
      <c r="T2757">
        <v>25</v>
      </c>
      <c r="V2757">
        <v>75</v>
      </c>
      <c r="W2757" t="s">
        <v>358</v>
      </c>
      <c r="Y2757">
        <v>30</v>
      </c>
      <c r="AB2757">
        <v>5.28</v>
      </c>
      <c r="AC2757" t="s">
        <v>85</v>
      </c>
      <c r="AD2757">
        <v>1.63</v>
      </c>
      <c r="AE2757" t="s">
        <v>63</v>
      </c>
      <c r="AI2757">
        <v>5</v>
      </c>
      <c r="AJ2757" t="s">
        <v>201</v>
      </c>
      <c r="AT2757" t="s">
        <v>358</v>
      </c>
      <c r="AV2757" t="s">
        <v>88</v>
      </c>
      <c r="AY2757">
        <v>225</v>
      </c>
    </row>
    <row r="2758" spans="1:53" hidden="1" x14ac:dyDescent="0.3">
      <c r="A2758" t="s">
        <v>718</v>
      </c>
      <c r="C2758" t="s">
        <v>251</v>
      </c>
      <c r="D2758" t="s">
        <v>81</v>
      </c>
      <c r="E2758">
        <v>1000000</v>
      </c>
      <c r="H2758">
        <v>14.25</v>
      </c>
      <c r="I2758" t="s">
        <v>56</v>
      </c>
      <c r="J2758">
        <v>1.4250000000000001E-3</v>
      </c>
      <c r="K2758" t="s">
        <v>57</v>
      </c>
      <c r="L2758" t="s">
        <v>112</v>
      </c>
      <c r="O2758">
        <v>225</v>
      </c>
      <c r="P2758" t="s">
        <v>315</v>
      </c>
      <c r="T2758">
        <v>25</v>
      </c>
      <c r="V2758">
        <v>75</v>
      </c>
      <c r="W2758" t="s">
        <v>420</v>
      </c>
      <c r="Y2758">
        <v>60</v>
      </c>
      <c r="AA2758" t="s">
        <v>94</v>
      </c>
      <c r="AB2758">
        <v>6.51</v>
      </c>
      <c r="AC2758" t="s">
        <v>85</v>
      </c>
      <c r="AD2758">
        <v>0</v>
      </c>
      <c r="AE2758" t="s">
        <v>63</v>
      </c>
      <c r="AI2758">
        <v>5</v>
      </c>
      <c r="AJ2758" t="s">
        <v>201</v>
      </c>
      <c r="AV2758" t="s">
        <v>88</v>
      </c>
      <c r="AY2758">
        <v>225</v>
      </c>
      <c r="AZ2758">
        <v>0</v>
      </c>
      <c r="BA2758">
        <v>6.51</v>
      </c>
    </row>
    <row r="2759" spans="1:53" hidden="1" x14ac:dyDescent="0.3">
      <c r="A2759" t="s">
        <v>718</v>
      </c>
      <c r="C2759" t="s">
        <v>251</v>
      </c>
      <c r="D2759" t="s">
        <v>81</v>
      </c>
      <c r="E2759">
        <v>1000000</v>
      </c>
      <c r="H2759">
        <v>14.25</v>
      </c>
      <c r="I2759" t="s">
        <v>56</v>
      </c>
      <c r="J2759">
        <v>1.4250000000000001E-3</v>
      </c>
      <c r="K2759" t="s">
        <v>57</v>
      </c>
      <c r="L2759" t="s">
        <v>112</v>
      </c>
      <c r="O2759">
        <v>225</v>
      </c>
      <c r="P2759" t="s">
        <v>315</v>
      </c>
      <c r="T2759">
        <v>25</v>
      </c>
      <c r="V2759">
        <v>75</v>
      </c>
      <c r="W2759" t="s">
        <v>725</v>
      </c>
      <c r="Y2759">
        <v>60</v>
      </c>
      <c r="AA2759" t="s">
        <v>94</v>
      </c>
      <c r="AB2759">
        <v>6.72</v>
      </c>
      <c r="AC2759" t="s">
        <v>85</v>
      </c>
      <c r="AD2759">
        <v>0</v>
      </c>
      <c r="AE2759" t="s">
        <v>63</v>
      </c>
      <c r="AI2759">
        <v>5</v>
      </c>
      <c r="AJ2759" t="s">
        <v>201</v>
      </c>
      <c r="AT2759" t="s">
        <v>65</v>
      </c>
      <c r="AV2759" t="s">
        <v>88</v>
      </c>
      <c r="AY2759">
        <v>225</v>
      </c>
      <c r="AZ2759">
        <v>0</v>
      </c>
      <c r="BA2759">
        <v>6.72</v>
      </c>
    </row>
    <row r="2760" spans="1:53" hidden="1" x14ac:dyDescent="0.3">
      <c r="A2760" t="s">
        <v>718</v>
      </c>
      <c r="C2760" t="s">
        <v>251</v>
      </c>
      <c r="D2760" t="s">
        <v>81</v>
      </c>
      <c r="E2760">
        <v>1000000</v>
      </c>
      <c r="H2760">
        <v>14.25</v>
      </c>
      <c r="I2760" t="s">
        <v>56</v>
      </c>
      <c r="J2760">
        <v>1.4250000000000001E-3</v>
      </c>
      <c r="K2760" t="s">
        <v>57</v>
      </c>
      <c r="L2760" t="s">
        <v>112</v>
      </c>
      <c r="O2760">
        <v>225</v>
      </c>
      <c r="P2760" t="s">
        <v>315</v>
      </c>
      <c r="T2760">
        <v>25</v>
      </c>
      <c r="V2760">
        <v>75</v>
      </c>
      <c r="W2760" t="s">
        <v>73</v>
      </c>
      <c r="Y2760">
        <v>60</v>
      </c>
      <c r="AB2760">
        <v>5.0599999999999996</v>
      </c>
      <c r="AC2760" t="s">
        <v>85</v>
      </c>
      <c r="AD2760">
        <v>1.67</v>
      </c>
      <c r="AE2760" t="s">
        <v>63</v>
      </c>
      <c r="AI2760">
        <v>5</v>
      </c>
      <c r="AJ2760" t="s">
        <v>201</v>
      </c>
      <c r="AT2760" t="s">
        <v>73</v>
      </c>
      <c r="AV2760" t="s">
        <v>88</v>
      </c>
      <c r="AY2760">
        <v>225</v>
      </c>
    </row>
    <row r="2761" spans="1:53" hidden="1" x14ac:dyDescent="0.3">
      <c r="A2761" t="s">
        <v>718</v>
      </c>
      <c r="C2761" t="s">
        <v>251</v>
      </c>
      <c r="D2761" t="s">
        <v>81</v>
      </c>
      <c r="E2761">
        <v>1000000</v>
      </c>
      <c r="H2761">
        <v>14.25</v>
      </c>
      <c r="I2761" t="s">
        <v>56</v>
      </c>
      <c r="J2761">
        <v>1.4250000000000001E-3</v>
      </c>
      <c r="K2761" t="s">
        <v>57</v>
      </c>
      <c r="L2761" t="s">
        <v>112</v>
      </c>
      <c r="O2761">
        <v>225</v>
      </c>
      <c r="P2761" t="s">
        <v>315</v>
      </c>
      <c r="T2761">
        <v>25</v>
      </c>
      <c r="V2761">
        <v>75</v>
      </c>
      <c r="W2761" t="s">
        <v>358</v>
      </c>
      <c r="Y2761">
        <v>60</v>
      </c>
      <c r="AB2761">
        <v>6.52</v>
      </c>
      <c r="AC2761" t="s">
        <v>85</v>
      </c>
      <c r="AD2761">
        <v>0.68</v>
      </c>
      <c r="AE2761" t="s">
        <v>63</v>
      </c>
      <c r="AI2761">
        <v>5</v>
      </c>
      <c r="AJ2761" t="s">
        <v>201</v>
      </c>
      <c r="AT2761" t="s">
        <v>358</v>
      </c>
      <c r="AV2761" t="s">
        <v>88</v>
      </c>
      <c r="AY2761">
        <v>225</v>
      </c>
    </row>
    <row r="2762" spans="1:53" hidden="1" x14ac:dyDescent="0.3">
      <c r="A2762" t="s">
        <v>718</v>
      </c>
      <c r="C2762" t="s">
        <v>251</v>
      </c>
      <c r="D2762" t="s">
        <v>81</v>
      </c>
      <c r="E2762">
        <v>1000000</v>
      </c>
      <c r="H2762">
        <v>14.25</v>
      </c>
      <c r="I2762" t="s">
        <v>56</v>
      </c>
      <c r="J2762">
        <v>1.4250000000000001E-3</v>
      </c>
      <c r="K2762" t="s">
        <v>57</v>
      </c>
      <c r="L2762" t="s">
        <v>112</v>
      </c>
      <c r="O2762">
        <v>225</v>
      </c>
      <c r="P2762" t="s">
        <v>315</v>
      </c>
      <c r="T2762">
        <v>25</v>
      </c>
      <c r="V2762">
        <v>75</v>
      </c>
      <c r="W2762" t="s">
        <v>420</v>
      </c>
      <c r="Y2762">
        <v>120</v>
      </c>
      <c r="AA2762" t="s">
        <v>94</v>
      </c>
      <c r="AB2762">
        <v>6.51</v>
      </c>
      <c r="AC2762" t="s">
        <v>85</v>
      </c>
      <c r="AD2762">
        <v>0</v>
      </c>
      <c r="AE2762" t="s">
        <v>63</v>
      </c>
      <c r="AI2762">
        <v>5</v>
      </c>
      <c r="AJ2762" t="s">
        <v>201</v>
      </c>
      <c r="AV2762" t="s">
        <v>88</v>
      </c>
      <c r="AY2762">
        <v>225</v>
      </c>
      <c r="AZ2762">
        <v>0</v>
      </c>
      <c r="BA2762">
        <v>6.51</v>
      </c>
    </row>
    <row r="2763" spans="1:53" hidden="1" x14ac:dyDescent="0.3">
      <c r="A2763" t="s">
        <v>718</v>
      </c>
      <c r="C2763" t="s">
        <v>251</v>
      </c>
      <c r="D2763" t="s">
        <v>81</v>
      </c>
      <c r="E2763">
        <v>1000000</v>
      </c>
      <c r="H2763">
        <v>14.25</v>
      </c>
      <c r="I2763" t="s">
        <v>56</v>
      </c>
      <c r="J2763">
        <v>1.4250000000000001E-3</v>
      </c>
      <c r="K2763" t="s">
        <v>57</v>
      </c>
      <c r="L2763" t="s">
        <v>112</v>
      </c>
      <c r="O2763">
        <v>225</v>
      </c>
      <c r="P2763" t="s">
        <v>315</v>
      </c>
      <c r="T2763">
        <v>25</v>
      </c>
      <c r="V2763">
        <v>75</v>
      </c>
      <c r="W2763" t="s">
        <v>725</v>
      </c>
      <c r="Y2763">
        <v>120</v>
      </c>
      <c r="AA2763" t="s">
        <v>94</v>
      </c>
      <c r="AB2763">
        <v>6.72</v>
      </c>
      <c r="AC2763" t="s">
        <v>85</v>
      </c>
      <c r="AD2763">
        <v>0</v>
      </c>
      <c r="AE2763" t="s">
        <v>63</v>
      </c>
      <c r="AI2763">
        <v>5</v>
      </c>
      <c r="AJ2763" t="s">
        <v>201</v>
      </c>
      <c r="AT2763" t="s">
        <v>65</v>
      </c>
      <c r="AV2763" t="s">
        <v>88</v>
      </c>
      <c r="AY2763">
        <v>225</v>
      </c>
      <c r="AZ2763">
        <v>0</v>
      </c>
      <c r="BA2763">
        <v>6.72</v>
      </c>
    </row>
    <row r="2764" spans="1:53" hidden="1" x14ac:dyDescent="0.3">
      <c r="A2764" t="s">
        <v>718</v>
      </c>
      <c r="C2764" t="s">
        <v>251</v>
      </c>
      <c r="D2764" t="s">
        <v>81</v>
      </c>
      <c r="E2764">
        <v>1000000</v>
      </c>
      <c r="H2764">
        <v>14.25</v>
      </c>
      <c r="I2764" t="s">
        <v>56</v>
      </c>
      <c r="J2764">
        <v>1.4250000000000001E-3</v>
      </c>
      <c r="K2764" t="s">
        <v>57</v>
      </c>
      <c r="L2764" t="s">
        <v>112</v>
      </c>
      <c r="O2764">
        <v>225</v>
      </c>
      <c r="P2764" t="s">
        <v>315</v>
      </c>
      <c r="T2764">
        <v>25</v>
      </c>
      <c r="V2764">
        <v>75</v>
      </c>
      <c r="W2764" t="s">
        <v>73</v>
      </c>
      <c r="Y2764">
        <v>120</v>
      </c>
      <c r="AB2764">
        <v>6.39</v>
      </c>
      <c r="AC2764" t="s">
        <v>85</v>
      </c>
      <c r="AD2764">
        <v>0.89</v>
      </c>
      <c r="AE2764" t="s">
        <v>63</v>
      </c>
      <c r="AI2764">
        <v>5</v>
      </c>
      <c r="AJ2764" t="s">
        <v>201</v>
      </c>
      <c r="AT2764" t="s">
        <v>73</v>
      </c>
      <c r="AV2764" t="s">
        <v>88</v>
      </c>
      <c r="AY2764">
        <v>225</v>
      </c>
    </row>
    <row r="2765" spans="1:53" hidden="1" x14ac:dyDescent="0.3">
      <c r="A2765" t="s">
        <v>718</v>
      </c>
      <c r="C2765" t="s">
        <v>251</v>
      </c>
      <c r="D2765" t="s">
        <v>81</v>
      </c>
      <c r="E2765">
        <v>1000000</v>
      </c>
      <c r="H2765">
        <v>14.25</v>
      </c>
      <c r="I2765" t="s">
        <v>56</v>
      </c>
      <c r="J2765">
        <v>1.4250000000000001E-3</v>
      </c>
      <c r="K2765" t="s">
        <v>57</v>
      </c>
      <c r="L2765" t="s">
        <v>112</v>
      </c>
      <c r="O2765">
        <v>225</v>
      </c>
      <c r="P2765" t="s">
        <v>315</v>
      </c>
      <c r="T2765">
        <v>25</v>
      </c>
      <c r="V2765">
        <v>75</v>
      </c>
      <c r="W2765" t="s">
        <v>358</v>
      </c>
      <c r="Y2765">
        <v>120</v>
      </c>
      <c r="AB2765">
        <v>6.83</v>
      </c>
      <c r="AC2765" t="s">
        <v>85</v>
      </c>
      <c r="AD2765">
        <v>0.89</v>
      </c>
      <c r="AE2765" t="s">
        <v>63</v>
      </c>
      <c r="AI2765">
        <v>5</v>
      </c>
      <c r="AJ2765" t="s">
        <v>201</v>
      </c>
      <c r="AT2765" t="s">
        <v>358</v>
      </c>
      <c r="AV2765" t="s">
        <v>88</v>
      </c>
      <c r="AY2765">
        <v>225</v>
      </c>
    </row>
    <row r="2766" spans="1:53" hidden="1" x14ac:dyDescent="0.3">
      <c r="A2766" t="s">
        <v>718</v>
      </c>
      <c r="C2766" t="s">
        <v>251</v>
      </c>
      <c r="D2766" t="s">
        <v>81</v>
      </c>
      <c r="E2766">
        <v>1000000</v>
      </c>
      <c r="H2766">
        <v>14.25</v>
      </c>
      <c r="I2766" t="s">
        <v>56</v>
      </c>
      <c r="J2766">
        <v>1.4250000000000001E-3</v>
      </c>
      <c r="K2766" t="s">
        <v>57</v>
      </c>
      <c r="L2766" t="s">
        <v>112</v>
      </c>
      <c r="O2766">
        <v>225</v>
      </c>
      <c r="P2766" t="s">
        <v>315</v>
      </c>
      <c r="T2766">
        <v>25</v>
      </c>
      <c r="V2766">
        <v>75</v>
      </c>
      <c r="W2766" t="s">
        <v>420</v>
      </c>
      <c r="Y2766">
        <v>240</v>
      </c>
      <c r="AA2766" t="s">
        <v>94</v>
      </c>
      <c r="AB2766">
        <v>6.51</v>
      </c>
      <c r="AC2766" t="s">
        <v>85</v>
      </c>
      <c r="AD2766">
        <v>0</v>
      </c>
      <c r="AE2766" t="s">
        <v>63</v>
      </c>
      <c r="AI2766">
        <v>5</v>
      </c>
      <c r="AJ2766" t="s">
        <v>201</v>
      </c>
      <c r="AV2766" t="s">
        <v>88</v>
      </c>
      <c r="AY2766">
        <v>225</v>
      </c>
      <c r="AZ2766">
        <v>0</v>
      </c>
      <c r="BA2766">
        <v>6.51</v>
      </c>
    </row>
    <row r="2767" spans="1:53" hidden="1" x14ac:dyDescent="0.3">
      <c r="A2767" t="s">
        <v>718</v>
      </c>
      <c r="C2767" t="s">
        <v>251</v>
      </c>
      <c r="D2767" t="s">
        <v>81</v>
      </c>
      <c r="E2767">
        <v>10000000</v>
      </c>
      <c r="H2767">
        <v>14.25</v>
      </c>
      <c r="I2767" t="s">
        <v>56</v>
      </c>
      <c r="J2767">
        <v>1.4250000000000001E-3</v>
      </c>
      <c r="K2767" t="s">
        <v>57</v>
      </c>
      <c r="L2767" t="s">
        <v>112</v>
      </c>
      <c r="O2767">
        <v>225</v>
      </c>
      <c r="P2767" t="s">
        <v>315</v>
      </c>
      <c r="T2767">
        <v>25</v>
      </c>
      <c r="V2767">
        <v>75</v>
      </c>
      <c r="W2767" t="s">
        <v>725</v>
      </c>
      <c r="Y2767">
        <v>240</v>
      </c>
      <c r="AA2767" t="s">
        <v>94</v>
      </c>
      <c r="AB2767">
        <v>6.72</v>
      </c>
      <c r="AC2767" t="s">
        <v>85</v>
      </c>
      <c r="AD2767">
        <v>0</v>
      </c>
      <c r="AE2767" t="s">
        <v>63</v>
      </c>
      <c r="AI2767">
        <v>5</v>
      </c>
      <c r="AJ2767" t="s">
        <v>201</v>
      </c>
      <c r="AT2767" t="s">
        <v>65</v>
      </c>
      <c r="AV2767" t="s">
        <v>88</v>
      </c>
      <c r="AY2767">
        <v>225</v>
      </c>
      <c r="AZ2767">
        <v>0</v>
      </c>
      <c r="BA2767">
        <v>6.72</v>
      </c>
    </row>
    <row r="2768" spans="1:53" hidden="1" x14ac:dyDescent="0.3">
      <c r="A2768" t="s">
        <v>718</v>
      </c>
      <c r="C2768" t="s">
        <v>251</v>
      </c>
      <c r="D2768" t="s">
        <v>81</v>
      </c>
      <c r="E2768">
        <v>10000000</v>
      </c>
      <c r="H2768">
        <v>14.25</v>
      </c>
      <c r="I2768" t="s">
        <v>56</v>
      </c>
      <c r="J2768">
        <v>1.4250000000000001E-3</v>
      </c>
      <c r="K2768" t="s">
        <v>57</v>
      </c>
      <c r="L2768" t="s">
        <v>112</v>
      </c>
      <c r="O2768">
        <v>225</v>
      </c>
      <c r="P2768" t="s">
        <v>315</v>
      </c>
      <c r="T2768">
        <v>25</v>
      </c>
      <c r="V2768">
        <v>75</v>
      </c>
      <c r="W2768" t="s">
        <v>73</v>
      </c>
      <c r="Y2768">
        <v>240</v>
      </c>
      <c r="AB2768">
        <v>6.12</v>
      </c>
      <c r="AC2768" t="s">
        <v>85</v>
      </c>
      <c r="AD2768">
        <v>0.92</v>
      </c>
      <c r="AE2768" t="s">
        <v>63</v>
      </c>
      <c r="AI2768">
        <v>5</v>
      </c>
      <c r="AJ2768" t="s">
        <v>201</v>
      </c>
      <c r="AT2768" t="s">
        <v>73</v>
      </c>
      <c r="AV2768" t="s">
        <v>88</v>
      </c>
      <c r="AY2768">
        <v>225</v>
      </c>
    </row>
    <row r="2769" spans="1:53" hidden="1" x14ac:dyDescent="0.3">
      <c r="A2769" t="s">
        <v>718</v>
      </c>
      <c r="C2769" t="s">
        <v>251</v>
      </c>
      <c r="D2769" t="s">
        <v>81</v>
      </c>
      <c r="E2769">
        <v>10000000</v>
      </c>
      <c r="H2769">
        <v>14.25</v>
      </c>
      <c r="I2769" t="s">
        <v>56</v>
      </c>
      <c r="J2769">
        <v>1.4250000000000001E-3</v>
      </c>
      <c r="K2769" t="s">
        <v>57</v>
      </c>
      <c r="L2769" t="s">
        <v>112</v>
      </c>
      <c r="O2769">
        <v>225</v>
      </c>
      <c r="P2769" t="s">
        <v>315</v>
      </c>
      <c r="T2769">
        <v>25</v>
      </c>
      <c r="V2769">
        <v>75</v>
      </c>
      <c r="W2769" t="s">
        <v>358</v>
      </c>
      <c r="Y2769">
        <v>240</v>
      </c>
      <c r="AA2769" t="s">
        <v>94</v>
      </c>
      <c r="AB2769">
        <v>6.83</v>
      </c>
      <c r="AC2769" t="s">
        <v>85</v>
      </c>
      <c r="AD2769">
        <v>0</v>
      </c>
      <c r="AE2769" t="s">
        <v>63</v>
      </c>
      <c r="AI2769">
        <v>5</v>
      </c>
      <c r="AJ2769" t="s">
        <v>201</v>
      </c>
      <c r="AT2769" t="s">
        <v>358</v>
      </c>
      <c r="AV2769" t="s">
        <v>88</v>
      </c>
      <c r="AY2769">
        <v>225</v>
      </c>
      <c r="AZ2769">
        <v>0</v>
      </c>
      <c r="BA2769">
        <v>6.83</v>
      </c>
    </row>
    <row r="2770" spans="1:53" hidden="1" x14ac:dyDescent="0.3">
      <c r="A2770" t="s">
        <v>718</v>
      </c>
      <c r="C2770" t="s">
        <v>251</v>
      </c>
      <c r="D2770" t="s">
        <v>81</v>
      </c>
      <c r="E2770">
        <v>10000000</v>
      </c>
      <c r="H2770">
        <v>14.25</v>
      </c>
      <c r="I2770" t="s">
        <v>56</v>
      </c>
      <c r="J2770">
        <v>1.4250000000000001E-3</v>
      </c>
      <c r="K2770" t="s">
        <v>57</v>
      </c>
      <c r="L2770" t="s">
        <v>112</v>
      </c>
      <c r="O2770">
        <v>225</v>
      </c>
      <c r="P2770" t="s">
        <v>315</v>
      </c>
      <c r="T2770">
        <v>25</v>
      </c>
      <c r="V2770">
        <v>75</v>
      </c>
      <c r="W2770" t="s">
        <v>420</v>
      </c>
      <c r="X2770" t="s">
        <v>730</v>
      </c>
      <c r="Y2770">
        <v>240</v>
      </c>
      <c r="AA2770" t="s">
        <v>94</v>
      </c>
      <c r="AB2770">
        <v>6.51</v>
      </c>
      <c r="AC2770" t="s">
        <v>85</v>
      </c>
      <c r="AD2770">
        <v>0</v>
      </c>
      <c r="AE2770" t="s">
        <v>63</v>
      </c>
      <c r="AI2770">
        <v>5</v>
      </c>
      <c r="AJ2770" t="s">
        <v>201</v>
      </c>
      <c r="AV2770" t="s">
        <v>88</v>
      </c>
      <c r="AY2770">
        <v>225</v>
      </c>
      <c r="AZ2770">
        <v>0</v>
      </c>
      <c r="BA2770">
        <v>6.51</v>
      </c>
    </row>
    <row r="2771" spans="1:53" hidden="1" x14ac:dyDescent="0.3">
      <c r="A2771" t="s">
        <v>718</v>
      </c>
      <c r="C2771" t="s">
        <v>251</v>
      </c>
      <c r="D2771" t="s">
        <v>81</v>
      </c>
      <c r="E2771">
        <v>10000000</v>
      </c>
      <c r="H2771">
        <v>14.25</v>
      </c>
      <c r="I2771" t="s">
        <v>56</v>
      </c>
      <c r="J2771">
        <v>1.4250000000000001E-3</v>
      </c>
      <c r="K2771" t="s">
        <v>57</v>
      </c>
      <c r="L2771" t="s">
        <v>112</v>
      </c>
      <c r="O2771">
        <v>225</v>
      </c>
      <c r="P2771" t="s">
        <v>315</v>
      </c>
      <c r="T2771">
        <v>25</v>
      </c>
      <c r="V2771">
        <v>75</v>
      </c>
      <c r="W2771" t="s">
        <v>725</v>
      </c>
      <c r="X2771" t="s">
        <v>730</v>
      </c>
      <c r="Y2771">
        <v>240</v>
      </c>
      <c r="AA2771" t="s">
        <v>94</v>
      </c>
      <c r="AB2771">
        <v>6.72</v>
      </c>
      <c r="AC2771" t="s">
        <v>85</v>
      </c>
      <c r="AD2771">
        <v>0</v>
      </c>
      <c r="AE2771" t="s">
        <v>63</v>
      </c>
      <c r="AI2771">
        <v>5</v>
      </c>
      <c r="AJ2771" t="s">
        <v>201</v>
      </c>
      <c r="AT2771" t="s">
        <v>65</v>
      </c>
      <c r="AV2771" t="s">
        <v>88</v>
      </c>
      <c r="AY2771">
        <v>225</v>
      </c>
      <c r="AZ2771">
        <v>0</v>
      </c>
      <c r="BA2771">
        <v>6.72</v>
      </c>
    </row>
    <row r="2772" spans="1:53" hidden="1" x14ac:dyDescent="0.3">
      <c r="A2772" t="s">
        <v>718</v>
      </c>
      <c r="C2772" t="s">
        <v>251</v>
      </c>
      <c r="D2772" t="s">
        <v>81</v>
      </c>
      <c r="E2772">
        <v>10000000</v>
      </c>
      <c r="H2772">
        <v>14.25</v>
      </c>
      <c r="I2772" t="s">
        <v>56</v>
      </c>
      <c r="J2772">
        <v>1.4250000000000001E-3</v>
      </c>
      <c r="K2772" t="s">
        <v>57</v>
      </c>
      <c r="L2772" t="s">
        <v>112</v>
      </c>
      <c r="O2772">
        <v>225</v>
      </c>
      <c r="P2772" t="s">
        <v>315</v>
      </c>
      <c r="T2772">
        <v>25</v>
      </c>
      <c r="V2772">
        <v>75</v>
      </c>
      <c r="W2772" t="s">
        <v>73</v>
      </c>
      <c r="X2772" t="s">
        <v>730</v>
      </c>
      <c r="Y2772">
        <v>240</v>
      </c>
      <c r="AB2772">
        <v>6.42</v>
      </c>
      <c r="AC2772" t="s">
        <v>85</v>
      </c>
      <c r="AD2772">
        <v>0.82</v>
      </c>
      <c r="AE2772" t="s">
        <v>63</v>
      </c>
      <c r="AI2772">
        <v>5</v>
      </c>
      <c r="AJ2772" t="s">
        <v>201</v>
      </c>
      <c r="AT2772" t="s">
        <v>73</v>
      </c>
      <c r="AV2772" t="s">
        <v>88</v>
      </c>
      <c r="AY2772">
        <v>225</v>
      </c>
    </row>
    <row r="2773" spans="1:53" hidden="1" x14ac:dyDescent="0.3">
      <c r="A2773" t="s">
        <v>718</v>
      </c>
      <c r="C2773" t="s">
        <v>251</v>
      </c>
      <c r="D2773" t="s">
        <v>81</v>
      </c>
      <c r="E2773">
        <v>10000000</v>
      </c>
      <c r="H2773">
        <v>14.25</v>
      </c>
      <c r="I2773" t="s">
        <v>56</v>
      </c>
      <c r="J2773">
        <v>1.4250000000000001E-3</v>
      </c>
      <c r="K2773" t="s">
        <v>57</v>
      </c>
      <c r="L2773" t="s">
        <v>112</v>
      </c>
      <c r="O2773">
        <v>225</v>
      </c>
      <c r="P2773" t="s">
        <v>315</v>
      </c>
      <c r="T2773">
        <v>25</v>
      </c>
      <c r="V2773">
        <v>75</v>
      </c>
      <c r="W2773" t="s">
        <v>358</v>
      </c>
      <c r="X2773" t="s">
        <v>730</v>
      </c>
      <c r="Y2773">
        <v>240</v>
      </c>
      <c r="AA2773" t="s">
        <v>94</v>
      </c>
      <c r="AB2773">
        <v>6.83</v>
      </c>
      <c r="AC2773" t="s">
        <v>85</v>
      </c>
      <c r="AD2773">
        <v>0</v>
      </c>
      <c r="AE2773" t="s">
        <v>63</v>
      </c>
      <c r="AI2773">
        <v>5</v>
      </c>
      <c r="AJ2773" t="s">
        <v>201</v>
      </c>
      <c r="AT2773" t="s">
        <v>358</v>
      </c>
      <c r="AV2773" t="s">
        <v>88</v>
      </c>
      <c r="AY2773">
        <v>225</v>
      </c>
      <c r="AZ2773">
        <v>0</v>
      </c>
      <c r="BA2773">
        <v>6.83</v>
      </c>
    </row>
    <row r="2774" spans="1:53" hidden="1" x14ac:dyDescent="0.3">
      <c r="A2774" t="s">
        <v>718</v>
      </c>
      <c r="C2774" t="s">
        <v>251</v>
      </c>
      <c r="D2774" t="s">
        <v>81</v>
      </c>
      <c r="E2774">
        <v>10000000</v>
      </c>
      <c r="H2774">
        <v>14.25</v>
      </c>
      <c r="I2774" t="s">
        <v>56</v>
      </c>
      <c r="J2774">
        <v>1.4250000000000001E-3</v>
      </c>
      <c r="K2774" t="s">
        <v>57</v>
      </c>
      <c r="L2774" t="s">
        <v>112</v>
      </c>
      <c r="O2774">
        <v>500</v>
      </c>
      <c r="P2774" t="s">
        <v>315</v>
      </c>
      <c r="T2774">
        <v>25</v>
      </c>
      <c r="V2774">
        <v>75</v>
      </c>
      <c r="W2774" t="s">
        <v>726</v>
      </c>
      <c r="Y2774">
        <v>30</v>
      </c>
      <c r="AB2774">
        <v>1.92</v>
      </c>
      <c r="AC2774" t="s">
        <v>85</v>
      </c>
      <c r="AD2774">
        <v>0.66</v>
      </c>
      <c r="AE2774" t="s">
        <v>63</v>
      </c>
      <c r="AI2774">
        <v>5</v>
      </c>
      <c r="AJ2774" t="s">
        <v>201</v>
      </c>
      <c r="AT2774" t="s">
        <v>212</v>
      </c>
      <c r="AV2774" t="s">
        <v>88</v>
      </c>
      <c r="AY2774">
        <v>500</v>
      </c>
    </row>
    <row r="2775" spans="1:53" hidden="1" x14ac:dyDescent="0.3">
      <c r="A2775" t="s">
        <v>718</v>
      </c>
      <c r="C2775" t="s">
        <v>251</v>
      </c>
      <c r="D2775" t="s">
        <v>81</v>
      </c>
      <c r="E2775">
        <v>10000000</v>
      </c>
      <c r="H2775">
        <v>14.25</v>
      </c>
      <c r="I2775" t="s">
        <v>56</v>
      </c>
      <c r="J2775">
        <v>1.4250000000000001E-3</v>
      </c>
      <c r="K2775" t="s">
        <v>57</v>
      </c>
      <c r="L2775" t="s">
        <v>112</v>
      </c>
      <c r="O2775">
        <v>500</v>
      </c>
      <c r="P2775" t="s">
        <v>315</v>
      </c>
      <c r="T2775">
        <v>25</v>
      </c>
      <c r="V2775">
        <v>75</v>
      </c>
      <c r="W2775" t="s">
        <v>150</v>
      </c>
      <c r="Y2775">
        <v>30</v>
      </c>
      <c r="AB2775">
        <v>5.4</v>
      </c>
      <c r="AC2775" t="s">
        <v>85</v>
      </c>
      <c r="AD2775">
        <v>1.42</v>
      </c>
      <c r="AE2775" t="s">
        <v>63</v>
      </c>
      <c r="AI2775">
        <v>5</v>
      </c>
      <c r="AJ2775" t="s">
        <v>201</v>
      </c>
      <c r="AT2775" t="s">
        <v>150</v>
      </c>
      <c r="AV2775" t="s">
        <v>88</v>
      </c>
      <c r="AY2775">
        <v>500</v>
      </c>
    </row>
    <row r="2776" spans="1:53" hidden="1" x14ac:dyDescent="0.3">
      <c r="A2776" t="s">
        <v>718</v>
      </c>
      <c r="C2776" t="s">
        <v>251</v>
      </c>
      <c r="D2776" t="s">
        <v>81</v>
      </c>
      <c r="E2776">
        <v>10000000</v>
      </c>
      <c r="H2776">
        <v>14.25</v>
      </c>
      <c r="I2776" t="s">
        <v>56</v>
      </c>
      <c r="J2776">
        <v>1.4250000000000001E-3</v>
      </c>
      <c r="K2776" t="s">
        <v>57</v>
      </c>
      <c r="L2776" t="s">
        <v>112</v>
      </c>
      <c r="O2776">
        <v>500</v>
      </c>
      <c r="P2776" t="s">
        <v>315</v>
      </c>
      <c r="T2776">
        <v>25</v>
      </c>
      <c r="V2776">
        <v>75</v>
      </c>
      <c r="W2776" t="s">
        <v>468</v>
      </c>
      <c r="Y2776">
        <v>30</v>
      </c>
      <c r="AB2776">
        <v>5.87</v>
      </c>
      <c r="AC2776" t="s">
        <v>85</v>
      </c>
      <c r="AD2776">
        <v>0.09</v>
      </c>
      <c r="AE2776" t="s">
        <v>63</v>
      </c>
      <c r="AI2776">
        <v>5</v>
      </c>
      <c r="AJ2776" t="s">
        <v>201</v>
      </c>
      <c r="AT2776" t="s">
        <v>318</v>
      </c>
      <c r="AV2776" t="s">
        <v>88</v>
      </c>
      <c r="AY2776">
        <v>500</v>
      </c>
    </row>
    <row r="2777" spans="1:53" hidden="1" x14ac:dyDescent="0.3">
      <c r="A2777" t="s">
        <v>718</v>
      </c>
      <c r="C2777" t="s">
        <v>251</v>
      </c>
      <c r="D2777" t="s">
        <v>81</v>
      </c>
      <c r="E2777">
        <v>10000000</v>
      </c>
      <c r="H2777">
        <v>14.25</v>
      </c>
      <c r="I2777" t="s">
        <v>56</v>
      </c>
      <c r="J2777">
        <v>1.4250000000000001E-3</v>
      </c>
      <c r="K2777" t="s">
        <v>57</v>
      </c>
      <c r="L2777" t="s">
        <v>112</v>
      </c>
      <c r="O2777">
        <v>500</v>
      </c>
      <c r="P2777" t="s">
        <v>315</v>
      </c>
      <c r="T2777">
        <v>25</v>
      </c>
      <c r="V2777">
        <v>75</v>
      </c>
      <c r="W2777" t="s">
        <v>726</v>
      </c>
      <c r="Y2777">
        <v>60</v>
      </c>
      <c r="AB2777">
        <v>2.97</v>
      </c>
      <c r="AC2777" t="s">
        <v>85</v>
      </c>
      <c r="AD2777">
        <v>1.6</v>
      </c>
      <c r="AE2777" t="s">
        <v>63</v>
      </c>
      <c r="AI2777">
        <v>5</v>
      </c>
      <c r="AJ2777" t="s">
        <v>201</v>
      </c>
      <c r="AT2777" t="s">
        <v>212</v>
      </c>
      <c r="AV2777" t="s">
        <v>88</v>
      </c>
      <c r="AY2777">
        <v>500</v>
      </c>
    </row>
    <row r="2778" spans="1:53" hidden="1" x14ac:dyDescent="0.3">
      <c r="A2778" t="s">
        <v>718</v>
      </c>
      <c r="C2778" t="s">
        <v>251</v>
      </c>
      <c r="D2778" t="s">
        <v>81</v>
      </c>
      <c r="E2778">
        <v>10000000</v>
      </c>
      <c r="H2778">
        <v>14.25</v>
      </c>
      <c r="I2778" t="s">
        <v>56</v>
      </c>
      <c r="J2778">
        <v>1.4250000000000001E-3</v>
      </c>
      <c r="K2778" t="s">
        <v>57</v>
      </c>
      <c r="L2778" t="s">
        <v>112</v>
      </c>
      <c r="O2778">
        <v>500</v>
      </c>
      <c r="P2778" t="s">
        <v>315</v>
      </c>
      <c r="T2778">
        <v>25</v>
      </c>
      <c r="V2778">
        <v>75</v>
      </c>
      <c r="W2778" t="s">
        <v>150</v>
      </c>
      <c r="Y2778">
        <v>60</v>
      </c>
      <c r="AA2778" t="s">
        <v>94</v>
      </c>
      <c r="AB2778">
        <v>6.91</v>
      </c>
      <c r="AC2778" t="s">
        <v>85</v>
      </c>
      <c r="AD2778">
        <v>0</v>
      </c>
      <c r="AE2778" t="s">
        <v>63</v>
      </c>
      <c r="AI2778">
        <v>5</v>
      </c>
      <c r="AJ2778" t="s">
        <v>201</v>
      </c>
      <c r="AT2778" t="s">
        <v>150</v>
      </c>
      <c r="AV2778" t="s">
        <v>88</v>
      </c>
      <c r="AY2778">
        <v>500</v>
      </c>
      <c r="AZ2778">
        <v>0</v>
      </c>
      <c r="BA2778">
        <v>6.91</v>
      </c>
    </row>
    <row r="2779" spans="1:53" hidden="1" x14ac:dyDescent="0.3">
      <c r="A2779" t="s">
        <v>718</v>
      </c>
      <c r="C2779" t="s">
        <v>251</v>
      </c>
      <c r="D2779" t="s">
        <v>81</v>
      </c>
      <c r="E2779">
        <v>10000000</v>
      </c>
      <c r="H2779">
        <v>14.25</v>
      </c>
      <c r="I2779" t="s">
        <v>56</v>
      </c>
      <c r="J2779">
        <v>1.4250000000000001E-3</v>
      </c>
      <c r="K2779" t="s">
        <v>57</v>
      </c>
      <c r="L2779" t="s">
        <v>112</v>
      </c>
      <c r="O2779">
        <v>500</v>
      </c>
      <c r="P2779" t="s">
        <v>315</v>
      </c>
      <c r="T2779">
        <v>25</v>
      </c>
      <c r="V2779">
        <v>75</v>
      </c>
      <c r="W2779" t="s">
        <v>468</v>
      </c>
      <c r="Y2779">
        <v>60</v>
      </c>
      <c r="AA2779" t="s">
        <v>94</v>
      </c>
      <c r="AB2779">
        <v>5.87</v>
      </c>
      <c r="AC2779" t="s">
        <v>85</v>
      </c>
      <c r="AD2779">
        <v>0</v>
      </c>
      <c r="AE2779" t="s">
        <v>63</v>
      </c>
      <c r="AI2779">
        <v>5</v>
      </c>
      <c r="AJ2779" t="s">
        <v>201</v>
      </c>
      <c r="AT2779" t="s">
        <v>318</v>
      </c>
      <c r="AV2779" t="s">
        <v>88</v>
      </c>
      <c r="AY2779">
        <v>500</v>
      </c>
      <c r="AZ2779">
        <v>0</v>
      </c>
      <c r="BA2779">
        <v>5.87</v>
      </c>
    </row>
    <row r="2780" spans="1:53" hidden="1" x14ac:dyDescent="0.3">
      <c r="A2780" t="s">
        <v>718</v>
      </c>
      <c r="C2780" t="s">
        <v>251</v>
      </c>
      <c r="D2780" t="s">
        <v>81</v>
      </c>
      <c r="E2780">
        <v>10000000</v>
      </c>
      <c r="H2780">
        <v>14.25</v>
      </c>
      <c r="I2780" t="s">
        <v>56</v>
      </c>
      <c r="J2780">
        <v>1.4250000000000001E-3</v>
      </c>
      <c r="K2780" t="s">
        <v>57</v>
      </c>
      <c r="L2780" t="s">
        <v>112</v>
      </c>
      <c r="O2780">
        <v>500</v>
      </c>
      <c r="P2780" t="s">
        <v>315</v>
      </c>
      <c r="T2780">
        <v>25</v>
      </c>
      <c r="V2780">
        <v>75</v>
      </c>
      <c r="W2780" t="s">
        <v>726</v>
      </c>
      <c r="Y2780">
        <v>120</v>
      </c>
      <c r="AB2780">
        <v>3.51</v>
      </c>
      <c r="AC2780" t="s">
        <v>85</v>
      </c>
      <c r="AD2780">
        <v>1.31</v>
      </c>
      <c r="AE2780" t="s">
        <v>63</v>
      </c>
      <c r="AI2780">
        <v>5</v>
      </c>
      <c r="AJ2780" t="s">
        <v>201</v>
      </c>
      <c r="AT2780" t="s">
        <v>212</v>
      </c>
      <c r="AV2780" t="s">
        <v>88</v>
      </c>
      <c r="AY2780">
        <v>500</v>
      </c>
    </row>
    <row r="2781" spans="1:53" hidden="1" x14ac:dyDescent="0.3">
      <c r="A2781" t="s">
        <v>718</v>
      </c>
      <c r="C2781" t="s">
        <v>251</v>
      </c>
      <c r="D2781" t="s">
        <v>81</v>
      </c>
      <c r="E2781">
        <v>10000000</v>
      </c>
      <c r="H2781">
        <v>14.25</v>
      </c>
      <c r="I2781" t="s">
        <v>56</v>
      </c>
      <c r="J2781">
        <v>1.4250000000000001E-3</v>
      </c>
      <c r="K2781" t="s">
        <v>57</v>
      </c>
      <c r="L2781" t="s">
        <v>112</v>
      </c>
      <c r="O2781">
        <v>500</v>
      </c>
      <c r="P2781" t="s">
        <v>315</v>
      </c>
      <c r="T2781">
        <v>25</v>
      </c>
      <c r="V2781">
        <v>75</v>
      </c>
      <c r="W2781" t="s">
        <v>150</v>
      </c>
      <c r="Y2781">
        <v>120</v>
      </c>
      <c r="AA2781" t="s">
        <v>94</v>
      </c>
      <c r="AB2781">
        <v>6.91</v>
      </c>
      <c r="AC2781" t="s">
        <v>85</v>
      </c>
      <c r="AD2781">
        <v>0</v>
      </c>
      <c r="AE2781" t="s">
        <v>63</v>
      </c>
      <c r="AI2781">
        <v>5</v>
      </c>
      <c r="AJ2781" t="s">
        <v>201</v>
      </c>
      <c r="AT2781" t="s">
        <v>150</v>
      </c>
      <c r="AV2781" t="s">
        <v>88</v>
      </c>
      <c r="AY2781">
        <v>500</v>
      </c>
      <c r="AZ2781">
        <v>0</v>
      </c>
      <c r="BA2781">
        <v>6.91</v>
      </c>
    </row>
    <row r="2782" spans="1:53" hidden="1" x14ac:dyDescent="0.3">
      <c r="A2782" t="s">
        <v>718</v>
      </c>
      <c r="C2782" t="s">
        <v>251</v>
      </c>
      <c r="D2782" t="s">
        <v>81</v>
      </c>
      <c r="E2782">
        <v>10000000</v>
      </c>
      <c r="H2782">
        <v>14.25</v>
      </c>
      <c r="I2782" t="s">
        <v>56</v>
      </c>
      <c r="J2782">
        <v>1.4250000000000001E-3</v>
      </c>
      <c r="K2782" t="s">
        <v>57</v>
      </c>
      <c r="L2782" t="s">
        <v>112</v>
      </c>
      <c r="O2782">
        <v>500</v>
      </c>
      <c r="P2782" t="s">
        <v>315</v>
      </c>
      <c r="T2782">
        <v>25</v>
      </c>
      <c r="V2782">
        <v>75</v>
      </c>
      <c r="W2782" t="s">
        <v>468</v>
      </c>
      <c r="Y2782">
        <v>120</v>
      </c>
      <c r="AA2782" t="s">
        <v>94</v>
      </c>
      <c r="AB2782">
        <v>5.87</v>
      </c>
      <c r="AC2782" t="s">
        <v>85</v>
      </c>
      <c r="AD2782">
        <v>0</v>
      </c>
      <c r="AE2782" t="s">
        <v>63</v>
      </c>
      <c r="AI2782">
        <v>5</v>
      </c>
      <c r="AJ2782" t="s">
        <v>201</v>
      </c>
      <c r="AT2782" t="s">
        <v>318</v>
      </c>
      <c r="AV2782" t="s">
        <v>88</v>
      </c>
      <c r="AY2782">
        <v>500</v>
      </c>
      <c r="AZ2782">
        <v>0</v>
      </c>
      <c r="BA2782">
        <v>5.87</v>
      </c>
    </row>
    <row r="2783" spans="1:53" hidden="1" x14ac:dyDescent="0.3">
      <c r="A2783" t="s">
        <v>718</v>
      </c>
      <c r="C2783" t="s">
        <v>251</v>
      </c>
      <c r="D2783" t="s">
        <v>81</v>
      </c>
      <c r="E2783">
        <v>10000000</v>
      </c>
      <c r="H2783">
        <v>14.25</v>
      </c>
      <c r="I2783" t="s">
        <v>56</v>
      </c>
      <c r="J2783">
        <v>1.4250000000000001E-3</v>
      </c>
      <c r="K2783" t="s">
        <v>57</v>
      </c>
      <c r="L2783" t="s">
        <v>112</v>
      </c>
      <c r="O2783">
        <v>500</v>
      </c>
      <c r="P2783" t="s">
        <v>315</v>
      </c>
      <c r="T2783">
        <v>25</v>
      </c>
      <c r="V2783">
        <v>75</v>
      </c>
      <c r="W2783" t="s">
        <v>726</v>
      </c>
      <c r="Y2783">
        <v>240</v>
      </c>
      <c r="AA2783" t="s">
        <v>94</v>
      </c>
      <c r="AB2783">
        <v>5.74</v>
      </c>
      <c r="AC2783" t="s">
        <v>85</v>
      </c>
      <c r="AD2783">
        <v>0</v>
      </c>
      <c r="AE2783" t="s">
        <v>63</v>
      </c>
      <c r="AI2783">
        <v>5</v>
      </c>
      <c r="AJ2783" t="s">
        <v>201</v>
      </c>
      <c r="AT2783" t="s">
        <v>212</v>
      </c>
      <c r="AV2783" t="s">
        <v>88</v>
      </c>
      <c r="AY2783">
        <v>500</v>
      </c>
      <c r="AZ2783">
        <v>0</v>
      </c>
      <c r="BA2783">
        <v>5.74</v>
      </c>
    </row>
    <row r="2784" spans="1:53" hidden="1" x14ac:dyDescent="0.3">
      <c r="A2784" t="s">
        <v>718</v>
      </c>
      <c r="C2784" t="s">
        <v>251</v>
      </c>
      <c r="D2784" t="s">
        <v>81</v>
      </c>
      <c r="E2784">
        <v>10000000</v>
      </c>
      <c r="H2784">
        <v>14.25</v>
      </c>
      <c r="I2784" t="s">
        <v>56</v>
      </c>
      <c r="J2784">
        <v>1.4250000000000001E-3</v>
      </c>
      <c r="K2784" t="s">
        <v>57</v>
      </c>
      <c r="L2784" t="s">
        <v>112</v>
      </c>
      <c r="O2784">
        <v>500</v>
      </c>
      <c r="P2784" t="s">
        <v>315</v>
      </c>
      <c r="T2784">
        <v>25</v>
      </c>
      <c r="V2784">
        <v>75</v>
      </c>
      <c r="W2784" t="s">
        <v>150</v>
      </c>
      <c r="Y2784">
        <v>240</v>
      </c>
      <c r="AA2784" t="s">
        <v>94</v>
      </c>
      <c r="AB2784">
        <v>6.91</v>
      </c>
      <c r="AC2784" t="s">
        <v>85</v>
      </c>
      <c r="AD2784">
        <v>0</v>
      </c>
      <c r="AE2784" t="s">
        <v>63</v>
      </c>
      <c r="AI2784">
        <v>5</v>
      </c>
      <c r="AJ2784" t="s">
        <v>201</v>
      </c>
      <c r="AT2784" t="s">
        <v>150</v>
      </c>
      <c r="AV2784" t="s">
        <v>88</v>
      </c>
      <c r="AY2784">
        <v>500</v>
      </c>
      <c r="AZ2784">
        <v>0</v>
      </c>
      <c r="BA2784">
        <v>6.91</v>
      </c>
    </row>
    <row r="2785" spans="1:53" hidden="1" x14ac:dyDescent="0.3">
      <c r="A2785" t="s">
        <v>718</v>
      </c>
      <c r="C2785" t="s">
        <v>251</v>
      </c>
      <c r="D2785" t="s">
        <v>81</v>
      </c>
      <c r="E2785">
        <v>10000000</v>
      </c>
      <c r="H2785">
        <v>14.25</v>
      </c>
      <c r="I2785" t="s">
        <v>56</v>
      </c>
      <c r="J2785">
        <v>1.4250000000000001E-3</v>
      </c>
      <c r="K2785" t="s">
        <v>57</v>
      </c>
      <c r="L2785" t="s">
        <v>112</v>
      </c>
      <c r="O2785">
        <v>500</v>
      </c>
      <c r="P2785" t="s">
        <v>315</v>
      </c>
      <c r="T2785">
        <v>25</v>
      </c>
      <c r="V2785">
        <v>75</v>
      </c>
      <c r="W2785" t="s">
        <v>468</v>
      </c>
      <c r="Y2785">
        <v>240</v>
      </c>
      <c r="AA2785" t="s">
        <v>94</v>
      </c>
      <c r="AB2785">
        <v>5.87</v>
      </c>
      <c r="AC2785" t="s">
        <v>85</v>
      </c>
      <c r="AD2785">
        <v>0</v>
      </c>
      <c r="AE2785" t="s">
        <v>63</v>
      </c>
      <c r="AI2785">
        <v>5</v>
      </c>
      <c r="AJ2785" t="s">
        <v>201</v>
      </c>
      <c r="AT2785" t="s">
        <v>318</v>
      </c>
      <c r="AV2785" t="s">
        <v>88</v>
      </c>
      <c r="AY2785">
        <v>500</v>
      </c>
      <c r="AZ2785">
        <v>0</v>
      </c>
      <c r="BA2785">
        <v>5.87</v>
      </c>
    </row>
    <row r="2786" spans="1:53" hidden="1" x14ac:dyDescent="0.3">
      <c r="A2786" t="s">
        <v>718</v>
      </c>
      <c r="C2786" t="s">
        <v>251</v>
      </c>
      <c r="D2786" t="s">
        <v>81</v>
      </c>
      <c r="E2786">
        <v>10000000</v>
      </c>
      <c r="H2786">
        <v>14.25</v>
      </c>
      <c r="I2786" t="s">
        <v>56</v>
      </c>
      <c r="J2786">
        <v>1.4250000000000001E-3</v>
      </c>
      <c r="K2786" t="s">
        <v>57</v>
      </c>
      <c r="L2786" t="s">
        <v>112</v>
      </c>
      <c r="O2786">
        <v>500</v>
      </c>
      <c r="P2786" t="s">
        <v>315</v>
      </c>
      <c r="T2786">
        <v>25</v>
      </c>
      <c r="V2786">
        <v>75</v>
      </c>
      <c r="W2786" t="s">
        <v>726</v>
      </c>
      <c r="X2786" t="s">
        <v>730</v>
      </c>
      <c r="Y2786">
        <v>240</v>
      </c>
      <c r="AA2786" t="s">
        <v>94</v>
      </c>
      <c r="AB2786">
        <v>5.74</v>
      </c>
      <c r="AC2786" t="s">
        <v>85</v>
      </c>
      <c r="AD2786">
        <v>0</v>
      </c>
      <c r="AE2786" t="s">
        <v>63</v>
      </c>
      <c r="AI2786">
        <v>5</v>
      </c>
      <c r="AJ2786" t="s">
        <v>201</v>
      </c>
      <c r="AT2786" t="s">
        <v>212</v>
      </c>
      <c r="AV2786" t="s">
        <v>88</v>
      </c>
      <c r="AY2786">
        <v>500</v>
      </c>
      <c r="AZ2786">
        <v>0</v>
      </c>
      <c r="BA2786">
        <v>5.74</v>
      </c>
    </row>
    <row r="2787" spans="1:53" hidden="1" x14ac:dyDescent="0.3">
      <c r="A2787" t="s">
        <v>718</v>
      </c>
      <c r="C2787" t="s">
        <v>251</v>
      </c>
      <c r="D2787" t="s">
        <v>81</v>
      </c>
      <c r="E2787">
        <v>10000000</v>
      </c>
      <c r="H2787">
        <v>14.25</v>
      </c>
      <c r="I2787" t="s">
        <v>56</v>
      </c>
      <c r="J2787">
        <v>1.4250000000000001E-3</v>
      </c>
      <c r="K2787" t="s">
        <v>57</v>
      </c>
      <c r="L2787" t="s">
        <v>112</v>
      </c>
      <c r="O2787">
        <v>500</v>
      </c>
      <c r="P2787" t="s">
        <v>315</v>
      </c>
      <c r="T2787">
        <v>25</v>
      </c>
      <c r="V2787">
        <v>75</v>
      </c>
      <c r="W2787" t="s">
        <v>150</v>
      </c>
      <c r="X2787" t="s">
        <v>730</v>
      </c>
      <c r="Y2787">
        <v>240</v>
      </c>
      <c r="AA2787" t="s">
        <v>94</v>
      </c>
      <c r="AB2787">
        <v>6.91</v>
      </c>
      <c r="AC2787" t="s">
        <v>85</v>
      </c>
      <c r="AD2787">
        <v>0</v>
      </c>
      <c r="AE2787" t="s">
        <v>63</v>
      </c>
      <c r="AI2787">
        <v>5</v>
      </c>
      <c r="AJ2787" t="s">
        <v>201</v>
      </c>
      <c r="AT2787" t="s">
        <v>150</v>
      </c>
      <c r="AV2787" t="s">
        <v>88</v>
      </c>
      <c r="AY2787">
        <v>500</v>
      </c>
      <c r="AZ2787">
        <v>0</v>
      </c>
      <c r="BA2787">
        <v>6.91</v>
      </c>
    </row>
    <row r="2788" spans="1:53" hidden="1" x14ac:dyDescent="0.3">
      <c r="A2788" t="s">
        <v>718</v>
      </c>
      <c r="C2788" t="s">
        <v>251</v>
      </c>
      <c r="D2788" t="s">
        <v>81</v>
      </c>
      <c r="E2788">
        <v>10000000</v>
      </c>
      <c r="H2788">
        <v>14.25</v>
      </c>
      <c r="I2788" t="s">
        <v>56</v>
      </c>
      <c r="J2788">
        <v>1.4250000000000001E-3</v>
      </c>
      <c r="K2788" t="s">
        <v>57</v>
      </c>
      <c r="L2788" t="s">
        <v>112</v>
      </c>
      <c r="O2788">
        <v>500</v>
      </c>
      <c r="P2788" t="s">
        <v>315</v>
      </c>
      <c r="T2788">
        <v>25</v>
      </c>
      <c r="V2788">
        <v>75</v>
      </c>
      <c r="W2788" t="s">
        <v>468</v>
      </c>
      <c r="X2788" t="s">
        <v>730</v>
      </c>
      <c r="Y2788">
        <v>240</v>
      </c>
      <c r="AA2788" t="s">
        <v>94</v>
      </c>
      <c r="AB2788">
        <v>5.87</v>
      </c>
      <c r="AC2788" t="s">
        <v>85</v>
      </c>
      <c r="AD2788">
        <v>0</v>
      </c>
      <c r="AE2788" t="s">
        <v>63</v>
      </c>
      <c r="AI2788">
        <v>5</v>
      </c>
      <c r="AJ2788" t="s">
        <v>201</v>
      </c>
      <c r="AT2788" t="s">
        <v>318</v>
      </c>
      <c r="AV2788" t="s">
        <v>88</v>
      </c>
      <c r="AY2788">
        <v>500</v>
      </c>
      <c r="AZ2788">
        <v>0</v>
      </c>
      <c r="BA2788">
        <v>5.87</v>
      </c>
    </row>
    <row r="2789" spans="1:53" hidden="1" x14ac:dyDescent="0.3">
      <c r="A2789" t="s">
        <v>718</v>
      </c>
      <c r="C2789" t="s">
        <v>251</v>
      </c>
      <c r="D2789" t="s">
        <v>81</v>
      </c>
      <c r="E2789">
        <v>10000000</v>
      </c>
      <c r="H2789">
        <v>14.25</v>
      </c>
      <c r="I2789" t="s">
        <v>56</v>
      </c>
      <c r="J2789">
        <v>1.4250000000000001E-3</v>
      </c>
      <c r="K2789" t="s">
        <v>57</v>
      </c>
      <c r="L2789" t="s">
        <v>112</v>
      </c>
      <c r="O2789">
        <v>225</v>
      </c>
      <c r="P2789" t="s">
        <v>315</v>
      </c>
      <c r="T2789">
        <v>25</v>
      </c>
      <c r="V2789">
        <v>75</v>
      </c>
      <c r="W2789" t="s">
        <v>726</v>
      </c>
      <c r="Y2789">
        <v>30</v>
      </c>
      <c r="AB2789">
        <v>1.35</v>
      </c>
      <c r="AC2789" t="s">
        <v>85</v>
      </c>
      <c r="AD2789">
        <v>0.35</v>
      </c>
      <c r="AE2789" t="s">
        <v>63</v>
      </c>
      <c r="AI2789">
        <v>5</v>
      </c>
      <c r="AJ2789" t="s">
        <v>201</v>
      </c>
      <c r="AT2789" t="s">
        <v>212</v>
      </c>
      <c r="AV2789" t="s">
        <v>88</v>
      </c>
      <c r="AY2789">
        <v>225</v>
      </c>
    </row>
    <row r="2790" spans="1:53" hidden="1" x14ac:dyDescent="0.3">
      <c r="A2790" t="s">
        <v>718</v>
      </c>
      <c r="C2790" t="s">
        <v>251</v>
      </c>
      <c r="D2790" t="s">
        <v>81</v>
      </c>
      <c r="E2790">
        <v>10000000</v>
      </c>
      <c r="H2790">
        <v>14.25</v>
      </c>
      <c r="I2790" t="s">
        <v>56</v>
      </c>
      <c r="J2790">
        <v>1.4250000000000001E-3</v>
      </c>
      <c r="K2790" t="s">
        <v>57</v>
      </c>
      <c r="L2790" t="s">
        <v>112</v>
      </c>
      <c r="O2790">
        <v>225</v>
      </c>
      <c r="P2790" t="s">
        <v>315</v>
      </c>
      <c r="T2790">
        <v>25</v>
      </c>
      <c r="V2790">
        <v>75</v>
      </c>
      <c r="W2790" t="s">
        <v>150</v>
      </c>
      <c r="Y2790">
        <v>30</v>
      </c>
      <c r="AB2790">
        <v>6.18</v>
      </c>
      <c r="AC2790" t="s">
        <v>85</v>
      </c>
      <c r="AD2790">
        <v>0.82</v>
      </c>
      <c r="AE2790" t="s">
        <v>63</v>
      </c>
      <c r="AI2790">
        <v>5</v>
      </c>
      <c r="AJ2790" t="s">
        <v>201</v>
      </c>
      <c r="AT2790" t="s">
        <v>150</v>
      </c>
      <c r="AV2790" t="s">
        <v>88</v>
      </c>
      <c r="AY2790">
        <v>225</v>
      </c>
    </row>
    <row r="2791" spans="1:53" hidden="1" x14ac:dyDescent="0.3">
      <c r="A2791" t="s">
        <v>718</v>
      </c>
      <c r="C2791" t="s">
        <v>251</v>
      </c>
      <c r="D2791" t="s">
        <v>81</v>
      </c>
      <c r="E2791">
        <v>10000000</v>
      </c>
      <c r="H2791">
        <v>14.25</v>
      </c>
      <c r="I2791" t="s">
        <v>56</v>
      </c>
      <c r="J2791">
        <v>1.4250000000000001E-3</v>
      </c>
      <c r="K2791" t="s">
        <v>57</v>
      </c>
      <c r="L2791" t="s">
        <v>112</v>
      </c>
      <c r="O2791">
        <v>225</v>
      </c>
      <c r="P2791" t="s">
        <v>315</v>
      </c>
      <c r="T2791">
        <v>25</v>
      </c>
      <c r="V2791">
        <v>75</v>
      </c>
      <c r="W2791" t="s">
        <v>468</v>
      </c>
      <c r="Y2791">
        <v>30</v>
      </c>
      <c r="AB2791">
        <v>5.18</v>
      </c>
      <c r="AC2791" t="s">
        <v>85</v>
      </c>
      <c r="AD2791">
        <v>0.98</v>
      </c>
      <c r="AE2791" t="s">
        <v>63</v>
      </c>
      <c r="AI2791">
        <v>5</v>
      </c>
      <c r="AJ2791" t="s">
        <v>201</v>
      </c>
      <c r="AT2791" t="s">
        <v>318</v>
      </c>
      <c r="AV2791" t="s">
        <v>88</v>
      </c>
      <c r="AY2791">
        <v>225</v>
      </c>
    </row>
    <row r="2792" spans="1:53" hidden="1" x14ac:dyDescent="0.3">
      <c r="A2792" t="s">
        <v>718</v>
      </c>
      <c r="C2792" t="s">
        <v>251</v>
      </c>
      <c r="D2792" t="s">
        <v>81</v>
      </c>
      <c r="E2792">
        <v>10000000</v>
      </c>
      <c r="H2792">
        <v>14.25</v>
      </c>
      <c r="I2792" t="s">
        <v>56</v>
      </c>
      <c r="J2792">
        <v>1.4250000000000001E-3</v>
      </c>
      <c r="K2792" t="s">
        <v>57</v>
      </c>
      <c r="L2792" t="s">
        <v>112</v>
      </c>
      <c r="O2792">
        <v>225</v>
      </c>
      <c r="P2792" t="s">
        <v>315</v>
      </c>
      <c r="T2792">
        <v>25</v>
      </c>
      <c r="V2792">
        <v>75</v>
      </c>
      <c r="W2792" t="s">
        <v>726</v>
      </c>
      <c r="Y2792">
        <v>60</v>
      </c>
      <c r="AB2792">
        <v>2.15</v>
      </c>
      <c r="AC2792" t="s">
        <v>85</v>
      </c>
      <c r="AD2792">
        <v>0.7</v>
      </c>
      <c r="AE2792" t="s">
        <v>63</v>
      </c>
      <c r="AI2792">
        <v>5</v>
      </c>
      <c r="AJ2792" t="s">
        <v>201</v>
      </c>
      <c r="AT2792" t="s">
        <v>212</v>
      </c>
      <c r="AV2792" t="s">
        <v>88</v>
      </c>
      <c r="AY2792">
        <v>225</v>
      </c>
    </row>
    <row r="2793" spans="1:53" hidden="1" x14ac:dyDescent="0.3">
      <c r="A2793" t="s">
        <v>718</v>
      </c>
      <c r="C2793" t="s">
        <v>251</v>
      </c>
      <c r="D2793" t="s">
        <v>81</v>
      </c>
      <c r="E2793">
        <v>10000000</v>
      </c>
      <c r="H2793">
        <v>14.25</v>
      </c>
      <c r="I2793" t="s">
        <v>56</v>
      </c>
      <c r="J2793">
        <v>1.4250000000000001E-3</v>
      </c>
      <c r="K2793" t="s">
        <v>57</v>
      </c>
      <c r="L2793" t="s">
        <v>112</v>
      </c>
      <c r="O2793">
        <v>225</v>
      </c>
      <c r="P2793" t="s">
        <v>315</v>
      </c>
      <c r="T2793">
        <v>25</v>
      </c>
      <c r="V2793">
        <v>75</v>
      </c>
      <c r="W2793" t="s">
        <v>150</v>
      </c>
      <c r="Y2793">
        <v>60</v>
      </c>
      <c r="AB2793">
        <v>6.12</v>
      </c>
      <c r="AC2793" t="s">
        <v>85</v>
      </c>
      <c r="AD2793">
        <v>0.95</v>
      </c>
      <c r="AE2793" t="s">
        <v>63</v>
      </c>
      <c r="AI2793">
        <v>5</v>
      </c>
      <c r="AJ2793" t="s">
        <v>201</v>
      </c>
      <c r="AT2793" t="s">
        <v>150</v>
      </c>
      <c r="AV2793" t="s">
        <v>88</v>
      </c>
      <c r="AY2793">
        <v>225</v>
      </c>
    </row>
    <row r="2794" spans="1:53" hidden="1" x14ac:dyDescent="0.3">
      <c r="A2794" t="s">
        <v>718</v>
      </c>
      <c r="C2794" t="s">
        <v>251</v>
      </c>
      <c r="D2794" t="s">
        <v>81</v>
      </c>
      <c r="E2794">
        <v>10000000</v>
      </c>
      <c r="H2794">
        <v>14.25</v>
      </c>
      <c r="I2794" t="s">
        <v>56</v>
      </c>
      <c r="J2794">
        <v>1.4250000000000001E-3</v>
      </c>
      <c r="K2794" t="s">
        <v>57</v>
      </c>
      <c r="L2794" t="s">
        <v>112</v>
      </c>
      <c r="O2794">
        <v>225</v>
      </c>
      <c r="P2794" t="s">
        <v>315</v>
      </c>
      <c r="T2794">
        <v>25</v>
      </c>
      <c r="V2794">
        <v>75</v>
      </c>
      <c r="W2794" t="s">
        <v>468</v>
      </c>
      <c r="Y2794">
        <v>60</v>
      </c>
      <c r="AB2794">
        <v>5.21</v>
      </c>
      <c r="AC2794" t="s">
        <v>85</v>
      </c>
      <c r="AD2794">
        <v>0.92</v>
      </c>
      <c r="AE2794" t="s">
        <v>63</v>
      </c>
      <c r="AI2794">
        <v>5</v>
      </c>
      <c r="AJ2794" t="s">
        <v>201</v>
      </c>
      <c r="AT2794" t="s">
        <v>318</v>
      </c>
      <c r="AV2794" t="s">
        <v>88</v>
      </c>
      <c r="AY2794">
        <v>225</v>
      </c>
    </row>
    <row r="2795" spans="1:53" hidden="1" x14ac:dyDescent="0.3">
      <c r="A2795" t="s">
        <v>718</v>
      </c>
      <c r="C2795" t="s">
        <v>251</v>
      </c>
      <c r="D2795" t="s">
        <v>81</v>
      </c>
      <c r="E2795">
        <v>10000000</v>
      </c>
      <c r="H2795">
        <v>14.25</v>
      </c>
      <c r="I2795" t="s">
        <v>56</v>
      </c>
      <c r="J2795">
        <v>1.4250000000000001E-3</v>
      </c>
      <c r="K2795" t="s">
        <v>57</v>
      </c>
      <c r="L2795" t="s">
        <v>112</v>
      </c>
      <c r="O2795">
        <v>225</v>
      </c>
      <c r="P2795" t="s">
        <v>315</v>
      </c>
      <c r="T2795">
        <v>25</v>
      </c>
      <c r="V2795">
        <v>75</v>
      </c>
      <c r="W2795" t="s">
        <v>726</v>
      </c>
      <c r="Y2795">
        <v>120</v>
      </c>
      <c r="AB2795">
        <v>2.14</v>
      </c>
      <c r="AC2795" t="s">
        <v>85</v>
      </c>
      <c r="AD2795">
        <v>0.1</v>
      </c>
      <c r="AE2795" t="s">
        <v>63</v>
      </c>
      <c r="AI2795">
        <v>5</v>
      </c>
      <c r="AJ2795" t="s">
        <v>201</v>
      </c>
      <c r="AT2795" t="s">
        <v>212</v>
      </c>
      <c r="AV2795" t="s">
        <v>88</v>
      </c>
      <c r="AY2795">
        <v>225</v>
      </c>
    </row>
    <row r="2796" spans="1:53" hidden="1" x14ac:dyDescent="0.3">
      <c r="A2796" t="s">
        <v>718</v>
      </c>
      <c r="C2796" t="s">
        <v>251</v>
      </c>
      <c r="D2796" t="s">
        <v>81</v>
      </c>
      <c r="E2796">
        <v>10000000</v>
      </c>
      <c r="H2796">
        <v>14.25</v>
      </c>
      <c r="I2796" t="s">
        <v>56</v>
      </c>
      <c r="J2796">
        <v>1.4250000000000001E-3</v>
      </c>
      <c r="K2796" t="s">
        <v>57</v>
      </c>
      <c r="L2796" t="s">
        <v>112</v>
      </c>
      <c r="O2796">
        <v>225</v>
      </c>
      <c r="P2796" t="s">
        <v>315</v>
      </c>
      <c r="T2796">
        <v>25</v>
      </c>
      <c r="V2796">
        <v>75</v>
      </c>
      <c r="W2796" t="s">
        <v>150</v>
      </c>
      <c r="Y2796">
        <v>120</v>
      </c>
      <c r="AA2796" t="s">
        <v>94</v>
      </c>
      <c r="AB2796">
        <v>6.55</v>
      </c>
      <c r="AC2796" t="s">
        <v>85</v>
      </c>
      <c r="AD2796">
        <v>0</v>
      </c>
      <c r="AE2796" t="s">
        <v>63</v>
      </c>
      <c r="AI2796">
        <v>5</v>
      </c>
      <c r="AJ2796" t="s">
        <v>201</v>
      </c>
      <c r="AT2796" t="s">
        <v>150</v>
      </c>
      <c r="AV2796" t="s">
        <v>88</v>
      </c>
      <c r="AY2796">
        <v>225</v>
      </c>
      <c r="AZ2796">
        <v>0</v>
      </c>
      <c r="BA2796">
        <v>6.55</v>
      </c>
    </row>
    <row r="2797" spans="1:53" hidden="1" x14ac:dyDescent="0.3">
      <c r="A2797" t="s">
        <v>718</v>
      </c>
      <c r="C2797" t="s">
        <v>251</v>
      </c>
      <c r="D2797" t="s">
        <v>81</v>
      </c>
      <c r="E2797">
        <v>10000000</v>
      </c>
      <c r="H2797">
        <v>14.25</v>
      </c>
      <c r="I2797" t="s">
        <v>56</v>
      </c>
      <c r="J2797">
        <v>1.4250000000000001E-3</v>
      </c>
      <c r="K2797" t="s">
        <v>57</v>
      </c>
      <c r="L2797" t="s">
        <v>112</v>
      </c>
      <c r="O2797">
        <v>225</v>
      </c>
      <c r="P2797" t="s">
        <v>315</v>
      </c>
      <c r="T2797">
        <v>25</v>
      </c>
      <c r="V2797">
        <v>75</v>
      </c>
      <c r="W2797" t="s">
        <v>468</v>
      </c>
      <c r="Y2797">
        <v>120</v>
      </c>
      <c r="AA2797" t="s">
        <v>94</v>
      </c>
      <c r="AB2797">
        <v>5.88</v>
      </c>
      <c r="AC2797" t="s">
        <v>85</v>
      </c>
      <c r="AD2797">
        <v>0</v>
      </c>
      <c r="AE2797" t="s">
        <v>63</v>
      </c>
      <c r="AI2797">
        <v>5</v>
      </c>
      <c r="AJ2797" t="s">
        <v>201</v>
      </c>
      <c r="AT2797" t="s">
        <v>318</v>
      </c>
      <c r="AV2797" t="s">
        <v>88</v>
      </c>
      <c r="AY2797">
        <v>225</v>
      </c>
      <c r="AZ2797">
        <v>0</v>
      </c>
      <c r="BA2797">
        <v>5.88</v>
      </c>
    </row>
    <row r="2798" spans="1:53" hidden="1" x14ac:dyDescent="0.3">
      <c r="A2798" t="s">
        <v>718</v>
      </c>
      <c r="C2798" t="s">
        <v>251</v>
      </c>
      <c r="D2798" t="s">
        <v>81</v>
      </c>
      <c r="E2798">
        <v>10000000</v>
      </c>
      <c r="H2798">
        <v>14.25</v>
      </c>
      <c r="I2798" t="s">
        <v>56</v>
      </c>
      <c r="J2798">
        <v>1.4250000000000001E-3</v>
      </c>
      <c r="K2798" t="s">
        <v>57</v>
      </c>
      <c r="L2798" t="s">
        <v>112</v>
      </c>
      <c r="O2798">
        <v>225</v>
      </c>
      <c r="P2798" t="s">
        <v>315</v>
      </c>
      <c r="T2798">
        <v>25</v>
      </c>
      <c r="V2798">
        <v>75</v>
      </c>
      <c r="W2798" t="s">
        <v>726</v>
      </c>
      <c r="Y2798">
        <v>240</v>
      </c>
      <c r="AB2798">
        <v>3.52</v>
      </c>
      <c r="AC2798" t="s">
        <v>85</v>
      </c>
      <c r="AD2798">
        <v>1.87</v>
      </c>
      <c r="AE2798" t="s">
        <v>63</v>
      </c>
      <c r="AI2798">
        <v>5</v>
      </c>
      <c r="AJ2798" t="s">
        <v>201</v>
      </c>
      <c r="AT2798" t="s">
        <v>212</v>
      </c>
      <c r="AV2798" t="s">
        <v>88</v>
      </c>
      <c r="AY2798">
        <v>225</v>
      </c>
    </row>
    <row r="2799" spans="1:53" hidden="1" x14ac:dyDescent="0.3">
      <c r="A2799" t="s">
        <v>718</v>
      </c>
      <c r="C2799" t="s">
        <v>251</v>
      </c>
      <c r="D2799" t="s">
        <v>81</v>
      </c>
      <c r="E2799">
        <v>10000000</v>
      </c>
      <c r="H2799">
        <v>14.25</v>
      </c>
      <c r="I2799" t="s">
        <v>56</v>
      </c>
      <c r="J2799">
        <v>1.4250000000000001E-3</v>
      </c>
      <c r="K2799" t="s">
        <v>57</v>
      </c>
      <c r="L2799" t="s">
        <v>112</v>
      </c>
      <c r="O2799">
        <v>225</v>
      </c>
      <c r="P2799" t="s">
        <v>315</v>
      </c>
      <c r="T2799">
        <v>25</v>
      </c>
      <c r="V2799">
        <v>75</v>
      </c>
      <c r="W2799" t="s">
        <v>150</v>
      </c>
      <c r="Y2799">
        <v>240</v>
      </c>
      <c r="AA2799" t="s">
        <v>94</v>
      </c>
      <c r="AB2799">
        <v>6.55</v>
      </c>
      <c r="AC2799" t="s">
        <v>85</v>
      </c>
      <c r="AD2799">
        <v>0</v>
      </c>
      <c r="AE2799" t="s">
        <v>63</v>
      </c>
      <c r="AI2799">
        <v>5</v>
      </c>
      <c r="AJ2799" t="s">
        <v>201</v>
      </c>
      <c r="AT2799" t="s">
        <v>150</v>
      </c>
      <c r="AV2799" t="s">
        <v>88</v>
      </c>
      <c r="AY2799">
        <v>225</v>
      </c>
      <c r="AZ2799">
        <v>0</v>
      </c>
      <c r="BA2799">
        <v>6.55</v>
      </c>
    </row>
    <row r="2800" spans="1:53" hidden="1" x14ac:dyDescent="0.3">
      <c r="A2800" t="s">
        <v>718</v>
      </c>
      <c r="C2800" t="s">
        <v>251</v>
      </c>
      <c r="D2800" t="s">
        <v>81</v>
      </c>
      <c r="E2800">
        <v>10000000</v>
      </c>
      <c r="H2800">
        <v>14.25</v>
      </c>
      <c r="I2800" t="s">
        <v>56</v>
      </c>
      <c r="J2800">
        <v>1.4250000000000001E-3</v>
      </c>
      <c r="K2800" t="s">
        <v>57</v>
      </c>
      <c r="L2800" t="s">
        <v>112</v>
      </c>
      <c r="O2800">
        <v>225</v>
      </c>
      <c r="P2800" t="s">
        <v>315</v>
      </c>
      <c r="T2800">
        <v>25</v>
      </c>
      <c r="V2800">
        <v>75</v>
      </c>
      <c r="W2800" t="s">
        <v>468</v>
      </c>
      <c r="Y2800">
        <v>240</v>
      </c>
      <c r="AA2800" t="s">
        <v>94</v>
      </c>
      <c r="AB2800">
        <v>5.88</v>
      </c>
      <c r="AC2800" t="s">
        <v>85</v>
      </c>
      <c r="AD2800">
        <v>0</v>
      </c>
      <c r="AE2800" t="s">
        <v>63</v>
      </c>
      <c r="AI2800">
        <v>5</v>
      </c>
      <c r="AJ2800" t="s">
        <v>201</v>
      </c>
      <c r="AT2800" t="s">
        <v>318</v>
      </c>
      <c r="AV2800" t="s">
        <v>88</v>
      </c>
      <c r="AY2800">
        <v>225</v>
      </c>
      <c r="AZ2800">
        <v>0</v>
      </c>
      <c r="BA2800">
        <v>5.88</v>
      </c>
    </row>
    <row r="2801" spans="1:53" hidden="1" x14ac:dyDescent="0.3">
      <c r="A2801" t="s">
        <v>718</v>
      </c>
      <c r="C2801" t="s">
        <v>251</v>
      </c>
      <c r="D2801" t="s">
        <v>81</v>
      </c>
      <c r="E2801">
        <v>10000000</v>
      </c>
      <c r="H2801">
        <v>14.25</v>
      </c>
      <c r="I2801" t="s">
        <v>56</v>
      </c>
      <c r="J2801">
        <v>1.4250000000000001E-3</v>
      </c>
      <c r="K2801" t="s">
        <v>57</v>
      </c>
      <c r="L2801" t="s">
        <v>112</v>
      </c>
      <c r="O2801">
        <v>225</v>
      </c>
      <c r="P2801" t="s">
        <v>315</v>
      </c>
      <c r="T2801">
        <v>25</v>
      </c>
      <c r="V2801">
        <v>75</v>
      </c>
      <c r="W2801" t="s">
        <v>726</v>
      </c>
      <c r="X2801" t="s">
        <v>730</v>
      </c>
      <c r="Y2801">
        <v>240</v>
      </c>
      <c r="AB2801">
        <v>3.32</v>
      </c>
      <c r="AC2801" t="s">
        <v>85</v>
      </c>
      <c r="AD2801">
        <v>2.4500000000000002</v>
      </c>
      <c r="AE2801" t="s">
        <v>63</v>
      </c>
      <c r="AI2801">
        <v>5</v>
      </c>
      <c r="AJ2801" t="s">
        <v>201</v>
      </c>
      <c r="AT2801" t="s">
        <v>212</v>
      </c>
      <c r="AV2801" t="s">
        <v>88</v>
      </c>
      <c r="AY2801">
        <v>225</v>
      </c>
    </row>
    <row r="2802" spans="1:53" hidden="1" x14ac:dyDescent="0.3">
      <c r="A2802" t="s">
        <v>718</v>
      </c>
      <c r="C2802" t="s">
        <v>251</v>
      </c>
      <c r="D2802" t="s">
        <v>81</v>
      </c>
      <c r="E2802">
        <v>10000000</v>
      </c>
      <c r="H2802">
        <v>14.25</v>
      </c>
      <c r="I2802" t="s">
        <v>56</v>
      </c>
      <c r="J2802">
        <v>1.4250000000000001E-3</v>
      </c>
      <c r="K2802" t="s">
        <v>57</v>
      </c>
      <c r="L2802" t="s">
        <v>112</v>
      </c>
      <c r="O2802">
        <v>225</v>
      </c>
      <c r="P2802" t="s">
        <v>315</v>
      </c>
      <c r="T2802">
        <v>25</v>
      </c>
      <c r="V2802">
        <v>75</v>
      </c>
      <c r="W2802" t="s">
        <v>150</v>
      </c>
      <c r="X2802" t="s">
        <v>730</v>
      </c>
      <c r="Y2802">
        <v>240</v>
      </c>
      <c r="AA2802" t="s">
        <v>94</v>
      </c>
      <c r="AB2802">
        <v>6.55</v>
      </c>
      <c r="AC2802" t="s">
        <v>85</v>
      </c>
      <c r="AD2802">
        <v>0</v>
      </c>
      <c r="AE2802" t="s">
        <v>63</v>
      </c>
      <c r="AI2802">
        <v>5</v>
      </c>
      <c r="AJ2802" t="s">
        <v>201</v>
      </c>
      <c r="AT2802" t="s">
        <v>150</v>
      </c>
      <c r="AV2802" t="s">
        <v>88</v>
      </c>
      <c r="AY2802">
        <v>225</v>
      </c>
      <c r="AZ2802">
        <v>0</v>
      </c>
      <c r="BA2802">
        <v>6.55</v>
      </c>
    </row>
    <row r="2803" spans="1:53" hidden="1" x14ac:dyDescent="0.3">
      <c r="A2803" t="s">
        <v>718</v>
      </c>
      <c r="C2803" t="s">
        <v>251</v>
      </c>
      <c r="D2803" t="s">
        <v>81</v>
      </c>
      <c r="E2803">
        <v>10000000</v>
      </c>
      <c r="H2803">
        <v>14.25</v>
      </c>
      <c r="I2803" t="s">
        <v>56</v>
      </c>
      <c r="J2803">
        <v>1.4250000000000001E-3</v>
      </c>
      <c r="K2803" t="s">
        <v>57</v>
      </c>
      <c r="L2803" t="s">
        <v>112</v>
      </c>
      <c r="O2803">
        <v>225</v>
      </c>
      <c r="P2803" t="s">
        <v>315</v>
      </c>
      <c r="T2803">
        <v>25</v>
      </c>
      <c r="V2803">
        <v>75</v>
      </c>
      <c r="W2803" t="s">
        <v>468</v>
      </c>
      <c r="X2803" t="s">
        <v>730</v>
      </c>
      <c r="Y2803">
        <v>240</v>
      </c>
      <c r="AA2803" t="s">
        <v>94</v>
      </c>
      <c r="AB2803">
        <v>5.88</v>
      </c>
      <c r="AC2803" t="s">
        <v>85</v>
      </c>
      <c r="AD2803">
        <v>0</v>
      </c>
      <c r="AE2803" t="s">
        <v>63</v>
      </c>
      <c r="AI2803">
        <v>5</v>
      </c>
      <c r="AJ2803" t="s">
        <v>201</v>
      </c>
      <c r="AT2803" t="s">
        <v>318</v>
      </c>
      <c r="AV2803" t="s">
        <v>88</v>
      </c>
      <c r="AY2803">
        <v>225</v>
      </c>
      <c r="AZ2803">
        <v>0</v>
      </c>
      <c r="BA2803">
        <v>5.88</v>
      </c>
    </row>
    <row r="2804" spans="1:53" hidden="1" x14ac:dyDescent="0.3">
      <c r="A2804" t="s">
        <v>731</v>
      </c>
      <c r="B2804" t="s">
        <v>732</v>
      </c>
      <c r="C2804" t="s">
        <v>251</v>
      </c>
      <c r="D2804" t="s">
        <v>81</v>
      </c>
      <c r="E2804">
        <v>10000000</v>
      </c>
      <c r="H2804">
        <v>2.25</v>
      </c>
      <c r="I2804" t="s">
        <v>215</v>
      </c>
      <c r="J2804">
        <v>1.4516100000000001E-3</v>
      </c>
      <c r="K2804" t="s">
        <v>57</v>
      </c>
      <c r="N2804" t="s">
        <v>733</v>
      </c>
      <c r="O2804">
        <v>1482</v>
      </c>
      <c r="P2804" t="s">
        <v>315</v>
      </c>
      <c r="S2804" t="s">
        <v>733</v>
      </c>
      <c r="T2804">
        <v>24.1</v>
      </c>
      <c r="U2804" t="s">
        <v>733</v>
      </c>
      <c r="V2804">
        <v>75.099999999999895</v>
      </c>
      <c r="W2804" t="s">
        <v>734</v>
      </c>
      <c r="X2804" t="s">
        <v>280</v>
      </c>
      <c r="Y2804">
        <v>120</v>
      </c>
      <c r="AB2804">
        <v>2.4022649687162398</v>
      </c>
      <c r="AC2804" t="s">
        <v>85</v>
      </c>
      <c r="AD2804" t="s">
        <v>735</v>
      </c>
      <c r="AE2804" t="s">
        <v>138</v>
      </c>
      <c r="AI2804">
        <v>3</v>
      </c>
      <c r="AV2804" t="s">
        <v>428</v>
      </c>
      <c r="AW2804">
        <v>1482</v>
      </c>
    </row>
    <row r="2805" spans="1:53" hidden="1" x14ac:dyDescent="0.3">
      <c r="A2805" t="s">
        <v>731</v>
      </c>
      <c r="C2805" t="s">
        <v>251</v>
      </c>
      <c r="D2805" t="s">
        <v>81</v>
      </c>
      <c r="E2805">
        <v>10000000</v>
      </c>
      <c r="H2805">
        <v>2.25</v>
      </c>
      <c r="I2805" t="s">
        <v>215</v>
      </c>
      <c r="J2805">
        <v>1.4516100000000001E-3</v>
      </c>
      <c r="K2805" t="s">
        <v>57</v>
      </c>
      <c r="N2805" t="s">
        <v>733</v>
      </c>
      <c r="O2805">
        <v>1482</v>
      </c>
      <c r="P2805" t="s">
        <v>315</v>
      </c>
      <c r="S2805" t="s">
        <v>733</v>
      </c>
      <c r="T2805">
        <v>24.1</v>
      </c>
      <c r="U2805" t="s">
        <v>733</v>
      </c>
      <c r="V2805">
        <v>75.099999999999895</v>
      </c>
      <c r="W2805" t="s">
        <v>736</v>
      </c>
      <c r="X2805" t="s">
        <v>280</v>
      </c>
      <c r="Y2805">
        <v>120</v>
      </c>
      <c r="AB2805">
        <v>2.4912075234436601</v>
      </c>
      <c r="AC2805" t="s">
        <v>85</v>
      </c>
      <c r="AD2805" t="s">
        <v>737</v>
      </c>
      <c r="AE2805" t="s">
        <v>138</v>
      </c>
      <c r="AI2805">
        <v>3</v>
      </c>
      <c r="AT2805" t="s">
        <v>77</v>
      </c>
      <c r="AV2805" t="s">
        <v>428</v>
      </c>
      <c r="AW2805">
        <v>1482</v>
      </c>
    </row>
    <row r="2806" spans="1:53" hidden="1" x14ac:dyDescent="0.3">
      <c r="A2806" t="s">
        <v>731</v>
      </c>
      <c r="B2806" t="s">
        <v>732</v>
      </c>
      <c r="C2806" t="s">
        <v>251</v>
      </c>
      <c r="D2806" t="s">
        <v>81</v>
      </c>
      <c r="E2806">
        <v>10000000</v>
      </c>
      <c r="H2806">
        <v>4</v>
      </c>
      <c r="I2806" t="s">
        <v>215</v>
      </c>
      <c r="J2806">
        <v>2.5806399999999999E-3</v>
      </c>
      <c r="K2806" t="s">
        <v>57</v>
      </c>
      <c r="N2806" t="s">
        <v>733</v>
      </c>
      <c r="O2806">
        <v>1482</v>
      </c>
      <c r="P2806" t="s">
        <v>315</v>
      </c>
      <c r="S2806" t="s">
        <v>733</v>
      </c>
      <c r="T2806">
        <v>24.1</v>
      </c>
      <c r="U2806" t="s">
        <v>733</v>
      </c>
      <c r="V2806">
        <v>75.099999999999895</v>
      </c>
      <c r="W2806" t="s">
        <v>738</v>
      </c>
      <c r="X2806" t="s">
        <v>280</v>
      </c>
      <c r="Y2806">
        <v>120</v>
      </c>
      <c r="AB2806">
        <v>2.1625184518663998</v>
      </c>
      <c r="AC2806" t="s">
        <v>85</v>
      </c>
      <c r="AD2806" t="s">
        <v>739</v>
      </c>
      <c r="AE2806" t="s">
        <v>138</v>
      </c>
      <c r="AI2806">
        <v>3</v>
      </c>
      <c r="AV2806" t="s">
        <v>428</v>
      </c>
      <c r="AW2806">
        <v>1482</v>
      </c>
    </row>
    <row r="2807" spans="1:53" hidden="1" x14ac:dyDescent="0.3">
      <c r="A2807" t="s">
        <v>731</v>
      </c>
      <c r="C2807" t="s">
        <v>251</v>
      </c>
      <c r="D2807" t="s">
        <v>81</v>
      </c>
      <c r="E2807">
        <v>10000000</v>
      </c>
      <c r="H2807">
        <v>4</v>
      </c>
      <c r="I2807" t="s">
        <v>215</v>
      </c>
      <c r="J2807">
        <v>2.5806399999999999E-3</v>
      </c>
      <c r="K2807" t="s">
        <v>57</v>
      </c>
      <c r="N2807" t="s">
        <v>733</v>
      </c>
      <c r="O2807">
        <v>1482</v>
      </c>
      <c r="P2807" t="s">
        <v>315</v>
      </c>
      <c r="S2807" t="s">
        <v>733</v>
      </c>
      <c r="T2807">
        <v>24.1</v>
      </c>
      <c r="U2807" t="s">
        <v>733</v>
      </c>
      <c r="V2807">
        <v>75.099999999999895</v>
      </c>
      <c r="W2807" t="s">
        <v>740</v>
      </c>
      <c r="X2807" t="s">
        <v>280</v>
      </c>
      <c r="Y2807">
        <v>120</v>
      </c>
      <c r="AB2807">
        <v>2.7149517826321699</v>
      </c>
      <c r="AC2807" t="s">
        <v>85</v>
      </c>
      <c r="AD2807" t="s">
        <v>741</v>
      </c>
      <c r="AE2807" t="s">
        <v>138</v>
      </c>
      <c r="AI2807">
        <v>3</v>
      </c>
      <c r="AT2807" t="s">
        <v>65</v>
      </c>
      <c r="AV2807" t="s">
        <v>428</v>
      </c>
      <c r="AW2807">
        <v>1482</v>
      </c>
    </row>
    <row r="2808" spans="1:53" hidden="1" x14ac:dyDescent="0.3">
      <c r="A2808" t="s">
        <v>731</v>
      </c>
      <c r="B2808" t="s">
        <v>732</v>
      </c>
      <c r="C2808" t="s">
        <v>251</v>
      </c>
      <c r="D2808" t="s">
        <v>81</v>
      </c>
      <c r="E2808">
        <v>10000000</v>
      </c>
      <c r="N2808" t="s">
        <v>733</v>
      </c>
      <c r="O2808">
        <v>1482</v>
      </c>
      <c r="P2808" t="s">
        <v>315</v>
      </c>
      <c r="S2808" t="s">
        <v>733</v>
      </c>
      <c r="T2808">
        <v>24.1</v>
      </c>
      <c r="U2808" t="s">
        <v>733</v>
      </c>
      <c r="V2808">
        <v>75.099999999999895</v>
      </c>
      <c r="W2808" t="s">
        <v>742</v>
      </c>
      <c r="X2808" t="s">
        <v>280</v>
      </c>
      <c r="Y2808">
        <v>120</v>
      </c>
      <c r="AB2808">
        <v>2.8134410749003802</v>
      </c>
      <c r="AC2808" t="s">
        <v>85</v>
      </c>
      <c r="AD2808" t="s">
        <v>743</v>
      </c>
      <c r="AE2808" t="s">
        <v>138</v>
      </c>
      <c r="AI2808">
        <v>3</v>
      </c>
      <c r="AV2808" t="s">
        <v>428</v>
      </c>
      <c r="AW2808">
        <v>1482</v>
      </c>
    </row>
    <row r="2809" spans="1:53" hidden="1" x14ac:dyDescent="0.3">
      <c r="A2809" t="s">
        <v>731</v>
      </c>
      <c r="C2809" t="s">
        <v>251</v>
      </c>
      <c r="D2809" t="s">
        <v>81</v>
      </c>
      <c r="E2809">
        <v>10000000</v>
      </c>
      <c r="N2809" t="s">
        <v>733</v>
      </c>
      <c r="O2809">
        <v>1482</v>
      </c>
      <c r="P2809" t="s">
        <v>315</v>
      </c>
      <c r="S2809" t="s">
        <v>733</v>
      </c>
      <c r="T2809">
        <v>24.1</v>
      </c>
      <c r="U2809" t="s">
        <v>733</v>
      </c>
      <c r="V2809">
        <v>75.099999999999895</v>
      </c>
      <c r="W2809" t="s">
        <v>744</v>
      </c>
      <c r="X2809" t="s">
        <v>280</v>
      </c>
      <c r="Y2809">
        <v>120</v>
      </c>
      <c r="AB2809">
        <v>2.5323368105210902</v>
      </c>
      <c r="AC2809" t="s">
        <v>85</v>
      </c>
      <c r="AD2809" t="s">
        <v>745</v>
      </c>
      <c r="AE2809" t="s">
        <v>138</v>
      </c>
      <c r="AI2809">
        <v>3</v>
      </c>
      <c r="AT2809" t="s">
        <v>203</v>
      </c>
      <c r="AV2809" t="s">
        <v>428</v>
      </c>
      <c r="AW2809">
        <v>1482</v>
      </c>
    </row>
    <row r="2810" spans="1:53" hidden="1" x14ac:dyDescent="0.3">
      <c r="A2810" t="s">
        <v>731</v>
      </c>
      <c r="B2810" t="s">
        <v>746</v>
      </c>
      <c r="C2810" t="s">
        <v>251</v>
      </c>
      <c r="D2810" t="s">
        <v>81</v>
      </c>
      <c r="E2810">
        <v>10000000</v>
      </c>
      <c r="N2810" t="s">
        <v>733</v>
      </c>
      <c r="O2810">
        <v>1482</v>
      </c>
      <c r="P2810" t="s">
        <v>315</v>
      </c>
      <c r="S2810" t="s">
        <v>733</v>
      </c>
      <c r="T2810">
        <v>24.1</v>
      </c>
      <c r="U2810" t="s">
        <v>733</v>
      </c>
      <c r="V2810">
        <v>75.099999999999895</v>
      </c>
      <c r="W2810" t="s">
        <v>747</v>
      </c>
      <c r="X2810" t="s">
        <v>280</v>
      </c>
      <c r="Y2810">
        <v>120</v>
      </c>
      <c r="AB2810">
        <v>1.6494471066221399</v>
      </c>
      <c r="AC2810" t="s">
        <v>85</v>
      </c>
      <c r="AD2810" t="s">
        <v>748</v>
      </c>
      <c r="AE2810" t="s">
        <v>138</v>
      </c>
      <c r="AI2810">
        <v>3</v>
      </c>
      <c r="AV2810" t="s">
        <v>428</v>
      </c>
      <c r="AW2810">
        <v>1482</v>
      </c>
    </row>
    <row r="2811" spans="1:53" hidden="1" x14ac:dyDescent="0.3">
      <c r="A2811" t="s">
        <v>731</v>
      </c>
      <c r="B2811" t="s">
        <v>732</v>
      </c>
      <c r="C2811" t="s">
        <v>251</v>
      </c>
      <c r="D2811" t="s">
        <v>81</v>
      </c>
      <c r="E2811">
        <v>10000000</v>
      </c>
      <c r="H2811">
        <v>2.25</v>
      </c>
      <c r="I2811" t="s">
        <v>215</v>
      </c>
      <c r="J2811">
        <v>1.4516100000000001E-3</v>
      </c>
      <c r="K2811" t="s">
        <v>57</v>
      </c>
      <c r="N2811" t="s">
        <v>733</v>
      </c>
      <c r="O2811">
        <v>230</v>
      </c>
      <c r="P2811" t="s">
        <v>315</v>
      </c>
      <c r="S2811" t="s">
        <v>733</v>
      </c>
      <c r="T2811">
        <v>26.3</v>
      </c>
      <c r="U2811" t="s">
        <v>733</v>
      </c>
      <c r="V2811">
        <v>77.099999999999895</v>
      </c>
      <c r="W2811" t="s">
        <v>734</v>
      </c>
      <c r="X2811" t="s">
        <v>280</v>
      </c>
      <c r="Y2811">
        <v>240</v>
      </c>
      <c r="AB2811">
        <v>3.5425941928840401</v>
      </c>
      <c r="AC2811" t="s">
        <v>85</v>
      </c>
      <c r="AD2811" t="s">
        <v>749</v>
      </c>
      <c r="AE2811" t="s">
        <v>138</v>
      </c>
      <c r="AI2811">
        <v>3</v>
      </c>
      <c r="AV2811" t="s">
        <v>428</v>
      </c>
      <c r="AW2811">
        <v>230</v>
      </c>
    </row>
    <row r="2812" spans="1:53" hidden="1" x14ac:dyDescent="0.3">
      <c r="A2812" t="s">
        <v>731</v>
      </c>
      <c r="C2812" t="s">
        <v>251</v>
      </c>
      <c r="D2812" t="s">
        <v>81</v>
      </c>
      <c r="E2812">
        <v>10000000</v>
      </c>
      <c r="H2812">
        <v>2.25</v>
      </c>
      <c r="I2812" t="s">
        <v>215</v>
      </c>
      <c r="J2812">
        <v>1.4516100000000001E-3</v>
      </c>
      <c r="K2812" t="s">
        <v>57</v>
      </c>
      <c r="N2812" t="s">
        <v>733</v>
      </c>
      <c r="O2812">
        <v>230</v>
      </c>
      <c r="P2812" t="s">
        <v>315</v>
      </c>
      <c r="S2812" t="s">
        <v>733</v>
      </c>
      <c r="T2812">
        <v>26.3</v>
      </c>
      <c r="U2812" t="s">
        <v>733</v>
      </c>
      <c r="V2812">
        <v>77.099999999999895</v>
      </c>
      <c r="W2812" t="s">
        <v>736</v>
      </c>
      <c r="X2812" t="s">
        <v>280</v>
      </c>
      <c r="Y2812">
        <v>240</v>
      </c>
      <c r="AB2812">
        <v>4.0952609405773499</v>
      </c>
      <c r="AC2812" t="s">
        <v>85</v>
      </c>
      <c r="AD2812" t="s">
        <v>750</v>
      </c>
      <c r="AE2812" t="s">
        <v>138</v>
      </c>
      <c r="AI2812">
        <v>3</v>
      </c>
      <c r="AT2812" t="s">
        <v>77</v>
      </c>
      <c r="AV2812" t="s">
        <v>428</v>
      </c>
      <c r="AW2812">
        <v>230</v>
      </c>
    </row>
    <row r="2813" spans="1:53" hidden="1" x14ac:dyDescent="0.3">
      <c r="A2813" t="s">
        <v>731</v>
      </c>
      <c r="B2813" t="s">
        <v>732</v>
      </c>
      <c r="C2813" t="s">
        <v>251</v>
      </c>
      <c r="D2813" t="s">
        <v>81</v>
      </c>
      <c r="E2813">
        <v>10000000</v>
      </c>
      <c r="H2813">
        <v>4</v>
      </c>
      <c r="I2813" t="s">
        <v>215</v>
      </c>
      <c r="J2813">
        <v>2.5806399999999999E-3</v>
      </c>
      <c r="K2813" t="s">
        <v>57</v>
      </c>
      <c r="N2813" t="s">
        <v>733</v>
      </c>
      <c r="O2813">
        <v>230</v>
      </c>
      <c r="P2813" t="s">
        <v>315</v>
      </c>
      <c r="S2813" t="s">
        <v>733</v>
      </c>
      <c r="T2813">
        <v>26.3</v>
      </c>
      <c r="U2813" t="s">
        <v>733</v>
      </c>
      <c r="V2813">
        <v>77.099999999999895</v>
      </c>
      <c r="W2813" t="s">
        <v>738</v>
      </c>
      <c r="X2813" t="s">
        <v>280</v>
      </c>
      <c r="Y2813">
        <v>240</v>
      </c>
      <c r="AE2813" t="s">
        <v>138</v>
      </c>
      <c r="AI2813">
        <v>3</v>
      </c>
      <c r="AV2813" t="s">
        <v>428</v>
      </c>
      <c r="AW2813">
        <v>230</v>
      </c>
    </row>
    <row r="2814" spans="1:53" hidden="1" x14ac:dyDescent="0.3">
      <c r="A2814" t="s">
        <v>731</v>
      </c>
      <c r="C2814" t="s">
        <v>251</v>
      </c>
      <c r="D2814" t="s">
        <v>81</v>
      </c>
      <c r="E2814">
        <v>10000000</v>
      </c>
      <c r="H2814">
        <v>4</v>
      </c>
      <c r="I2814" t="s">
        <v>215</v>
      </c>
      <c r="J2814">
        <v>2.5806399999999999E-3</v>
      </c>
      <c r="K2814" t="s">
        <v>57</v>
      </c>
      <c r="N2814" t="s">
        <v>733</v>
      </c>
      <c r="O2814">
        <v>230</v>
      </c>
      <c r="P2814" t="s">
        <v>315</v>
      </c>
      <c r="S2814" t="s">
        <v>733</v>
      </c>
      <c r="T2814">
        <v>26.3</v>
      </c>
      <c r="U2814" t="s">
        <v>733</v>
      </c>
      <c r="V2814">
        <v>77.099999999999895</v>
      </c>
      <c r="W2814" t="s">
        <v>740</v>
      </c>
      <c r="X2814" t="s">
        <v>280</v>
      </c>
      <c r="Y2814">
        <v>240</v>
      </c>
      <c r="AE2814" t="s">
        <v>138</v>
      </c>
      <c r="AI2814">
        <v>3</v>
      </c>
      <c r="AT2814" t="s">
        <v>65</v>
      </c>
      <c r="AV2814" t="s">
        <v>428</v>
      </c>
      <c r="AW2814">
        <v>230</v>
      </c>
    </row>
    <row r="2815" spans="1:53" hidden="1" x14ac:dyDescent="0.3">
      <c r="A2815" t="s">
        <v>731</v>
      </c>
      <c r="B2815" t="s">
        <v>732</v>
      </c>
      <c r="C2815" t="s">
        <v>251</v>
      </c>
      <c r="D2815" t="s">
        <v>81</v>
      </c>
      <c r="E2815">
        <v>10000000</v>
      </c>
      <c r="N2815" t="s">
        <v>733</v>
      </c>
      <c r="O2815">
        <v>230</v>
      </c>
      <c r="P2815" t="s">
        <v>315</v>
      </c>
      <c r="S2815" t="s">
        <v>733</v>
      </c>
      <c r="T2815">
        <v>26.3</v>
      </c>
      <c r="U2815" t="s">
        <v>733</v>
      </c>
      <c r="V2815">
        <v>77.099999999999895</v>
      </c>
      <c r="W2815" t="s">
        <v>742</v>
      </c>
      <c r="X2815" t="s">
        <v>280</v>
      </c>
      <c r="Y2815">
        <v>240</v>
      </c>
      <c r="AB2815">
        <v>3.4729727385718401</v>
      </c>
      <c r="AC2815" t="s">
        <v>85</v>
      </c>
      <c r="AD2815" t="s">
        <v>751</v>
      </c>
      <c r="AE2815" t="s">
        <v>138</v>
      </c>
      <c r="AI2815">
        <v>3</v>
      </c>
      <c r="AV2815" t="s">
        <v>428</v>
      </c>
      <c r="AW2815">
        <v>230</v>
      </c>
    </row>
    <row r="2816" spans="1:53" hidden="1" x14ac:dyDescent="0.3">
      <c r="A2816" t="s">
        <v>731</v>
      </c>
      <c r="C2816" t="s">
        <v>251</v>
      </c>
      <c r="D2816" t="s">
        <v>81</v>
      </c>
      <c r="E2816">
        <v>10000000</v>
      </c>
      <c r="N2816" t="s">
        <v>733</v>
      </c>
      <c r="O2816">
        <v>230</v>
      </c>
      <c r="P2816" t="s">
        <v>315</v>
      </c>
      <c r="S2816" t="s">
        <v>733</v>
      </c>
      <c r="T2816">
        <v>26.3</v>
      </c>
      <c r="U2816" t="s">
        <v>733</v>
      </c>
      <c r="V2816">
        <v>77.099999999999895</v>
      </c>
      <c r="W2816" t="s">
        <v>744</v>
      </c>
      <c r="X2816" t="s">
        <v>280</v>
      </c>
      <c r="Y2816">
        <v>240</v>
      </c>
      <c r="AB2816">
        <v>4.8191829654580403</v>
      </c>
      <c r="AC2816" t="s">
        <v>85</v>
      </c>
      <c r="AD2816" t="s">
        <v>752</v>
      </c>
      <c r="AE2816" t="s">
        <v>138</v>
      </c>
      <c r="AI2816">
        <v>3</v>
      </c>
      <c r="AT2816" t="s">
        <v>203</v>
      </c>
      <c r="AV2816" t="s">
        <v>428</v>
      </c>
      <c r="AW2816">
        <v>230</v>
      </c>
    </row>
    <row r="2817" spans="1:49" hidden="1" x14ac:dyDescent="0.3">
      <c r="A2817" t="s">
        <v>731</v>
      </c>
      <c r="B2817" t="s">
        <v>732</v>
      </c>
      <c r="C2817" t="s">
        <v>251</v>
      </c>
      <c r="D2817" t="s">
        <v>81</v>
      </c>
      <c r="E2817">
        <v>10000000</v>
      </c>
      <c r="H2817">
        <v>2.25</v>
      </c>
      <c r="I2817" t="s">
        <v>215</v>
      </c>
      <c r="J2817">
        <v>1.4516100000000001E-3</v>
      </c>
      <c r="K2817" t="s">
        <v>57</v>
      </c>
      <c r="N2817" t="s">
        <v>733</v>
      </c>
      <c r="O2817">
        <v>124</v>
      </c>
      <c r="P2817" t="s">
        <v>315</v>
      </c>
      <c r="S2817" t="s">
        <v>733</v>
      </c>
      <c r="T2817">
        <v>22.9</v>
      </c>
      <c r="U2817" t="s">
        <v>733</v>
      </c>
      <c r="V2817">
        <v>75</v>
      </c>
      <c r="W2817" t="s">
        <v>734</v>
      </c>
      <c r="X2817" t="s">
        <v>280</v>
      </c>
      <c r="Y2817">
        <v>240</v>
      </c>
      <c r="AB2817">
        <v>2.05501675984166</v>
      </c>
      <c r="AC2817" t="s">
        <v>85</v>
      </c>
      <c r="AD2817" t="s">
        <v>753</v>
      </c>
      <c r="AE2817" t="s">
        <v>138</v>
      </c>
      <c r="AI2817">
        <v>3</v>
      </c>
      <c r="AV2817" t="s">
        <v>428</v>
      </c>
      <c r="AW2817">
        <v>124</v>
      </c>
    </row>
    <row r="2818" spans="1:49" hidden="1" x14ac:dyDescent="0.3">
      <c r="A2818" t="s">
        <v>731</v>
      </c>
      <c r="C2818" t="s">
        <v>251</v>
      </c>
      <c r="D2818" t="s">
        <v>81</v>
      </c>
      <c r="E2818">
        <v>10000000</v>
      </c>
      <c r="H2818">
        <v>2.25</v>
      </c>
      <c r="I2818" t="s">
        <v>215</v>
      </c>
      <c r="J2818">
        <v>1.4516100000000001E-3</v>
      </c>
      <c r="K2818" t="s">
        <v>57</v>
      </c>
      <c r="N2818" t="s">
        <v>733</v>
      </c>
      <c r="O2818">
        <v>124</v>
      </c>
      <c r="P2818" t="s">
        <v>315</v>
      </c>
      <c r="S2818" t="s">
        <v>733</v>
      </c>
      <c r="T2818">
        <v>22.9</v>
      </c>
      <c r="U2818" t="s">
        <v>733</v>
      </c>
      <c r="V2818">
        <v>75</v>
      </c>
      <c r="W2818" t="s">
        <v>736</v>
      </c>
      <c r="X2818" t="s">
        <v>280</v>
      </c>
      <c r="Y2818">
        <v>240</v>
      </c>
      <c r="AB2818">
        <v>2.3389043673326602</v>
      </c>
      <c r="AC2818" t="s">
        <v>85</v>
      </c>
      <c r="AD2818" t="s">
        <v>754</v>
      </c>
      <c r="AE2818" t="s">
        <v>138</v>
      </c>
      <c r="AI2818">
        <v>3</v>
      </c>
      <c r="AT2818" t="s">
        <v>77</v>
      </c>
      <c r="AV2818" t="s">
        <v>428</v>
      </c>
      <c r="AW2818">
        <v>124</v>
      </c>
    </row>
    <row r="2819" spans="1:49" hidden="1" x14ac:dyDescent="0.3">
      <c r="A2819" t="s">
        <v>731</v>
      </c>
      <c r="B2819" t="s">
        <v>732</v>
      </c>
      <c r="C2819" t="s">
        <v>251</v>
      </c>
      <c r="D2819" t="s">
        <v>81</v>
      </c>
      <c r="E2819">
        <v>10000000</v>
      </c>
      <c r="H2819">
        <v>4</v>
      </c>
      <c r="I2819" t="s">
        <v>215</v>
      </c>
      <c r="J2819">
        <v>2.5806399999999999E-3</v>
      </c>
      <c r="K2819" t="s">
        <v>57</v>
      </c>
      <c r="N2819" t="s">
        <v>733</v>
      </c>
      <c r="O2819">
        <v>124</v>
      </c>
      <c r="P2819" t="s">
        <v>315</v>
      </c>
      <c r="S2819" t="s">
        <v>733</v>
      </c>
      <c r="T2819">
        <v>22.9</v>
      </c>
      <c r="U2819" t="s">
        <v>733</v>
      </c>
      <c r="V2819">
        <v>75</v>
      </c>
      <c r="W2819" t="s">
        <v>738</v>
      </c>
      <c r="X2819" t="s">
        <v>280</v>
      </c>
      <c r="Y2819">
        <v>240</v>
      </c>
      <c r="AB2819">
        <v>2.0308836983894398</v>
      </c>
      <c r="AC2819" t="s">
        <v>85</v>
      </c>
      <c r="AD2819" t="s">
        <v>755</v>
      </c>
      <c r="AE2819" t="s">
        <v>138</v>
      </c>
      <c r="AI2819">
        <v>3</v>
      </c>
      <c r="AV2819" t="s">
        <v>428</v>
      </c>
      <c r="AW2819">
        <v>124</v>
      </c>
    </row>
    <row r="2820" spans="1:49" hidden="1" x14ac:dyDescent="0.3">
      <c r="A2820" t="s">
        <v>731</v>
      </c>
      <c r="C2820" t="s">
        <v>251</v>
      </c>
      <c r="D2820" t="s">
        <v>81</v>
      </c>
      <c r="E2820">
        <v>10000000</v>
      </c>
      <c r="H2820">
        <v>4</v>
      </c>
      <c r="I2820" t="s">
        <v>215</v>
      </c>
      <c r="J2820">
        <v>2.5806399999999999E-3</v>
      </c>
      <c r="K2820" t="s">
        <v>57</v>
      </c>
      <c r="N2820" t="s">
        <v>733</v>
      </c>
      <c r="O2820">
        <v>124</v>
      </c>
      <c r="P2820" t="s">
        <v>315</v>
      </c>
      <c r="S2820" t="s">
        <v>733</v>
      </c>
      <c r="T2820">
        <v>22.9</v>
      </c>
      <c r="U2820" t="s">
        <v>733</v>
      </c>
      <c r="V2820">
        <v>75</v>
      </c>
      <c r="W2820" t="s">
        <v>740</v>
      </c>
      <c r="X2820" t="s">
        <v>280</v>
      </c>
      <c r="Y2820">
        <v>240</v>
      </c>
      <c r="AB2820">
        <v>2.1637083086304298</v>
      </c>
      <c r="AC2820" t="s">
        <v>85</v>
      </c>
      <c r="AD2820" t="s">
        <v>756</v>
      </c>
      <c r="AE2820" t="s">
        <v>138</v>
      </c>
      <c r="AI2820">
        <v>3</v>
      </c>
      <c r="AT2820" t="s">
        <v>65</v>
      </c>
      <c r="AV2820" t="s">
        <v>428</v>
      </c>
      <c r="AW2820">
        <v>124</v>
      </c>
    </row>
    <row r="2821" spans="1:49" hidden="1" x14ac:dyDescent="0.3">
      <c r="A2821" t="s">
        <v>731</v>
      </c>
      <c r="B2821" t="s">
        <v>732</v>
      </c>
      <c r="C2821" t="s">
        <v>251</v>
      </c>
      <c r="D2821" t="s">
        <v>81</v>
      </c>
      <c r="E2821">
        <v>10000000</v>
      </c>
      <c r="N2821" t="s">
        <v>733</v>
      </c>
      <c r="O2821">
        <v>124</v>
      </c>
      <c r="P2821" t="s">
        <v>315</v>
      </c>
      <c r="S2821" t="s">
        <v>733</v>
      </c>
      <c r="T2821">
        <v>22.9</v>
      </c>
      <c r="U2821" t="s">
        <v>733</v>
      </c>
      <c r="V2821">
        <v>75</v>
      </c>
      <c r="W2821" t="s">
        <v>742</v>
      </c>
      <c r="X2821" t="s">
        <v>280</v>
      </c>
      <c r="Y2821">
        <v>240</v>
      </c>
      <c r="AB2821">
        <v>2.3130980737410498</v>
      </c>
      <c r="AC2821" t="s">
        <v>85</v>
      </c>
      <c r="AD2821" t="s">
        <v>757</v>
      </c>
      <c r="AE2821" t="s">
        <v>138</v>
      </c>
      <c r="AI2821">
        <v>3</v>
      </c>
      <c r="AV2821" t="s">
        <v>428</v>
      </c>
      <c r="AW2821">
        <v>124</v>
      </c>
    </row>
    <row r="2822" spans="1:49" hidden="1" x14ac:dyDescent="0.3">
      <c r="A2822" t="s">
        <v>731</v>
      </c>
      <c r="C2822" t="s">
        <v>251</v>
      </c>
      <c r="D2822" t="s">
        <v>81</v>
      </c>
      <c r="E2822">
        <v>10000000</v>
      </c>
      <c r="N2822" t="s">
        <v>733</v>
      </c>
      <c r="O2822">
        <v>124</v>
      </c>
      <c r="P2822" t="s">
        <v>315</v>
      </c>
      <c r="S2822" t="s">
        <v>733</v>
      </c>
      <c r="T2822">
        <v>22.9</v>
      </c>
      <c r="U2822" t="s">
        <v>733</v>
      </c>
      <c r="V2822">
        <v>75</v>
      </c>
      <c r="W2822" t="s">
        <v>744</v>
      </c>
      <c r="X2822" t="s">
        <v>280</v>
      </c>
      <c r="Y2822">
        <v>240</v>
      </c>
      <c r="AB2822">
        <v>2.2842789533856398</v>
      </c>
      <c r="AC2822" t="s">
        <v>85</v>
      </c>
      <c r="AD2822" t="s">
        <v>758</v>
      </c>
      <c r="AE2822" t="s">
        <v>138</v>
      </c>
      <c r="AI2822">
        <v>3</v>
      </c>
      <c r="AT2822" t="s">
        <v>203</v>
      </c>
      <c r="AV2822" t="s">
        <v>428</v>
      </c>
      <c r="AW2822">
        <v>124</v>
      </c>
    </row>
    <row r="2823" spans="1:49" hidden="1" x14ac:dyDescent="0.3">
      <c r="A2823" t="s">
        <v>731</v>
      </c>
      <c r="B2823" t="s">
        <v>746</v>
      </c>
      <c r="C2823" t="s">
        <v>251</v>
      </c>
      <c r="D2823" t="s">
        <v>81</v>
      </c>
      <c r="E2823">
        <v>10000000</v>
      </c>
      <c r="N2823" t="s">
        <v>733</v>
      </c>
      <c r="O2823">
        <v>124</v>
      </c>
      <c r="P2823" t="s">
        <v>315</v>
      </c>
      <c r="S2823" t="s">
        <v>733</v>
      </c>
      <c r="T2823">
        <v>22.9</v>
      </c>
      <c r="U2823" t="s">
        <v>733</v>
      </c>
      <c r="V2823">
        <v>75</v>
      </c>
      <c r="W2823" t="s">
        <v>747</v>
      </c>
      <c r="X2823" t="s">
        <v>280</v>
      </c>
      <c r="Y2823">
        <v>240</v>
      </c>
      <c r="AB2823">
        <v>2.34337637315046</v>
      </c>
      <c r="AC2823" t="s">
        <v>85</v>
      </c>
      <c r="AD2823" t="s">
        <v>759</v>
      </c>
      <c r="AE2823" t="s">
        <v>138</v>
      </c>
      <c r="AI2823">
        <v>3</v>
      </c>
      <c r="AV2823" t="s">
        <v>428</v>
      </c>
      <c r="AW2823">
        <v>124</v>
      </c>
    </row>
    <row r="2824" spans="1:49" hidden="1" x14ac:dyDescent="0.3">
      <c r="A2824" t="s">
        <v>731</v>
      </c>
      <c r="B2824" t="s">
        <v>732</v>
      </c>
      <c r="C2824" t="s">
        <v>251</v>
      </c>
      <c r="D2824" t="s">
        <v>81</v>
      </c>
      <c r="E2824">
        <v>10000000</v>
      </c>
      <c r="H2824">
        <v>2.25</v>
      </c>
      <c r="I2824" t="s">
        <v>215</v>
      </c>
      <c r="J2824">
        <v>1.4516100000000001E-3</v>
      </c>
      <c r="K2824" t="s">
        <v>57</v>
      </c>
      <c r="N2824" t="s">
        <v>733</v>
      </c>
      <c r="O2824">
        <v>282</v>
      </c>
      <c r="P2824" t="s">
        <v>315</v>
      </c>
      <c r="S2824" t="s">
        <v>733</v>
      </c>
      <c r="T2824">
        <v>22.3</v>
      </c>
      <c r="U2824" t="s">
        <v>733</v>
      </c>
      <c r="V2824">
        <v>50.5</v>
      </c>
      <c r="W2824" t="s">
        <v>734</v>
      </c>
      <c r="X2824" t="s">
        <v>280</v>
      </c>
      <c r="Y2824">
        <v>240</v>
      </c>
      <c r="AB2824">
        <v>0.38150905762958998</v>
      </c>
      <c r="AC2824" t="s">
        <v>85</v>
      </c>
      <c r="AD2824" t="s">
        <v>760</v>
      </c>
      <c r="AE2824" t="s">
        <v>138</v>
      </c>
      <c r="AI2824">
        <v>3</v>
      </c>
      <c r="AV2824" t="s">
        <v>428</v>
      </c>
      <c r="AW2824">
        <v>282</v>
      </c>
    </row>
    <row r="2825" spans="1:49" hidden="1" x14ac:dyDescent="0.3">
      <c r="A2825" t="s">
        <v>731</v>
      </c>
      <c r="C2825" t="s">
        <v>251</v>
      </c>
      <c r="D2825" t="s">
        <v>81</v>
      </c>
      <c r="E2825">
        <v>10000000</v>
      </c>
      <c r="H2825">
        <v>2.25</v>
      </c>
      <c r="I2825" t="s">
        <v>215</v>
      </c>
      <c r="J2825">
        <v>1.4516100000000001E-3</v>
      </c>
      <c r="K2825" t="s">
        <v>57</v>
      </c>
      <c r="N2825" t="s">
        <v>733</v>
      </c>
      <c r="O2825">
        <v>282</v>
      </c>
      <c r="P2825" t="s">
        <v>315</v>
      </c>
      <c r="S2825" t="s">
        <v>733</v>
      </c>
      <c r="T2825">
        <v>22.3</v>
      </c>
      <c r="U2825" t="s">
        <v>733</v>
      </c>
      <c r="V2825">
        <v>50.5</v>
      </c>
      <c r="W2825" t="s">
        <v>736</v>
      </c>
      <c r="X2825" t="s">
        <v>280</v>
      </c>
      <c r="Y2825">
        <v>240</v>
      </c>
      <c r="AB2825">
        <v>0.322329675845685</v>
      </c>
      <c r="AC2825" t="s">
        <v>85</v>
      </c>
      <c r="AD2825" t="s">
        <v>761</v>
      </c>
      <c r="AE2825" t="s">
        <v>138</v>
      </c>
      <c r="AI2825">
        <v>3</v>
      </c>
      <c r="AT2825" t="s">
        <v>77</v>
      </c>
      <c r="AV2825" t="s">
        <v>428</v>
      </c>
      <c r="AW2825">
        <v>282</v>
      </c>
    </row>
    <row r="2826" spans="1:49" hidden="1" x14ac:dyDescent="0.3">
      <c r="A2826" t="s">
        <v>731</v>
      </c>
      <c r="B2826" t="s">
        <v>732</v>
      </c>
      <c r="C2826" t="s">
        <v>251</v>
      </c>
      <c r="D2826" t="s">
        <v>81</v>
      </c>
      <c r="E2826">
        <v>10000000</v>
      </c>
      <c r="H2826">
        <v>4</v>
      </c>
      <c r="I2826" t="s">
        <v>215</v>
      </c>
      <c r="J2826">
        <v>2.5806399999999999E-3</v>
      </c>
      <c r="K2826" t="s">
        <v>57</v>
      </c>
      <c r="N2826" t="s">
        <v>733</v>
      </c>
      <c r="O2826">
        <v>282</v>
      </c>
      <c r="P2826" t="s">
        <v>315</v>
      </c>
      <c r="S2826" t="s">
        <v>733</v>
      </c>
      <c r="T2826">
        <v>22.3</v>
      </c>
      <c r="U2826" t="s">
        <v>733</v>
      </c>
      <c r="V2826">
        <v>50.5</v>
      </c>
      <c r="W2826" t="s">
        <v>738</v>
      </c>
      <c r="X2826" t="s">
        <v>280</v>
      </c>
      <c r="Y2826">
        <v>240</v>
      </c>
      <c r="AB2826">
        <v>0.41712332504437699</v>
      </c>
      <c r="AC2826" t="s">
        <v>85</v>
      </c>
      <c r="AD2826" t="s">
        <v>762</v>
      </c>
      <c r="AE2826" t="s">
        <v>138</v>
      </c>
      <c r="AI2826">
        <v>3</v>
      </c>
      <c r="AV2826" t="s">
        <v>428</v>
      </c>
      <c r="AW2826">
        <v>282</v>
      </c>
    </row>
    <row r="2827" spans="1:49" hidden="1" x14ac:dyDescent="0.3">
      <c r="A2827" t="s">
        <v>731</v>
      </c>
      <c r="C2827" t="s">
        <v>251</v>
      </c>
      <c r="D2827" t="s">
        <v>81</v>
      </c>
      <c r="E2827">
        <v>10000000</v>
      </c>
      <c r="H2827">
        <v>4</v>
      </c>
      <c r="I2827" t="s">
        <v>215</v>
      </c>
      <c r="J2827">
        <v>2.5806399999999999E-3</v>
      </c>
      <c r="K2827" t="s">
        <v>57</v>
      </c>
      <c r="N2827" t="s">
        <v>733</v>
      </c>
      <c r="O2827">
        <v>282</v>
      </c>
      <c r="P2827" t="s">
        <v>315</v>
      </c>
      <c r="S2827" t="s">
        <v>733</v>
      </c>
      <c r="T2827">
        <v>22.3</v>
      </c>
      <c r="U2827" t="s">
        <v>733</v>
      </c>
      <c r="V2827">
        <v>50.5</v>
      </c>
      <c r="W2827" t="s">
        <v>740</v>
      </c>
      <c r="X2827" t="s">
        <v>280</v>
      </c>
      <c r="Y2827">
        <v>240</v>
      </c>
      <c r="AB2827">
        <v>0.64726033687072004</v>
      </c>
      <c r="AC2827" t="s">
        <v>85</v>
      </c>
      <c r="AD2827" t="s">
        <v>763</v>
      </c>
      <c r="AE2827" t="s">
        <v>138</v>
      </c>
      <c r="AI2827">
        <v>3</v>
      </c>
      <c r="AT2827" t="s">
        <v>65</v>
      </c>
      <c r="AV2827" t="s">
        <v>428</v>
      </c>
      <c r="AW2827">
        <v>282</v>
      </c>
    </row>
    <row r="2828" spans="1:49" hidden="1" x14ac:dyDescent="0.3">
      <c r="A2828" t="s">
        <v>731</v>
      </c>
      <c r="B2828" t="s">
        <v>732</v>
      </c>
      <c r="C2828" t="s">
        <v>251</v>
      </c>
      <c r="D2828" t="s">
        <v>81</v>
      </c>
      <c r="E2828">
        <v>10000000</v>
      </c>
      <c r="N2828" t="s">
        <v>733</v>
      </c>
      <c r="O2828">
        <v>282</v>
      </c>
      <c r="P2828" t="s">
        <v>315</v>
      </c>
      <c r="S2828" t="s">
        <v>733</v>
      </c>
      <c r="T2828">
        <v>22.3</v>
      </c>
      <c r="U2828" t="s">
        <v>733</v>
      </c>
      <c r="V2828">
        <v>50.5</v>
      </c>
      <c r="W2828" t="s">
        <v>742</v>
      </c>
      <c r="X2828" t="s">
        <v>280</v>
      </c>
      <c r="Y2828">
        <v>240</v>
      </c>
      <c r="AB2828">
        <v>0.54698723609342104</v>
      </c>
      <c r="AC2828" t="s">
        <v>85</v>
      </c>
      <c r="AD2828" t="s">
        <v>764</v>
      </c>
      <c r="AE2828" t="s">
        <v>138</v>
      </c>
      <c r="AI2828">
        <v>3</v>
      </c>
      <c r="AV2828" t="s">
        <v>428</v>
      </c>
      <c r="AW2828">
        <v>282</v>
      </c>
    </row>
    <row r="2829" spans="1:49" hidden="1" x14ac:dyDescent="0.3">
      <c r="A2829" t="s">
        <v>731</v>
      </c>
      <c r="C2829" t="s">
        <v>251</v>
      </c>
      <c r="D2829" t="s">
        <v>81</v>
      </c>
      <c r="E2829">
        <v>10000000</v>
      </c>
      <c r="N2829" t="s">
        <v>733</v>
      </c>
      <c r="O2829">
        <v>282</v>
      </c>
      <c r="P2829" t="s">
        <v>315</v>
      </c>
      <c r="S2829" t="s">
        <v>733</v>
      </c>
      <c r="T2829">
        <v>22.3</v>
      </c>
      <c r="U2829" t="s">
        <v>733</v>
      </c>
      <c r="V2829">
        <v>50.5</v>
      </c>
      <c r="W2829" t="s">
        <v>744</v>
      </c>
      <c r="X2829" t="s">
        <v>280</v>
      </c>
      <c r="Y2829">
        <v>240</v>
      </c>
      <c r="AB2829">
        <v>0.44462770675811197</v>
      </c>
      <c r="AC2829" t="s">
        <v>85</v>
      </c>
      <c r="AD2829" t="s">
        <v>765</v>
      </c>
      <c r="AE2829" t="s">
        <v>138</v>
      </c>
      <c r="AI2829">
        <v>3</v>
      </c>
      <c r="AT2829" t="s">
        <v>203</v>
      </c>
      <c r="AV2829" t="s">
        <v>428</v>
      </c>
      <c r="AW2829">
        <v>282</v>
      </c>
    </row>
    <row r="2830" spans="1:49" hidden="1" x14ac:dyDescent="0.3">
      <c r="A2830" t="s">
        <v>731</v>
      </c>
      <c r="B2830" t="s">
        <v>746</v>
      </c>
      <c r="C2830" t="s">
        <v>251</v>
      </c>
      <c r="D2830" t="s">
        <v>81</v>
      </c>
      <c r="E2830">
        <v>10000000</v>
      </c>
      <c r="N2830" t="s">
        <v>733</v>
      </c>
      <c r="O2830">
        <v>282</v>
      </c>
      <c r="P2830" t="s">
        <v>315</v>
      </c>
      <c r="S2830" t="s">
        <v>733</v>
      </c>
      <c r="T2830">
        <v>22.3</v>
      </c>
      <c r="U2830" t="s">
        <v>733</v>
      </c>
      <c r="V2830">
        <v>50.5</v>
      </c>
      <c r="W2830" t="s">
        <v>747</v>
      </c>
      <c r="X2830" t="s">
        <v>280</v>
      </c>
      <c r="Y2830">
        <v>240</v>
      </c>
      <c r="AB2830">
        <v>0.41401388367862502</v>
      </c>
      <c r="AC2830" t="s">
        <v>85</v>
      </c>
      <c r="AD2830" t="s">
        <v>766</v>
      </c>
      <c r="AE2830" t="s">
        <v>138</v>
      </c>
      <c r="AI2830">
        <v>3</v>
      </c>
      <c r="AV2830" t="s">
        <v>428</v>
      </c>
      <c r="AW2830">
        <v>282</v>
      </c>
    </row>
    <row r="2831" spans="1:49" hidden="1" x14ac:dyDescent="0.3">
      <c r="A2831" t="s">
        <v>731</v>
      </c>
      <c r="B2831" t="s">
        <v>732</v>
      </c>
      <c r="C2831" t="s">
        <v>251</v>
      </c>
      <c r="D2831" t="s">
        <v>81</v>
      </c>
      <c r="E2831">
        <v>10000000</v>
      </c>
      <c r="H2831">
        <v>2.25</v>
      </c>
      <c r="I2831" t="s">
        <v>215</v>
      </c>
      <c r="J2831">
        <v>1.4516100000000001E-3</v>
      </c>
      <c r="K2831" t="s">
        <v>57</v>
      </c>
      <c r="N2831" t="s">
        <v>733</v>
      </c>
      <c r="O2831">
        <v>183</v>
      </c>
      <c r="P2831" t="s">
        <v>315</v>
      </c>
      <c r="S2831" t="s">
        <v>733</v>
      </c>
      <c r="T2831">
        <v>23.8</v>
      </c>
      <c r="U2831" t="s">
        <v>733</v>
      </c>
      <c r="V2831">
        <v>53.2</v>
      </c>
      <c r="W2831" t="s">
        <v>734</v>
      </c>
      <c r="X2831" t="s">
        <v>280</v>
      </c>
      <c r="Y2831">
        <v>240</v>
      </c>
      <c r="AB2831">
        <v>0.51667759683788905</v>
      </c>
      <c r="AC2831" t="s">
        <v>85</v>
      </c>
      <c r="AD2831" t="s">
        <v>767</v>
      </c>
      <c r="AE2831" t="s">
        <v>138</v>
      </c>
      <c r="AI2831">
        <v>3</v>
      </c>
      <c r="AV2831" t="s">
        <v>428</v>
      </c>
      <c r="AW2831">
        <v>183</v>
      </c>
    </row>
    <row r="2832" spans="1:49" hidden="1" x14ac:dyDescent="0.3">
      <c r="A2832" t="s">
        <v>731</v>
      </c>
      <c r="C2832" t="s">
        <v>251</v>
      </c>
      <c r="D2832" t="s">
        <v>81</v>
      </c>
      <c r="E2832">
        <v>10000000</v>
      </c>
      <c r="H2832">
        <v>2.25</v>
      </c>
      <c r="I2832" t="s">
        <v>215</v>
      </c>
      <c r="J2832">
        <v>1.4516100000000001E-3</v>
      </c>
      <c r="K2832" t="s">
        <v>57</v>
      </c>
      <c r="N2832" t="s">
        <v>733</v>
      </c>
      <c r="O2832">
        <v>183</v>
      </c>
      <c r="P2832" t="s">
        <v>315</v>
      </c>
      <c r="S2832" t="s">
        <v>733</v>
      </c>
      <c r="T2832">
        <v>23.8</v>
      </c>
      <c r="U2832" t="s">
        <v>733</v>
      </c>
      <c r="V2832">
        <v>53.2</v>
      </c>
      <c r="W2832" t="s">
        <v>736</v>
      </c>
      <c r="X2832" t="s">
        <v>280</v>
      </c>
      <c r="Y2832">
        <v>240</v>
      </c>
      <c r="AB2832">
        <v>0.66319784639186197</v>
      </c>
      <c r="AC2832" t="s">
        <v>85</v>
      </c>
      <c r="AD2832" t="s">
        <v>768</v>
      </c>
      <c r="AE2832" t="s">
        <v>138</v>
      </c>
      <c r="AI2832">
        <v>3</v>
      </c>
      <c r="AT2832" t="s">
        <v>77</v>
      </c>
      <c r="AV2832" t="s">
        <v>428</v>
      </c>
      <c r="AW2832">
        <v>183</v>
      </c>
    </row>
    <row r="2833" spans="1:49" hidden="1" x14ac:dyDescent="0.3">
      <c r="A2833" t="s">
        <v>731</v>
      </c>
      <c r="B2833" t="s">
        <v>732</v>
      </c>
      <c r="C2833" t="s">
        <v>251</v>
      </c>
      <c r="D2833" t="s">
        <v>81</v>
      </c>
      <c r="E2833">
        <v>10000000</v>
      </c>
      <c r="H2833">
        <v>4</v>
      </c>
      <c r="I2833" t="s">
        <v>215</v>
      </c>
      <c r="J2833">
        <v>2.5806399999999999E-3</v>
      </c>
      <c r="K2833" t="s">
        <v>57</v>
      </c>
      <c r="N2833" t="s">
        <v>733</v>
      </c>
      <c r="O2833">
        <v>183</v>
      </c>
      <c r="P2833" t="s">
        <v>315</v>
      </c>
      <c r="S2833" t="s">
        <v>733</v>
      </c>
      <c r="T2833">
        <v>23.8</v>
      </c>
      <c r="U2833" t="s">
        <v>733</v>
      </c>
      <c r="V2833">
        <v>53.2</v>
      </c>
      <c r="W2833" t="s">
        <v>738</v>
      </c>
      <c r="X2833" t="s">
        <v>280</v>
      </c>
      <c r="Y2833">
        <v>240</v>
      </c>
      <c r="AB2833">
        <v>0.48611632161879198</v>
      </c>
      <c r="AC2833" t="s">
        <v>85</v>
      </c>
      <c r="AD2833" t="s">
        <v>769</v>
      </c>
      <c r="AE2833" t="s">
        <v>138</v>
      </c>
      <c r="AI2833">
        <v>3</v>
      </c>
      <c r="AV2833" t="s">
        <v>428</v>
      </c>
      <c r="AW2833">
        <v>183</v>
      </c>
    </row>
    <row r="2834" spans="1:49" hidden="1" x14ac:dyDescent="0.3">
      <c r="A2834" t="s">
        <v>731</v>
      </c>
      <c r="C2834" t="s">
        <v>251</v>
      </c>
      <c r="D2834" t="s">
        <v>81</v>
      </c>
      <c r="E2834">
        <v>10000000</v>
      </c>
      <c r="H2834">
        <v>4</v>
      </c>
      <c r="I2834" t="s">
        <v>215</v>
      </c>
      <c r="J2834">
        <v>2.5806399999999999E-3</v>
      </c>
      <c r="K2834" t="s">
        <v>57</v>
      </c>
      <c r="N2834" t="s">
        <v>733</v>
      </c>
      <c r="O2834">
        <v>183</v>
      </c>
      <c r="P2834" t="s">
        <v>315</v>
      </c>
      <c r="S2834" t="s">
        <v>733</v>
      </c>
      <c r="T2834">
        <v>23.8</v>
      </c>
      <c r="U2834" t="s">
        <v>733</v>
      </c>
      <c r="V2834">
        <v>53.2</v>
      </c>
      <c r="W2834" t="s">
        <v>740</v>
      </c>
      <c r="X2834" t="s">
        <v>280</v>
      </c>
      <c r="Y2834">
        <v>240</v>
      </c>
      <c r="AB2834">
        <v>0.70932316402969797</v>
      </c>
      <c r="AC2834" t="s">
        <v>85</v>
      </c>
      <c r="AD2834" t="s">
        <v>770</v>
      </c>
      <c r="AE2834" t="s">
        <v>138</v>
      </c>
      <c r="AI2834">
        <v>3</v>
      </c>
      <c r="AT2834" t="s">
        <v>65</v>
      </c>
      <c r="AV2834" t="s">
        <v>428</v>
      </c>
      <c r="AW2834">
        <v>183</v>
      </c>
    </row>
    <row r="2835" spans="1:49" hidden="1" x14ac:dyDescent="0.3">
      <c r="A2835" t="s">
        <v>731</v>
      </c>
      <c r="B2835" t="s">
        <v>732</v>
      </c>
      <c r="C2835" t="s">
        <v>251</v>
      </c>
      <c r="D2835" t="s">
        <v>81</v>
      </c>
      <c r="E2835">
        <v>10000000</v>
      </c>
      <c r="N2835" t="s">
        <v>733</v>
      </c>
      <c r="O2835">
        <v>183</v>
      </c>
      <c r="P2835" t="s">
        <v>315</v>
      </c>
      <c r="S2835" t="s">
        <v>733</v>
      </c>
      <c r="T2835">
        <v>23.8</v>
      </c>
      <c r="U2835" t="s">
        <v>733</v>
      </c>
      <c r="V2835">
        <v>53.2</v>
      </c>
      <c r="W2835" t="s">
        <v>742</v>
      </c>
      <c r="X2835" t="s">
        <v>280</v>
      </c>
      <c r="Y2835">
        <v>240</v>
      </c>
      <c r="AB2835">
        <v>0.29632639934203697</v>
      </c>
      <c r="AC2835" t="s">
        <v>85</v>
      </c>
      <c r="AD2835" t="s">
        <v>771</v>
      </c>
      <c r="AE2835" t="s">
        <v>138</v>
      </c>
      <c r="AI2835">
        <v>3</v>
      </c>
      <c r="AV2835" t="s">
        <v>428</v>
      </c>
      <c r="AW2835">
        <v>183</v>
      </c>
    </row>
    <row r="2836" spans="1:49" hidden="1" x14ac:dyDescent="0.3">
      <c r="A2836" t="s">
        <v>731</v>
      </c>
      <c r="C2836" t="s">
        <v>251</v>
      </c>
      <c r="D2836" t="s">
        <v>81</v>
      </c>
      <c r="E2836">
        <v>10000000</v>
      </c>
      <c r="N2836" t="s">
        <v>733</v>
      </c>
      <c r="O2836">
        <v>183</v>
      </c>
      <c r="P2836" t="s">
        <v>315</v>
      </c>
      <c r="S2836" t="s">
        <v>733</v>
      </c>
      <c r="T2836">
        <v>23.8</v>
      </c>
      <c r="U2836" t="s">
        <v>733</v>
      </c>
      <c r="V2836">
        <v>53.2</v>
      </c>
      <c r="W2836" t="s">
        <v>744</v>
      </c>
      <c r="X2836" t="s">
        <v>280</v>
      </c>
      <c r="Y2836">
        <v>240</v>
      </c>
      <c r="AB2836">
        <v>0.65563994281146598</v>
      </c>
      <c r="AC2836" t="s">
        <v>85</v>
      </c>
      <c r="AD2836" t="s">
        <v>772</v>
      </c>
      <c r="AE2836" t="s">
        <v>138</v>
      </c>
      <c r="AI2836">
        <v>3</v>
      </c>
      <c r="AT2836" t="s">
        <v>203</v>
      </c>
      <c r="AV2836" t="s">
        <v>428</v>
      </c>
      <c r="AW2836">
        <v>183</v>
      </c>
    </row>
    <row r="2837" spans="1:49" hidden="1" x14ac:dyDescent="0.3">
      <c r="A2837" t="s">
        <v>731</v>
      </c>
      <c r="B2837" t="s">
        <v>746</v>
      </c>
      <c r="C2837" t="s">
        <v>251</v>
      </c>
      <c r="D2837" t="s">
        <v>81</v>
      </c>
      <c r="E2837">
        <v>10000000</v>
      </c>
      <c r="N2837" t="s">
        <v>733</v>
      </c>
      <c r="O2837">
        <v>183</v>
      </c>
      <c r="P2837" t="s">
        <v>315</v>
      </c>
      <c r="S2837" t="s">
        <v>733</v>
      </c>
      <c r="T2837">
        <v>23.8</v>
      </c>
      <c r="U2837" t="s">
        <v>733</v>
      </c>
      <c r="V2837">
        <v>53.2</v>
      </c>
      <c r="W2837" t="s">
        <v>747</v>
      </c>
      <c r="X2837" t="s">
        <v>280</v>
      </c>
      <c r="Y2837">
        <v>240</v>
      </c>
      <c r="AB2837">
        <v>0.35145627298910798</v>
      </c>
      <c r="AC2837" t="s">
        <v>85</v>
      </c>
      <c r="AD2837" t="s">
        <v>773</v>
      </c>
      <c r="AE2837" t="s">
        <v>138</v>
      </c>
      <c r="AI2837">
        <v>3</v>
      </c>
      <c r="AV2837" t="s">
        <v>428</v>
      </c>
      <c r="AW2837">
        <v>183</v>
      </c>
    </row>
    <row r="2838" spans="1:49" hidden="1" x14ac:dyDescent="0.3">
      <c r="A2838" t="s">
        <v>731</v>
      </c>
      <c r="B2838" t="s">
        <v>732</v>
      </c>
      <c r="C2838" t="s">
        <v>251</v>
      </c>
      <c r="D2838" t="s">
        <v>81</v>
      </c>
      <c r="E2838">
        <v>10000000</v>
      </c>
      <c r="H2838">
        <v>2.25</v>
      </c>
      <c r="I2838" t="s">
        <v>215</v>
      </c>
      <c r="J2838">
        <v>1.4516100000000001E-3</v>
      </c>
      <c r="K2838" t="s">
        <v>57</v>
      </c>
      <c r="N2838" t="s">
        <v>733</v>
      </c>
      <c r="O2838">
        <v>251</v>
      </c>
      <c r="P2838" t="s">
        <v>315</v>
      </c>
      <c r="S2838" t="s">
        <v>733</v>
      </c>
      <c r="T2838">
        <v>11</v>
      </c>
      <c r="U2838" t="s">
        <v>733</v>
      </c>
      <c r="V2838">
        <v>70.3</v>
      </c>
      <c r="W2838" t="s">
        <v>734</v>
      </c>
      <c r="X2838" t="s">
        <v>280</v>
      </c>
      <c r="Y2838">
        <v>240</v>
      </c>
      <c r="AB2838">
        <v>0.76549908259278998</v>
      </c>
      <c r="AC2838" t="s">
        <v>85</v>
      </c>
      <c r="AD2838" t="s">
        <v>774</v>
      </c>
      <c r="AE2838" t="s">
        <v>138</v>
      </c>
      <c r="AI2838">
        <v>3</v>
      </c>
      <c r="AV2838" t="s">
        <v>428</v>
      </c>
      <c r="AW2838">
        <v>251</v>
      </c>
    </row>
    <row r="2839" spans="1:49" hidden="1" x14ac:dyDescent="0.3">
      <c r="A2839" t="s">
        <v>731</v>
      </c>
      <c r="C2839" t="s">
        <v>251</v>
      </c>
      <c r="D2839" t="s">
        <v>81</v>
      </c>
      <c r="E2839">
        <v>10000000</v>
      </c>
      <c r="H2839">
        <v>2.25</v>
      </c>
      <c r="I2839" t="s">
        <v>215</v>
      </c>
      <c r="J2839">
        <v>1.4516100000000001E-3</v>
      </c>
      <c r="K2839" t="s">
        <v>57</v>
      </c>
      <c r="N2839" t="s">
        <v>733</v>
      </c>
      <c r="O2839">
        <v>251</v>
      </c>
      <c r="P2839" t="s">
        <v>315</v>
      </c>
      <c r="S2839" t="s">
        <v>733</v>
      </c>
      <c r="T2839">
        <v>11</v>
      </c>
      <c r="U2839" t="s">
        <v>733</v>
      </c>
      <c r="V2839">
        <v>70.3</v>
      </c>
      <c r="W2839" t="s">
        <v>736</v>
      </c>
      <c r="X2839" t="s">
        <v>280</v>
      </c>
      <c r="Y2839">
        <v>240</v>
      </c>
      <c r="AB2839">
        <v>0.50975231147496702</v>
      </c>
      <c r="AC2839" t="s">
        <v>85</v>
      </c>
      <c r="AD2839" t="s">
        <v>775</v>
      </c>
      <c r="AE2839" t="s">
        <v>138</v>
      </c>
      <c r="AI2839">
        <v>3</v>
      </c>
      <c r="AT2839" t="s">
        <v>77</v>
      </c>
      <c r="AV2839" t="s">
        <v>428</v>
      </c>
      <c r="AW2839">
        <v>251</v>
      </c>
    </row>
    <row r="2840" spans="1:49" hidden="1" x14ac:dyDescent="0.3">
      <c r="A2840" t="s">
        <v>731</v>
      </c>
      <c r="B2840" t="s">
        <v>732</v>
      </c>
      <c r="C2840" t="s">
        <v>251</v>
      </c>
      <c r="D2840" t="s">
        <v>81</v>
      </c>
      <c r="E2840">
        <v>10000000</v>
      </c>
      <c r="H2840">
        <v>4</v>
      </c>
      <c r="I2840" t="s">
        <v>215</v>
      </c>
      <c r="J2840">
        <v>2.5806399999999999E-3</v>
      </c>
      <c r="K2840" t="s">
        <v>57</v>
      </c>
      <c r="N2840" t="s">
        <v>733</v>
      </c>
      <c r="O2840">
        <v>251</v>
      </c>
      <c r="P2840" t="s">
        <v>315</v>
      </c>
      <c r="S2840" t="s">
        <v>733</v>
      </c>
      <c r="T2840">
        <v>11</v>
      </c>
      <c r="U2840" t="s">
        <v>733</v>
      </c>
      <c r="V2840">
        <v>70.3</v>
      </c>
      <c r="W2840" t="s">
        <v>738</v>
      </c>
      <c r="X2840" t="s">
        <v>280</v>
      </c>
      <c r="Y2840">
        <v>240</v>
      </c>
      <c r="AB2840">
        <v>0.50914881548472002</v>
      </c>
      <c r="AC2840" t="s">
        <v>85</v>
      </c>
      <c r="AD2840" t="s">
        <v>776</v>
      </c>
      <c r="AE2840" t="s">
        <v>138</v>
      </c>
      <c r="AI2840">
        <v>3</v>
      </c>
      <c r="AV2840" t="s">
        <v>428</v>
      </c>
      <c r="AW2840">
        <v>251</v>
      </c>
    </row>
    <row r="2841" spans="1:49" hidden="1" x14ac:dyDescent="0.3">
      <c r="A2841" t="s">
        <v>731</v>
      </c>
      <c r="C2841" t="s">
        <v>251</v>
      </c>
      <c r="D2841" t="s">
        <v>81</v>
      </c>
      <c r="E2841">
        <v>10000000</v>
      </c>
      <c r="H2841">
        <v>4</v>
      </c>
      <c r="I2841" t="s">
        <v>215</v>
      </c>
      <c r="J2841">
        <v>2.5806399999999999E-3</v>
      </c>
      <c r="K2841" t="s">
        <v>57</v>
      </c>
      <c r="N2841" t="s">
        <v>733</v>
      </c>
      <c r="O2841">
        <v>251</v>
      </c>
      <c r="P2841" t="s">
        <v>315</v>
      </c>
      <c r="S2841" t="s">
        <v>733</v>
      </c>
      <c r="T2841">
        <v>11</v>
      </c>
      <c r="U2841" t="s">
        <v>733</v>
      </c>
      <c r="V2841">
        <v>70.3</v>
      </c>
      <c r="W2841" t="s">
        <v>740</v>
      </c>
      <c r="X2841" t="s">
        <v>280</v>
      </c>
      <c r="Y2841">
        <v>240</v>
      </c>
      <c r="AB2841">
        <v>0.63614504877925404</v>
      </c>
      <c r="AC2841" t="s">
        <v>85</v>
      </c>
      <c r="AD2841" t="s">
        <v>777</v>
      </c>
      <c r="AE2841" t="s">
        <v>138</v>
      </c>
      <c r="AI2841">
        <v>3</v>
      </c>
      <c r="AT2841" t="s">
        <v>65</v>
      </c>
      <c r="AV2841" t="s">
        <v>428</v>
      </c>
      <c r="AW2841">
        <v>251</v>
      </c>
    </row>
    <row r="2842" spans="1:49" hidden="1" x14ac:dyDescent="0.3">
      <c r="A2842" t="s">
        <v>731</v>
      </c>
      <c r="B2842" t="s">
        <v>732</v>
      </c>
      <c r="C2842" t="s">
        <v>251</v>
      </c>
      <c r="D2842" t="s">
        <v>81</v>
      </c>
      <c r="E2842">
        <v>10000000</v>
      </c>
      <c r="N2842" t="s">
        <v>733</v>
      </c>
      <c r="O2842">
        <v>251</v>
      </c>
      <c r="P2842" t="s">
        <v>315</v>
      </c>
      <c r="S2842" t="s">
        <v>733</v>
      </c>
      <c r="T2842">
        <v>11</v>
      </c>
      <c r="U2842" t="s">
        <v>733</v>
      </c>
      <c r="V2842">
        <v>70.3</v>
      </c>
      <c r="W2842" t="s">
        <v>742</v>
      </c>
      <c r="X2842" t="s">
        <v>280</v>
      </c>
      <c r="Y2842">
        <v>240</v>
      </c>
      <c r="AB2842">
        <v>0.67413834589648802</v>
      </c>
      <c r="AC2842" t="s">
        <v>85</v>
      </c>
      <c r="AD2842" t="s">
        <v>778</v>
      </c>
      <c r="AE2842" t="s">
        <v>138</v>
      </c>
      <c r="AI2842">
        <v>3</v>
      </c>
      <c r="AV2842" t="s">
        <v>428</v>
      </c>
      <c r="AW2842">
        <v>251</v>
      </c>
    </row>
    <row r="2843" spans="1:49" hidden="1" x14ac:dyDescent="0.3">
      <c r="A2843" t="s">
        <v>731</v>
      </c>
      <c r="C2843" t="s">
        <v>251</v>
      </c>
      <c r="D2843" t="s">
        <v>81</v>
      </c>
      <c r="E2843">
        <v>10000000</v>
      </c>
      <c r="N2843" t="s">
        <v>733</v>
      </c>
      <c r="O2843">
        <v>251</v>
      </c>
      <c r="P2843" t="s">
        <v>315</v>
      </c>
      <c r="S2843" t="s">
        <v>733</v>
      </c>
      <c r="T2843">
        <v>11</v>
      </c>
      <c r="U2843" t="s">
        <v>733</v>
      </c>
      <c r="V2843">
        <v>70.3</v>
      </c>
      <c r="W2843" t="s">
        <v>744</v>
      </c>
      <c r="X2843" t="s">
        <v>280</v>
      </c>
      <c r="Y2843">
        <v>240</v>
      </c>
      <c r="AB2843">
        <v>0.59992586181527596</v>
      </c>
      <c r="AC2843" t="s">
        <v>85</v>
      </c>
      <c r="AD2843" t="s">
        <v>779</v>
      </c>
      <c r="AE2843" t="s">
        <v>138</v>
      </c>
      <c r="AI2843">
        <v>3</v>
      </c>
      <c r="AT2843" t="s">
        <v>203</v>
      </c>
      <c r="AV2843" t="s">
        <v>428</v>
      </c>
      <c r="AW2843">
        <v>251</v>
      </c>
    </row>
    <row r="2844" spans="1:49" hidden="1" x14ac:dyDescent="0.3">
      <c r="A2844" t="s">
        <v>731</v>
      </c>
      <c r="B2844" t="s">
        <v>746</v>
      </c>
      <c r="C2844" t="s">
        <v>251</v>
      </c>
      <c r="D2844" t="s">
        <v>81</v>
      </c>
      <c r="E2844">
        <v>10000000</v>
      </c>
      <c r="N2844" t="s">
        <v>733</v>
      </c>
      <c r="O2844">
        <v>251</v>
      </c>
      <c r="P2844" t="s">
        <v>315</v>
      </c>
      <c r="S2844" t="s">
        <v>733</v>
      </c>
      <c r="T2844">
        <v>11</v>
      </c>
      <c r="U2844" t="s">
        <v>733</v>
      </c>
      <c r="V2844">
        <v>70.3</v>
      </c>
      <c r="W2844" t="s">
        <v>747</v>
      </c>
      <c r="X2844" t="s">
        <v>280</v>
      </c>
      <c r="Y2844">
        <v>240</v>
      </c>
      <c r="AB2844">
        <v>0.761276268235898</v>
      </c>
      <c r="AC2844" t="s">
        <v>85</v>
      </c>
      <c r="AD2844" t="s">
        <v>780</v>
      </c>
      <c r="AE2844" t="s">
        <v>138</v>
      </c>
      <c r="AI2844">
        <v>3</v>
      </c>
      <c r="AV2844" t="s">
        <v>428</v>
      </c>
      <c r="AW2844">
        <v>251</v>
      </c>
    </row>
    <row r="2845" spans="1:49" hidden="1" x14ac:dyDescent="0.3">
      <c r="A2845" t="s">
        <v>731</v>
      </c>
      <c r="B2845" t="s">
        <v>732</v>
      </c>
      <c r="C2845" t="s">
        <v>251</v>
      </c>
      <c r="D2845" t="s">
        <v>81</v>
      </c>
      <c r="E2845">
        <v>10000000</v>
      </c>
      <c r="H2845">
        <v>2.25</v>
      </c>
      <c r="I2845" t="s">
        <v>215</v>
      </c>
      <c r="J2845">
        <v>1.4516100000000001E-3</v>
      </c>
      <c r="K2845" t="s">
        <v>57</v>
      </c>
      <c r="N2845" t="s">
        <v>733</v>
      </c>
      <c r="O2845">
        <v>218</v>
      </c>
      <c r="P2845" t="s">
        <v>315</v>
      </c>
      <c r="S2845" t="s">
        <v>733</v>
      </c>
      <c r="T2845">
        <v>11.5</v>
      </c>
      <c r="U2845" t="s">
        <v>733</v>
      </c>
      <c r="V2845">
        <v>78.099999999999895</v>
      </c>
      <c r="W2845" t="s">
        <v>734</v>
      </c>
      <c r="X2845" t="s">
        <v>280</v>
      </c>
      <c r="Y2845">
        <v>720</v>
      </c>
      <c r="AB2845">
        <v>1.4639230279514299</v>
      </c>
      <c r="AC2845" t="s">
        <v>85</v>
      </c>
      <c r="AD2845" t="s">
        <v>781</v>
      </c>
      <c r="AE2845" t="s">
        <v>138</v>
      </c>
      <c r="AI2845">
        <v>3</v>
      </c>
      <c r="AV2845" t="s">
        <v>428</v>
      </c>
      <c r="AW2845">
        <v>218</v>
      </c>
    </row>
    <row r="2846" spans="1:49" hidden="1" x14ac:dyDescent="0.3">
      <c r="A2846" t="s">
        <v>731</v>
      </c>
      <c r="C2846" t="s">
        <v>251</v>
      </c>
      <c r="D2846" t="s">
        <v>81</v>
      </c>
      <c r="E2846">
        <v>10000000</v>
      </c>
      <c r="H2846">
        <v>2.25</v>
      </c>
      <c r="I2846" t="s">
        <v>215</v>
      </c>
      <c r="J2846">
        <v>1.4516100000000001E-3</v>
      </c>
      <c r="K2846" t="s">
        <v>57</v>
      </c>
      <c r="N2846" t="s">
        <v>733</v>
      </c>
      <c r="O2846">
        <v>218</v>
      </c>
      <c r="P2846" t="s">
        <v>315</v>
      </c>
      <c r="S2846" t="s">
        <v>733</v>
      </c>
      <c r="T2846">
        <v>11.5</v>
      </c>
      <c r="U2846" t="s">
        <v>733</v>
      </c>
      <c r="V2846">
        <v>78.099999999999895</v>
      </c>
      <c r="W2846" t="s">
        <v>736</v>
      </c>
      <c r="X2846" t="s">
        <v>280</v>
      </c>
      <c r="Y2846">
        <v>720</v>
      </c>
      <c r="AB2846">
        <v>1.4579114772061399</v>
      </c>
      <c r="AC2846" t="s">
        <v>85</v>
      </c>
      <c r="AD2846" t="s">
        <v>782</v>
      </c>
      <c r="AE2846" t="s">
        <v>138</v>
      </c>
      <c r="AI2846">
        <v>3</v>
      </c>
      <c r="AT2846" t="s">
        <v>77</v>
      </c>
      <c r="AV2846" t="s">
        <v>428</v>
      </c>
      <c r="AW2846">
        <v>218</v>
      </c>
    </row>
    <row r="2847" spans="1:49" hidden="1" x14ac:dyDescent="0.3">
      <c r="A2847" t="s">
        <v>731</v>
      </c>
      <c r="B2847" t="s">
        <v>732</v>
      </c>
      <c r="C2847" t="s">
        <v>251</v>
      </c>
      <c r="D2847" t="s">
        <v>81</v>
      </c>
      <c r="E2847">
        <v>10000000</v>
      </c>
      <c r="H2847">
        <v>4</v>
      </c>
      <c r="I2847" t="s">
        <v>215</v>
      </c>
      <c r="J2847">
        <v>2.5806399999999999E-3</v>
      </c>
      <c r="K2847" t="s">
        <v>57</v>
      </c>
      <c r="N2847" t="s">
        <v>733</v>
      </c>
      <c r="O2847">
        <v>218</v>
      </c>
      <c r="P2847" t="s">
        <v>315</v>
      </c>
      <c r="S2847" t="s">
        <v>733</v>
      </c>
      <c r="T2847">
        <v>11.5</v>
      </c>
      <c r="U2847" t="s">
        <v>733</v>
      </c>
      <c r="V2847">
        <v>78.099999999999895</v>
      </c>
      <c r="W2847" t="s">
        <v>738</v>
      </c>
      <c r="X2847" t="s">
        <v>280</v>
      </c>
      <c r="Y2847">
        <v>720</v>
      </c>
      <c r="AB2847">
        <v>1.18813875568222</v>
      </c>
      <c r="AC2847" t="s">
        <v>85</v>
      </c>
      <c r="AD2847" t="s">
        <v>783</v>
      </c>
      <c r="AE2847" t="s">
        <v>138</v>
      </c>
      <c r="AI2847">
        <v>3</v>
      </c>
      <c r="AV2847" t="s">
        <v>428</v>
      </c>
      <c r="AW2847">
        <v>218</v>
      </c>
    </row>
    <row r="2848" spans="1:49" hidden="1" x14ac:dyDescent="0.3">
      <c r="A2848" t="s">
        <v>731</v>
      </c>
      <c r="B2848" t="s">
        <v>732</v>
      </c>
      <c r="C2848" t="s">
        <v>251</v>
      </c>
      <c r="D2848" t="s">
        <v>81</v>
      </c>
      <c r="E2848">
        <v>10000000</v>
      </c>
      <c r="N2848" t="s">
        <v>733</v>
      </c>
      <c r="O2848">
        <v>218</v>
      </c>
      <c r="P2848" t="s">
        <v>315</v>
      </c>
      <c r="S2848" t="s">
        <v>733</v>
      </c>
      <c r="T2848">
        <v>11.5</v>
      </c>
      <c r="U2848" t="s">
        <v>733</v>
      </c>
      <c r="V2848">
        <v>78.099999999999895</v>
      </c>
      <c r="W2848" t="s">
        <v>742</v>
      </c>
      <c r="X2848" t="s">
        <v>280</v>
      </c>
      <c r="Y2848">
        <v>720</v>
      </c>
      <c r="AB2848">
        <v>1.5287332073267299</v>
      </c>
      <c r="AC2848" t="s">
        <v>85</v>
      </c>
      <c r="AD2848" t="s">
        <v>784</v>
      </c>
      <c r="AE2848" t="s">
        <v>138</v>
      </c>
      <c r="AI2848">
        <v>3</v>
      </c>
      <c r="AV2848" t="s">
        <v>428</v>
      </c>
      <c r="AW2848">
        <v>218</v>
      </c>
    </row>
    <row r="2849" spans="1:49" hidden="1" x14ac:dyDescent="0.3">
      <c r="A2849" t="s">
        <v>731</v>
      </c>
      <c r="B2849" t="s">
        <v>732</v>
      </c>
      <c r="C2849" t="s">
        <v>251</v>
      </c>
      <c r="D2849" t="s">
        <v>81</v>
      </c>
      <c r="E2849">
        <v>10000000</v>
      </c>
      <c r="H2849">
        <v>2.25</v>
      </c>
      <c r="I2849" t="s">
        <v>215</v>
      </c>
      <c r="J2849">
        <v>1.4516100000000001E-3</v>
      </c>
      <c r="K2849" t="s">
        <v>57</v>
      </c>
      <c r="N2849" t="s">
        <v>733</v>
      </c>
      <c r="O2849">
        <v>3449</v>
      </c>
      <c r="P2849" t="s">
        <v>315</v>
      </c>
      <c r="S2849" t="s">
        <v>733</v>
      </c>
      <c r="T2849">
        <v>26.7</v>
      </c>
      <c r="U2849" t="s">
        <v>733</v>
      </c>
      <c r="V2849">
        <v>76.3</v>
      </c>
      <c r="W2849" t="s">
        <v>734</v>
      </c>
      <c r="X2849" t="s">
        <v>280</v>
      </c>
      <c r="Y2849">
        <v>120</v>
      </c>
      <c r="AB2849">
        <v>4.8259731938946304</v>
      </c>
      <c r="AC2849" t="s">
        <v>85</v>
      </c>
      <c r="AD2849" t="s">
        <v>785</v>
      </c>
      <c r="AE2849" t="s">
        <v>138</v>
      </c>
      <c r="AI2849">
        <v>3</v>
      </c>
      <c r="AV2849" t="s">
        <v>428</v>
      </c>
      <c r="AW2849">
        <v>3449</v>
      </c>
    </row>
    <row r="2850" spans="1:49" hidden="1" x14ac:dyDescent="0.3">
      <c r="A2850" t="s">
        <v>731</v>
      </c>
      <c r="C2850" t="s">
        <v>251</v>
      </c>
      <c r="D2850" t="s">
        <v>81</v>
      </c>
      <c r="E2850">
        <v>10000000</v>
      </c>
      <c r="H2850">
        <v>2.25</v>
      </c>
      <c r="I2850" t="s">
        <v>215</v>
      </c>
      <c r="J2850">
        <v>1.4516100000000001E-3</v>
      </c>
      <c r="K2850" t="s">
        <v>57</v>
      </c>
      <c r="N2850" t="s">
        <v>733</v>
      </c>
      <c r="O2850">
        <v>3449</v>
      </c>
      <c r="P2850" t="s">
        <v>315</v>
      </c>
      <c r="S2850" t="s">
        <v>733</v>
      </c>
      <c r="T2850">
        <v>26.7</v>
      </c>
      <c r="U2850" t="s">
        <v>733</v>
      </c>
      <c r="V2850">
        <v>76.3</v>
      </c>
      <c r="W2850" t="s">
        <v>736</v>
      </c>
      <c r="X2850" t="s">
        <v>280</v>
      </c>
      <c r="Y2850">
        <v>120</v>
      </c>
      <c r="AB2850">
        <v>2.7924293984921</v>
      </c>
      <c r="AC2850" t="s">
        <v>85</v>
      </c>
      <c r="AD2850" t="s">
        <v>786</v>
      </c>
      <c r="AE2850" t="s">
        <v>138</v>
      </c>
      <c r="AI2850">
        <v>3</v>
      </c>
      <c r="AT2850" t="s">
        <v>77</v>
      </c>
      <c r="AV2850" t="s">
        <v>428</v>
      </c>
      <c r="AW2850">
        <v>3449</v>
      </c>
    </row>
    <row r="2851" spans="1:49" hidden="1" x14ac:dyDescent="0.3">
      <c r="A2851" t="s">
        <v>731</v>
      </c>
      <c r="B2851" t="s">
        <v>732</v>
      </c>
      <c r="C2851" t="s">
        <v>251</v>
      </c>
      <c r="D2851" t="s">
        <v>81</v>
      </c>
      <c r="E2851">
        <v>10000000</v>
      </c>
      <c r="H2851">
        <v>4</v>
      </c>
      <c r="I2851" t="s">
        <v>215</v>
      </c>
      <c r="J2851">
        <v>2.5806399999999999E-3</v>
      </c>
      <c r="K2851" t="s">
        <v>57</v>
      </c>
      <c r="N2851" t="s">
        <v>733</v>
      </c>
      <c r="O2851">
        <v>3449</v>
      </c>
      <c r="P2851" t="s">
        <v>315</v>
      </c>
      <c r="S2851" t="s">
        <v>733</v>
      </c>
      <c r="T2851">
        <v>26.7</v>
      </c>
      <c r="U2851" t="s">
        <v>733</v>
      </c>
      <c r="V2851">
        <v>76.3</v>
      </c>
      <c r="W2851" t="s">
        <v>738</v>
      </c>
      <c r="X2851" t="s">
        <v>280</v>
      </c>
      <c r="Y2851">
        <v>120</v>
      </c>
      <c r="AB2851">
        <v>2.2780245984140399</v>
      </c>
      <c r="AC2851" t="s">
        <v>85</v>
      </c>
      <c r="AD2851" t="s">
        <v>787</v>
      </c>
      <c r="AE2851" t="s">
        <v>138</v>
      </c>
      <c r="AI2851">
        <v>3</v>
      </c>
      <c r="AV2851" t="s">
        <v>428</v>
      </c>
      <c r="AW2851">
        <v>3449</v>
      </c>
    </row>
    <row r="2852" spans="1:49" hidden="1" x14ac:dyDescent="0.3">
      <c r="A2852" t="s">
        <v>731</v>
      </c>
      <c r="B2852" t="s">
        <v>732</v>
      </c>
      <c r="C2852" t="s">
        <v>251</v>
      </c>
      <c r="D2852" t="s">
        <v>81</v>
      </c>
      <c r="E2852">
        <v>10000000</v>
      </c>
      <c r="N2852" t="s">
        <v>733</v>
      </c>
      <c r="O2852">
        <v>3449</v>
      </c>
      <c r="P2852" t="s">
        <v>315</v>
      </c>
      <c r="S2852" t="s">
        <v>733</v>
      </c>
      <c r="T2852">
        <v>26.7</v>
      </c>
      <c r="U2852" t="s">
        <v>733</v>
      </c>
      <c r="V2852">
        <v>76.3</v>
      </c>
      <c r="W2852" t="s">
        <v>742</v>
      </c>
      <c r="X2852" t="s">
        <v>280</v>
      </c>
      <c r="Y2852">
        <v>120</v>
      </c>
      <c r="AB2852">
        <v>2.7059347844688402</v>
      </c>
      <c r="AC2852" t="s">
        <v>85</v>
      </c>
      <c r="AD2852" t="s">
        <v>788</v>
      </c>
      <c r="AE2852" t="s">
        <v>138</v>
      </c>
      <c r="AI2852">
        <v>3</v>
      </c>
      <c r="AV2852" t="s">
        <v>428</v>
      </c>
      <c r="AW2852">
        <v>3449</v>
      </c>
    </row>
    <row r="2853" spans="1:49" hidden="1" x14ac:dyDescent="0.3">
      <c r="A2853" t="s">
        <v>731</v>
      </c>
      <c r="B2853" t="s">
        <v>732</v>
      </c>
      <c r="C2853" t="s">
        <v>251</v>
      </c>
      <c r="D2853" t="s">
        <v>81</v>
      </c>
      <c r="E2853">
        <v>10000000</v>
      </c>
      <c r="H2853">
        <v>2.25</v>
      </c>
      <c r="I2853" t="s">
        <v>215</v>
      </c>
      <c r="J2853">
        <v>1.4516100000000001E-3</v>
      </c>
      <c r="K2853" t="s">
        <v>57</v>
      </c>
      <c r="N2853" t="s">
        <v>733</v>
      </c>
      <c r="O2853">
        <v>3254</v>
      </c>
      <c r="P2853" t="s">
        <v>315</v>
      </c>
      <c r="S2853" t="s">
        <v>733</v>
      </c>
      <c r="T2853">
        <v>12.5</v>
      </c>
      <c r="U2853" t="s">
        <v>733</v>
      </c>
      <c r="V2853">
        <v>67.8</v>
      </c>
      <c r="W2853" t="s">
        <v>734</v>
      </c>
      <c r="X2853" t="s">
        <v>280</v>
      </c>
      <c r="Y2853">
        <v>180</v>
      </c>
      <c r="AB2853">
        <v>0.839697265580436</v>
      </c>
      <c r="AC2853" t="s">
        <v>85</v>
      </c>
      <c r="AD2853" t="s">
        <v>789</v>
      </c>
      <c r="AE2853" t="s">
        <v>138</v>
      </c>
      <c r="AI2853">
        <v>3</v>
      </c>
      <c r="AV2853" t="s">
        <v>428</v>
      </c>
      <c r="AW2853">
        <v>3254</v>
      </c>
    </row>
    <row r="2854" spans="1:49" hidden="1" x14ac:dyDescent="0.3">
      <c r="A2854" t="s">
        <v>731</v>
      </c>
      <c r="C2854" t="s">
        <v>251</v>
      </c>
      <c r="D2854" t="s">
        <v>81</v>
      </c>
      <c r="E2854">
        <v>10000000</v>
      </c>
      <c r="H2854">
        <v>2.25</v>
      </c>
      <c r="I2854" t="s">
        <v>215</v>
      </c>
      <c r="J2854">
        <v>1.4516100000000001E-3</v>
      </c>
      <c r="K2854" t="s">
        <v>57</v>
      </c>
      <c r="N2854" t="s">
        <v>733</v>
      </c>
      <c r="O2854">
        <v>3254</v>
      </c>
      <c r="P2854" t="s">
        <v>315</v>
      </c>
      <c r="S2854" t="s">
        <v>733</v>
      </c>
      <c r="T2854">
        <v>12.5</v>
      </c>
      <c r="U2854" t="s">
        <v>733</v>
      </c>
      <c r="V2854">
        <v>67.8</v>
      </c>
      <c r="W2854" t="s">
        <v>736</v>
      </c>
      <c r="X2854" t="s">
        <v>280</v>
      </c>
      <c r="Y2854">
        <v>180</v>
      </c>
      <c r="AB2854">
        <v>1.3189496926130699</v>
      </c>
      <c r="AC2854" t="s">
        <v>85</v>
      </c>
      <c r="AD2854" t="s">
        <v>790</v>
      </c>
      <c r="AE2854" t="s">
        <v>138</v>
      </c>
      <c r="AI2854">
        <v>3</v>
      </c>
      <c r="AT2854" t="s">
        <v>77</v>
      </c>
      <c r="AV2854" t="s">
        <v>428</v>
      </c>
      <c r="AW2854">
        <v>3254</v>
      </c>
    </row>
    <row r="2855" spans="1:49" hidden="1" x14ac:dyDescent="0.3">
      <c r="A2855" t="s">
        <v>731</v>
      </c>
      <c r="B2855" t="s">
        <v>732</v>
      </c>
      <c r="C2855" t="s">
        <v>251</v>
      </c>
      <c r="D2855" t="s">
        <v>81</v>
      </c>
      <c r="E2855">
        <v>10000000</v>
      </c>
      <c r="H2855">
        <v>4</v>
      </c>
      <c r="I2855" t="s">
        <v>215</v>
      </c>
      <c r="J2855">
        <v>2.5806399999999999E-3</v>
      </c>
      <c r="K2855" t="s">
        <v>57</v>
      </c>
      <c r="N2855" t="s">
        <v>733</v>
      </c>
      <c r="O2855">
        <v>3254</v>
      </c>
      <c r="P2855" t="s">
        <v>315</v>
      </c>
      <c r="S2855" t="s">
        <v>733</v>
      </c>
      <c r="T2855">
        <v>12.5</v>
      </c>
      <c r="U2855" t="s">
        <v>733</v>
      </c>
      <c r="V2855">
        <v>67.8</v>
      </c>
      <c r="W2855" t="s">
        <v>738</v>
      </c>
      <c r="X2855" t="s">
        <v>280</v>
      </c>
      <c r="Y2855">
        <v>180</v>
      </c>
      <c r="AB2855">
        <v>0.98040364937606705</v>
      </c>
      <c r="AC2855" t="s">
        <v>85</v>
      </c>
      <c r="AD2855" t="s">
        <v>791</v>
      </c>
      <c r="AE2855" t="s">
        <v>138</v>
      </c>
      <c r="AI2855">
        <v>3</v>
      </c>
      <c r="AV2855" t="s">
        <v>428</v>
      </c>
      <c r="AW2855">
        <v>3254</v>
      </c>
    </row>
    <row r="2856" spans="1:49" hidden="1" x14ac:dyDescent="0.3">
      <c r="A2856" t="s">
        <v>731</v>
      </c>
      <c r="B2856" t="s">
        <v>732</v>
      </c>
      <c r="C2856" t="s">
        <v>251</v>
      </c>
      <c r="D2856" t="s">
        <v>81</v>
      </c>
      <c r="E2856">
        <v>10000000</v>
      </c>
      <c r="N2856" t="s">
        <v>733</v>
      </c>
      <c r="O2856">
        <v>3254</v>
      </c>
      <c r="P2856" t="s">
        <v>315</v>
      </c>
      <c r="S2856" t="s">
        <v>733</v>
      </c>
      <c r="T2856">
        <v>12.5</v>
      </c>
      <c r="U2856" t="s">
        <v>733</v>
      </c>
      <c r="V2856">
        <v>67.8</v>
      </c>
      <c r="W2856" t="s">
        <v>742</v>
      </c>
      <c r="X2856" t="s">
        <v>280</v>
      </c>
      <c r="Y2856">
        <v>180</v>
      </c>
      <c r="AB2856">
        <v>1.0438911598762499</v>
      </c>
      <c r="AC2856" t="s">
        <v>85</v>
      </c>
      <c r="AD2856" t="s">
        <v>792</v>
      </c>
      <c r="AE2856" t="s">
        <v>138</v>
      </c>
      <c r="AI2856">
        <v>3</v>
      </c>
      <c r="AV2856" t="s">
        <v>428</v>
      </c>
      <c r="AW2856">
        <v>3254</v>
      </c>
    </row>
    <row r="2857" spans="1:49" hidden="1" x14ac:dyDescent="0.3">
      <c r="A2857" t="s">
        <v>731</v>
      </c>
      <c r="B2857" t="s">
        <v>732</v>
      </c>
      <c r="C2857" t="s">
        <v>251</v>
      </c>
      <c r="D2857" t="s">
        <v>81</v>
      </c>
      <c r="E2857">
        <v>10000000</v>
      </c>
      <c r="H2857">
        <v>2.25</v>
      </c>
      <c r="I2857" t="s">
        <v>215</v>
      </c>
      <c r="J2857">
        <v>1.4516100000000001E-3</v>
      </c>
      <c r="K2857" t="s">
        <v>57</v>
      </c>
      <c r="N2857" t="s">
        <v>733</v>
      </c>
      <c r="O2857">
        <v>1482</v>
      </c>
      <c r="P2857" t="s">
        <v>315</v>
      </c>
      <c r="S2857" t="s">
        <v>733</v>
      </c>
      <c r="T2857">
        <v>24.3</v>
      </c>
      <c r="U2857" t="s">
        <v>733</v>
      </c>
      <c r="V2857">
        <v>75</v>
      </c>
      <c r="W2857" t="s">
        <v>734</v>
      </c>
      <c r="X2857" t="s">
        <v>280</v>
      </c>
      <c r="Y2857">
        <v>240</v>
      </c>
      <c r="AB2857">
        <v>3.2162073254114101</v>
      </c>
      <c r="AC2857" t="s">
        <v>85</v>
      </c>
      <c r="AD2857" t="s">
        <v>793</v>
      </c>
      <c r="AE2857" t="s">
        <v>138</v>
      </c>
      <c r="AI2857">
        <v>3</v>
      </c>
      <c r="AV2857" t="s">
        <v>428</v>
      </c>
      <c r="AW2857">
        <v>1482</v>
      </c>
    </row>
    <row r="2858" spans="1:49" hidden="1" x14ac:dyDescent="0.3">
      <c r="A2858" t="s">
        <v>731</v>
      </c>
      <c r="C2858" t="s">
        <v>251</v>
      </c>
      <c r="D2858" t="s">
        <v>81</v>
      </c>
      <c r="E2858">
        <v>10000000</v>
      </c>
      <c r="H2858">
        <v>2.25</v>
      </c>
      <c r="I2858" t="s">
        <v>215</v>
      </c>
      <c r="J2858">
        <v>1.4516100000000001E-3</v>
      </c>
      <c r="K2858" t="s">
        <v>57</v>
      </c>
      <c r="N2858" t="s">
        <v>733</v>
      </c>
      <c r="O2858">
        <v>1482</v>
      </c>
      <c r="P2858" t="s">
        <v>315</v>
      </c>
      <c r="S2858" t="s">
        <v>733</v>
      </c>
      <c r="T2858">
        <v>24.3</v>
      </c>
      <c r="U2858" t="s">
        <v>733</v>
      </c>
      <c r="V2858">
        <v>75</v>
      </c>
      <c r="W2858" t="s">
        <v>736</v>
      </c>
      <c r="X2858" t="s">
        <v>280</v>
      </c>
      <c r="Y2858">
        <v>240</v>
      </c>
      <c r="AB2858">
        <v>3.36724729528214</v>
      </c>
      <c r="AC2858" t="s">
        <v>85</v>
      </c>
      <c r="AD2858" t="s">
        <v>794</v>
      </c>
      <c r="AE2858" t="s">
        <v>138</v>
      </c>
      <c r="AI2858">
        <v>3</v>
      </c>
      <c r="AT2858" t="s">
        <v>77</v>
      </c>
      <c r="AV2858" t="s">
        <v>428</v>
      </c>
      <c r="AW2858">
        <v>1482</v>
      </c>
    </row>
    <row r="2859" spans="1:49" hidden="1" x14ac:dyDescent="0.3">
      <c r="A2859" t="s">
        <v>731</v>
      </c>
      <c r="B2859" t="s">
        <v>732</v>
      </c>
      <c r="C2859" t="s">
        <v>251</v>
      </c>
      <c r="D2859" t="s">
        <v>81</v>
      </c>
      <c r="E2859">
        <v>10000000</v>
      </c>
      <c r="H2859">
        <v>4</v>
      </c>
      <c r="I2859" t="s">
        <v>215</v>
      </c>
      <c r="J2859">
        <v>2.5806399999999999E-3</v>
      </c>
      <c r="K2859" t="s">
        <v>57</v>
      </c>
      <c r="N2859" t="s">
        <v>733</v>
      </c>
      <c r="O2859">
        <v>1482</v>
      </c>
      <c r="P2859" t="s">
        <v>315</v>
      </c>
      <c r="S2859" t="s">
        <v>733</v>
      </c>
      <c r="T2859">
        <v>24.3</v>
      </c>
      <c r="U2859" t="s">
        <v>733</v>
      </c>
      <c r="V2859">
        <v>75</v>
      </c>
      <c r="W2859" t="s">
        <v>738</v>
      </c>
      <c r="X2859" t="s">
        <v>280</v>
      </c>
      <c r="Y2859">
        <v>240</v>
      </c>
      <c r="AB2859">
        <v>3.3782853206755599</v>
      </c>
      <c r="AC2859" t="s">
        <v>85</v>
      </c>
      <c r="AD2859" t="s">
        <v>795</v>
      </c>
      <c r="AE2859" t="s">
        <v>138</v>
      </c>
      <c r="AI2859">
        <v>3</v>
      </c>
      <c r="AV2859" t="s">
        <v>428</v>
      </c>
      <c r="AW2859">
        <v>1482</v>
      </c>
    </row>
    <row r="2860" spans="1:49" hidden="1" x14ac:dyDescent="0.3">
      <c r="A2860" t="s">
        <v>731</v>
      </c>
      <c r="C2860" t="s">
        <v>251</v>
      </c>
      <c r="D2860" t="s">
        <v>81</v>
      </c>
      <c r="E2860">
        <v>10000000</v>
      </c>
      <c r="H2860">
        <v>4</v>
      </c>
      <c r="I2860" t="s">
        <v>215</v>
      </c>
      <c r="J2860">
        <v>2.5806399999999999E-3</v>
      </c>
      <c r="K2860" t="s">
        <v>57</v>
      </c>
      <c r="N2860" t="s">
        <v>733</v>
      </c>
      <c r="O2860">
        <v>1482</v>
      </c>
      <c r="P2860" t="s">
        <v>315</v>
      </c>
      <c r="S2860" t="s">
        <v>733</v>
      </c>
      <c r="T2860">
        <v>24.3</v>
      </c>
      <c r="U2860" t="s">
        <v>733</v>
      </c>
      <c r="V2860">
        <v>75</v>
      </c>
      <c r="W2860" t="s">
        <v>740</v>
      </c>
      <c r="X2860" t="s">
        <v>280</v>
      </c>
      <c r="Y2860">
        <v>240</v>
      </c>
      <c r="AB2860">
        <v>3.27799669207291</v>
      </c>
      <c r="AC2860" t="s">
        <v>85</v>
      </c>
      <c r="AD2860" t="s">
        <v>796</v>
      </c>
      <c r="AE2860" t="s">
        <v>138</v>
      </c>
      <c r="AI2860">
        <v>3</v>
      </c>
      <c r="AT2860" t="s">
        <v>65</v>
      </c>
      <c r="AV2860" t="s">
        <v>428</v>
      </c>
      <c r="AW2860">
        <v>1482</v>
      </c>
    </row>
    <row r="2861" spans="1:49" hidden="1" x14ac:dyDescent="0.3">
      <c r="A2861" t="s">
        <v>731</v>
      </c>
      <c r="B2861" t="s">
        <v>732</v>
      </c>
      <c r="C2861" t="s">
        <v>251</v>
      </c>
      <c r="D2861" t="s">
        <v>81</v>
      </c>
      <c r="E2861">
        <v>10000000</v>
      </c>
      <c r="N2861" t="s">
        <v>733</v>
      </c>
      <c r="O2861">
        <v>1482</v>
      </c>
      <c r="P2861" t="s">
        <v>315</v>
      </c>
      <c r="S2861" t="s">
        <v>733</v>
      </c>
      <c r="T2861">
        <v>24.3</v>
      </c>
      <c r="U2861" t="s">
        <v>733</v>
      </c>
      <c r="V2861">
        <v>75</v>
      </c>
      <c r="W2861" t="s">
        <v>742</v>
      </c>
      <c r="X2861" t="s">
        <v>280</v>
      </c>
      <c r="Y2861">
        <v>240</v>
      </c>
      <c r="AB2861">
        <v>4.8635423130283</v>
      </c>
      <c r="AC2861" t="s">
        <v>85</v>
      </c>
      <c r="AD2861" t="s">
        <v>797</v>
      </c>
      <c r="AE2861" t="s">
        <v>138</v>
      </c>
      <c r="AI2861">
        <v>3</v>
      </c>
      <c r="AV2861" t="s">
        <v>428</v>
      </c>
      <c r="AW2861">
        <v>1482</v>
      </c>
    </row>
    <row r="2862" spans="1:49" hidden="1" x14ac:dyDescent="0.3">
      <c r="A2862" t="s">
        <v>731</v>
      </c>
      <c r="C2862" t="s">
        <v>251</v>
      </c>
      <c r="D2862" t="s">
        <v>81</v>
      </c>
      <c r="E2862">
        <v>10000000</v>
      </c>
      <c r="N2862" t="s">
        <v>733</v>
      </c>
      <c r="O2862">
        <v>1482</v>
      </c>
      <c r="P2862" t="s">
        <v>315</v>
      </c>
      <c r="S2862" t="s">
        <v>733</v>
      </c>
      <c r="T2862">
        <v>24.3</v>
      </c>
      <c r="U2862" t="s">
        <v>733</v>
      </c>
      <c r="V2862">
        <v>75</v>
      </c>
      <c r="W2862" t="s">
        <v>744</v>
      </c>
      <c r="X2862" t="s">
        <v>280</v>
      </c>
      <c r="Y2862">
        <v>240</v>
      </c>
      <c r="AB2862">
        <v>3.7896957606550399</v>
      </c>
      <c r="AC2862" t="s">
        <v>85</v>
      </c>
      <c r="AD2862" t="s">
        <v>798</v>
      </c>
      <c r="AE2862" t="s">
        <v>138</v>
      </c>
      <c r="AI2862">
        <v>3</v>
      </c>
      <c r="AT2862" t="s">
        <v>203</v>
      </c>
      <c r="AV2862" t="s">
        <v>428</v>
      </c>
      <c r="AW2862">
        <v>1482</v>
      </c>
    </row>
    <row r="2863" spans="1:49" hidden="1" x14ac:dyDescent="0.3">
      <c r="A2863" t="s">
        <v>731</v>
      </c>
      <c r="B2863" t="s">
        <v>746</v>
      </c>
      <c r="C2863" t="s">
        <v>251</v>
      </c>
      <c r="D2863" t="s">
        <v>81</v>
      </c>
      <c r="E2863">
        <v>10000000</v>
      </c>
      <c r="N2863" t="s">
        <v>733</v>
      </c>
      <c r="O2863">
        <v>1482</v>
      </c>
      <c r="P2863" t="s">
        <v>315</v>
      </c>
      <c r="S2863" t="s">
        <v>733</v>
      </c>
      <c r="T2863">
        <v>24.3</v>
      </c>
      <c r="U2863" t="s">
        <v>733</v>
      </c>
      <c r="V2863">
        <v>75</v>
      </c>
      <c r="W2863" t="s">
        <v>747</v>
      </c>
      <c r="X2863" t="s">
        <v>280</v>
      </c>
      <c r="Y2863">
        <v>240</v>
      </c>
      <c r="AB2863">
        <v>2.8818232390618901</v>
      </c>
      <c r="AC2863" t="s">
        <v>85</v>
      </c>
      <c r="AD2863" t="s">
        <v>799</v>
      </c>
      <c r="AE2863" t="s">
        <v>138</v>
      </c>
      <c r="AI2863">
        <v>3</v>
      </c>
      <c r="AV2863" t="s">
        <v>428</v>
      </c>
      <c r="AW2863">
        <v>1482</v>
      </c>
    </row>
    <row r="2864" spans="1:49" hidden="1" x14ac:dyDescent="0.3">
      <c r="A2864" t="s">
        <v>731</v>
      </c>
      <c r="B2864" t="s">
        <v>732</v>
      </c>
      <c r="C2864" t="s">
        <v>251</v>
      </c>
      <c r="D2864" t="s">
        <v>81</v>
      </c>
      <c r="E2864">
        <v>10000000</v>
      </c>
      <c r="H2864">
        <v>2.25</v>
      </c>
      <c r="I2864" t="s">
        <v>215</v>
      </c>
      <c r="J2864">
        <v>1.4516100000000001E-3</v>
      </c>
      <c r="K2864" t="s">
        <v>57</v>
      </c>
      <c r="N2864" t="s">
        <v>733</v>
      </c>
      <c r="O2864">
        <v>230</v>
      </c>
      <c r="P2864" t="s">
        <v>315</v>
      </c>
      <c r="S2864" t="s">
        <v>733</v>
      </c>
      <c r="T2864">
        <v>26.9</v>
      </c>
      <c r="U2864" t="s">
        <v>733</v>
      </c>
      <c r="V2864">
        <v>76</v>
      </c>
      <c r="W2864" t="s">
        <v>734</v>
      </c>
      <c r="X2864" t="s">
        <v>280</v>
      </c>
      <c r="Y2864">
        <v>480</v>
      </c>
      <c r="AB2864">
        <v>5.8303555988178797</v>
      </c>
      <c r="AC2864" t="s">
        <v>85</v>
      </c>
      <c r="AD2864" t="s">
        <v>800</v>
      </c>
      <c r="AE2864" t="s">
        <v>138</v>
      </c>
      <c r="AI2864">
        <v>3</v>
      </c>
      <c r="AV2864" t="s">
        <v>428</v>
      </c>
      <c r="AW2864">
        <v>230</v>
      </c>
    </row>
    <row r="2865" spans="1:49" hidden="1" x14ac:dyDescent="0.3">
      <c r="A2865" t="s">
        <v>731</v>
      </c>
      <c r="C2865" t="s">
        <v>251</v>
      </c>
      <c r="D2865" t="s">
        <v>81</v>
      </c>
      <c r="E2865">
        <v>10000000</v>
      </c>
      <c r="H2865">
        <v>2.25</v>
      </c>
      <c r="I2865" t="s">
        <v>215</v>
      </c>
      <c r="J2865">
        <v>1.4516100000000001E-3</v>
      </c>
      <c r="K2865" t="s">
        <v>57</v>
      </c>
      <c r="N2865" t="s">
        <v>733</v>
      </c>
      <c r="O2865">
        <v>230</v>
      </c>
      <c r="P2865" t="s">
        <v>315</v>
      </c>
      <c r="S2865" t="s">
        <v>733</v>
      </c>
      <c r="T2865">
        <v>26.9</v>
      </c>
      <c r="U2865" t="s">
        <v>733</v>
      </c>
      <c r="V2865">
        <v>76</v>
      </c>
      <c r="W2865" t="s">
        <v>736</v>
      </c>
      <c r="X2865" t="s">
        <v>280</v>
      </c>
      <c r="Y2865">
        <v>480</v>
      </c>
      <c r="AB2865">
        <v>4.4650791613209897</v>
      </c>
      <c r="AC2865" t="s">
        <v>85</v>
      </c>
      <c r="AD2865" t="s">
        <v>801</v>
      </c>
      <c r="AE2865" t="s">
        <v>138</v>
      </c>
      <c r="AI2865">
        <v>3</v>
      </c>
      <c r="AT2865" t="s">
        <v>77</v>
      </c>
      <c r="AV2865" t="s">
        <v>428</v>
      </c>
      <c r="AW2865">
        <v>230</v>
      </c>
    </row>
    <row r="2866" spans="1:49" hidden="1" x14ac:dyDescent="0.3">
      <c r="A2866" t="s">
        <v>731</v>
      </c>
      <c r="B2866" t="s">
        <v>732</v>
      </c>
      <c r="C2866" t="s">
        <v>251</v>
      </c>
      <c r="D2866" t="s">
        <v>81</v>
      </c>
      <c r="E2866">
        <v>10000000</v>
      </c>
      <c r="H2866">
        <v>4</v>
      </c>
      <c r="I2866" t="s">
        <v>215</v>
      </c>
      <c r="J2866">
        <v>2.5806399999999999E-3</v>
      </c>
      <c r="K2866" t="s">
        <v>57</v>
      </c>
      <c r="N2866" t="s">
        <v>733</v>
      </c>
      <c r="O2866">
        <v>230</v>
      </c>
      <c r="P2866" t="s">
        <v>315</v>
      </c>
      <c r="S2866" t="s">
        <v>733</v>
      </c>
      <c r="T2866">
        <v>26.9</v>
      </c>
      <c r="U2866" t="s">
        <v>733</v>
      </c>
      <c r="V2866">
        <v>76</v>
      </c>
      <c r="W2866" t="s">
        <v>738</v>
      </c>
      <c r="X2866" t="s">
        <v>280</v>
      </c>
      <c r="Y2866">
        <v>480</v>
      </c>
      <c r="AB2866">
        <v>4.1429417659598498</v>
      </c>
      <c r="AC2866" t="s">
        <v>85</v>
      </c>
      <c r="AD2866" t="s">
        <v>802</v>
      </c>
      <c r="AE2866" t="s">
        <v>138</v>
      </c>
      <c r="AI2866">
        <v>3</v>
      </c>
      <c r="AV2866" t="s">
        <v>428</v>
      </c>
      <c r="AW2866">
        <v>230</v>
      </c>
    </row>
    <row r="2867" spans="1:49" hidden="1" x14ac:dyDescent="0.3">
      <c r="A2867" t="s">
        <v>731</v>
      </c>
      <c r="C2867" t="s">
        <v>251</v>
      </c>
      <c r="D2867" t="s">
        <v>81</v>
      </c>
      <c r="E2867">
        <v>10000000</v>
      </c>
      <c r="H2867">
        <v>4</v>
      </c>
      <c r="I2867" t="s">
        <v>215</v>
      </c>
      <c r="J2867">
        <v>2.5806399999999999E-3</v>
      </c>
      <c r="K2867" t="s">
        <v>57</v>
      </c>
      <c r="N2867" t="s">
        <v>733</v>
      </c>
      <c r="O2867">
        <v>230</v>
      </c>
      <c r="P2867" t="s">
        <v>315</v>
      </c>
      <c r="S2867" t="s">
        <v>733</v>
      </c>
      <c r="T2867">
        <v>26.9</v>
      </c>
      <c r="U2867" t="s">
        <v>733</v>
      </c>
      <c r="V2867">
        <v>76</v>
      </c>
      <c r="W2867" t="s">
        <v>740</v>
      </c>
      <c r="X2867" t="s">
        <v>280</v>
      </c>
      <c r="Y2867">
        <v>480</v>
      </c>
      <c r="AB2867">
        <v>5.3022655426762801</v>
      </c>
      <c r="AC2867" t="s">
        <v>85</v>
      </c>
      <c r="AD2867" t="s">
        <v>803</v>
      </c>
      <c r="AE2867" t="s">
        <v>138</v>
      </c>
      <c r="AI2867">
        <v>3</v>
      </c>
      <c r="AT2867" t="s">
        <v>65</v>
      </c>
      <c r="AV2867" t="s">
        <v>428</v>
      </c>
      <c r="AW2867">
        <v>230</v>
      </c>
    </row>
    <row r="2868" spans="1:49" hidden="1" x14ac:dyDescent="0.3">
      <c r="A2868" t="s">
        <v>731</v>
      </c>
      <c r="B2868" t="s">
        <v>732</v>
      </c>
      <c r="C2868" t="s">
        <v>251</v>
      </c>
      <c r="D2868" t="s">
        <v>81</v>
      </c>
      <c r="E2868">
        <v>10000000</v>
      </c>
      <c r="N2868" t="s">
        <v>733</v>
      </c>
      <c r="O2868">
        <v>230</v>
      </c>
      <c r="P2868" t="s">
        <v>315</v>
      </c>
      <c r="S2868" t="s">
        <v>733</v>
      </c>
      <c r="T2868">
        <v>26.9</v>
      </c>
      <c r="U2868" t="s">
        <v>733</v>
      </c>
      <c r="V2868">
        <v>76</v>
      </c>
      <c r="W2868" t="s">
        <v>742</v>
      </c>
      <c r="X2868" t="s">
        <v>280</v>
      </c>
      <c r="Y2868">
        <v>480</v>
      </c>
      <c r="AB2868">
        <v>4.8913189325335598</v>
      </c>
      <c r="AC2868" t="s">
        <v>85</v>
      </c>
      <c r="AD2868" t="s">
        <v>804</v>
      </c>
      <c r="AE2868" t="s">
        <v>138</v>
      </c>
      <c r="AI2868">
        <v>3</v>
      </c>
      <c r="AV2868" t="s">
        <v>428</v>
      </c>
      <c r="AW2868">
        <v>230</v>
      </c>
    </row>
    <row r="2869" spans="1:49" hidden="1" x14ac:dyDescent="0.3">
      <c r="A2869" t="s">
        <v>731</v>
      </c>
      <c r="C2869" t="s">
        <v>251</v>
      </c>
      <c r="D2869" t="s">
        <v>81</v>
      </c>
      <c r="E2869">
        <v>10000000</v>
      </c>
      <c r="N2869" t="s">
        <v>733</v>
      </c>
      <c r="O2869">
        <v>230</v>
      </c>
      <c r="P2869" t="s">
        <v>315</v>
      </c>
      <c r="S2869" t="s">
        <v>733</v>
      </c>
      <c r="T2869">
        <v>26.9</v>
      </c>
      <c r="U2869" t="s">
        <v>733</v>
      </c>
      <c r="V2869">
        <v>76</v>
      </c>
      <c r="W2869" t="s">
        <v>744</v>
      </c>
      <c r="X2869" t="s">
        <v>280</v>
      </c>
      <c r="Y2869">
        <v>480</v>
      </c>
      <c r="AB2869">
        <v>5.39098071320059</v>
      </c>
      <c r="AC2869" t="s">
        <v>85</v>
      </c>
      <c r="AD2869" t="s">
        <v>805</v>
      </c>
      <c r="AE2869" t="s">
        <v>138</v>
      </c>
      <c r="AI2869">
        <v>3</v>
      </c>
      <c r="AT2869" t="s">
        <v>203</v>
      </c>
      <c r="AV2869" t="s">
        <v>428</v>
      </c>
      <c r="AW2869">
        <v>230</v>
      </c>
    </row>
    <row r="2870" spans="1:49" hidden="1" x14ac:dyDescent="0.3">
      <c r="A2870" t="s">
        <v>731</v>
      </c>
      <c r="B2870" t="s">
        <v>732</v>
      </c>
      <c r="C2870" t="s">
        <v>251</v>
      </c>
      <c r="D2870" t="s">
        <v>81</v>
      </c>
      <c r="E2870">
        <v>10000000</v>
      </c>
      <c r="H2870">
        <v>2.25</v>
      </c>
      <c r="I2870" t="s">
        <v>215</v>
      </c>
      <c r="J2870">
        <v>1.4516100000000001E-3</v>
      </c>
      <c r="K2870" t="s">
        <v>57</v>
      </c>
      <c r="N2870" t="s">
        <v>733</v>
      </c>
      <c r="O2870">
        <v>141</v>
      </c>
      <c r="P2870" t="s">
        <v>315</v>
      </c>
      <c r="S2870" t="s">
        <v>733</v>
      </c>
      <c r="T2870">
        <v>22.9</v>
      </c>
      <c r="U2870" t="s">
        <v>733</v>
      </c>
      <c r="V2870">
        <v>75</v>
      </c>
      <c r="W2870" t="s">
        <v>734</v>
      </c>
      <c r="X2870" t="s">
        <v>280</v>
      </c>
      <c r="Y2870">
        <v>480</v>
      </c>
      <c r="AB2870">
        <v>2.9257865408642298</v>
      </c>
      <c r="AC2870" t="s">
        <v>85</v>
      </c>
      <c r="AD2870" t="s">
        <v>806</v>
      </c>
      <c r="AE2870" t="s">
        <v>138</v>
      </c>
      <c r="AI2870">
        <v>3</v>
      </c>
      <c r="AV2870" t="s">
        <v>428</v>
      </c>
      <c r="AW2870">
        <v>141</v>
      </c>
    </row>
    <row r="2871" spans="1:49" hidden="1" x14ac:dyDescent="0.3">
      <c r="A2871" t="s">
        <v>731</v>
      </c>
      <c r="C2871" t="s">
        <v>251</v>
      </c>
      <c r="D2871" t="s">
        <v>81</v>
      </c>
      <c r="E2871">
        <v>10000000</v>
      </c>
      <c r="H2871">
        <v>2.25</v>
      </c>
      <c r="I2871" t="s">
        <v>215</v>
      </c>
      <c r="J2871">
        <v>1.4516100000000001E-3</v>
      </c>
      <c r="K2871" t="s">
        <v>57</v>
      </c>
      <c r="N2871" t="s">
        <v>733</v>
      </c>
      <c r="O2871">
        <v>141</v>
      </c>
      <c r="P2871" t="s">
        <v>315</v>
      </c>
      <c r="S2871" t="s">
        <v>733</v>
      </c>
      <c r="T2871">
        <v>22.9</v>
      </c>
      <c r="U2871" t="s">
        <v>733</v>
      </c>
      <c r="V2871">
        <v>75</v>
      </c>
      <c r="W2871" t="s">
        <v>736</v>
      </c>
      <c r="X2871" t="s">
        <v>280</v>
      </c>
      <c r="Y2871">
        <v>480</v>
      </c>
      <c r="AB2871">
        <v>4.0615312282250002</v>
      </c>
      <c r="AC2871" t="s">
        <v>85</v>
      </c>
      <c r="AD2871" t="s">
        <v>807</v>
      </c>
      <c r="AE2871" t="s">
        <v>138</v>
      </c>
      <c r="AI2871">
        <v>3</v>
      </c>
      <c r="AT2871" t="s">
        <v>77</v>
      </c>
      <c r="AV2871" t="s">
        <v>428</v>
      </c>
      <c r="AW2871">
        <v>141</v>
      </c>
    </row>
    <row r="2872" spans="1:49" hidden="1" x14ac:dyDescent="0.3">
      <c r="A2872" t="s">
        <v>731</v>
      </c>
      <c r="B2872" t="s">
        <v>732</v>
      </c>
      <c r="C2872" t="s">
        <v>251</v>
      </c>
      <c r="D2872" t="s">
        <v>81</v>
      </c>
      <c r="E2872">
        <v>10000000</v>
      </c>
      <c r="H2872">
        <v>4</v>
      </c>
      <c r="I2872" t="s">
        <v>215</v>
      </c>
      <c r="J2872">
        <v>2.5806399999999999E-3</v>
      </c>
      <c r="K2872" t="s">
        <v>57</v>
      </c>
      <c r="N2872" t="s">
        <v>733</v>
      </c>
      <c r="O2872">
        <v>141</v>
      </c>
      <c r="P2872" t="s">
        <v>315</v>
      </c>
      <c r="S2872" t="s">
        <v>733</v>
      </c>
      <c r="T2872">
        <v>22.9</v>
      </c>
      <c r="U2872" t="s">
        <v>733</v>
      </c>
      <c r="V2872">
        <v>75</v>
      </c>
      <c r="W2872" t="s">
        <v>738</v>
      </c>
      <c r="X2872" t="s">
        <v>280</v>
      </c>
      <c r="Y2872">
        <v>480</v>
      </c>
      <c r="AB2872">
        <v>3.1611901879370499</v>
      </c>
      <c r="AC2872" t="s">
        <v>85</v>
      </c>
      <c r="AD2872" t="s">
        <v>808</v>
      </c>
      <c r="AE2872" t="s">
        <v>138</v>
      </c>
      <c r="AI2872">
        <v>3</v>
      </c>
      <c r="AV2872" t="s">
        <v>428</v>
      </c>
      <c r="AW2872">
        <v>141</v>
      </c>
    </row>
    <row r="2873" spans="1:49" hidden="1" x14ac:dyDescent="0.3">
      <c r="A2873" t="s">
        <v>731</v>
      </c>
      <c r="C2873" t="s">
        <v>251</v>
      </c>
      <c r="D2873" t="s">
        <v>81</v>
      </c>
      <c r="E2873">
        <v>10000000</v>
      </c>
      <c r="H2873">
        <v>4</v>
      </c>
      <c r="I2873" t="s">
        <v>215</v>
      </c>
      <c r="J2873">
        <v>2.5806399999999999E-3</v>
      </c>
      <c r="K2873" t="s">
        <v>57</v>
      </c>
      <c r="N2873" t="s">
        <v>733</v>
      </c>
      <c r="O2873">
        <v>141</v>
      </c>
      <c r="P2873" t="s">
        <v>315</v>
      </c>
      <c r="S2873" t="s">
        <v>733</v>
      </c>
      <c r="T2873">
        <v>22.9</v>
      </c>
      <c r="U2873" t="s">
        <v>733</v>
      </c>
      <c r="V2873">
        <v>75</v>
      </c>
      <c r="W2873" t="s">
        <v>740</v>
      </c>
      <c r="X2873" t="s">
        <v>280</v>
      </c>
      <c r="Y2873">
        <v>480</v>
      </c>
      <c r="AB2873">
        <v>5.4739017609990102</v>
      </c>
      <c r="AC2873" t="s">
        <v>85</v>
      </c>
      <c r="AD2873" t="s">
        <v>809</v>
      </c>
      <c r="AE2873" t="s">
        <v>138</v>
      </c>
      <c r="AI2873">
        <v>3</v>
      </c>
      <c r="AT2873" t="s">
        <v>65</v>
      </c>
      <c r="AV2873" t="s">
        <v>428</v>
      </c>
      <c r="AW2873">
        <v>141</v>
      </c>
    </row>
    <row r="2874" spans="1:49" hidden="1" x14ac:dyDescent="0.3">
      <c r="A2874" t="s">
        <v>731</v>
      </c>
      <c r="B2874" t="s">
        <v>732</v>
      </c>
      <c r="C2874" t="s">
        <v>251</v>
      </c>
      <c r="D2874" t="s">
        <v>81</v>
      </c>
      <c r="E2874">
        <v>10000000</v>
      </c>
      <c r="N2874" t="s">
        <v>733</v>
      </c>
      <c r="O2874">
        <v>141</v>
      </c>
      <c r="P2874" t="s">
        <v>315</v>
      </c>
      <c r="S2874" t="s">
        <v>733</v>
      </c>
      <c r="T2874">
        <v>22.9</v>
      </c>
      <c r="U2874" t="s">
        <v>733</v>
      </c>
      <c r="V2874">
        <v>75</v>
      </c>
      <c r="W2874" t="s">
        <v>742</v>
      </c>
      <c r="X2874" t="s">
        <v>280</v>
      </c>
      <c r="Y2874">
        <v>480</v>
      </c>
      <c r="AB2874">
        <v>3.4503605451060499</v>
      </c>
      <c r="AC2874" t="s">
        <v>85</v>
      </c>
      <c r="AD2874" t="s">
        <v>810</v>
      </c>
      <c r="AE2874" t="s">
        <v>138</v>
      </c>
      <c r="AI2874">
        <v>3</v>
      </c>
      <c r="AV2874" t="s">
        <v>428</v>
      </c>
      <c r="AW2874">
        <v>141</v>
      </c>
    </row>
    <row r="2875" spans="1:49" hidden="1" x14ac:dyDescent="0.3">
      <c r="A2875" t="s">
        <v>731</v>
      </c>
      <c r="C2875" t="s">
        <v>251</v>
      </c>
      <c r="D2875" t="s">
        <v>81</v>
      </c>
      <c r="E2875">
        <v>10000000</v>
      </c>
      <c r="N2875" t="s">
        <v>733</v>
      </c>
      <c r="O2875">
        <v>141</v>
      </c>
      <c r="P2875" t="s">
        <v>315</v>
      </c>
      <c r="S2875" t="s">
        <v>733</v>
      </c>
      <c r="T2875">
        <v>22.9</v>
      </c>
      <c r="U2875" t="s">
        <v>733</v>
      </c>
      <c r="V2875">
        <v>75</v>
      </c>
      <c r="W2875" t="s">
        <v>744</v>
      </c>
      <c r="X2875" t="s">
        <v>280</v>
      </c>
      <c r="Y2875">
        <v>480</v>
      </c>
      <c r="AB2875">
        <v>5.1693332628395297</v>
      </c>
      <c r="AC2875" t="s">
        <v>85</v>
      </c>
      <c r="AD2875" t="s">
        <v>811</v>
      </c>
      <c r="AE2875" t="s">
        <v>138</v>
      </c>
      <c r="AI2875">
        <v>3</v>
      </c>
      <c r="AT2875" t="s">
        <v>203</v>
      </c>
      <c r="AV2875" t="s">
        <v>428</v>
      </c>
      <c r="AW2875">
        <v>141</v>
      </c>
    </row>
    <row r="2876" spans="1:49" hidden="1" x14ac:dyDescent="0.3">
      <c r="A2876" t="s">
        <v>731</v>
      </c>
      <c r="B2876" t="s">
        <v>746</v>
      </c>
      <c r="C2876" t="s">
        <v>251</v>
      </c>
      <c r="D2876" t="s">
        <v>81</v>
      </c>
      <c r="E2876">
        <v>10000000</v>
      </c>
      <c r="N2876" t="s">
        <v>733</v>
      </c>
      <c r="O2876">
        <v>141</v>
      </c>
      <c r="P2876" t="s">
        <v>315</v>
      </c>
      <c r="S2876" t="s">
        <v>733</v>
      </c>
      <c r="T2876">
        <v>22.9</v>
      </c>
      <c r="U2876" t="s">
        <v>733</v>
      </c>
      <c r="V2876">
        <v>75</v>
      </c>
      <c r="W2876" t="s">
        <v>747</v>
      </c>
      <c r="X2876" t="s">
        <v>280</v>
      </c>
      <c r="Y2876">
        <v>480</v>
      </c>
      <c r="AB2876">
        <v>3.1307682802690202</v>
      </c>
      <c r="AC2876" t="s">
        <v>85</v>
      </c>
      <c r="AD2876" t="s">
        <v>812</v>
      </c>
      <c r="AE2876" t="s">
        <v>138</v>
      </c>
      <c r="AI2876">
        <v>3</v>
      </c>
      <c r="AV2876" t="s">
        <v>428</v>
      </c>
      <c r="AW2876">
        <v>141</v>
      </c>
    </row>
    <row r="2877" spans="1:49" hidden="1" x14ac:dyDescent="0.3">
      <c r="A2877" t="s">
        <v>731</v>
      </c>
      <c r="B2877" t="s">
        <v>732</v>
      </c>
      <c r="C2877" t="s">
        <v>251</v>
      </c>
      <c r="D2877" t="s">
        <v>81</v>
      </c>
      <c r="E2877">
        <v>10000000</v>
      </c>
      <c r="H2877">
        <v>2.25</v>
      </c>
      <c r="I2877" t="s">
        <v>215</v>
      </c>
      <c r="J2877">
        <v>1.4516100000000001E-3</v>
      </c>
      <c r="K2877" t="s">
        <v>57</v>
      </c>
      <c r="N2877" t="s">
        <v>733</v>
      </c>
      <c r="O2877">
        <v>290</v>
      </c>
      <c r="P2877" t="s">
        <v>315</v>
      </c>
      <c r="S2877" t="s">
        <v>733</v>
      </c>
      <c r="T2877">
        <v>22.5</v>
      </c>
      <c r="U2877" t="s">
        <v>733</v>
      </c>
      <c r="V2877">
        <v>50.3</v>
      </c>
      <c r="W2877" t="s">
        <v>734</v>
      </c>
      <c r="X2877" t="s">
        <v>280</v>
      </c>
      <c r="Y2877">
        <v>480</v>
      </c>
      <c r="AB2877">
        <v>0.74844027123497703</v>
      </c>
      <c r="AC2877" t="s">
        <v>85</v>
      </c>
      <c r="AD2877" t="s">
        <v>813</v>
      </c>
      <c r="AE2877" t="s">
        <v>138</v>
      </c>
      <c r="AI2877">
        <v>3</v>
      </c>
      <c r="AV2877" t="s">
        <v>428</v>
      </c>
      <c r="AW2877">
        <v>290</v>
      </c>
    </row>
    <row r="2878" spans="1:49" hidden="1" x14ac:dyDescent="0.3">
      <c r="A2878" t="s">
        <v>731</v>
      </c>
      <c r="C2878" t="s">
        <v>251</v>
      </c>
      <c r="D2878" t="s">
        <v>81</v>
      </c>
      <c r="E2878">
        <v>10000000</v>
      </c>
      <c r="H2878">
        <v>2.25</v>
      </c>
      <c r="I2878" t="s">
        <v>215</v>
      </c>
      <c r="J2878">
        <v>1.4516100000000001E-3</v>
      </c>
      <c r="K2878" t="s">
        <v>57</v>
      </c>
      <c r="N2878" t="s">
        <v>733</v>
      </c>
      <c r="O2878">
        <v>290</v>
      </c>
      <c r="P2878" t="s">
        <v>315</v>
      </c>
      <c r="S2878" t="s">
        <v>733</v>
      </c>
      <c r="T2878">
        <v>22.5</v>
      </c>
      <c r="U2878" t="s">
        <v>733</v>
      </c>
      <c r="V2878">
        <v>50.3</v>
      </c>
      <c r="W2878" t="s">
        <v>736</v>
      </c>
      <c r="X2878" t="s">
        <v>280</v>
      </c>
      <c r="Y2878">
        <v>480</v>
      </c>
      <c r="AB2878">
        <v>0.65926956269820203</v>
      </c>
      <c r="AC2878" t="s">
        <v>85</v>
      </c>
      <c r="AD2878" t="s">
        <v>814</v>
      </c>
      <c r="AE2878" t="s">
        <v>138</v>
      </c>
      <c r="AI2878">
        <v>3</v>
      </c>
      <c r="AT2878" t="s">
        <v>77</v>
      </c>
      <c r="AV2878" t="s">
        <v>428</v>
      </c>
      <c r="AW2878">
        <v>290</v>
      </c>
    </row>
    <row r="2879" spans="1:49" hidden="1" x14ac:dyDescent="0.3">
      <c r="A2879" t="s">
        <v>731</v>
      </c>
      <c r="B2879" t="s">
        <v>732</v>
      </c>
      <c r="C2879" t="s">
        <v>251</v>
      </c>
      <c r="D2879" t="s">
        <v>81</v>
      </c>
      <c r="E2879">
        <v>1000000</v>
      </c>
      <c r="H2879">
        <v>4</v>
      </c>
      <c r="I2879" t="s">
        <v>215</v>
      </c>
      <c r="J2879">
        <v>2.5806399999999999E-3</v>
      </c>
      <c r="K2879" t="s">
        <v>57</v>
      </c>
      <c r="N2879" t="s">
        <v>733</v>
      </c>
      <c r="O2879">
        <v>290</v>
      </c>
      <c r="P2879" t="s">
        <v>315</v>
      </c>
      <c r="S2879" t="s">
        <v>733</v>
      </c>
      <c r="T2879">
        <v>22.5</v>
      </c>
      <c r="U2879" t="s">
        <v>733</v>
      </c>
      <c r="V2879">
        <v>50.3</v>
      </c>
      <c r="W2879" t="s">
        <v>738</v>
      </c>
      <c r="X2879" t="s">
        <v>280</v>
      </c>
      <c r="Y2879">
        <v>480</v>
      </c>
      <c r="AB2879">
        <v>0.52542593429421802</v>
      </c>
      <c r="AC2879" t="s">
        <v>85</v>
      </c>
      <c r="AD2879" t="s">
        <v>815</v>
      </c>
      <c r="AE2879" t="s">
        <v>138</v>
      </c>
      <c r="AI2879">
        <v>3</v>
      </c>
      <c r="AV2879" t="s">
        <v>428</v>
      </c>
      <c r="AW2879">
        <v>290</v>
      </c>
    </row>
    <row r="2880" spans="1:49" hidden="1" x14ac:dyDescent="0.3">
      <c r="A2880" t="s">
        <v>731</v>
      </c>
      <c r="C2880" t="s">
        <v>251</v>
      </c>
      <c r="D2880" t="s">
        <v>81</v>
      </c>
      <c r="E2880">
        <v>1000000</v>
      </c>
      <c r="H2880">
        <v>4</v>
      </c>
      <c r="I2880" t="s">
        <v>215</v>
      </c>
      <c r="J2880">
        <v>2.5806399999999999E-3</v>
      </c>
      <c r="K2880" t="s">
        <v>57</v>
      </c>
      <c r="N2880" t="s">
        <v>733</v>
      </c>
      <c r="O2880">
        <v>290</v>
      </c>
      <c r="P2880" t="s">
        <v>315</v>
      </c>
      <c r="S2880" t="s">
        <v>733</v>
      </c>
      <c r="T2880">
        <v>22.5</v>
      </c>
      <c r="U2880" t="s">
        <v>733</v>
      </c>
      <c r="V2880">
        <v>50.3</v>
      </c>
      <c r="W2880" t="s">
        <v>740</v>
      </c>
      <c r="X2880" t="s">
        <v>280</v>
      </c>
      <c r="Y2880">
        <v>480</v>
      </c>
      <c r="AB2880">
        <v>0.81190405699596102</v>
      </c>
      <c r="AC2880" t="s">
        <v>85</v>
      </c>
      <c r="AD2880" t="s">
        <v>816</v>
      </c>
      <c r="AE2880" t="s">
        <v>138</v>
      </c>
      <c r="AI2880">
        <v>3</v>
      </c>
      <c r="AT2880" t="s">
        <v>65</v>
      </c>
      <c r="AV2880" t="s">
        <v>428</v>
      </c>
      <c r="AW2880">
        <v>290</v>
      </c>
    </row>
    <row r="2881" spans="1:49" hidden="1" x14ac:dyDescent="0.3">
      <c r="A2881" t="s">
        <v>731</v>
      </c>
      <c r="B2881" t="s">
        <v>732</v>
      </c>
      <c r="C2881" t="s">
        <v>251</v>
      </c>
      <c r="D2881" t="s">
        <v>81</v>
      </c>
      <c r="E2881">
        <v>1000000</v>
      </c>
      <c r="N2881" t="s">
        <v>733</v>
      </c>
      <c r="O2881">
        <v>290</v>
      </c>
      <c r="P2881" t="s">
        <v>315</v>
      </c>
      <c r="S2881" t="s">
        <v>733</v>
      </c>
      <c r="T2881">
        <v>22.5</v>
      </c>
      <c r="U2881" t="s">
        <v>733</v>
      </c>
      <c r="V2881">
        <v>50.3</v>
      </c>
      <c r="W2881" t="s">
        <v>742</v>
      </c>
      <c r="X2881" t="s">
        <v>280</v>
      </c>
      <c r="Y2881">
        <v>480</v>
      </c>
      <c r="AB2881">
        <v>0.57888525643005595</v>
      </c>
      <c r="AC2881" t="s">
        <v>85</v>
      </c>
      <c r="AD2881" t="s">
        <v>817</v>
      </c>
      <c r="AE2881" t="s">
        <v>138</v>
      </c>
      <c r="AI2881">
        <v>3</v>
      </c>
      <c r="AV2881" t="s">
        <v>428</v>
      </c>
      <c r="AW2881">
        <v>290</v>
      </c>
    </row>
    <row r="2882" spans="1:49" hidden="1" x14ac:dyDescent="0.3">
      <c r="A2882" t="s">
        <v>731</v>
      </c>
      <c r="C2882" t="s">
        <v>251</v>
      </c>
      <c r="D2882" t="s">
        <v>81</v>
      </c>
      <c r="E2882">
        <v>1000000</v>
      </c>
      <c r="N2882" t="s">
        <v>733</v>
      </c>
      <c r="O2882">
        <v>290</v>
      </c>
      <c r="P2882" t="s">
        <v>315</v>
      </c>
      <c r="S2882" t="s">
        <v>733</v>
      </c>
      <c r="T2882">
        <v>22.5</v>
      </c>
      <c r="U2882" t="s">
        <v>733</v>
      </c>
      <c r="V2882">
        <v>50.3</v>
      </c>
      <c r="W2882" t="s">
        <v>744</v>
      </c>
      <c r="X2882" t="s">
        <v>280</v>
      </c>
      <c r="Y2882">
        <v>480</v>
      </c>
      <c r="AB2882">
        <v>0.61119109961566398</v>
      </c>
      <c r="AC2882" t="s">
        <v>85</v>
      </c>
      <c r="AD2882" t="s">
        <v>818</v>
      </c>
      <c r="AE2882" t="s">
        <v>138</v>
      </c>
      <c r="AI2882">
        <v>3</v>
      </c>
      <c r="AT2882" t="s">
        <v>203</v>
      </c>
      <c r="AV2882" t="s">
        <v>428</v>
      </c>
      <c r="AW2882">
        <v>290</v>
      </c>
    </row>
    <row r="2883" spans="1:49" hidden="1" x14ac:dyDescent="0.3">
      <c r="A2883" t="s">
        <v>731</v>
      </c>
      <c r="B2883" t="s">
        <v>746</v>
      </c>
      <c r="C2883" t="s">
        <v>251</v>
      </c>
      <c r="D2883" t="s">
        <v>81</v>
      </c>
      <c r="E2883">
        <v>1000000</v>
      </c>
      <c r="N2883" t="s">
        <v>733</v>
      </c>
      <c r="O2883">
        <v>290</v>
      </c>
      <c r="P2883" t="s">
        <v>315</v>
      </c>
      <c r="S2883" t="s">
        <v>733</v>
      </c>
      <c r="T2883">
        <v>22.5</v>
      </c>
      <c r="U2883" t="s">
        <v>733</v>
      </c>
      <c r="V2883">
        <v>50.3</v>
      </c>
      <c r="W2883" t="s">
        <v>747</v>
      </c>
      <c r="X2883" t="s">
        <v>280</v>
      </c>
      <c r="Y2883">
        <v>480</v>
      </c>
      <c r="AB2883">
        <v>0.55343044365554805</v>
      </c>
      <c r="AC2883" t="s">
        <v>85</v>
      </c>
      <c r="AD2883" t="s">
        <v>819</v>
      </c>
      <c r="AE2883" t="s">
        <v>138</v>
      </c>
      <c r="AI2883">
        <v>3</v>
      </c>
      <c r="AV2883" t="s">
        <v>428</v>
      </c>
      <c r="AW2883">
        <v>290</v>
      </c>
    </row>
    <row r="2884" spans="1:49" hidden="1" x14ac:dyDescent="0.3">
      <c r="A2884" t="s">
        <v>731</v>
      </c>
      <c r="B2884" t="s">
        <v>732</v>
      </c>
      <c r="C2884" t="s">
        <v>251</v>
      </c>
      <c r="D2884" t="s">
        <v>81</v>
      </c>
      <c r="E2884">
        <v>1000000</v>
      </c>
      <c r="H2884">
        <v>2.25</v>
      </c>
      <c r="I2884" t="s">
        <v>215</v>
      </c>
      <c r="J2884">
        <v>1.4516100000000001E-3</v>
      </c>
      <c r="K2884" t="s">
        <v>57</v>
      </c>
      <c r="N2884" t="s">
        <v>733</v>
      </c>
      <c r="O2884">
        <v>183</v>
      </c>
      <c r="P2884" t="s">
        <v>315</v>
      </c>
      <c r="S2884" t="s">
        <v>733</v>
      </c>
      <c r="T2884">
        <v>23.8</v>
      </c>
      <c r="U2884" t="s">
        <v>733</v>
      </c>
      <c r="V2884">
        <v>51.8</v>
      </c>
      <c r="W2884" t="s">
        <v>734</v>
      </c>
      <c r="X2884" t="s">
        <v>280</v>
      </c>
      <c r="Y2884">
        <v>480</v>
      </c>
      <c r="AB2884">
        <v>0.62840565974394702</v>
      </c>
      <c r="AC2884" t="s">
        <v>85</v>
      </c>
      <c r="AD2884" t="s">
        <v>820</v>
      </c>
      <c r="AE2884" t="s">
        <v>138</v>
      </c>
      <c r="AI2884">
        <v>3</v>
      </c>
      <c r="AV2884" t="s">
        <v>428</v>
      </c>
      <c r="AW2884">
        <v>183</v>
      </c>
    </row>
    <row r="2885" spans="1:49" hidden="1" x14ac:dyDescent="0.3">
      <c r="A2885" t="s">
        <v>731</v>
      </c>
      <c r="C2885" t="s">
        <v>251</v>
      </c>
      <c r="D2885" t="s">
        <v>81</v>
      </c>
      <c r="E2885">
        <v>1000000</v>
      </c>
      <c r="H2885">
        <v>2.25</v>
      </c>
      <c r="I2885" t="s">
        <v>215</v>
      </c>
      <c r="J2885">
        <v>1.4516100000000001E-3</v>
      </c>
      <c r="K2885" t="s">
        <v>57</v>
      </c>
      <c r="N2885" t="s">
        <v>733</v>
      </c>
      <c r="O2885">
        <v>183</v>
      </c>
      <c r="P2885" t="s">
        <v>315</v>
      </c>
      <c r="S2885" t="s">
        <v>733</v>
      </c>
      <c r="T2885">
        <v>23.8</v>
      </c>
      <c r="U2885" t="s">
        <v>733</v>
      </c>
      <c r="V2885">
        <v>51.8</v>
      </c>
      <c r="W2885" t="s">
        <v>736</v>
      </c>
      <c r="X2885" t="s">
        <v>280</v>
      </c>
      <c r="Y2885">
        <v>480</v>
      </c>
      <c r="AB2885">
        <v>0.76136619234153602</v>
      </c>
      <c r="AC2885" t="s">
        <v>85</v>
      </c>
      <c r="AD2885" t="s">
        <v>821</v>
      </c>
      <c r="AE2885" t="s">
        <v>138</v>
      </c>
      <c r="AI2885">
        <v>3</v>
      </c>
      <c r="AT2885" t="s">
        <v>77</v>
      </c>
      <c r="AV2885" t="s">
        <v>428</v>
      </c>
      <c r="AW2885">
        <v>183</v>
      </c>
    </row>
    <row r="2886" spans="1:49" hidden="1" x14ac:dyDescent="0.3">
      <c r="A2886" t="s">
        <v>731</v>
      </c>
      <c r="B2886" t="s">
        <v>732</v>
      </c>
      <c r="C2886" t="s">
        <v>251</v>
      </c>
      <c r="D2886" t="s">
        <v>81</v>
      </c>
      <c r="E2886">
        <v>1000000</v>
      </c>
      <c r="H2886">
        <v>4</v>
      </c>
      <c r="I2886" t="s">
        <v>215</v>
      </c>
      <c r="J2886">
        <v>2.5806399999999999E-3</v>
      </c>
      <c r="K2886" t="s">
        <v>57</v>
      </c>
      <c r="N2886" t="s">
        <v>733</v>
      </c>
      <c r="O2886">
        <v>183</v>
      </c>
      <c r="P2886" t="s">
        <v>315</v>
      </c>
      <c r="S2886" t="s">
        <v>733</v>
      </c>
      <c r="T2886">
        <v>23.8</v>
      </c>
      <c r="U2886" t="s">
        <v>733</v>
      </c>
      <c r="V2886">
        <v>51.8</v>
      </c>
      <c r="W2886" t="s">
        <v>738</v>
      </c>
      <c r="X2886" t="s">
        <v>280</v>
      </c>
      <c r="Y2886">
        <v>480</v>
      </c>
      <c r="AB2886">
        <v>0.82216035673905097</v>
      </c>
      <c r="AC2886" t="s">
        <v>85</v>
      </c>
      <c r="AD2886" t="s">
        <v>822</v>
      </c>
      <c r="AE2886" t="s">
        <v>138</v>
      </c>
      <c r="AI2886">
        <v>3</v>
      </c>
      <c r="AV2886" t="s">
        <v>428</v>
      </c>
      <c r="AW2886">
        <v>183</v>
      </c>
    </row>
    <row r="2887" spans="1:49" hidden="1" x14ac:dyDescent="0.3">
      <c r="A2887" t="s">
        <v>731</v>
      </c>
      <c r="C2887" t="s">
        <v>251</v>
      </c>
      <c r="D2887" t="s">
        <v>81</v>
      </c>
      <c r="E2887">
        <v>100000</v>
      </c>
      <c r="H2887">
        <v>4</v>
      </c>
      <c r="I2887" t="s">
        <v>215</v>
      </c>
      <c r="J2887">
        <v>2.5806399999999999E-3</v>
      </c>
      <c r="K2887" t="s">
        <v>57</v>
      </c>
      <c r="N2887" t="s">
        <v>733</v>
      </c>
      <c r="O2887">
        <v>183</v>
      </c>
      <c r="P2887" t="s">
        <v>315</v>
      </c>
      <c r="S2887" t="s">
        <v>733</v>
      </c>
      <c r="T2887">
        <v>23.8</v>
      </c>
      <c r="U2887" t="s">
        <v>733</v>
      </c>
      <c r="V2887">
        <v>51.8</v>
      </c>
      <c r="W2887" t="s">
        <v>740</v>
      </c>
      <c r="X2887" t="s">
        <v>280</v>
      </c>
      <c r="Y2887">
        <v>480</v>
      </c>
      <c r="AB2887">
        <v>0.90740829156647795</v>
      </c>
      <c r="AC2887" t="s">
        <v>85</v>
      </c>
      <c r="AD2887" t="s">
        <v>823</v>
      </c>
      <c r="AE2887" t="s">
        <v>138</v>
      </c>
      <c r="AI2887">
        <v>3</v>
      </c>
      <c r="AT2887" t="s">
        <v>65</v>
      </c>
      <c r="AV2887" t="s">
        <v>428</v>
      </c>
      <c r="AW2887">
        <v>183</v>
      </c>
    </row>
    <row r="2888" spans="1:49" hidden="1" x14ac:dyDescent="0.3">
      <c r="A2888" t="s">
        <v>731</v>
      </c>
      <c r="B2888" t="s">
        <v>732</v>
      </c>
      <c r="C2888" t="s">
        <v>251</v>
      </c>
      <c r="D2888" t="s">
        <v>81</v>
      </c>
      <c r="E2888">
        <v>100000</v>
      </c>
      <c r="N2888" t="s">
        <v>733</v>
      </c>
      <c r="O2888">
        <v>183</v>
      </c>
      <c r="P2888" t="s">
        <v>315</v>
      </c>
      <c r="S2888" t="s">
        <v>733</v>
      </c>
      <c r="T2888">
        <v>23.8</v>
      </c>
      <c r="U2888" t="s">
        <v>733</v>
      </c>
      <c r="V2888">
        <v>51.8</v>
      </c>
      <c r="W2888" t="s">
        <v>742</v>
      </c>
      <c r="X2888" t="s">
        <v>280</v>
      </c>
      <c r="Y2888">
        <v>480</v>
      </c>
      <c r="AB2888">
        <v>0.52936383595089298</v>
      </c>
      <c r="AC2888" t="s">
        <v>85</v>
      </c>
      <c r="AD2888" t="s">
        <v>824</v>
      </c>
      <c r="AE2888" t="s">
        <v>138</v>
      </c>
      <c r="AI2888">
        <v>3</v>
      </c>
      <c r="AV2888" t="s">
        <v>428</v>
      </c>
      <c r="AW2888">
        <v>183</v>
      </c>
    </row>
    <row r="2889" spans="1:49" hidden="1" x14ac:dyDescent="0.3">
      <c r="A2889" t="s">
        <v>731</v>
      </c>
      <c r="C2889" t="s">
        <v>251</v>
      </c>
      <c r="D2889" t="s">
        <v>81</v>
      </c>
      <c r="E2889">
        <v>100000</v>
      </c>
      <c r="N2889" t="s">
        <v>733</v>
      </c>
      <c r="O2889">
        <v>183</v>
      </c>
      <c r="P2889" t="s">
        <v>315</v>
      </c>
      <c r="S2889" t="s">
        <v>733</v>
      </c>
      <c r="T2889">
        <v>23.8</v>
      </c>
      <c r="U2889" t="s">
        <v>733</v>
      </c>
      <c r="V2889">
        <v>51.8</v>
      </c>
      <c r="W2889" t="s">
        <v>744</v>
      </c>
      <c r="X2889" t="s">
        <v>280</v>
      </c>
      <c r="Y2889">
        <v>480</v>
      </c>
      <c r="AB2889">
        <v>0.78406826700119803</v>
      </c>
      <c r="AC2889" t="s">
        <v>85</v>
      </c>
      <c r="AD2889" t="s">
        <v>825</v>
      </c>
      <c r="AE2889" t="s">
        <v>138</v>
      </c>
      <c r="AI2889">
        <v>3</v>
      </c>
      <c r="AT2889" t="s">
        <v>203</v>
      </c>
      <c r="AV2889" t="s">
        <v>428</v>
      </c>
      <c r="AW2889">
        <v>183</v>
      </c>
    </row>
    <row r="2890" spans="1:49" hidden="1" x14ac:dyDescent="0.3">
      <c r="A2890" t="s">
        <v>731</v>
      </c>
      <c r="B2890" t="s">
        <v>746</v>
      </c>
      <c r="C2890" t="s">
        <v>251</v>
      </c>
      <c r="D2890" t="s">
        <v>81</v>
      </c>
      <c r="E2890">
        <v>100000</v>
      </c>
      <c r="N2890" t="s">
        <v>733</v>
      </c>
      <c r="O2890">
        <v>183</v>
      </c>
      <c r="P2890" t="s">
        <v>315</v>
      </c>
      <c r="S2890" t="s">
        <v>733</v>
      </c>
      <c r="T2890">
        <v>23.8</v>
      </c>
      <c r="U2890" t="s">
        <v>733</v>
      </c>
      <c r="V2890">
        <v>51.8</v>
      </c>
      <c r="W2890" t="s">
        <v>747</v>
      </c>
      <c r="X2890" t="s">
        <v>280</v>
      </c>
      <c r="Y2890">
        <v>480</v>
      </c>
      <c r="AB2890">
        <v>0.44289063512342502</v>
      </c>
      <c r="AC2890" t="s">
        <v>85</v>
      </c>
      <c r="AD2890" t="s">
        <v>826</v>
      </c>
      <c r="AE2890" t="s">
        <v>138</v>
      </c>
      <c r="AI2890">
        <v>3</v>
      </c>
      <c r="AV2890" t="s">
        <v>428</v>
      </c>
      <c r="AW2890">
        <v>183</v>
      </c>
    </row>
    <row r="2891" spans="1:49" hidden="1" x14ac:dyDescent="0.3">
      <c r="A2891" t="s">
        <v>731</v>
      </c>
      <c r="B2891" t="s">
        <v>732</v>
      </c>
      <c r="C2891" t="s">
        <v>251</v>
      </c>
      <c r="D2891" t="s">
        <v>81</v>
      </c>
      <c r="E2891">
        <v>100000</v>
      </c>
      <c r="H2891">
        <v>2.25</v>
      </c>
      <c r="I2891" t="s">
        <v>215</v>
      </c>
      <c r="J2891">
        <v>1.4516100000000001E-3</v>
      </c>
      <c r="K2891" t="s">
        <v>57</v>
      </c>
      <c r="N2891" t="s">
        <v>733</v>
      </c>
      <c r="O2891">
        <v>245</v>
      </c>
      <c r="P2891" t="s">
        <v>315</v>
      </c>
      <c r="S2891" t="s">
        <v>733</v>
      </c>
      <c r="T2891">
        <v>11</v>
      </c>
      <c r="U2891" t="s">
        <v>733</v>
      </c>
      <c r="V2891">
        <v>70.2</v>
      </c>
      <c r="W2891" t="s">
        <v>734</v>
      </c>
      <c r="X2891" t="s">
        <v>280</v>
      </c>
      <c r="Y2891">
        <v>480</v>
      </c>
      <c r="AB2891">
        <v>1.1765930436082099</v>
      </c>
      <c r="AC2891" t="s">
        <v>85</v>
      </c>
      <c r="AD2891" t="s">
        <v>827</v>
      </c>
      <c r="AE2891" t="s">
        <v>138</v>
      </c>
      <c r="AI2891">
        <v>3</v>
      </c>
      <c r="AV2891" t="s">
        <v>428</v>
      </c>
      <c r="AW2891">
        <v>245</v>
      </c>
    </row>
    <row r="2892" spans="1:49" hidden="1" x14ac:dyDescent="0.3">
      <c r="A2892" t="s">
        <v>731</v>
      </c>
      <c r="C2892" t="s">
        <v>251</v>
      </c>
      <c r="D2892" t="s">
        <v>81</v>
      </c>
      <c r="E2892">
        <v>100000</v>
      </c>
      <c r="H2892">
        <v>2.25</v>
      </c>
      <c r="I2892" t="s">
        <v>215</v>
      </c>
      <c r="J2892">
        <v>1.4516100000000001E-3</v>
      </c>
      <c r="K2892" t="s">
        <v>57</v>
      </c>
      <c r="N2892" t="s">
        <v>733</v>
      </c>
      <c r="O2892">
        <v>245</v>
      </c>
      <c r="P2892" t="s">
        <v>315</v>
      </c>
      <c r="S2892" t="s">
        <v>733</v>
      </c>
      <c r="T2892">
        <v>11</v>
      </c>
      <c r="U2892" t="s">
        <v>733</v>
      </c>
      <c r="V2892">
        <v>70.2</v>
      </c>
      <c r="W2892" t="s">
        <v>736</v>
      </c>
      <c r="X2892" t="s">
        <v>280</v>
      </c>
      <c r="Y2892">
        <v>480</v>
      </c>
      <c r="AB2892">
        <v>1.4995441972580501</v>
      </c>
      <c r="AC2892" t="s">
        <v>85</v>
      </c>
      <c r="AD2892" t="s">
        <v>828</v>
      </c>
      <c r="AE2892" t="s">
        <v>138</v>
      </c>
      <c r="AI2892">
        <v>3</v>
      </c>
      <c r="AT2892" t="s">
        <v>77</v>
      </c>
      <c r="AV2892" t="s">
        <v>428</v>
      </c>
      <c r="AW2892">
        <v>245</v>
      </c>
    </row>
    <row r="2893" spans="1:49" hidden="1" x14ac:dyDescent="0.3">
      <c r="A2893" t="s">
        <v>731</v>
      </c>
      <c r="B2893" t="s">
        <v>732</v>
      </c>
      <c r="C2893" t="s">
        <v>251</v>
      </c>
      <c r="D2893" t="s">
        <v>81</v>
      </c>
      <c r="E2893">
        <v>100000</v>
      </c>
      <c r="H2893">
        <v>4</v>
      </c>
      <c r="I2893" t="s">
        <v>215</v>
      </c>
      <c r="J2893">
        <v>2.5806399999999999E-3</v>
      </c>
      <c r="K2893" t="s">
        <v>57</v>
      </c>
      <c r="N2893" t="s">
        <v>733</v>
      </c>
      <c r="O2893">
        <v>245</v>
      </c>
      <c r="P2893" t="s">
        <v>315</v>
      </c>
      <c r="S2893" t="s">
        <v>733</v>
      </c>
      <c r="T2893">
        <v>11</v>
      </c>
      <c r="U2893" t="s">
        <v>733</v>
      </c>
      <c r="V2893">
        <v>70.2</v>
      </c>
      <c r="W2893" t="s">
        <v>738</v>
      </c>
      <c r="X2893" t="s">
        <v>280</v>
      </c>
      <c r="Y2893">
        <v>480</v>
      </c>
      <c r="AB2893">
        <v>1.26173927227564</v>
      </c>
      <c r="AC2893" t="s">
        <v>85</v>
      </c>
      <c r="AD2893" t="s">
        <v>829</v>
      </c>
      <c r="AE2893" t="s">
        <v>138</v>
      </c>
      <c r="AI2893">
        <v>3</v>
      </c>
      <c r="AV2893" t="s">
        <v>428</v>
      </c>
      <c r="AW2893">
        <v>245</v>
      </c>
    </row>
    <row r="2894" spans="1:49" hidden="1" x14ac:dyDescent="0.3">
      <c r="A2894" t="s">
        <v>731</v>
      </c>
      <c r="C2894" t="s">
        <v>251</v>
      </c>
      <c r="D2894" t="s">
        <v>81</v>
      </c>
      <c r="E2894">
        <v>100000</v>
      </c>
      <c r="H2894">
        <v>4</v>
      </c>
      <c r="I2894" t="s">
        <v>215</v>
      </c>
      <c r="J2894">
        <v>2.5806399999999999E-3</v>
      </c>
      <c r="K2894" t="s">
        <v>57</v>
      </c>
      <c r="N2894" t="s">
        <v>733</v>
      </c>
      <c r="O2894">
        <v>245</v>
      </c>
      <c r="P2894" t="s">
        <v>315</v>
      </c>
      <c r="S2894" t="s">
        <v>733</v>
      </c>
      <c r="T2894">
        <v>11</v>
      </c>
      <c r="U2894" t="s">
        <v>733</v>
      </c>
      <c r="V2894">
        <v>70.2</v>
      </c>
      <c r="W2894" t="s">
        <v>740</v>
      </c>
      <c r="X2894" t="s">
        <v>280</v>
      </c>
      <c r="Y2894">
        <v>480</v>
      </c>
      <c r="AB2894">
        <v>1.1705528483357399</v>
      </c>
      <c r="AC2894" t="s">
        <v>85</v>
      </c>
      <c r="AD2894" t="s">
        <v>830</v>
      </c>
      <c r="AE2894" t="s">
        <v>138</v>
      </c>
      <c r="AI2894">
        <v>3</v>
      </c>
      <c r="AT2894" t="s">
        <v>65</v>
      </c>
      <c r="AV2894" t="s">
        <v>428</v>
      </c>
      <c r="AW2894">
        <v>245</v>
      </c>
    </row>
    <row r="2895" spans="1:49" hidden="1" x14ac:dyDescent="0.3">
      <c r="A2895" t="s">
        <v>731</v>
      </c>
      <c r="B2895" t="s">
        <v>732</v>
      </c>
      <c r="C2895" t="s">
        <v>251</v>
      </c>
      <c r="D2895" t="s">
        <v>81</v>
      </c>
      <c r="E2895">
        <v>10000000</v>
      </c>
      <c r="N2895" t="s">
        <v>733</v>
      </c>
      <c r="O2895">
        <v>245</v>
      </c>
      <c r="P2895" t="s">
        <v>315</v>
      </c>
      <c r="S2895" t="s">
        <v>733</v>
      </c>
      <c r="T2895">
        <v>11</v>
      </c>
      <c r="U2895" t="s">
        <v>733</v>
      </c>
      <c r="V2895">
        <v>70.2</v>
      </c>
      <c r="W2895" t="s">
        <v>742</v>
      </c>
      <c r="X2895" t="s">
        <v>280</v>
      </c>
      <c r="Y2895">
        <v>480</v>
      </c>
      <c r="AB2895">
        <v>1.1495270137543401</v>
      </c>
      <c r="AC2895" t="s">
        <v>85</v>
      </c>
      <c r="AD2895" t="s">
        <v>831</v>
      </c>
      <c r="AE2895" t="s">
        <v>138</v>
      </c>
      <c r="AI2895">
        <v>3</v>
      </c>
      <c r="AV2895" t="s">
        <v>428</v>
      </c>
      <c r="AW2895">
        <v>245</v>
      </c>
    </row>
    <row r="2896" spans="1:49" hidden="1" x14ac:dyDescent="0.3">
      <c r="A2896" t="s">
        <v>731</v>
      </c>
      <c r="C2896" t="s">
        <v>251</v>
      </c>
      <c r="D2896" t="s">
        <v>81</v>
      </c>
      <c r="E2896">
        <v>10000000</v>
      </c>
      <c r="N2896" t="s">
        <v>733</v>
      </c>
      <c r="O2896">
        <v>245</v>
      </c>
      <c r="P2896" t="s">
        <v>315</v>
      </c>
      <c r="S2896" t="s">
        <v>733</v>
      </c>
      <c r="T2896">
        <v>11</v>
      </c>
      <c r="U2896" t="s">
        <v>733</v>
      </c>
      <c r="V2896">
        <v>70.2</v>
      </c>
      <c r="W2896" t="s">
        <v>744</v>
      </c>
      <c r="X2896" t="s">
        <v>280</v>
      </c>
      <c r="Y2896">
        <v>480</v>
      </c>
      <c r="AB2896">
        <v>1.5181895881398999</v>
      </c>
      <c r="AC2896" t="s">
        <v>85</v>
      </c>
      <c r="AD2896" t="s">
        <v>832</v>
      </c>
      <c r="AE2896" t="s">
        <v>138</v>
      </c>
      <c r="AI2896">
        <v>3</v>
      </c>
      <c r="AT2896" t="s">
        <v>203</v>
      </c>
      <c r="AV2896" t="s">
        <v>428</v>
      </c>
      <c r="AW2896">
        <v>245</v>
      </c>
    </row>
    <row r="2897" spans="1:49" hidden="1" x14ac:dyDescent="0.3">
      <c r="A2897" t="s">
        <v>731</v>
      </c>
      <c r="B2897" t="s">
        <v>746</v>
      </c>
      <c r="C2897" t="s">
        <v>251</v>
      </c>
      <c r="D2897" t="s">
        <v>81</v>
      </c>
      <c r="E2897">
        <v>10000000</v>
      </c>
      <c r="N2897" t="s">
        <v>733</v>
      </c>
      <c r="O2897">
        <v>245</v>
      </c>
      <c r="P2897" t="s">
        <v>315</v>
      </c>
      <c r="S2897" t="s">
        <v>733</v>
      </c>
      <c r="T2897">
        <v>11</v>
      </c>
      <c r="U2897" t="s">
        <v>733</v>
      </c>
      <c r="V2897">
        <v>70.2</v>
      </c>
      <c r="W2897" t="s">
        <v>747</v>
      </c>
      <c r="X2897" t="s">
        <v>280</v>
      </c>
      <c r="Y2897">
        <v>480</v>
      </c>
      <c r="AB2897">
        <v>1.1795837366545601</v>
      </c>
      <c r="AC2897" t="s">
        <v>85</v>
      </c>
      <c r="AD2897" t="s">
        <v>833</v>
      </c>
      <c r="AE2897" t="s">
        <v>138</v>
      </c>
      <c r="AI2897">
        <v>3</v>
      </c>
      <c r="AV2897" t="s">
        <v>428</v>
      </c>
      <c r="AW2897">
        <v>245</v>
      </c>
    </row>
    <row r="2898" spans="1:49" hidden="1" x14ac:dyDescent="0.3">
      <c r="A2898" t="s">
        <v>731</v>
      </c>
      <c r="B2898" t="s">
        <v>732</v>
      </c>
      <c r="C2898" t="s">
        <v>251</v>
      </c>
      <c r="D2898" t="s">
        <v>81</v>
      </c>
      <c r="E2898">
        <v>10000000</v>
      </c>
      <c r="H2898">
        <v>2.25</v>
      </c>
      <c r="I2898" t="s">
        <v>215</v>
      </c>
      <c r="J2898">
        <v>1.4516100000000001E-3</v>
      </c>
      <c r="K2898" t="s">
        <v>57</v>
      </c>
      <c r="N2898" t="s">
        <v>733</v>
      </c>
      <c r="O2898">
        <v>214</v>
      </c>
      <c r="P2898" t="s">
        <v>315</v>
      </c>
      <c r="S2898" t="s">
        <v>733</v>
      </c>
      <c r="T2898">
        <v>11.5</v>
      </c>
      <c r="U2898" t="s">
        <v>733</v>
      </c>
      <c r="V2898">
        <v>79.2</v>
      </c>
      <c r="W2898" t="s">
        <v>734</v>
      </c>
      <c r="X2898" t="s">
        <v>280</v>
      </c>
      <c r="Y2898">
        <v>1080</v>
      </c>
      <c r="AB2898">
        <v>2.5783082599114899</v>
      </c>
      <c r="AC2898" t="s">
        <v>85</v>
      </c>
      <c r="AD2898" t="s">
        <v>834</v>
      </c>
      <c r="AE2898" t="s">
        <v>138</v>
      </c>
      <c r="AI2898">
        <v>3</v>
      </c>
      <c r="AV2898" t="s">
        <v>428</v>
      </c>
      <c r="AW2898">
        <v>214</v>
      </c>
    </row>
    <row r="2899" spans="1:49" hidden="1" x14ac:dyDescent="0.3">
      <c r="A2899" t="s">
        <v>731</v>
      </c>
      <c r="C2899" t="s">
        <v>251</v>
      </c>
      <c r="D2899" t="s">
        <v>81</v>
      </c>
      <c r="E2899">
        <v>10000000</v>
      </c>
      <c r="H2899">
        <v>2.25</v>
      </c>
      <c r="I2899" t="s">
        <v>215</v>
      </c>
      <c r="J2899">
        <v>1.4516100000000001E-3</v>
      </c>
      <c r="K2899" t="s">
        <v>57</v>
      </c>
      <c r="N2899" t="s">
        <v>733</v>
      </c>
      <c r="O2899">
        <v>214</v>
      </c>
      <c r="P2899" t="s">
        <v>315</v>
      </c>
      <c r="S2899" t="s">
        <v>733</v>
      </c>
      <c r="T2899">
        <v>11.5</v>
      </c>
      <c r="U2899" t="s">
        <v>733</v>
      </c>
      <c r="V2899">
        <v>79.2</v>
      </c>
      <c r="W2899" t="s">
        <v>736</v>
      </c>
      <c r="X2899" t="s">
        <v>280</v>
      </c>
      <c r="Y2899">
        <v>1080</v>
      </c>
      <c r="AB2899">
        <v>3.27768146112787</v>
      </c>
      <c r="AC2899" t="s">
        <v>85</v>
      </c>
      <c r="AD2899" t="s">
        <v>835</v>
      </c>
      <c r="AE2899" t="s">
        <v>138</v>
      </c>
      <c r="AI2899">
        <v>3</v>
      </c>
      <c r="AT2899" t="s">
        <v>77</v>
      </c>
      <c r="AV2899" t="s">
        <v>428</v>
      </c>
      <c r="AW2899">
        <v>214</v>
      </c>
    </row>
    <row r="2900" spans="1:49" hidden="1" x14ac:dyDescent="0.3">
      <c r="A2900" t="s">
        <v>731</v>
      </c>
      <c r="B2900" t="s">
        <v>732</v>
      </c>
      <c r="C2900" t="s">
        <v>251</v>
      </c>
      <c r="D2900" t="s">
        <v>81</v>
      </c>
      <c r="E2900">
        <v>10000000</v>
      </c>
      <c r="H2900">
        <v>4</v>
      </c>
      <c r="I2900" t="s">
        <v>215</v>
      </c>
      <c r="J2900">
        <v>2.5806399999999999E-3</v>
      </c>
      <c r="K2900" t="s">
        <v>57</v>
      </c>
      <c r="N2900" t="s">
        <v>733</v>
      </c>
      <c r="O2900">
        <v>214</v>
      </c>
      <c r="P2900" t="s">
        <v>315</v>
      </c>
      <c r="S2900" t="s">
        <v>733</v>
      </c>
      <c r="T2900">
        <v>11.5</v>
      </c>
      <c r="U2900" t="s">
        <v>733</v>
      </c>
      <c r="V2900">
        <v>79.2</v>
      </c>
      <c r="W2900" t="s">
        <v>738</v>
      </c>
      <c r="X2900" t="s">
        <v>280</v>
      </c>
      <c r="Y2900">
        <v>1080</v>
      </c>
      <c r="AB2900">
        <v>2.2113984868968402</v>
      </c>
      <c r="AC2900" t="s">
        <v>85</v>
      </c>
      <c r="AD2900" t="s">
        <v>836</v>
      </c>
      <c r="AE2900" t="s">
        <v>138</v>
      </c>
      <c r="AI2900">
        <v>3</v>
      </c>
      <c r="AV2900" t="s">
        <v>428</v>
      </c>
      <c r="AW2900">
        <v>214</v>
      </c>
    </row>
    <row r="2901" spans="1:49" hidden="1" x14ac:dyDescent="0.3">
      <c r="A2901" t="s">
        <v>731</v>
      </c>
      <c r="B2901" t="s">
        <v>732</v>
      </c>
      <c r="C2901" t="s">
        <v>251</v>
      </c>
      <c r="D2901" t="s">
        <v>81</v>
      </c>
      <c r="E2901">
        <v>10000000</v>
      </c>
      <c r="N2901" t="s">
        <v>733</v>
      </c>
      <c r="O2901">
        <v>214</v>
      </c>
      <c r="P2901" t="s">
        <v>315</v>
      </c>
      <c r="S2901" t="s">
        <v>733</v>
      </c>
      <c r="T2901">
        <v>11.5</v>
      </c>
      <c r="U2901" t="s">
        <v>733</v>
      </c>
      <c r="V2901">
        <v>79.2</v>
      </c>
      <c r="W2901" t="s">
        <v>742</v>
      </c>
      <c r="X2901" t="s">
        <v>280</v>
      </c>
      <c r="Y2901">
        <v>1080</v>
      </c>
      <c r="AB2901">
        <v>2.1960901589994499</v>
      </c>
      <c r="AC2901" t="s">
        <v>85</v>
      </c>
      <c r="AD2901" t="s">
        <v>837</v>
      </c>
      <c r="AE2901" t="s">
        <v>138</v>
      </c>
      <c r="AI2901">
        <v>3</v>
      </c>
      <c r="AV2901" t="s">
        <v>428</v>
      </c>
      <c r="AW2901">
        <v>214</v>
      </c>
    </row>
    <row r="2902" spans="1:49" hidden="1" x14ac:dyDescent="0.3">
      <c r="A2902" t="s">
        <v>731</v>
      </c>
      <c r="B2902" t="s">
        <v>732</v>
      </c>
      <c r="C2902" t="s">
        <v>251</v>
      </c>
      <c r="D2902" t="s">
        <v>81</v>
      </c>
      <c r="E2902">
        <v>10000000</v>
      </c>
      <c r="H2902">
        <v>2.25</v>
      </c>
      <c r="I2902" t="s">
        <v>215</v>
      </c>
      <c r="J2902">
        <v>1.4516100000000001E-3</v>
      </c>
      <c r="K2902" t="s">
        <v>57</v>
      </c>
      <c r="N2902" t="s">
        <v>733</v>
      </c>
      <c r="O2902">
        <v>3454</v>
      </c>
      <c r="P2902" t="s">
        <v>315</v>
      </c>
      <c r="S2902" t="s">
        <v>733</v>
      </c>
      <c r="T2902">
        <v>27</v>
      </c>
      <c r="U2902" t="s">
        <v>733</v>
      </c>
      <c r="V2902">
        <v>76.3</v>
      </c>
      <c r="W2902" t="s">
        <v>734</v>
      </c>
      <c r="X2902" t="s">
        <v>280</v>
      </c>
      <c r="Y2902">
        <v>180</v>
      </c>
      <c r="AB2902">
        <v>5.8922853121867096</v>
      </c>
      <c r="AC2902" t="s">
        <v>85</v>
      </c>
      <c r="AD2902" t="s">
        <v>838</v>
      </c>
      <c r="AE2902" t="s">
        <v>138</v>
      </c>
      <c r="AI2902">
        <v>3</v>
      </c>
      <c r="AV2902" t="s">
        <v>428</v>
      </c>
      <c r="AW2902">
        <v>3454</v>
      </c>
    </row>
    <row r="2903" spans="1:49" hidden="1" x14ac:dyDescent="0.3">
      <c r="A2903" t="s">
        <v>731</v>
      </c>
      <c r="C2903" t="s">
        <v>251</v>
      </c>
      <c r="D2903" t="s">
        <v>81</v>
      </c>
      <c r="E2903">
        <v>10000000</v>
      </c>
      <c r="H2903">
        <v>2.25</v>
      </c>
      <c r="I2903" t="s">
        <v>215</v>
      </c>
      <c r="J2903">
        <v>1.4516100000000001E-3</v>
      </c>
      <c r="K2903" t="s">
        <v>57</v>
      </c>
      <c r="N2903" t="s">
        <v>733</v>
      </c>
      <c r="O2903">
        <v>3454</v>
      </c>
      <c r="P2903" t="s">
        <v>315</v>
      </c>
      <c r="S2903" t="s">
        <v>733</v>
      </c>
      <c r="T2903">
        <v>27</v>
      </c>
      <c r="U2903" t="s">
        <v>733</v>
      </c>
      <c r="V2903">
        <v>76.3</v>
      </c>
      <c r="W2903" t="s">
        <v>736</v>
      </c>
      <c r="X2903" t="s">
        <v>280</v>
      </c>
      <c r="Y2903">
        <v>180</v>
      </c>
      <c r="AB2903">
        <v>6.0005310685314699</v>
      </c>
      <c r="AC2903" t="s">
        <v>85</v>
      </c>
      <c r="AD2903" t="s">
        <v>839</v>
      </c>
      <c r="AE2903" t="s">
        <v>138</v>
      </c>
      <c r="AI2903">
        <v>3</v>
      </c>
      <c r="AT2903" t="s">
        <v>77</v>
      </c>
      <c r="AV2903" t="s">
        <v>428</v>
      </c>
      <c r="AW2903">
        <v>3454</v>
      </c>
    </row>
    <row r="2904" spans="1:49" hidden="1" x14ac:dyDescent="0.3">
      <c r="A2904" t="s">
        <v>731</v>
      </c>
      <c r="B2904" t="s">
        <v>732</v>
      </c>
      <c r="C2904" t="s">
        <v>251</v>
      </c>
      <c r="D2904" t="s">
        <v>81</v>
      </c>
      <c r="E2904">
        <v>10000000</v>
      </c>
      <c r="H2904">
        <v>4</v>
      </c>
      <c r="I2904" t="s">
        <v>215</v>
      </c>
      <c r="J2904">
        <v>2.5806399999999999E-3</v>
      </c>
      <c r="K2904" t="s">
        <v>57</v>
      </c>
      <c r="N2904" t="s">
        <v>733</v>
      </c>
      <c r="O2904">
        <v>3454</v>
      </c>
      <c r="P2904" t="s">
        <v>315</v>
      </c>
      <c r="S2904" t="s">
        <v>733</v>
      </c>
      <c r="T2904">
        <v>27</v>
      </c>
      <c r="U2904" t="s">
        <v>733</v>
      </c>
      <c r="V2904">
        <v>76.3</v>
      </c>
      <c r="W2904" t="s">
        <v>738</v>
      </c>
      <c r="X2904" t="s">
        <v>280</v>
      </c>
      <c r="Y2904">
        <v>180</v>
      </c>
      <c r="AB2904">
        <v>3.3836722607589498</v>
      </c>
      <c r="AC2904" t="s">
        <v>85</v>
      </c>
      <c r="AD2904" t="s">
        <v>840</v>
      </c>
      <c r="AE2904" t="s">
        <v>138</v>
      </c>
      <c r="AI2904">
        <v>3</v>
      </c>
      <c r="AV2904" t="s">
        <v>428</v>
      </c>
      <c r="AW2904">
        <v>3454</v>
      </c>
    </row>
    <row r="2905" spans="1:49" hidden="1" x14ac:dyDescent="0.3">
      <c r="A2905" t="s">
        <v>731</v>
      </c>
      <c r="B2905" t="s">
        <v>732</v>
      </c>
      <c r="C2905" t="s">
        <v>251</v>
      </c>
      <c r="D2905" t="s">
        <v>81</v>
      </c>
      <c r="E2905">
        <v>10000000</v>
      </c>
      <c r="N2905" t="s">
        <v>733</v>
      </c>
      <c r="O2905">
        <v>3454</v>
      </c>
      <c r="P2905" t="s">
        <v>315</v>
      </c>
      <c r="S2905" t="s">
        <v>733</v>
      </c>
      <c r="T2905">
        <v>27</v>
      </c>
      <c r="U2905" t="s">
        <v>733</v>
      </c>
      <c r="V2905">
        <v>76.3</v>
      </c>
      <c r="W2905" t="s">
        <v>742</v>
      </c>
      <c r="X2905" t="s">
        <v>280</v>
      </c>
      <c r="Y2905">
        <v>180</v>
      </c>
      <c r="AB2905">
        <v>7.46927040723783</v>
      </c>
      <c r="AC2905" t="s">
        <v>85</v>
      </c>
      <c r="AD2905" t="s">
        <v>841</v>
      </c>
      <c r="AE2905" t="s">
        <v>138</v>
      </c>
      <c r="AI2905">
        <v>3</v>
      </c>
      <c r="AV2905" t="s">
        <v>428</v>
      </c>
      <c r="AW2905">
        <v>3454</v>
      </c>
    </row>
    <row r="2906" spans="1:49" hidden="1" x14ac:dyDescent="0.3">
      <c r="A2906" t="s">
        <v>731</v>
      </c>
      <c r="B2906" t="s">
        <v>732</v>
      </c>
      <c r="C2906" t="s">
        <v>251</v>
      </c>
      <c r="D2906" t="s">
        <v>81</v>
      </c>
      <c r="E2906">
        <v>10000000</v>
      </c>
      <c r="H2906">
        <v>2.25</v>
      </c>
      <c r="I2906" t="s">
        <v>215</v>
      </c>
      <c r="J2906">
        <v>1.4516100000000001E-3</v>
      </c>
      <c r="K2906" t="s">
        <v>57</v>
      </c>
      <c r="N2906" t="s">
        <v>733</v>
      </c>
      <c r="O2906">
        <v>3273</v>
      </c>
      <c r="P2906" t="s">
        <v>315</v>
      </c>
      <c r="S2906" t="s">
        <v>733</v>
      </c>
      <c r="T2906">
        <v>12.8</v>
      </c>
      <c r="U2906" t="s">
        <v>733</v>
      </c>
      <c r="V2906">
        <v>68.2</v>
      </c>
      <c r="W2906" t="s">
        <v>734</v>
      </c>
      <c r="X2906" t="s">
        <v>280</v>
      </c>
      <c r="Y2906">
        <v>360</v>
      </c>
      <c r="AB2906">
        <v>1.6883633875433799</v>
      </c>
      <c r="AC2906" t="s">
        <v>85</v>
      </c>
      <c r="AD2906" t="s">
        <v>842</v>
      </c>
      <c r="AE2906" t="s">
        <v>138</v>
      </c>
      <c r="AI2906">
        <v>3</v>
      </c>
      <c r="AV2906" t="s">
        <v>428</v>
      </c>
      <c r="AW2906">
        <v>3273</v>
      </c>
    </row>
    <row r="2907" spans="1:49" hidden="1" x14ac:dyDescent="0.3">
      <c r="A2907" t="s">
        <v>731</v>
      </c>
      <c r="C2907" t="s">
        <v>251</v>
      </c>
      <c r="D2907" t="s">
        <v>81</v>
      </c>
      <c r="E2907">
        <v>1000000</v>
      </c>
      <c r="H2907">
        <v>2.25</v>
      </c>
      <c r="I2907" t="s">
        <v>215</v>
      </c>
      <c r="J2907">
        <v>1.4516100000000001E-3</v>
      </c>
      <c r="K2907" t="s">
        <v>57</v>
      </c>
      <c r="N2907" t="s">
        <v>733</v>
      </c>
      <c r="O2907">
        <v>3273</v>
      </c>
      <c r="P2907" t="s">
        <v>315</v>
      </c>
      <c r="S2907" t="s">
        <v>733</v>
      </c>
      <c r="T2907">
        <v>12.8</v>
      </c>
      <c r="U2907" t="s">
        <v>733</v>
      </c>
      <c r="V2907">
        <v>68.2</v>
      </c>
      <c r="W2907" t="s">
        <v>736</v>
      </c>
      <c r="X2907" t="s">
        <v>280</v>
      </c>
      <c r="Y2907">
        <v>360</v>
      </c>
      <c r="AB2907">
        <v>2.6691960917888502</v>
      </c>
      <c r="AC2907" t="s">
        <v>85</v>
      </c>
      <c r="AD2907" t="s">
        <v>843</v>
      </c>
      <c r="AE2907" t="s">
        <v>138</v>
      </c>
      <c r="AI2907">
        <v>3</v>
      </c>
      <c r="AT2907" t="s">
        <v>77</v>
      </c>
      <c r="AV2907" t="s">
        <v>428</v>
      </c>
      <c r="AW2907">
        <v>3273</v>
      </c>
    </row>
    <row r="2908" spans="1:49" hidden="1" x14ac:dyDescent="0.3">
      <c r="A2908" t="s">
        <v>731</v>
      </c>
      <c r="B2908" t="s">
        <v>732</v>
      </c>
      <c r="C2908" t="s">
        <v>251</v>
      </c>
      <c r="D2908" t="s">
        <v>81</v>
      </c>
      <c r="E2908">
        <v>1000000</v>
      </c>
      <c r="H2908">
        <v>4</v>
      </c>
      <c r="I2908" t="s">
        <v>215</v>
      </c>
      <c r="J2908">
        <v>2.5806399999999999E-3</v>
      </c>
      <c r="K2908" t="s">
        <v>57</v>
      </c>
      <c r="N2908" t="s">
        <v>733</v>
      </c>
      <c r="O2908">
        <v>3273</v>
      </c>
      <c r="P2908" t="s">
        <v>315</v>
      </c>
      <c r="S2908" t="s">
        <v>733</v>
      </c>
      <c r="T2908">
        <v>12.8</v>
      </c>
      <c r="U2908" t="s">
        <v>733</v>
      </c>
      <c r="V2908">
        <v>68.2</v>
      </c>
      <c r="W2908" t="s">
        <v>738</v>
      </c>
      <c r="X2908" t="s">
        <v>280</v>
      </c>
      <c r="Y2908">
        <v>360</v>
      </c>
      <c r="AB2908">
        <v>1.9711548380247701</v>
      </c>
      <c r="AC2908" t="s">
        <v>85</v>
      </c>
      <c r="AD2908" t="s">
        <v>844</v>
      </c>
      <c r="AE2908" t="s">
        <v>138</v>
      </c>
      <c r="AI2908">
        <v>3</v>
      </c>
      <c r="AV2908" t="s">
        <v>428</v>
      </c>
      <c r="AW2908">
        <v>3273</v>
      </c>
    </row>
    <row r="2909" spans="1:49" hidden="1" x14ac:dyDescent="0.3">
      <c r="A2909" t="s">
        <v>731</v>
      </c>
      <c r="B2909" t="s">
        <v>732</v>
      </c>
      <c r="C2909" t="s">
        <v>251</v>
      </c>
      <c r="D2909" t="s">
        <v>81</v>
      </c>
      <c r="E2909">
        <v>1000000</v>
      </c>
      <c r="N2909" t="s">
        <v>733</v>
      </c>
      <c r="O2909">
        <v>3273</v>
      </c>
      <c r="P2909" t="s">
        <v>315</v>
      </c>
      <c r="S2909" t="s">
        <v>733</v>
      </c>
      <c r="T2909">
        <v>12.8</v>
      </c>
      <c r="U2909" t="s">
        <v>733</v>
      </c>
      <c r="V2909">
        <v>68.2</v>
      </c>
      <c r="W2909" t="s">
        <v>742</v>
      </c>
      <c r="X2909" t="s">
        <v>280</v>
      </c>
      <c r="Y2909">
        <v>360</v>
      </c>
      <c r="AB2909">
        <v>2.00033679294584</v>
      </c>
      <c r="AC2909" t="s">
        <v>85</v>
      </c>
      <c r="AD2909" t="s">
        <v>845</v>
      </c>
      <c r="AE2909" t="s">
        <v>138</v>
      </c>
      <c r="AI2909">
        <v>3</v>
      </c>
      <c r="AV2909" t="s">
        <v>428</v>
      </c>
      <c r="AW2909">
        <v>3273</v>
      </c>
    </row>
    <row r="2910" spans="1:49" hidden="1" x14ac:dyDescent="0.3">
      <c r="A2910" t="s">
        <v>731</v>
      </c>
      <c r="B2910" t="s">
        <v>732</v>
      </c>
      <c r="C2910" t="s">
        <v>251</v>
      </c>
      <c r="D2910" t="s">
        <v>81</v>
      </c>
      <c r="E2910">
        <v>1000000</v>
      </c>
      <c r="H2910">
        <v>2.25</v>
      </c>
      <c r="I2910" t="s">
        <v>215</v>
      </c>
      <c r="J2910">
        <v>1.4516100000000001E-3</v>
      </c>
      <c r="K2910" t="s">
        <v>57</v>
      </c>
      <c r="N2910" t="s">
        <v>733</v>
      </c>
      <c r="O2910">
        <v>1487</v>
      </c>
      <c r="P2910" t="s">
        <v>315</v>
      </c>
      <c r="S2910" t="s">
        <v>733</v>
      </c>
      <c r="T2910">
        <v>24.4</v>
      </c>
      <c r="U2910" t="s">
        <v>733</v>
      </c>
      <c r="V2910">
        <v>75</v>
      </c>
      <c r="W2910" t="s">
        <v>734</v>
      </c>
      <c r="X2910" t="s">
        <v>280</v>
      </c>
      <c r="Y2910">
        <v>360</v>
      </c>
      <c r="AB2910">
        <v>3.2943800323898098</v>
      </c>
      <c r="AC2910" t="s">
        <v>85</v>
      </c>
      <c r="AD2910" t="s">
        <v>846</v>
      </c>
      <c r="AE2910" t="s">
        <v>138</v>
      </c>
      <c r="AI2910">
        <v>3</v>
      </c>
      <c r="AV2910" t="s">
        <v>428</v>
      </c>
      <c r="AW2910">
        <v>1487</v>
      </c>
    </row>
    <row r="2911" spans="1:49" hidden="1" x14ac:dyDescent="0.3">
      <c r="A2911" t="s">
        <v>731</v>
      </c>
      <c r="C2911" t="s">
        <v>251</v>
      </c>
      <c r="D2911" t="s">
        <v>81</v>
      </c>
      <c r="E2911">
        <v>1000000</v>
      </c>
      <c r="H2911">
        <v>2.25</v>
      </c>
      <c r="I2911" t="s">
        <v>215</v>
      </c>
      <c r="J2911">
        <v>1.4516100000000001E-3</v>
      </c>
      <c r="K2911" t="s">
        <v>57</v>
      </c>
      <c r="N2911" t="s">
        <v>733</v>
      </c>
      <c r="O2911">
        <v>1487</v>
      </c>
      <c r="P2911" t="s">
        <v>315</v>
      </c>
      <c r="S2911" t="s">
        <v>733</v>
      </c>
      <c r="T2911">
        <v>24.4</v>
      </c>
      <c r="U2911" t="s">
        <v>733</v>
      </c>
      <c r="V2911">
        <v>75</v>
      </c>
      <c r="W2911" t="s">
        <v>736</v>
      </c>
      <c r="X2911" t="s">
        <v>280</v>
      </c>
      <c r="Y2911">
        <v>360</v>
      </c>
      <c r="AB2911">
        <v>5.1591517200433099</v>
      </c>
      <c r="AC2911" t="s">
        <v>85</v>
      </c>
      <c r="AD2911" t="s">
        <v>847</v>
      </c>
      <c r="AE2911" t="s">
        <v>138</v>
      </c>
      <c r="AI2911">
        <v>3</v>
      </c>
      <c r="AT2911" t="s">
        <v>77</v>
      </c>
      <c r="AV2911" t="s">
        <v>428</v>
      </c>
      <c r="AW2911">
        <v>1487</v>
      </c>
    </row>
    <row r="2912" spans="1:49" hidden="1" x14ac:dyDescent="0.3">
      <c r="A2912" t="s">
        <v>731</v>
      </c>
      <c r="B2912" t="s">
        <v>732</v>
      </c>
      <c r="C2912" t="s">
        <v>251</v>
      </c>
      <c r="D2912" t="s">
        <v>81</v>
      </c>
      <c r="E2912">
        <v>1000000</v>
      </c>
      <c r="H2912">
        <v>4</v>
      </c>
      <c r="I2912" t="s">
        <v>215</v>
      </c>
      <c r="J2912">
        <v>2.5806399999999999E-3</v>
      </c>
      <c r="K2912" t="s">
        <v>57</v>
      </c>
      <c r="N2912" t="s">
        <v>733</v>
      </c>
      <c r="O2912">
        <v>1487</v>
      </c>
      <c r="P2912" t="s">
        <v>315</v>
      </c>
      <c r="S2912" t="s">
        <v>733</v>
      </c>
      <c r="T2912">
        <v>24.4</v>
      </c>
      <c r="U2912" t="s">
        <v>733</v>
      </c>
      <c r="V2912">
        <v>75</v>
      </c>
      <c r="W2912" t="s">
        <v>738</v>
      </c>
      <c r="X2912" t="s">
        <v>280</v>
      </c>
      <c r="Y2912">
        <v>360</v>
      </c>
      <c r="AB2912">
        <v>3.64235416065875</v>
      </c>
      <c r="AC2912" t="s">
        <v>85</v>
      </c>
      <c r="AD2912" t="s">
        <v>848</v>
      </c>
      <c r="AE2912" t="s">
        <v>138</v>
      </c>
      <c r="AI2912">
        <v>3</v>
      </c>
      <c r="AV2912" t="s">
        <v>428</v>
      </c>
      <c r="AW2912">
        <v>1487</v>
      </c>
    </row>
    <row r="2913" spans="1:49" hidden="1" x14ac:dyDescent="0.3">
      <c r="A2913" t="s">
        <v>731</v>
      </c>
      <c r="C2913" t="s">
        <v>251</v>
      </c>
      <c r="D2913" t="s">
        <v>81</v>
      </c>
      <c r="E2913">
        <v>1000000</v>
      </c>
      <c r="H2913">
        <v>4</v>
      </c>
      <c r="I2913" t="s">
        <v>215</v>
      </c>
      <c r="J2913">
        <v>2.5806399999999999E-3</v>
      </c>
      <c r="K2913" t="s">
        <v>57</v>
      </c>
      <c r="N2913" t="s">
        <v>733</v>
      </c>
      <c r="O2913">
        <v>1487</v>
      </c>
      <c r="P2913" t="s">
        <v>315</v>
      </c>
      <c r="S2913" t="s">
        <v>733</v>
      </c>
      <c r="T2913">
        <v>24.4</v>
      </c>
      <c r="U2913" t="s">
        <v>733</v>
      </c>
      <c r="V2913">
        <v>75</v>
      </c>
      <c r="W2913" t="s">
        <v>740</v>
      </c>
      <c r="X2913" t="s">
        <v>280</v>
      </c>
      <c r="Y2913">
        <v>360</v>
      </c>
      <c r="AB2913">
        <v>3.2515600707240102</v>
      </c>
      <c r="AC2913" t="s">
        <v>85</v>
      </c>
      <c r="AD2913" t="s">
        <v>849</v>
      </c>
      <c r="AE2913" t="s">
        <v>138</v>
      </c>
      <c r="AI2913">
        <v>3</v>
      </c>
      <c r="AT2913" t="s">
        <v>65</v>
      </c>
      <c r="AV2913" t="s">
        <v>428</v>
      </c>
      <c r="AW2913">
        <v>1487</v>
      </c>
    </row>
    <row r="2914" spans="1:49" hidden="1" x14ac:dyDescent="0.3">
      <c r="A2914" t="s">
        <v>731</v>
      </c>
      <c r="B2914" t="s">
        <v>732</v>
      </c>
      <c r="C2914" t="s">
        <v>251</v>
      </c>
      <c r="D2914" t="s">
        <v>81</v>
      </c>
      <c r="E2914">
        <v>1000000</v>
      </c>
      <c r="N2914" t="s">
        <v>733</v>
      </c>
      <c r="O2914">
        <v>1487</v>
      </c>
      <c r="P2914" t="s">
        <v>315</v>
      </c>
      <c r="S2914" t="s">
        <v>733</v>
      </c>
      <c r="T2914">
        <v>24.4</v>
      </c>
      <c r="U2914" t="s">
        <v>733</v>
      </c>
      <c r="V2914">
        <v>75</v>
      </c>
      <c r="W2914" t="s">
        <v>742</v>
      </c>
      <c r="X2914" t="s">
        <v>280</v>
      </c>
      <c r="Y2914">
        <v>360</v>
      </c>
      <c r="AB2914">
        <v>3.9062517912571901</v>
      </c>
      <c r="AC2914" t="s">
        <v>85</v>
      </c>
      <c r="AD2914" t="s">
        <v>850</v>
      </c>
      <c r="AE2914" t="s">
        <v>138</v>
      </c>
      <c r="AI2914">
        <v>3</v>
      </c>
      <c r="AV2914" t="s">
        <v>428</v>
      </c>
      <c r="AW2914">
        <v>1487</v>
      </c>
    </row>
    <row r="2915" spans="1:49" hidden="1" x14ac:dyDescent="0.3">
      <c r="A2915" t="s">
        <v>731</v>
      </c>
      <c r="C2915" t="s">
        <v>251</v>
      </c>
      <c r="D2915" t="s">
        <v>81</v>
      </c>
      <c r="E2915">
        <v>1000000</v>
      </c>
      <c r="N2915" t="s">
        <v>733</v>
      </c>
      <c r="O2915">
        <v>1487</v>
      </c>
      <c r="P2915" t="s">
        <v>315</v>
      </c>
      <c r="S2915" t="s">
        <v>733</v>
      </c>
      <c r="T2915">
        <v>24.4</v>
      </c>
      <c r="U2915" t="s">
        <v>733</v>
      </c>
      <c r="V2915">
        <v>75</v>
      </c>
      <c r="W2915" t="s">
        <v>744</v>
      </c>
      <c r="X2915" t="s">
        <v>280</v>
      </c>
      <c r="Y2915">
        <v>360</v>
      </c>
      <c r="AB2915">
        <v>5.0889709251088204</v>
      </c>
      <c r="AC2915" t="s">
        <v>85</v>
      </c>
      <c r="AD2915" t="s">
        <v>851</v>
      </c>
      <c r="AE2915" t="s">
        <v>138</v>
      </c>
      <c r="AI2915">
        <v>3</v>
      </c>
      <c r="AT2915" t="s">
        <v>203</v>
      </c>
      <c r="AV2915" t="s">
        <v>428</v>
      </c>
      <c r="AW2915">
        <v>1487</v>
      </c>
    </row>
    <row r="2916" spans="1:49" hidden="1" x14ac:dyDescent="0.3">
      <c r="A2916" t="s">
        <v>731</v>
      </c>
      <c r="B2916" t="s">
        <v>746</v>
      </c>
      <c r="C2916" t="s">
        <v>251</v>
      </c>
      <c r="D2916" t="s">
        <v>81</v>
      </c>
      <c r="E2916">
        <v>1000000</v>
      </c>
      <c r="N2916" t="s">
        <v>733</v>
      </c>
      <c r="O2916">
        <v>1487</v>
      </c>
      <c r="P2916" t="s">
        <v>315</v>
      </c>
      <c r="S2916" t="s">
        <v>733</v>
      </c>
      <c r="T2916">
        <v>24.4</v>
      </c>
      <c r="U2916" t="s">
        <v>733</v>
      </c>
      <c r="V2916">
        <v>75</v>
      </c>
      <c r="W2916" t="s">
        <v>747</v>
      </c>
      <c r="X2916" t="s">
        <v>280</v>
      </c>
      <c r="Y2916">
        <v>360</v>
      </c>
      <c r="AB2916">
        <v>2.6893186186598301</v>
      </c>
      <c r="AC2916" t="s">
        <v>85</v>
      </c>
      <c r="AD2916" t="s">
        <v>852</v>
      </c>
      <c r="AE2916" t="s">
        <v>138</v>
      </c>
      <c r="AI2916">
        <v>3</v>
      </c>
      <c r="AV2916" t="s">
        <v>428</v>
      </c>
      <c r="AW2916">
        <v>1487</v>
      </c>
    </row>
    <row r="2917" spans="1:49" hidden="1" x14ac:dyDescent="0.3">
      <c r="A2917" t="s">
        <v>731</v>
      </c>
      <c r="B2917" t="s">
        <v>732</v>
      </c>
      <c r="C2917" t="s">
        <v>251</v>
      </c>
      <c r="D2917" t="s">
        <v>81</v>
      </c>
      <c r="E2917">
        <v>1000000</v>
      </c>
      <c r="H2917">
        <v>2.25</v>
      </c>
      <c r="I2917" t="s">
        <v>215</v>
      </c>
      <c r="J2917">
        <v>1.4516100000000001E-3</v>
      </c>
      <c r="K2917" t="s">
        <v>57</v>
      </c>
      <c r="N2917" t="s">
        <v>733</v>
      </c>
      <c r="O2917">
        <v>229</v>
      </c>
      <c r="P2917" t="s">
        <v>315</v>
      </c>
      <c r="S2917" t="s">
        <v>733</v>
      </c>
      <c r="T2917">
        <v>27</v>
      </c>
      <c r="U2917" t="s">
        <v>733</v>
      </c>
      <c r="V2917">
        <v>76</v>
      </c>
      <c r="W2917" t="s">
        <v>734</v>
      </c>
      <c r="X2917" t="s">
        <v>280</v>
      </c>
      <c r="Y2917">
        <v>720</v>
      </c>
      <c r="AB2917">
        <v>7.1212940129265698</v>
      </c>
      <c r="AC2917" t="s">
        <v>85</v>
      </c>
      <c r="AD2917" t="s">
        <v>853</v>
      </c>
      <c r="AE2917" t="s">
        <v>138</v>
      </c>
      <c r="AI2917">
        <v>3</v>
      </c>
      <c r="AV2917" t="s">
        <v>428</v>
      </c>
      <c r="AW2917">
        <v>229</v>
      </c>
    </row>
    <row r="2918" spans="1:49" hidden="1" x14ac:dyDescent="0.3">
      <c r="A2918" t="s">
        <v>731</v>
      </c>
      <c r="C2918" t="s">
        <v>251</v>
      </c>
      <c r="D2918" t="s">
        <v>81</v>
      </c>
      <c r="E2918">
        <v>1000000</v>
      </c>
      <c r="H2918">
        <v>2.25</v>
      </c>
      <c r="I2918" t="s">
        <v>215</v>
      </c>
      <c r="J2918">
        <v>1.4516100000000001E-3</v>
      </c>
      <c r="K2918" t="s">
        <v>57</v>
      </c>
      <c r="N2918" t="s">
        <v>733</v>
      </c>
      <c r="O2918">
        <v>229</v>
      </c>
      <c r="P2918" t="s">
        <v>315</v>
      </c>
      <c r="S2918" t="s">
        <v>733</v>
      </c>
      <c r="T2918">
        <v>27</v>
      </c>
      <c r="U2918" t="s">
        <v>733</v>
      </c>
      <c r="V2918">
        <v>76</v>
      </c>
      <c r="W2918" t="s">
        <v>736</v>
      </c>
      <c r="X2918" t="s">
        <v>280</v>
      </c>
      <c r="Y2918">
        <v>720</v>
      </c>
      <c r="AB2918">
        <v>7.6109882306762398</v>
      </c>
      <c r="AC2918" t="s">
        <v>85</v>
      </c>
      <c r="AD2918" t="s">
        <v>854</v>
      </c>
      <c r="AE2918" t="s">
        <v>138</v>
      </c>
      <c r="AI2918">
        <v>3</v>
      </c>
      <c r="AT2918" t="s">
        <v>77</v>
      </c>
      <c r="AV2918" t="s">
        <v>428</v>
      </c>
      <c r="AW2918">
        <v>229</v>
      </c>
    </row>
    <row r="2919" spans="1:49" hidden="1" x14ac:dyDescent="0.3">
      <c r="A2919" t="s">
        <v>731</v>
      </c>
      <c r="B2919" t="s">
        <v>732</v>
      </c>
      <c r="C2919" t="s">
        <v>251</v>
      </c>
      <c r="D2919" t="s">
        <v>81</v>
      </c>
      <c r="E2919">
        <v>1000000</v>
      </c>
      <c r="H2919">
        <v>4</v>
      </c>
      <c r="I2919" t="s">
        <v>215</v>
      </c>
      <c r="J2919">
        <v>2.5806399999999999E-3</v>
      </c>
      <c r="K2919" t="s">
        <v>57</v>
      </c>
      <c r="N2919" t="s">
        <v>733</v>
      </c>
      <c r="O2919">
        <v>229</v>
      </c>
      <c r="P2919" t="s">
        <v>315</v>
      </c>
      <c r="S2919" t="s">
        <v>733</v>
      </c>
      <c r="T2919">
        <v>27</v>
      </c>
      <c r="U2919" t="s">
        <v>733</v>
      </c>
      <c r="V2919">
        <v>76</v>
      </c>
      <c r="W2919" t="s">
        <v>738</v>
      </c>
      <c r="X2919" t="s">
        <v>280</v>
      </c>
      <c r="Y2919">
        <v>720</v>
      </c>
      <c r="AB2919">
        <v>5.03416046457252</v>
      </c>
      <c r="AC2919" t="s">
        <v>85</v>
      </c>
      <c r="AD2919" t="s">
        <v>855</v>
      </c>
      <c r="AE2919" t="s">
        <v>138</v>
      </c>
      <c r="AI2919">
        <v>3</v>
      </c>
      <c r="AV2919" t="s">
        <v>428</v>
      </c>
      <c r="AW2919">
        <v>229</v>
      </c>
    </row>
    <row r="2920" spans="1:49" hidden="1" x14ac:dyDescent="0.3">
      <c r="A2920" t="s">
        <v>731</v>
      </c>
      <c r="C2920" t="s">
        <v>251</v>
      </c>
      <c r="D2920" t="s">
        <v>81</v>
      </c>
      <c r="E2920">
        <v>1000000</v>
      </c>
      <c r="H2920">
        <v>4</v>
      </c>
      <c r="I2920" t="s">
        <v>215</v>
      </c>
      <c r="J2920">
        <v>2.5806399999999999E-3</v>
      </c>
      <c r="K2920" t="s">
        <v>57</v>
      </c>
      <c r="N2920" t="s">
        <v>733</v>
      </c>
      <c r="O2920">
        <v>229</v>
      </c>
      <c r="P2920" t="s">
        <v>315</v>
      </c>
      <c r="S2920" t="s">
        <v>733</v>
      </c>
      <c r="T2920">
        <v>27</v>
      </c>
      <c r="U2920" t="s">
        <v>733</v>
      </c>
      <c r="V2920">
        <v>76</v>
      </c>
      <c r="W2920" t="s">
        <v>740</v>
      </c>
      <c r="X2920" t="s">
        <v>280</v>
      </c>
      <c r="Y2920">
        <v>720</v>
      </c>
      <c r="AB2920">
        <v>7.7506268987900597</v>
      </c>
      <c r="AC2920" t="s">
        <v>85</v>
      </c>
      <c r="AD2920" t="s">
        <v>856</v>
      </c>
      <c r="AE2920" t="s">
        <v>138</v>
      </c>
      <c r="AI2920">
        <v>3</v>
      </c>
      <c r="AT2920" t="s">
        <v>65</v>
      </c>
      <c r="AV2920" t="s">
        <v>428</v>
      </c>
      <c r="AW2920">
        <v>229</v>
      </c>
    </row>
    <row r="2921" spans="1:49" hidden="1" x14ac:dyDescent="0.3">
      <c r="A2921" t="s">
        <v>731</v>
      </c>
      <c r="B2921" t="s">
        <v>732</v>
      </c>
      <c r="C2921" t="s">
        <v>251</v>
      </c>
      <c r="D2921" t="s">
        <v>81</v>
      </c>
      <c r="E2921">
        <v>1000000</v>
      </c>
      <c r="N2921" t="s">
        <v>733</v>
      </c>
      <c r="O2921">
        <v>229</v>
      </c>
      <c r="P2921" t="s">
        <v>315</v>
      </c>
      <c r="S2921" t="s">
        <v>733</v>
      </c>
      <c r="T2921">
        <v>27</v>
      </c>
      <c r="U2921" t="s">
        <v>733</v>
      </c>
      <c r="V2921">
        <v>76</v>
      </c>
      <c r="W2921" t="s">
        <v>742</v>
      </c>
      <c r="X2921" t="s">
        <v>280</v>
      </c>
      <c r="Y2921">
        <v>720</v>
      </c>
      <c r="AB2921">
        <v>3.95936052006161</v>
      </c>
      <c r="AC2921" t="s">
        <v>85</v>
      </c>
      <c r="AD2921" t="s">
        <v>857</v>
      </c>
      <c r="AE2921" t="s">
        <v>138</v>
      </c>
      <c r="AI2921">
        <v>3</v>
      </c>
      <c r="AV2921" t="s">
        <v>428</v>
      </c>
      <c r="AW2921">
        <v>229</v>
      </c>
    </row>
    <row r="2922" spans="1:49" hidden="1" x14ac:dyDescent="0.3">
      <c r="A2922" t="s">
        <v>731</v>
      </c>
      <c r="C2922" t="s">
        <v>251</v>
      </c>
      <c r="D2922" t="s">
        <v>81</v>
      </c>
      <c r="E2922">
        <v>1000000</v>
      </c>
      <c r="N2922" t="s">
        <v>733</v>
      </c>
      <c r="O2922">
        <v>229</v>
      </c>
      <c r="P2922" t="s">
        <v>315</v>
      </c>
      <c r="S2922" t="s">
        <v>733</v>
      </c>
      <c r="T2922">
        <v>27</v>
      </c>
      <c r="U2922" t="s">
        <v>733</v>
      </c>
      <c r="V2922">
        <v>76</v>
      </c>
      <c r="W2922" t="s">
        <v>744</v>
      </c>
      <c r="X2922" t="s">
        <v>280</v>
      </c>
      <c r="Y2922">
        <v>720</v>
      </c>
      <c r="AB2922">
        <v>6.2768225533779098</v>
      </c>
      <c r="AC2922" t="s">
        <v>85</v>
      </c>
      <c r="AD2922" t="s">
        <v>858</v>
      </c>
      <c r="AE2922" t="s">
        <v>138</v>
      </c>
      <c r="AI2922">
        <v>3</v>
      </c>
      <c r="AT2922" t="s">
        <v>203</v>
      </c>
      <c r="AV2922" t="s">
        <v>428</v>
      </c>
      <c r="AW2922">
        <v>229</v>
      </c>
    </row>
    <row r="2923" spans="1:49" hidden="1" x14ac:dyDescent="0.3">
      <c r="A2923" t="s">
        <v>731</v>
      </c>
      <c r="B2923" t="s">
        <v>732</v>
      </c>
      <c r="C2923" t="s">
        <v>251</v>
      </c>
      <c r="D2923" t="s">
        <v>81</v>
      </c>
      <c r="E2923">
        <v>100000</v>
      </c>
      <c r="H2923">
        <v>2.25</v>
      </c>
      <c r="I2923" t="s">
        <v>215</v>
      </c>
      <c r="J2923">
        <v>1.4516100000000001E-3</v>
      </c>
      <c r="K2923" t="s">
        <v>57</v>
      </c>
      <c r="N2923" t="s">
        <v>733</v>
      </c>
      <c r="O2923">
        <v>146</v>
      </c>
      <c r="P2923" t="s">
        <v>315</v>
      </c>
      <c r="S2923" t="s">
        <v>733</v>
      </c>
      <c r="T2923">
        <v>23</v>
      </c>
      <c r="U2923" t="s">
        <v>733</v>
      </c>
      <c r="V2923">
        <v>75</v>
      </c>
      <c r="W2923" t="s">
        <v>734</v>
      </c>
      <c r="X2923" t="s">
        <v>280</v>
      </c>
      <c r="Y2923">
        <v>720</v>
      </c>
      <c r="AB2923">
        <v>3.3911540193287402</v>
      </c>
      <c r="AC2923" t="s">
        <v>85</v>
      </c>
      <c r="AD2923" t="s">
        <v>859</v>
      </c>
      <c r="AE2923" t="s">
        <v>138</v>
      </c>
      <c r="AI2923">
        <v>3</v>
      </c>
      <c r="AV2923" t="s">
        <v>428</v>
      </c>
      <c r="AW2923">
        <v>146</v>
      </c>
    </row>
    <row r="2924" spans="1:49" hidden="1" x14ac:dyDescent="0.3">
      <c r="A2924" t="s">
        <v>731</v>
      </c>
      <c r="C2924" t="s">
        <v>251</v>
      </c>
      <c r="D2924" t="s">
        <v>81</v>
      </c>
      <c r="E2924">
        <v>100000</v>
      </c>
      <c r="H2924">
        <v>2.25</v>
      </c>
      <c r="I2924" t="s">
        <v>215</v>
      </c>
      <c r="J2924">
        <v>1.4516100000000001E-3</v>
      </c>
      <c r="K2924" t="s">
        <v>57</v>
      </c>
      <c r="N2924" t="s">
        <v>733</v>
      </c>
      <c r="O2924">
        <v>146</v>
      </c>
      <c r="P2924" t="s">
        <v>315</v>
      </c>
      <c r="S2924" t="s">
        <v>733</v>
      </c>
      <c r="T2924">
        <v>23</v>
      </c>
      <c r="U2924" t="s">
        <v>733</v>
      </c>
      <c r="V2924">
        <v>75</v>
      </c>
      <c r="W2924" t="s">
        <v>736</v>
      </c>
      <c r="X2924" t="s">
        <v>280</v>
      </c>
      <c r="Y2924">
        <v>720</v>
      </c>
      <c r="AB2924">
        <v>4.2693223648430196</v>
      </c>
      <c r="AC2924" t="s">
        <v>85</v>
      </c>
      <c r="AD2924" t="s">
        <v>860</v>
      </c>
      <c r="AE2924" t="s">
        <v>138</v>
      </c>
      <c r="AI2924">
        <v>3</v>
      </c>
      <c r="AT2924" t="s">
        <v>77</v>
      </c>
      <c r="AV2924" t="s">
        <v>428</v>
      </c>
      <c r="AW2924">
        <v>146</v>
      </c>
    </row>
    <row r="2925" spans="1:49" hidden="1" x14ac:dyDescent="0.3">
      <c r="A2925" t="s">
        <v>731</v>
      </c>
      <c r="B2925" t="s">
        <v>732</v>
      </c>
      <c r="C2925" t="s">
        <v>251</v>
      </c>
      <c r="D2925" t="s">
        <v>81</v>
      </c>
      <c r="E2925">
        <v>100000</v>
      </c>
      <c r="H2925">
        <v>4</v>
      </c>
      <c r="I2925" t="s">
        <v>215</v>
      </c>
      <c r="J2925">
        <v>2.5806399999999999E-3</v>
      </c>
      <c r="K2925" t="s">
        <v>57</v>
      </c>
      <c r="N2925" t="s">
        <v>733</v>
      </c>
      <c r="O2925">
        <v>146</v>
      </c>
      <c r="P2925" t="s">
        <v>315</v>
      </c>
      <c r="S2925" t="s">
        <v>733</v>
      </c>
      <c r="T2925">
        <v>23</v>
      </c>
      <c r="U2925" t="s">
        <v>733</v>
      </c>
      <c r="V2925">
        <v>75</v>
      </c>
      <c r="W2925" t="s">
        <v>738</v>
      </c>
      <c r="X2925" t="s">
        <v>280</v>
      </c>
      <c r="Y2925">
        <v>720</v>
      </c>
      <c r="AB2925">
        <v>4.9693429655183499</v>
      </c>
      <c r="AC2925" t="s">
        <v>85</v>
      </c>
      <c r="AD2925" t="s">
        <v>861</v>
      </c>
      <c r="AE2925" t="s">
        <v>138</v>
      </c>
      <c r="AI2925">
        <v>3</v>
      </c>
      <c r="AV2925" t="s">
        <v>428</v>
      </c>
      <c r="AW2925">
        <v>146</v>
      </c>
    </row>
    <row r="2926" spans="1:49" hidden="1" x14ac:dyDescent="0.3">
      <c r="A2926" t="s">
        <v>731</v>
      </c>
      <c r="C2926" t="s">
        <v>251</v>
      </c>
      <c r="D2926" t="s">
        <v>81</v>
      </c>
      <c r="E2926">
        <v>100000</v>
      </c>
      <c r="H2926">
        <v>4</v>
      </c>
      <c r="I2926" t="s">
        <v>215</v>
      </c>
      <c r="J2926">
        <v>2.5806399999999999E-3</v>
      </c>
      <c r="K2926" t="s">
        <v>57</v>
      </c>
      <c r="N2926" t="s">
        <v>733</v>
      </c>
      <c r="O2926">
        <v>146</v>
      </c>
      <c r="P2926" t="s">
        <v>315</v>
      </c>
      <c r="S2926" t="s">
        <v>733</v>
      </c>
      <c r="T2926">
        <v>23</v>
      </c>
      <c r="U2926" t="s">
        <v>733</v>
      </c>
      <c r="V2926">
        <v>75</v>
      </c>
      <c r="W2926" t="s">
        <v>740</v>
      </c>
      <c r="X2926" t="s">
        <v>280</v>
      </c>
      <c r="Y2926">
        <v>720</v>
      </c>
      <c r="AB2926">
        <v>5.4591074240916901</v>
      </c>
      <c r="AC2926" t="s">
        <v>85</v>
      </c>
      <c r="AD2926" t="s">
        <v>862</v>
      </c>
      <c r="AE2926" t="s">
        <v>138</v>
      </c>
      <c r="AI2926">
        <v>3</v>
      </c>
      <c r="AT2926" t="s">
        <v>65</v>
      </c>
      <c r="AV2926" t="s">
        <v>428</v>
      </c>
      <c r="AW2926">
        <v>146</v>
      </c>
    </row>
    <row r="2927" spans="1:49" hidden="1" x14ac:dyDescent="0.3">
      <c r="A2927" t="s">
        <v>731</v>
      </c>
      <c r="B2927" t="s">
        <v>732</v>
      </c>
      <c r="C2927" t="s">
        <v>251</v>
      </c>
      <c r="D2927" t="s">
        <v>81</v>
      </c>
      <c r="E2927">
        <v>100000</v>
      </c>
      <c r="N2927" t="s">
        <v>733</v>
      </c>
      <c r="O2927">
        <v>146</v>
      </c>
      <c r="P2927" t="s">
        <v>315</v>
      </c>
      <c r="S2927" t="s">
        <v>733</v>
      </c>
      <c r="T2927">
        <v>23</v>
      </c>
      <c r="U2927" t="s">
        <v>733</v>
      </c>
      <c r="V2927">
        <v>75</v>
      </c>
      <c r="W2927" t="s">
        <v>742</v>
      </c>
      <c r="X2927" t="s">
        <v>280</v>
      </c>
      <c r="Y2927">
        <v>720</v>
      </c>
      <c r="AB2927">
        <v>2.8944848499067599</v>
      </c>
      <c r="AC2927" t="s">
        <v>85</v>
      </c>
      <c r="AD2927" t="s">
        <v>863</v>
      </c>
      <c r="AE2927" t="s">
        <v>138</v>
      </c>
      <c r="AI2927">
        <v>3</v>
      </c>
      <c r="AV2927" t="s">
        <v>428</v>
      </c>
      <c r="AW2927">
        <v>146</v>
      </c>
    </row>
    <row r="2928" spans="1:49" hidden="1" x14ac:dyDescent="0.3">
      <c r="A2928" t="s">
        <v>731</v>
      </c>
      <c r="C2928" t="s">
        <v>251</v>
      </c>
      <c r="D2928" t="s">
        <v>81</v>
      </c>
      <c r="E2928">
        <v>100000</v>
      </c>
      <c r="N2928" t="s">
        <v>733</v>
      </c>
      <c r="O2928">
        <v>146</v>
      </c>
      <c r="P2928" t="s">
        <v>315</v>
      </c>
      <c r="S2928" t="s">
        <v>733</v>
      </c>
      <c r="T2928">
        <v>23</v>
      </c>
      <c r="U2928" t="s">
        <v>733</v>
      </c>
      <c r="V2928">
        <v>75</v>
      </c>
      <c r="W2928" t="s">
        <v>744</v>
      </c>
      <c r="X2928" t="s">
        <v>280</v>
      </c>
      <c r="Y2928">
        <v>720</v>
      </c>
      <c r="AB2928">
        <v>5.4112607763356602</v>
      </c>
      <c r="AC2928" t="s">
        <v>85</v>
      </c>
      <c r="AD2928" t="s">
        <v>864</v>
      </c>
      <c r="AE2928" t="s">
        <v>138</v>
      </c>
      <c r="AI2928">
        <v>3</v>
      </c>
      <c r="AT2928" t="s">
        <v>203</v>
      </c>
      <c r="AV2928" t="s">
        <v>428</v>
      </c>
      <c r="AW2928">
        <v>146</v>
      </c>
    </row>
    <row r="2929" spans="1:49" hidden="1" x14ac:dyDescent="0.3">
      <c r="A2929" t="s">
        <v>731</v>
      </c>
      <c r="B2929" t="s">
        <v>746</v>
      </c>
      <c r="C2929" t="s">
        <v>251</v>
      </c>
      <c r="D2929" t="s">
        <v>81</v>
      </c>
      <c r="E2929">
        <v>100000</v>
      </c>
      <c r="N2929" t="s">
        <v>733</v>
      </c>
      <c r="O2929">
        <v>146</v>
      </c>
      <c r="P2929" t="s">
        <v>315</v>
      </c>
      <c r="S2929" t="s">
        <v>733</v>
      </c>
      <c r="T2929">
        <v>23</v>
      </c>
      <c r="U2929" t="s">
        <v>733</v>
      </c>
      <c r="V2929">
        <v>75</v>
      </c>
      <c r="W2929" t="s">
        <v>747</v>
      </c>
      <c r="X2929" t="s">
        <v>280</v>
      </c>
      <c r="Y2929">
        <v>720</v>
      </c>
      <c r="AB2929">
        <v>4.6253276615416796</v>
      </c>
      <c r="AC2929" t="s">
        <v>85</v>
      </c>
      <c r="AD2929" t="s">
        <v>865</v>
      </c>
      <c r="AE2929" t="s">
        <v>138</v>
      </c>
      <c r="AI2929">
        <v>3</v>
      </c>
      <c r="AV2929" t="s">
        <v>428</v>
      </c>
      <c r="AW2929">
        <v>146</v>
      </c>
    </row>
    <row r="2930" spans="1:49" hidden="1" x14ac:dyDescent="0.3">
      <c r="A2930" t="s">
        <v>731</v>
      </c>
      <c r="B2930" t="s">
        <v>732</v>
      </c>
      <c r="C2930" t="s">
        <v>251</v>
      </c>
      <c r="D2930" t="s">
        <v>81</v>
      </c>
      <c r="E2930">
        <v>100000</v>
      </c>
      <c r="H2930">
        <v>2.25</v>
      </c>
      <c r="I2930" t="s">
        <v>215</v>
      </c>
      <c r="J2930">
        <v>1.4516100000000001E-3</v>
      </c>
      <c r="K2930" t="s">
        <v>57</v>
      </c>
      <c r="N2930" t="s">
        <v>733</v>
      </c>
      <c r="O2930">
        <v>296</v>
      </c>
      <c r="P2930" t="s">
        <v>315</v>
      </c>
      <c r="S2930" t="s">
        <v>733</v>
      </c>
      <c r="T2930">
        <v>22.6</v>
      </c>
      <c r="U2930" t="s">
        <v>733</v>
      </c>
      <c r="V2930">
        <v>50.2</v>
      </c>
      <c r="W2930" t="s">
        <v>734</v>
      </c>
      <c r="X2930" t="s">
        <v>280</v>
      </c>
      <c r="Y2930">
        <v>720</v>
      </c>
      <c r="AB2930">
        <v>0.85199973345024005</v>
      </c>
      <c r="AC2930" t="s">
        <v>85</v>
      </c>
      <c r="AD2930" t="s">
        <v>866</v>
      </c>
      <c r="AE2930" t="s">
        <v>138</v>
      </c>
      <c r="AI2930">
        <v>3</v>
      </c>
      <c r="AV2930" t="s">
        <v>428</v>
      </c>
      <c r="AW2930">
        <v>296</v>
      </c>
    </row>
    <row r="2931" spans="1:49" hidden="1" x14ac:dyDescent="0.3">
      <c r="A2931" t="s">
        <v>731</v>
      </c>
      <c r="C2931" t="s">
        <v>251</v>
      </c>
      <c r="D2931" t="s">
        <v>81</v>
      </c>
      <c r="E2931">
        <v>10000000</v>
      </c>
      <c r="H2931">
        <v>2.25</v>
      </c>
      <c r="I2931" t="s">
        <v>215</v>
      </c>
      <c r="J2931">
        <v>1.4516100000000001E-3</v>
      </c>
      <c r="K2931" t="s">
        <v>57</v>
      </c>
      <c r="N2931" t="s">
        <v>733</v>
      </c>
      <c r="O2931">
        <v>296</v>
      </c>
      <c r="P2931" t="s">
        <v>315</v>
      </c>
      <c r="S2931" t="s">
        <v>733</v>
      </c>
      <c r="T2931">
        <v>22.6</v>
      </c>
      <c r="U2931" t="s">
        <v>733</v>
      </c>
      <c r="V2931">
        <v>50.2</v>
      </c>
      <c r="W2931" t="s">
        <v>736</v>
      </c>
      <c r="X2931" t="s">
        <v>280</v>
      </c>
      <c r="Y2931">
        <v>720</v>
      </c>
      <c r="AB2931">
        <v>0.826676720243535</v>
      </c>
      <c r="AC2931" t="s">
        <v>85</v>
      </c>
      <c r="AD2931" t="s">
        <v>867</v>
      </c>
      <c r="AE2931" t="s">
        <v>138</v>
      </c>
      <c r="AI2931">
        <v>3</v>
      </c>
      <c r="AT2931" t="s">
        <v>77</v>
      </c>
      <c r="AV2931" t="s">
        <v>428</v>
      </c>
      <c r="AW2931">
        <v>296</v>
      </c>
    </row>
    <row r="2932" spans="1:49" hidden="1" x14ac:dyDescent="0.3">
      <c r="A2932" t="s">
        <v>731</v>
      </c>
      <c r="B2932" t="s">
        <v>732</v>
      </c>
      <c r="C2932" t="s">
        <v>251</v>
      </c>
      <c r="D2932" t="s">
        <v>81</v>
      </c>
      <c r="E2932">
        <v>10000000</v>
      </c>
      <c r="H2932">
        <v>4</v>
      </c>
      <c r="I2932" t="s">
        <v>215</v>
      </c>
      <c r="J2932">
        <v>2.5806399999999999E-3</v>
      </c>
      <c r="K2932" t="s">
        <v>57</v>
      </c>
      <c r="N2932" t="s">
        <v>733</v>
      </c>
      <c r="O2932">
        <v>296</v>
      </c>
      <c r="P2932" t="s">
        <v>315</v>
      </c>
      <c r="S2932" t="s">
        <v>733</v>
      </c>
      <c r="T2932">
        <v>22.6</v>
      </c>
      <c r="U2932" t="s">
        <v>733</v>
      </c>
      <c r="V2932">
        <v>50.2</v>
      </c>
      <c r="W2932" t="s">
        <v>738</v>
      </c>
      <c r="X2932" t="s">
        <v>280</v>
      </c>
      <c r="Y2932">
        <v>720</v>
      </c>
      <c r="AB2932">
        <v>0.73668161041314995</v>
      </c>
      <c r="AC2932" t="s">
        <v>85</v>
      </c>
      <c r="AD2932" t="s">
        <v>868</v>
      </c>
      <c r="AE2932" t="s">
        <v>138</v>
      </c>
      <c r="AI2932">
        <v>3</v>
      </c>
      <c r="AV2932" t="s">
        <v>428</v>
      </c>
      <c r="AW2932">
        <v>296</v>
      </c>
    </row>
    <row r="2933" spans="1:49" hidden="1" x14ac:dyDescent="0.3">
      <c r="A2933" t="s">
        <v>731</v>
      </c>
      <c r="C2933" t="s">
        <v>251</v>
      </c>
      <c r="D2933" t="s">
        <v>81</v>
      </c>
      <c r="E2933">
        <v>10000000</v>
      </c>
      <c r="H2933">
        <v>4</v>
      </c>
      <c r="I2933" t="s">
        <v>215</v>
      </c>
      <c r="J2933">
        <v>2.5806399999999999E-3</v>
      </c>
      <c r="K2933" t="s">
        <v>57</v>
      </c>
      <c r="N2933" t="s">
        <v>733</v>
      </c>
      <c r="O2933">
        <v>296</v>
      </c>
      <c r="P2933" t="s">
        <v>315</v>
      </c>
      <c r="S2933" t="s">
        <v>733</v>
      </c>
      <c r="T2933">
        <v>22.6</v>
      </c>
      <c r="U2933" t="s">
        <v>733</v>
      </c>
      <c r="V2933">
        <v>50.2</v>
      </c>
      <c r="W2933" t="s">
        <v>740</v>
      </c>
      <c r="X2933" t="s">
        <v>280</v>
      </c>
      <c r="Y2933">
        <v>720</v>
      </c>
      <c r="AB2933">
        <v>0.96855264196368096</v>
      </c>
      <c r="AC2933" t="s">
        <v>85</v>
      </c>
      <c r="AD2933" t="s">
        <v>869</v>
      </c>
      <c r="AE2933" t="s">
        <v>138</v>
      </c>
      <c r="AI2933">
        <v>3</v>
      </c>
      <c r="AT2933" t="s">
        <v>65</v>
      </c>
      <c r="AV2933" t="s">
        <v>428</v>
      </c>
      <c r="AW2933">
        <v>296</v>
      </c>
    </row>
    <row r="2934" spans="1:49" hidden="1" x14ac:dyDescent="0.3">
      <c r="A2934" t="s">
        <v>731</v>
      </c>
      <c r="B2934" t="s">
        <v>732</v>
      </c>
      <c r="C2934" t="s">
        <v>251</v>
      </c>
      <c r="D2934" t="s">
        <v>81</v>
      </c>
      <c r="E2934">
        <v>10000000</v>
      </c>
      <c r="N2934" t="s">
        <v>733</v>
      </c>
      <c r="O2934">
        <v>296</v>
      </c>
      <c r="P2934" t="s">
        <v>315</v>
      </c>
      <c r="S2934" t="s">
        <v>733</v>
      </c>
      <c r="T2934">
        <v>22.6</v>
      </c>
      <c r="U2934" t="s">
        <v>733</v>
      </c>
      <c r="V2934">
        <v>50.2</v>
      </c>
      <c r="W2934" t="s">
        <v>742</v>
      </c>
      <c r="X2934" t="s">
        <v>280</v>
      </c>
      <c r="Y2934">
        <v>720</v>
      </c>
      <c r="AB2934">
        <v>0.82317466402788098</v>
      </c>
      <c r="AC2934" t="s">
        <v>85</v>
      </c>
      <c r="AD2934" t="s">
        <v>870</v>
      </c>
      <c r="AE2934" t="s">
        <v>138</v>
      </c>
      <c r="AI2934">
        <v>3</v>
      </c>
      <c r="AV2934" t="s">
        <v>428</v>
      </c>
      <c r="AW2934">
        <v>296</v>
      </c>
    </row>
    <row r="2935" spans="1:49" hidden="1" x14ac:dyDescent="0.3">
      <c r="A2935" t="s">
        <v>731</v>
      </c>
      <c r="C2935" t="s">
        <v>251</v>
      </c>
      <c r="D2935" t="s">
        <v>81</v>
      </c>
      <c r="E2935">
        <v>10000000</v>
      </c>
      <c r="N2935" t="s">
        <v>733</v>
      </c>
      <c r="O2935">
        <v>296</v>
      </c>
      <c r="P2935" t="s">
        <v>315</v>
      </c>
      <c r="S2935" t="s">
        <v>733</v>
      </c>
      <c r="T2935">
        <v>22.6</v>
      </c>
      <c r="U2935" t="s">
        <v>733</v>
      </c>
      <c r="V2935">
        <v>50.2</v>
      </c>
      <c r="W2935" t="s">
        <v>744</v>
      </c>
      <c r="X2935" t="s">
        <v>280</v>
      </c>
      <c r="Y2935">
        <v>720</v>
      </c>
      <c r="AB2935">
        <v>0.71813099538671099</v>
      </c>
      <c r="AC2935" t="s">
        <v>85</v>
      </c>
      <c r="AD2935" t="s">
        <v>871</v>
      </c>
      <c r="AE2935" t="s">
        <v>138</v>
      </c>
      <c r="AI2935">
        <v>3</v>
      </c>
      <c r="AT2935" t="s">
        <v>203</v>
      </c>
      <c r="AV2935" t="s">
        <v>428</v>
      </c>
      <c r="AW2935">
        <v>296</v>
      </c>
    </row>
    <row r="2936" spans="1:49" hidden="1" x14ac:dyDescent="0.3">
      <c r="A2936" t="s">
        <v>731</v>
      </c>
      <c r="B2936" t="s">
        <v>746</v>
      </c>
      <c r="C2936" t="s">
        <v>251</v>
      </c>
      <c r="D2936" t="s">
        <v>81</v>
      </c>
      <c r="E2936">
        <v>10000000</v>
      </c>
      <c r="N2936" t="s">
        <v>733</v>
      </c>
      <c r="O2936">
        <v>296</v>
      </c>
      <c r="P2936" t="s">
        <v>315</v>
      </c>
      <c r="S2936" t="s">
        <v>733</v>
      </c>
      <c r="T2936">
        <v>22.6</v>
      </c>
      <c r="U2936" t="s">
        <v>733</v>
      </c>
      <c r="V2936">
        <v>50.2</v>
      </c>
      <c r="W2936" t="s">
        <v>747</v>
      </c>
      <c r="X2936" t="s">
        <v>280</v>
      </c>
      <c r="Y2936">
        <v>720</v>
      </c>
      <c r="AB2936">
        <v>0.55506929270183103</v>
      </c>
      <c r="AC2936" t="s">
        <v>85</v>
      </c>
      <c r="AD2936" t="s">
        <v>872</v>
      </c>
      <c r="AE2936" t="s">
        <v>138</v>
      </c>
      <c r="AI2936">
        <v>3</v>
      </c>
      <c r="AV2936" t="s">
        <v>428</v>
      </c>
      <c r="AW2936">
        <v>296</v>
      </c>
    </row>
    <row r="2937" spans="1:49" hidden="1" x14ac:dyDescent="0.3">
      <c r="A2937" t="s">
        <v>731</v>
      </c>
      <c r="B2937" t="s">
        <v>732</v>
      </c>
      <c r="C2937" t="s">
        <v>251</v>
      </c>
      <c r="D2937" t="s">
        <v>81</v>
      </c>
      <c r="E2937">
        <v>10000000</v>
      </c>
      <c r="H2937">
        <v>2.25</v>
      </c>
      <c r="I2937" t="s">
        <v>215</v>
      </c>
      <c r="J2937">
        <v>1.4516100000000001E-3</v>
      </c>
      <c r="K2937" t="s">
        <v>57</v>
      </c>
      <c r="N2937" t="s">
        <v>733</v>
      </c>
      <c r="O2937">
        <v>184</v>
      </c>
      <c r="P2937" t="s">
        <v>315</v>
      </c>
      <c r="S2937" t="s">
        <v>733</v>
      </c>
      <c r="T2937">
        <v>23.7</v>
      </c>
      <c r="U2937" t="s">
        <v>733</v>
      </c>
      <c r="V2937">
        <v>51.4</v>
      </c>
      <c r="W2937" t="s">
        <v>734</v>
      </c>
      <c r="X2937" t="s">
        <v>280</v>
      </c>
      <c r="Y2937">
        <v>720</v>
      </c>
      <c r="AB2937">
        <v>0.93228911167761896</v>
      </c>
      <c r="AC2937" t="s">
        <v>85</v>
      </c>
      <c r="AD2937" t="s">
        <v>873</v>
      </c>
      <c r="AE2937" t="s">
        <v>138</v>
      </c>
      <c r="AI2937">
        <v>3</v>
      </c>
      <c r="AV2937" t="s">
        <v>428</v>
      </c>
      <c r="AW2937">
        <v>184</v>
      </c>
    </row>
    <row r="2938" spans="1:49" hidden="1" x14ac:dyDescent="0.3">
      <c r="A2938" t="s">
        <v>731</v>
      </c>
      <c r="C2938" t="s">
        <v>251</v>
      </c>
      <c r="D2938" t="s">
        <v>81</v>
      </c>
      <c r="E2938">
        <v>10000000</v>
      </c>
      <c r="H2938">
        <v>2.25</v>
      </c>
      <c r="I2938" t="s">
        <v>215</v>
      </c>
      <c r="J2938">
        <v>1.4516100000000001E-3</v>
      </c>
      <c r="K2938" t="s">
        <v>57</v>
      </c>
      <c r="N2938" t="s">
        <v>733</v>
      </c>
      <c r="O2938">
        <v>184</v>
      </c>
      <c r="P2938" t="s">
        <v>315</v>
      </c>
      <c r="S2938" t="s">
        <v>733</v>
      </c>
      <c r="T2938">
        <v>23.7</v>
      </c>
      <c r="U2938" t="s">
        <v>733</v>
      </c>
      <c r="V2938">
        <v>51.4</v>
      </c>
      <c r="W2938" t="s">
        <v>736</v>
      </c>
      <c r="X2938" t="s">
        <v>280</v>
      </c>
      <c r="Y2938">
        <v>720</v>
      </c>
      <c r="AB2938">
        <v>0.83610905337122599</v>
      </c>
      <c r="AC2938" t="s">
        <v>85</v>
      </c>
      <c r="AD2938" t="s">
        <v>874</v>
      </c>
      <c r="AE2938" t="s">
        <v>138</v>
      </c>
      <c r="AI2938">
        <v>3</v>
      </c>
      <c r="AT2938" t="s">
        <v>77</v>
      </c>
      <c r="AV2938" t="s">
        <v>428</v>
      </c>
      <c r="AW2938">
        <v>184</v>
      </c>
    </row>
    <row r="2939" spans="1:49" hidden="1" x14ac:dyDescent="0.3">
      <c r="A2939" t="s">
        <v>731</v>
      </c>
      <c r="B2939" t="s">
        <v>732</v>
      </c>
      <c r="C2939" t="s">
        <v>251</v>
      </c>
      <c r="D2939" t="s">
        <v>81</v>
      </c>
      <c r="E2939">
        <v>10000000</v>
      </c>
      <c r="H2939">
        <v>4</v>
      </c>
      <c r="I2939" t="s">
        <v>215</v>
      </c>
      <c r="J2939">
        <v>2.5806399999999999E-3</v>
      </c>
      <c r="K2939" t="s">
        <v>57</v>
      </c>
      <c r="N2939" t="s">
        <v>733</v>
      </c>
      <c r="O2939">
        <v>184</v>
      </c>
      <c r="P2939" t="s">
        <v>315</v>
      </c>
      <c r="S2939" t="s">
        <v>733</v>
      </c>
      <c r="T2939">
        <v>23.7</v>
      </c>
      <c r="U2939" t="s">
        <v>733</v>
      </c>
      <c r="V2939">
        <v>51.4</v>
      </c>
      <c r="W2939" t="s">
        <v>738</v>
      </c>
      <c r="X2939" t="s">
        <v>280</v>
      </c>
      <c r="Y2939">
        <v>720</v>
      </c>
      <c r="AB2939">
        <v>0.89352135238788899</v>
      </c>
      <c r="AC2939" t="s">
        <v>85</v>
      </c>
      <c r="AD2939" t="s">
        <v>875</v>
      </c>
      <c r="AE2939" t="s">
        <v>138</v>
      </c>
      <c r="AI2939">
        <v>3</v>
      </c>
      <c r="AV2939" t="s">
        <v>428</v>
      </c>
      <c r="AW2939">
        <v>184</v>
      </c>
    </row>
    <row r="2940" spans="1:49" hidden="1" x14ac:dyDescent="0.3">
      <c r="A2940" t="s">
        <v>731</v>
      </c>
      <c r="C2940" t="s">
        <v>251</v>
      </c>
      <c r="D2940" t="s">
        <v>81</v>
      </c>
      <c r="E2940">
        <v>10000000</v>
      </c>
      <c r="H2940">
        <v>4</v>
      </c>
      <c r="I2940" t="s">
        <v>215</v>
      </c>
      <c r="J2940">
        <v>2.5806399999999999E-3</v>
      </c>
      <c r="K2940" t="s">
        <v>57</v>
      </c>
      <c r="N2940" t="s">
        <v>733</v>
      </c>
      <c r="O2940">
        <v>184</v>
      </c>
      <c r="P2940" t="s">
        <v>315</v>
      </c>
      <c r="S2940" t="s">
        <v>733</v>
      </c>
      <c r="T2940">
        <v>23.7</v>
      </c>
      <c r="U2940" t="s">
        <v>733</v>
      </c>
      <c r="V2940">
        <v>51.4</v>
      </c>
      <c r="W2940" t="s">
        <v>740</v>
      </c>
      <c r="X2940" t="s">
        <v>280</v>
      </c>
      <c r="Y2940">
        <v>720</v>
      </c>
      <c r="AB2940">
        <v>0.98665153982448806</v>
      </c>
      <c r="AC2940" t="s">
        <v>85</v>
      </c>
      <c r="AD2940" t="s">
        <v>876</v>
      </c>
      <c r="AE2940" t="s">
        <v>138</v>
      </c>
      <c r="AI2940">
        <v>3</v>
      </c>
      <c r="AT2940" t="s">
        <v>65</v>
      </c>
      <c r="AV2940" t="s">
        <v>428</v>
      </c>
      <c r="AW2940">
        <v>184</v>
      </c>
    </row>
    <row r="2941" spans="1:49" hidden="1" x14ac:dyDescent="0.3">
      <c r="A2941" t="s">
        <v>731</v>
      </c>
      <c r="B2941" t="s">
        <v>732</v>
      </c>
      <c r="C2941" t="s">
        <v>251</v>
      </c>
      <c r="D2941" t="s">
        <v>81</v>
      </c>
      <c r="E2941">
        <v>10000000</v>
      </c>
      <c r="N2941" t="s">
        <v>733</v>
      </c>
      <c r="O2941">
        <v>184</v>
      </c>
      <c r="P2941" t="s">
        <v>315</v>
      </c>
      <c r="S2941" t="s">
        <v>733</v>
      </c>
      <c r="T2941">
        <v>23.7</v>
      </c>
      <c r="U2941" t="s">
        <v>733</v>
      </c>
      <c r="V2941">
        <v>51.4</v>
      </c>
      <c r="W2941" t="s">
        <v>742</v>
      </c>
      <c r="X2941" t="s">
        <v>280</v>
      </c>
      <c r="Y2941">
        <v>720</v>
      </c>
      <c r="AB2941">
        <v>0.56665567947648499</v>
      </c>
      <c r="AC2941" t="s">
        <v>85</v>
      </c>
      <c r="AD2941" t="s">
        <v>877</v>
      </c>
      <c r="AE2941" t="s">
        <v>138</v>
      </c>
      <c r="AI2941">
        <v>3</v>
      </c>
      <c r="AV2941" t="s">
        <v>428</v>
      </c>
      <c r="AW2941">
        <v>184</v>
      </c>
    </row>
    <row r="2942" spans="1:49" hidden="1" x14ac:dyDescent="0.3">
      <c r="A2942" t="s">
        <v>731</v>
      </c>
      <c r="C2942" t="s">
        <v>251</v>
      </c>
      <c r="D2942" t="s">
        <v>81</v>
      </c>
      <c r="E2942">
        <v>10000000</v>
      </c>
      <c r="N2942" t="s">
        <v>733</v>
      </c>
      <c r="O2942">
        <v>184</v>
      </c>
      <c r="P2942" t="s">
        <v>315</v>
      </c>
      <c r="S2942" t="s">
        <v>733</v>
      </c>
      <c r="T2942">
        <v>23.7</v>
      </c>
      <c r="U2942" t="s">
        <v>733</v>
      </c>
      <c r="V2942">
        <v>51.4</v>
      </c>
      <c r="W2942" t="s">
        <v>744</v>
      </c>
      <c r="X2942" t="s">
        <v>280</v>
      </c>
      <c r="Y2942">
        <v>720</v>
      </c>
      <c r="AB2942">
        <v>0.80781407585266496</v>
      </c>
      <c r="AC2942" t="s">
        <v>85</v>
      </c>
      <c r="AD2942" t="s">
        <v>878</v>
      </c>
      <c r="AE2942" t="s">
        <v>138</v>
      </c>
      <c r="AI2942">
        <v>3</v>
      </c>
      <c r="AT2942" t="s">
        <v>203</v>
      </c>
      <c r="AV2942" t="s">
        <v>428</v>
      </c>
      <c r="AW2942">
        <v>184</v>
      </c>
    </row>
    <row r="2943" spans="1:49" hidden="1" x14ac:dyDescent="0.3">
      <c r="A2943" t="s">
        <v>731</v>
      </c>
      <c r="B2943" t="s">
        <v>746</v>
      </c>
      <c r="C2943" t="s">
        <v>251</v>
      </c>
      <c r="D2943" t="s">
        <v>81</v>
      </c>
      <c r="E2943">
        <v>1000000</v>
      </c>
      <c r="N2943" t="s">
        <v>733</v>
      </c>
      <c r="O2943">
        <v>184</v>
      </c>
      <c r="P2943" t="s">
        <v>315</v>
      </c>
      <c r="S2943" t="s">
        <v>733</v>
      </c>
      <c r="T2943">
        <v>23.7</v>
      </c>
      <c r="U2943" t="s">
        <v>733</v>
      </c>
      <c r="V2943">
        <v>51.4</v>
      </c>
      <c r="W2943" t="s">
        <v>747</v>
      </c>
      <c r="X2943" t="s">
        <v>280</v>
      </c>
      <c r="Y2943">
        <v>720</v>
      </c>
      <c r="AB2943">
        <v>0.53036281640449801</v>
      </c>
      <c r="AC2943" t="s">
        <v>85</v>
      </c>
      <c r="AD2943" t="s">
        <v>879</v>
      </c>
      <c r="AE2943" t="s">
        <v>138</v>
      </c>
      <c r="AI2943">
        <v>3</v>
      </c>
      <c r="AV2943" t="s">
        <v>428</v>
      </c>
      <c r="AW2943">
        <v>184</v>
      </c>
    </row>
    <row r="2944" spans="1:49" hidden="1" x14ac:dyDescent="0.3">
      <c r="A2944" t="s">
        <v>731</v>
      </c>
      <c r="B2944" t="s">
        <v>732</v>
      </c>
      <c r="C2944" t="s">
        <v>251</v>
      </c>
      <c r="D2944" t="s">
        <v>81</v>
      </c>
      <c r="E2944">
        <v>1000000</v>
      </c>
      <c r="H2944">
        <v>2.25</v>
      </c>
      <c r="I2944" t="s">
        <v>215</v>
      </c>
      <c r="J2944">
        <v>1.4516100000000001E-3</v>
      </c>
      <c r="K2944" t="s">
        <v>57</v>
      </c>
      <c r="N2944" t="s">
        <v>733</v>
      </c>
      <c r="O2944">
        <v>236</v>
      </c>
      <c r="P2944" t="s">
        <v>315</v>
      </c>
      <c r="S2944" t="s">
        <v>733</v>
      </c>
      <c r="T2944">
        <v>10.9</v>
      </c>
      <c r="U2944" t="s">
        <v>733</v>
      </c>
      <c r="V2944">
        <v>70.5</v>
      </c>
      <c r="W2944" t="s">
        <v>734</v>
      </c>
      <c r="X2944" t="s">
        <v>280</v>
      </c>
      <c r="Y2944">
        <v>720</v>
      </c>
      <c r="AB2944">
        <v>1.8668644413491799</v>
      </c>
      <c r="AC2944" t="s">
        <v>85</v>
      </c>
      <c r="AD2944" t="s">
        <v>880</v>
      </c>
      <c r="AE2944" t="s">
        <v>138</v>
      </c>
      <c r="AI2944">
        <v>3</v>
      </c>
      <c r="AV2944" t="s">
        <v>428</v>
      </c>
      <c r="AW2944">
        <v>236</v>
      </c>
    </row>
    <row r="2945" spans="1:49" hidden="1" x14ac:dyDescent="0.3">
      <c r="A2945" t="s">
        <v>731</v>
      </c>
      <c r="C2945" t="s">
        <v>251</v>
      </c>
      <c r="D2945" t="s">
        <v>81</v>
      </c>
      <c r="E2945">
        <v>1000000</v>
      </c>
      <c r="H2945">
        <v>2.25</v>
      </c>
      <c r="I2945" t="s">
        <v>215</v>
      </c>
      <c r="J2945">
        <v>1.4516100000000001E-3</v>
      </c>
      <c r="K2945" t="s">
        <v>57</v>
      </c>
      <c r="N2945" t="s">
        <v>733</v>
      </c>
      <c r="O2945">
        <v>236</v>
      </c>
      <c r="P2945" t="s">
        <v>315</v>
      </c>
      <c r="S2945" t="s">
        <v>733</v>
      </c>
      <c r="T2945">
        <v>10.9</v>
      </c>
      <c r="U2945" t="s">
        <v>733</v>
      </c>
      <c r="V2945">
        <v>70.5</v>
      </c>
      <c r="W2945" t="s">
        <v>736</v>
      </c>
      <c r="X2945" t="s">
        <v>280</v>
      </c>
      <c r="Y2945">
        <v>720</v>
      </c>
      <c r="AB2945">
        <v>2.3476820168846801</v>
      </c>
      <c r="AC2945" t="s">
        <v>85</v>
      </c>
      <c r="AD2945" t="s">
        <v>881</v>
      </c>
      <c r="AE2945" t="s">
        <v>138</v>
      </c>
      <c r="AI2945">
        <v>3</v>
      </c>
      <c r="AT2945" t="s">
        <v>77</v>
      </c>
      <c r="AV2945" t="s">
        <v>428</v>
      </c>
      <c r="AW2945">
        <v>236</v>
      </c>
    </row>
    <row r="2946" spans="1:49" hidden="1" x14ac:dyDescent="0.3">
      <c r="A2946" t="s">
        <v>731</v>
      </c>
      <c r="B2946" t="s">
        <v>732</v>
      </c>
      <c r="C2946" t="s">
        <v>251</v>
      </c>
      <c r="D2946" t="s">
        <v>81</v>
      </c>
      <c r="E2946">
        <v>1000000</v>
      </c>
      <c r="H2946">
        <v>4</v>
      </c>
      <c r="I2946" t="s">
        <v>215</v>
      </c>
      <c r="J2946">
        <v>2.5806399999999999E-3</v>
      </c>
      <c r="K2946" t="s">
        <v>57</v>
      </c>
      <c r="N2946" t="s">
        <v>733</v>
      </c>
      <c r="O2946">
        <v>236</v>
      </c>
      <c r="P2946" t="s">
        <v>315</v>
      </c>
      <c r="S2946" t="s">
        <v>733</v>
      </c>
      <c r="T2946">
        <v>10.9</v>
      </c>
      <c r="U2946" t="s">
        <v>733</v>
      </c>
      <c r="V2946">
        <v>70.5</v>
      </c>
      <c r="W2946" t="s">
        <v>738</v>
      </c>
      <c r="X2946" t="s">
        <v>280</v>
      </c>
      <c r="Y2946">
        <v>720</v>
      </c>
      <c r="AB2946">
        <v>1.3761705316655299</v>
      </c>
      <c r="AC2946" t="s">
        <v>85</v>
      </c>
      <c r="AD2946" t="s">
        <v>882</v>
      </c>
      <c r="AE2946" t="s">
        <v>138</v>
      </c>
      <c r="AI2946">
        <v>3</v>
      </c>
      <c r="AV2946" t="s">
        <v>428</v>
      </c>
      <c r="AW2946">
        <v>236</v>
      </c>
    </row>
    <row r="2947" spans="1:49" hidden="1" x14ac:dyDescent="0.3">
      <c r="A2947" t="s">
        <v>731</v>
      </c>
      <c r="C2947" t="s">
        <v>251</v>
      </c>
      <c r="D2947" t="s">
        <v>81</v>
      </c>
      <c r="E2947">
        <v>1000000</v>
      </c>
      <c r="H2947">
        <v>4</v>
      </c>
      <c r="I2947" t="s">
        <v>215</v>
      </c>
      <c r="J2947">
        <v>2.5806399999999999E-3</v>
      </c>
      <c r="K2947" t="s">
        <v>57</v>
      </c>
      <c r="N2947" t="s">
        <v>733</v>
      </c>
      <c r="O2947">
        <v>236</v>
      </c>
      <c r="P2947" t="s">
        <v>315</v>
      </c>
      <c r="S2947" t="s">
        <v>733</v>
      </c>
      <c r="T2947">
        <v>10.9</v>
      </c>
      <c r="U2947" t="s">
        <v>733</v>
      </c>
      <c r="V2947">
        <v>70.5</v>
      </c>
      <c r="W2947" t="s">
        <v>740</v>
      </c>
      <c r="X2947" t="s">
        <v>280</v>
      </c>
      <c r="Y2947">
        <v>720</v>
      </c>
      <c r="AB2947">
        <v>2.2657816962374699</v>
      </c>
      <c r="AC2947" t="s">
        <v>85</v>
      </c>
      <c r="AD2947" t="s">
        <v>883</v>
      </c>
      <c r="AE2947" t="s">
        <v>138</v>
      </c>
      <c r="AI2947">
        <v>3</v>
      </c>
      <c r="AT2947" t="s">
        <v>65</v>
      </c>
      <c r="AV2947" t="s">
        <v>428</v>
      </c>
      <c r="AW2947">
        <v>236</v>
      </c>
    </row>
    <row r="2948" spans="1:49" hidden="1" x14ac:dyDescent="0.3">
      <c r="A2948" t="s">
        <v>731</v>
      </c>
      <c r="B2948" t="s">
        <v>732</v>
      </c>
      <c r="C2948" t="s">
        <v>251</v>
      </c>
      <c r="D2948" t="s">
        <v>81</v>
      </c>
      <c r="E2948">
        <v>1000000</v>
      </c>
      <c r="N2948" t="s">
        <v>733</v>
      </c>
      <c r="O2948">
        <v>236</v>
      </c>
      <c r="P2948" t="s">
        <v>315</v>
      </c>
      <c r="S2948" t="s">
        <v>733</v>
      </c>
      <c r="T2948">
        <v>10.9</v>
      </c>
      <c r="U2948" t="s">
        <v>733</v>
      </c>
      <c r="V2948">
        <v>70.5</v>
      </c>
      <c r="W2948" t="s">
        <v>742</v>
      </c>
      <c r="X2948" t="s">
        <v>280</v>
      </c>
      <c r="Y2948">
        <v>720</v>
      </c>
      <c r="AB2948">
        <v>1.5890225985592901</v>
      </c>
      <c r="AC2948" t="s">
        <v>85</v>
      </c>
      <c r="AD2948" t="s">
        <v>884</v>
      </c>
      <c r="AE2948" t="s">
        <v>138</v>
      </c>
      <c r="AI2948">
        <v>3</v>
      </c>
      <c r="AV2948" t="s">
        <v>428</v>
      </c>
      <c r="AW2948">
        <v>236</v>
      </c>
    </row>
    <row r="2949" spans="1:49" hidden="1" x14ac:dyDescent="0.3">
      <c r="A2949" t="s">
        <v>731</v>
      </c>
      <c r="C2949" t="s">
        <v>251</v>
      </c>
      <c r="D2949" t="s">
        <v>81</v>
      </c>
      <c r="E2949">
        <v>1000000</v>
      </c>
      <c r="N2949" t="s">
        <v>733</v>
      </c>
      <c r="O2949">
        <v>236</v>
      </c>
      <c r="P2949" t="s">
        <v>315</v>
      </c>
      <c r="S2949" t="s">
        <v>733</v>
      </c>
      <c r="T2949">
        <v>10.9</v>
      </c>
      <c r="U2949" t="s">
        <v>733</v>
      </c>
      <c r="V2949">
        <v>70.5</v>
      </c>
      <c r="W2949" t="s">
        <v>744</v>
      </c>
      <c r="X2949" t="s">
        <v>280</v>
      </c>
      <c r="Y2949">
        <v>720</v>
      </c>
      <c r="AB2949">
        <v>2.3490516140461102</v>
      </c>
      <c r="AC2949" t="s">
        <v>85</v>
      </c>
      <c r="AD2949" t="s">
        <v>885</v>
      </c>
      <c r="AE2949" t="s">
        <v>138</v>
      </c>
      <c r="AI2949">
        <v>3</v>
      </c>
      <c r="AT2949" t="s">
        <v>203</v>
      </c>
      <c r="AV2949" t="s">
        <v>428</v>
      </c>
      <c r="AW2949">
        <v>236</v>
      </c>
    </row>
    <row r="2950" spans="1:49" hidden="1" x14ac:dyDescent="0.3">
      <c r="A2950" t="s">
        <v>731</v>
      </c>
      <c r="B2950" t="s">
        <v>746</v>
      </c>
      <c r="C2950" t="s">
        <v>251</v>
      </c>
      <c r="D2950" t="s">
        <v>81</v>
      </c>
      <c r="E2950">
        <v>1000000</v>
      </c>
      <c r="N2950" t="s">
        <v>733</v>
      </c>
      <c r="O2950">
        <v>236</v>
      </c>
      <c r="P2950" t="s">
        <v>315</v>
      </c>
      <c r="S2950" t="s">
        <v>733</v>
      </c>
      <c r="T2950">
        <v>10.9</v>
      </c>
      <c r="U2950" t="s">
        <v>733</v>
      </c>
      <c r="V2950">
        <v>70.5</v>
      </c>
      <c r="W2950" t="s">
        <v>747</v>
      </c>
      <c r="X2950" t="s">
        <v>280</v>
      </c>
      <c r="Y2950">
        <v>720</v>
      </c>
      <c r="AB2950">
        <v>0.94118552534859801</v>
      </c>
      <c r="AC2950" t="s">
        <v>85</v>
      </c>
      <c r="AD2950" t="s">
        <v>886</v>
      </c>
      <c r="AE2950" t="s">
        <v>138</v>
      </c>
      <c r="AI2950">
        <v>3</v>
      </c>
      <c r="AV2950" t="s">
        <v>428</v>
      </c>
      <c r="AW2950">
        <v>236</v>
      </c>
    </row>
    <row r="2951" spans="1:49" hidden="1" x14ac:dyDescent="0.3">
      <c r="A2951" t="s">
        <v>731</v>
      </c>
      <c r="B2951" t="s">
        <v>732</v>
      </c>
      <c r="C2951" t="s">
        <v>251</v>
      </c>
      <c r="D2951" t="s">
        <v>81</v>
      </c>
      <c r="E2951">
        <v>1000000</v>
      </c>
      <c r="H2951">
        <v>2.25</v>
      </c>
      <c r="I2951" t="s">
        <v>215</v>
      </c>
      <c r="J2951">
        <v>1.4516100000000001E-3</v>
      </c>
      <c r="K2951" t="s">
        <v>57</v>
      </c>
      <c r="N2951" t="s">
        <v>733</v>
      </c>
      <c r="O2951">
        <v>213</v>
      </c>
      <c r="P2951" t="s">
        <v>315</v>
      </c>
      <c r="S2951" t="s">
        <v>733</v>
      </c>
      <c r="T2951">
        <v>11.2</v>
      </c>
      <c r="U2951" t="s">
        <v>733</v>
      </c>
      <c r="V2951">
        <v>79.3</v>
      </c>
      <c r="W2951" t="s">
        <v>734</v>
      </c>
      <c r="X2951" t="s">
        <v>280</v>
      </c>
      <c r="Y2951">
        <v>1440</v>
      </c>
      <c r="AB2951">
        <v>2.1138370003804599</v>
      </c>
      <c r="AC2951" t="s">
        <v>85</v>
      </c>
      <c r="AD2951" t="s">
        <v>887</v>
      </c>
      <c r="AE2951" t="s">
        <v>138</v>
      </c>
      <c r="AI2951">
        <v>3</v>
      </c>
      <c r="AV2951" t="s">
        <v>428</v>
      </c>
      <c r="AW2951">
        <v>213</v>
      </c>
    </row>
    <row r="2952" spans="1:49" hidden="1" x14ac:dyDescent="0.3">
      <c r="A2952" t="s">
        <v>731</v>
      </c>
      <c r="C2952" t="s">
        <v>251</v>
      </c>
      <c r="D2952" t="s">
        <v>81</v>
      </c>
      <c r="E2952">
        <v>1000000</v>
      </c>
      <c r="H2952">
        <v>2.25</v>
      </c>
      <c r="I2952" t="s">
        <v>215</v>
      </c>
      <c r="J2952">
        <v>1.4516100000000001E-3</v>
      </c>
      <c r="K2952" t="s">
        <v>57</v>
      </c>
      <c r="N2952" t="s">
        <v>733</v>
      </c>
      <c r="O2952">
        <v>213</v>
      </c>
      <c r="P2952" t="s">
        <v>315</v>
      </c>
      <c r="S2952" t="s">
        <v>733</v>
      </c>
      <c r="T2952">
        <v>11.2</v>
      </c>
      <c r="U2952" t="s">
        <v>733</v>
      </c>
      <c r="V2952">
        <v>79.3</v>
      </c>
      <c r="W2952" t="s">
        <v>736</v>
      </c>
      <c r="X2952" t="s">
        <v>280</v>
      </c>
      <c r="Y2952">
        <v>1440</v>
      </c>
      <c r="AB2952">
        <v>2.0025796618493201</v>
      </c>
      <c r="AC2952" t="s">
        <v>85</v>
      </c>
      <c r="AD2952" t="s">
        <v>888</v>
      </c>
      <c r="AE2952" t="s">
        <v>138</v>
      </c>
      <c r="AI2952">
        <v>3</v>
      </c>
      <c r="AT2952" t="s">
        <v>77</v>
      </c>
      <c r="AV2952" t="s">
        <v>428</v>
      </c>
      <c r="AW2952">
        <v>213</v>
      </c>
    </row>
    <row r="2953" spans="1:49" hidden="1" x14ac:dyDescent="0.3">
      <c r="A2953" t="s">
        <v>731</v>
      </c>
      <c r="B2953" t="s">
        <v>732</v>
      </c>
      <c r="C2953" t="s">
        <v>251</v>
      </c>
      <c r="D2953" t="s">
        <v>81</v>
      </c>
      <c r="E2953">
        <v>1000000</v>
      </c>
      <c r="H2953">
        <v>4</v>
      </c>
      <c r="I2953" t="s">
        <v>215</v>
      </c>
      <c r="J2953">
        <v>2.5806399999999999E-3</v>
      </c>
      <c r="K2953" t="s">
        <v>57</v>
      </c>
      <c r="N2953" t="s">
        <v>733</v>
      </c>
      <c r="O2953">
        <v>213</v>
      </c>
      <c r="P2953" t="s">
        <v>315</v>
      </c>
      <c r="S2953" t="s">
        <v>733</v>
      </c>
      <c r="T2953">
        <v>11.2</v>
      </c>
      <c r="U2953" t="s">
        <v>733</v>
      </c>
      <c r="V2953">
        <v>79.3</v>
      </c>
      <c r="W2953" t="s">
        <v>738</v>
      </c>
      <c r="X2953" t="s">
        <v>280</v>
      </c>
      <c r="Y2953">
        <v>1440</v>
      </c>
      <c r="AB2953">
        <v>1.27</v>
      </c>
      <c r="AC2953" t="s">
        <v>85</v>
      </c>
      <c r="AD2953" t="s">
        <v>194</v>
      </c>
      <c r="AE2953" t="s">
        <v>138</v>
      </c>
      <c r="AI2953">
        <v>3</v>
      </c>
      <c r="AV2953" t="s">
        <v>428</v>
      </c>
      <c r="AW2953">
        <v>213</v>
      </c>
    </row>
    <row r="2954" spans="1:49" hidden="1" x14ac:dyDescent="0.3">
      <c r="A2954" t="s">
        <v>731</v>
      </c>
      <c r="B2954" t="s">
        <v>732</v>
      </c>
      <c r="C2954" t="s">
        <v>251</v>
      </c>
      <c r="D2954" t="s">
        <v>81</v>
      </c>
      <c r="E2954">
        <v>1000000</v>
      </c>
      <c r="N2954" t="s">
        <v>733</v>
      </c>
      <c r="O2954">
        <v>213</v>
      </c>
      <c r="P2954" t="s">
        <v>315</v>
      </c>
      <c r="S2954" t="s">
        <v>733</v>
      </c>
      <c r="T2954">
        <v>11.2</v>
      </c>
      <c r="U2954" t="s">
        <v>733</v>
      </c>
      <c r="V2954">
        <v>79.3</v>
      </c>
      <c r="W2954" t="s">
        <v>742</v>
      </c>
      <c r="X2954" t="s">
        <v>280</v>
      </c>
      <c r="Y2954">
        <v>1440</v>
      </c>
      <c r="AB2954">
        <v>1.83</v>
      </c>
      <c r="AC2954" t="s">
        <v>85</v>
      </c>
      <c r="AD2954" t="s">
        <v>194</v>
      </c>
      <c r="AE2954" t="s">
        <v>138</v>
      </c>
      <c r="AI2954">
        <v>3</v>
      </c>
      <c r="AV2954" t="s">
        <v>428</v>
      </c>
      <c r="AW2954">
        <v>213</v>
      </c>
    </row>
    <row r="2955" spans="1:49" hidden="1" x14ac:dyDescent="0.3">
      <c r="A2955" t="s">
        <v>731</v>
      </c>
      <c r="B2955" t="s">
        <v>732</v>
      </c>
      <c r="C2955" t="s">
        <v>251</v>
      </c>
      <c r="D2955" t="s">
        <v>81</v>
      </c>
      <c r="E2955">
        <v>1000000</v>
      </c>
      <c r="H2955">
        <v>2.25</v>
      </c>
      <c r="I2955" t="s">
        <v>215</v>
      </c>
      <c r="J2955">
        <v>1.4516100000000001E-3</v>
      </c>
      <c r="K2955" t="s">
        <v>57</v>
      </c>
      <c r="N2955" t="s">
        <v>733</v>
      </c>
      <c r="O2955">
        <v>3456</v>
      </c>
      <c r="P2955" t="s">
        <v>315</v>
      </c>
      <c r="S2955" t="s">
        <v>733</v>
      </c>
      <c r="T2955">
        <v>27.1</v>
      </c>
      <c r="U2955" t="s">
        <v>733</v>
      </c>
      <c r="V2955">
        <v>76.3</v>
      </c>
      <c r="W2955" t="s">
        <v>734</v>
      </c>
      <c r="X2955" t="s">
        <v>280</v>
      </c>
      <c r="Y2955">
        <v>240</v>
      </c>
      <c r="AB2955">
        <v>6.7989027524700099</v>
      </c>
      <c r="AC2955" t="s">
        <v>85</v>
      </c>
      <c r="AD2955" t="s">
        <v>889</v>
      </c>
      <c r="AE2955" t="s">
        <v>138</v>
      </c>
      <c r="AI2955">
        <v>3</v>
      </c>
      <c r="AV2955" t="s">
        <v>428</v>
      </c>
      <c r="AW2955">
        <v>3456</v>
      </c>
    </row>
    <row r="2956" spans="1:49" hidden="1" x14ac:dyDescent="0.3">
      <c r="A2956" t="s">
        <v>731</v>
      </c>
      <c r="C2956" t="s">
        <v>251</v>
      </c>
      <c r="D2956" t="s">
        <v>81</v>
      </c>
      <c r="E2956">
        <v>1000000</v>
      </c>
      <c r="H2956">
        <v>2.25</v>
      </c>
      <c r="I2956" t="s">
        <v>215</v>
      </c>
      <c r="J2956">
        <v>1.4516100000000001E-3</v>
      </c>
      <c r="K2956" t="s">
        <v>57</v>
      </c>
      <c r="N2956" t="s">
        <v>733</v>
      </c>
      <c r="O2956">
        <v>3456</v>
      </c>
      <c r="P2956" t="s">
        <v>315</v>
      </c>
      <c r="S2956" t="s">
        <v>733</v>
      </c>
      <c r="T2956">
        <v>27.1</v>
      </c>
      <c r="U2956" t="s">
        <v>733</v>
      </c>
      <c r="V2956">
        <v>76.3</v>
      </c>
      <c r="W2956" t="s">
        <v>736</v>
      </c>
      <c r="X2956" t="s">
        <v>280</v>
      </c>
      <c r="Y2956">
        <v>240</v>
      </c>
      <c r="AB2956">
        <v>4.1357619200682798</v>
      </c>
      <c r="AC2956" t="s">
        <v>85</v>
      </c>
      <c r="AD2956" t="s">
        <v>890</v>
      </c>
      <c r="AE2956" t="s">
        <v>138</v>
      </c>
      <c r="AI2956">
        <v>3</v>
      </c>
      <c r="AT2956" t="s">
        <v>77</v>
      </c>
      <c r="AV2956" t="s">
        <v>428</v>
      </c>
      <c r="AW2956">
        <v>3456</v>
      </c>
    </row>
    <row r="2957" spans="1:49" hidden="1" x14ac:dyDescent="0.3">
      <c r="A2957" t="s">
        <v>731</v>
      </c>
      <c r="B2957" t="s">
        <v>732</v>
      </c>
      <c r="C2957" t="s">
        <v>251</v>
      </c>
      <c r="D2957" t="s">
        <v>81</v>
      </c>
      <c r="E2957">
        <v>1000000</v>
      </c>
      <c r="H2957">
        <v>4</v>
      </c>
      <c r="I2957" t="s">
        <v>215</v>
      </c>
      <c r="J2957">
        <v>2.5806399999999999E-3</v>
      </c>
      <c r="K2957" t="s">
        <v>57</v>
      </c>
      <c r="N2957" t="s">
        <v>733</v>
      </c>
      <c r="O2957">
        <v>3456</v>
      </c>
      <c r="P2957" t="s">
        <v>315</v>
      </c>
      <c r="S2957" t="s">
        <v>733</v>
      </c>
      <c r="T2957">
        <v>27.1</v>
      </c>
      <c r="U2957" t="s">
        <v>733</v>
      </c>
      <c r="V2957">
        <v>76.3</v>
      </c>
      <c r="W2957" t="s">
        <v>738</v>
      </c>
      <c r="X2957" t="s">
        <v>280</v>
      </c>
      <c r="Y2957">
        <v>240</v>
      </c>
      <c r="AB2957">
        <v>3.33559715996974</v>
      </c>
      <c r="AC2957" t="s">
        <v>85</v>
      </c>
      <c r="AD2957" t="s">
        <v>891</v>
      </c>
      <c r="AE2957" t="s">
        <v>138</v>
      </c>
      <c r="AI2957">
        <v>3</v>
      </c>
      <c r="AV2957" t="s">
        <v>428</v>
      </c>
      <c r="AW2957">
        <v>3456</v>
      </c>
    </row>
    <row r="2958" spans="1:49" hidden="1" x14ac:dyDescent="0.3">
      <c r="A2958" t="s">
        <v>731</v>
      </c>
      <c r="B2958" t="s">
        <v>732</v>
      </c>
      <c r="C2958" t="s">
        <v>251</v>
      </c>
      <c r="D2958" t="s">
        <v>81</v>
      </c>
      <c r="E2958">
        <v>1000000</v>
      </c>
      <c r="N2958" t="s">
        <v>733</v>
      </c>
      <c r="O2958">
        <v>3456</v>
      </c>
      <c r="P2958" t="s">
        <v>315</v>
      </c>
      <c r="S2958" t="s">
        <v>733</v>
      </c>
      <c r="T2958">
        <v>27.1</v>
      </c>
      <c r="U2958" t="s">
        <v>733</v>
      </c>
      <c r="V2958">
        <v>76.3</v>
      </c>
      <c r="W2958" t="s">
        <v>742</v>
      </c>
      <c r="X2958" t="s">
        <v>280</v>
      </c>
      <c r="Y2958">
        <v>240</v>
      </c>
      <c r="AB2958">
        <v>7.49709185390219</v>
      </c>
      <c r="AC2958" t="s">
        <v>85</v>
      </c>
      <c r="AD2958" t="s">
        <v>892</v>
      </c>
      <c r="AE2958" t="s">
        <v>138</v>
      </c>
      <c r="AI2958">
        <v>3</v>
      </c>
      <c r="AV2958" t="s">
        <v>428</v>
      </c>
      <c r="AW2958">
        <v>3456</v>
      </c>
    </row>
    <row r="2959" spans="1:49" hidden="1" x14ac:dyDescent="0.3">
      <c r="A2959" t="s">
        <v>731</v>
      </c>
      <c r="B2959" t="s">
        <v>732</v>
      </c>
      <c r="C2959" t="s">
        <v>251</v>
      </c>
      <c r="D2959" t="s">
        <v>81</v>
      </c>
      <c r="E2959">
        <v>100000</v>
      </c>
      <c r="H2959">
        <v>2.25</v>
      </c>
      <c r="I2959" t="s">
        <v>215</v>
      </c>
      <c r="J2959">
        <v>1.4516100000000001E-3</v>
      </c>
      <c r="K2959" t="s">
        <v>57</v>
      </c>
      <c r="N2959" t="s">
        <v>733</v>
      </c>
      <c r="O2959">
        <v>3278</v>
      </c>
      <c r="P2959" t="s">
        <v>315</v>
      </c>
      <c r="S2959" t="s">
        <v>733</v>
      </c>
      <c r="T2959">
        <v>12.9</v>
      </c>
      <c r="U2959" t="s">
        <v>733</v>
      </c>
      <c r="V2959">
        <v>68</v>
      </c>
      <c r="W2959" t="s">
        <v>734</v>
      </c>
      <c r="X2959" t="s">
        <v>280</v>
      </c>
      <c r="Y2959">
        <v>540</v>
      </c>
      <c r="AB2959">
        <v>1.3362775497923201</v>
      </c>
      <c r="AC2959" t="s">
        <v>85</v>
      </c>
      <c r="AD2959" t="s">
        <v>893</v>
      </c>
      <c r="AE2959" t="s">
        <v>138</v>
      </c>
      <c r="AI2959">
        <v>3</v>
      </c>
      <c r="AV2959" t="s">
        <v>428</v>
      </c>
      <c r="AW2959">
        <v>3278</v>
      </c>
    </row>
    <row r="2960" spans="1:49" hidden="1" x14ac:dyDescent="0.3">
      <c r="A2960" t="s">
        <v>731</v>
      </c>
      <c r="C2960" t="s">
        <v>251</v>
      </c>
      <c r="D2960" t="s">
        <v>81</v>
      </c>
      <c r="E2960">
        <v>100000</v>
      </c>
      <c r="H2960">
        <v>2.25</v>
      </c>
      <c r="I2960" t="s">
        <v>215</v>
      </c>
      <c r="J2960">
        <v>1.4516100000000001E-3</v>
      </c>
      <c r="K2960" t="s">
        <v>57</v>
      </c>
      <c r="N2960" t="s">
        <v>733</v>
      </c>
      <c r="O2960">
        <v>3278</v>
      </c>
      <c r="P2960" t="s">
        <v>315</v>
      </c>
      <c r="S2960" t="s">
        <v>733</v>
      </c>
      <c r="T2960">
        <v>12.9</v>
      </c>
      <c r="U2960" t="s">
        <v>733</v>
      </c>
      <c r="V2960">
        <v>68</v>
      </c>
      <c r="W2960" t="s">
        <v>736</v>
      </c>
      <c r="X2960" t="s">
        <v>280</v>
      </c>
      <c r="Y2960">
        <v>540</v>
      </c>
      <c r="AB2960">
        <v>1.7368537113495499</v>
      </c>
      <c r="AC2960" t="s">
        <v>85</v>
      </c>
      <c r="AD2960" t="s">
        <v>894</v>
      </c>
      <c r="AE2960" t="s">
        <v>138</v>
      </c>
      <c r="AI2960">
        <v>3</v>
      </c>
      <c r="AT2960" t="s">
        <v>77</v>
      </c>
      <c r="AV2960" t="s">
        <v>428</v>
      </c>
      <c r="AW2960">
        <v>3278</v>
      </c>
    </row>
    <row r="2961" spans="1:53" hidden="1" x14ac:dyDescent="0.3">
      <c r="A2961" t="s">
        <v>731</v>
      </c>
      <c r="B2961" t="s">
        <v>732</v>
      </c>
      <c r="C2961" t="s">
        <v>251</v>
      </c>
      <c r="D2961" t="s">
        <v>81</v>
      </c>
      <c r="E2961">
        <v>100000</v>
      </c>
      <c r="H2961">
        <v>4</v>
      </c>
      <c r="I2961" t="s">
        <v>215</v>
      </c>
      <c r="J2961">
        <v>2.5806399999999999E-3</v>
      </c>
      <c r="K2961" t="s">
        <v>57</v>
      </c>
      <c r="N2961" t="s">
        <v>733</v>
      </c>
      <c r="O2961">
        <v>3278</v>
      </c>
      <c r="P2961" t="s">
        <v>315</v>
      </c>
      <c r="S2961" t="s">
        <v>733</v>
      </c>
      <c r="T2961">
        <v>12.9</v>
      </c>
      <c r="U2961" t="s">
        <v>733</v>
      </c>
      <c r="V2961">
        <v>68</v>
      </c>
      <c r="W2961" t="s">
        <v>738</v>
      </c>
      <c r="X2961" t="s">
        <v>280</v>
      </c>
      <c r="Y2961">
        <v>540</v>
      </c>
      <c r="AB2961">
        <v>2.0936400219106801</v>
      </c>
      <c r="AC2961" t="s">
        <v>85</v>
      </c>
      <c r="AD2961" t="s">
        <v>895</v>
      </c>
      <c r="AE2961" t="s">
        <v>138</v>
      </c>
      <c r="AI2961">
        <v>3</v>
      </c>
      <c r="AV2961" t="s">
        <v>428</v>
      </c>
      <c r="AW2961">
        <v>3278</v>
      </c>
    </row>
    <row r="2962" spans="1:53" hidden="1" x14ac:dyDescent="0.3">
      <c r="A2962" t="s">
        <v>731</v>
      </c>
      <c r="B2962" t="s">
        <v>732</v>
      </c>
      <c r="C2962" t="s">
        <v>251</v>
      </c>
      <c r="D2962" t="s">
        <v>81</v>
      </c>
      <c r="E2962">
        <v>100000</v>
      </c>
      <c r="N2962" t="s">
        <v>733</v>
      </c>
      <c r="O2962">
        <v>3278</v>
      </c>
      <c r="P2962" t="s">
        <v>315</v>
      </c>
      <c r="S2962" t="s">
        <v>733</v>
      </c>
      <c r="T2962">
        <v>12.9</v>
      </c>
      <c r="U2962" t="s">
        <v>733</v>
      </c>
      <c r="V2962">
        <v>68</v>
      </c>
      <c r="W2962" t="s">
        <v>742</v>
      </c>
      <c r="X2962" t="s">
        <v>280</v>
      </c>
      <c r="Y2962">
        <v>540</v>
      </c>
      <c r="AB2962">
        <v>1.97521850111262</v>
      </c>
      <c r="AC2962" t="s">
        <v>85</v>
      </c>
      <c r="AD2962" t="s">
        <v>896</v>
      </c>
      <c r="AE2962" t="s">
        <v>138</v>
      </c>
      <c r="AI2962">
        <v>3</v>
      </c>
      <c r="AV2962" t="s">
        <v>428</v>
      </c>
      <c r="AW2962">
        <v>3278</v>
      </c>
    </row>
    <row r="2963" spans="1:53" hidden="1" x14ac:dyDescent="0.3">
      <c r="A2963" t="s">
        <v>897</v>
      </c>
      <c r="C2963" t="s">
        <v>251</v>
      </c>
      <c r="D2963" t="s">
        <v>81</v>
      </c>
      <c r="E2963">
        <v>100000</v>
      </c>
      <c r="H2963">
        <v>0.79</v>
      </c>
      <c r="I2963" t="s">
        <v>56</v>
      </c>
      <c r="J2963">
        <v>7.9000000000000009E-5</v>
      </c>
      <c r="K2963" t="s">
        <v>57</v>
      </c>
      <c r="N2963" t="s">
        <v>898</v>
      </c>
      <c r="O2963">
        <v>212</v>
      </c>
      <c r="P2963" t="s">
        <v>262</v>
      </c>
      <c r="S2963" t="s">
        <v>899</v>
      </c>
      <c r="T2963">
        <v>24</v>
      </c>
      <c r="U2963" t="s">
        <v>900</v>
      </c>
      <c r="V2963">
        <v>82.9</v>
      </c>
      <c r="W2963" t="s">
        <v>901</v>
      </c>
      <c r="X2963" t="s">
        <v>280</v>
      </c>
      <c r="Y2963">
        <v>2160</v>
      </c>
      <c r="AB2963">
        <v>2</v>
      </c>
      <c r="AC2963" t="s">
        <v>297</v>
      </c>
      <c r="AH2963">
        <v>6.3010299956639804</v>
      </c>
      <c r="AI2963">
        <v>40</v>
      </c>
      <c r="AV2963" t="s">
        <v>88</v>
      </c>
      <c r="AX2963">
        <v>212</v>
      </c>
      <c r="AZ2963">
        <v>2</v>
      </c>
      <c r="BA2963">
        <v>6.3010299956639804</v>
      </c>
    </row>
    <row r="2964" spans="1:53" hidden="1" x14ac:dyDescent="0.3">
      <c r="A2964" t="s">
        <v>897</v>
      </c>
      <c r="C2964" t="s">
        <v>251</v>
      </c>
      <c r="D2964" t="s">
        <v>81</v>
      </c>
      <c r="E2964">
        <v>100000</v>
      </c>
      <c r="H2964">
        <v>0.79</v>
      </c>
      <c r="I2964" t="s">
        <v>56</v>
      </c>
      <c r="J2964">
        <v>7.9000000000000009E-5</v>
      </c>
      <c r="K2964" t="s">
        <v>57</v>
      </c>
      <c r="N2964" t="s">
        <v>898</v>
      </c>
      <c r="O2964">
        <v>212</v>
      </c>
      <c r="P2964" t="s">
        <v>262</v>
      </c>
      <c r="S2964" t="s">
        <v>899</v>
      </c>
      <c r="T2964">
        <v>24</v>
      </c>
      <c r="U2964" t="s">
        <v>900</v>
      </c>
      <c r="V2964">
        <v>82.9</v>
      </c>
      <c r="W2964" t="s">
        <v>902</v>
      </c>
      <c r="X2964" t="s">
        <v>280</v>
      </c>
      <c r="Y2964">
        <v>2160</v>
      </c>
      <c r="AB2964">
        <v>0</v>
      </c>
      <c r="AC2964" t="s">
        <v>297</v>
      </c>
      <c r="AH2964">
        <v>6.1139433523068298</v>
      </c>
      <c r="AI2964">
        <v>40</v>
      </c>
      <c r="AV2964" t="s">
        <v>88</v>
      </c>
      <c r="AX2964">
        <v>212</v>
      </c>
      <c r="AZ2964">
        <v>0</v>
      </c>
      <c r="BA2964">
        <v>6.1139433523068298</v>
      </c>
    </row>
    <row r="2965" spans="1:53" hidden="1" x14ac:dyDescent="0.3">
      <c r="A2965" t="s">
        <v>897</v>
      </c>
      <c r="C2965" t="s">
        <v>251</v>
      </c>
      <c r="D2965" t="s">
        <v>81</v>
      </c>
      <c r="E2965">
        <v>100000</v>
      </c>
      <c r="H2965">
        <v>0.79</v>
      </c>
      <c r="I2965" t="s">
        <v>56</v>
      </c>
      <c r="J2965">
        <v>7.9000000000000009E-5</v>
      </c>
      <c r="K2965" t="s">
        <v>57</v>
      </c>
      <c r="N2965" t="s">
        <v>898</v>
      </c>
      <c r="O2965">
        <v>212</v>
      </c>
      <c r="P2965" t="s">
        <v>262</v>
      </c>
      <c r="S2965" t="s">
        <v>899</v>
      </c>
      <c r="T2965">
        <v>24</v>
      </c>
      <c r="U2965" t="s">
        <v>900</v>
      </c>
      <c r="V2965">
        <v>82.9</v>
      </c>
      <c r="W2965" t="s">
        <v>903</v>
      </c>
      <c r="X2965" t="s">
        <v>280</v>
      </c>
      <c r="Y2965">
        <v>2160</v>
      </c>
      <c r="AB2965">
        <v>0</v>
      </c>
      <c r="AC2965" t="s">
        <v>297</v>
      </c>
      <c r="AH2965">
        <v>6.3802112417116001</v>
      </c>
      <c r="AI2965">
        <v>40</v>
      </c>
      <c r="AV2965" t="s">
        <v>88</v>
      </c>
      <c r="AX2965">
        <v>212</v>
      </c>
      <c r="AZ2965">
        <v>0</v>
      </c>
      <c r="BA2965">
        <v>6.3802112417116001</v>
      </c>
    </row>
    <row r="2966" spans="1:53" hidden="1" x14ac:dyDescent="0.3">
      <c r="A2966" t="s">
        <v>897</v>
      </c>
      <c r="C2966" t="s">
        <v>251</v>
      </c>
      <c r="D2966" t="s">
        <v>81</v>
      </c>
      <c r="E2966">
        <v>100000</v>
      </c>
      <c r="H2966">
        <v>0.79</v>
      </c>
      <c r="I2966" t="s">
        <v>56</v>
      </c>
      <c r="J2966">
        <v>7.9000000000000009E-5</v>
      </c>
      <c r="K2966" t="s">
        <v>57</v>
      </c>
      <c r="N2966" t="s">
        <v>898</v>
      </c>
      <c r="O2966">
        <v>212</v>
      </c>
      <c r="P2966" t="s">
        <v>262</v>
      </c>
      <c r="S2966" t="s">
        <v>899</v>
      </c>
      <c r="T2966">
        <v>24</v>
      </c>
      <c r="U2966" t="s">
        <v>900</v>
      </c>
      <c r="V2966">
        <v>82.9</v>
      </c>
      <c r="W2966" t="s">
        <v>904</v>
      </c>
      <c r="X2966" t="s">
        <v>280</v>
      </c>
      <c r="Y2966">
        <v>2160</v>
      </c>
      <c r="AB2966">
        <v>1</v>
      </c>
      <c r="AC2966" t="s">
        <v>297</v>
      </c>
      <c r="AH2966">
        <v>6.3802112417116001</v>
      </c>
      <c r="AI2966">
        <v>40</v>
      </c>
      <c r="AV2966" t="s">
        <v>88</v>
      </c>
      <c r="AX2966">
        <v>212</v>
      </c>
      <c r="AZ2966">
        <v>1</v>
      </c>
      <c r="BA2966">
        <v>6.3802112417116001</v>
      </c>
    </row>
    <row r="2967" spans="1:53" hidden="1" x14ac:dyDescent="0.3">
      <c r="A2967" t="s">
        <v>897</v>
      </c>
      <c r="C2967" t="s">
        <v>251</v>
      </c>
      <c r="D2967" t="s">
        <v>81</v>
      </c>
      <c r="E2967">
        <v>10000000</v>
      </c>
      <c r="H2967">
        <v>0.79</v>
      </c>
      <c r="I2967" t="s">
        <v>56</v>
      </c>
      <c r="J2967">
        <v>7.9000000000000009E-5</v>
      </c>
      <c r="K2967" t="s">
        <v>57</v>
      </c>
      <c r="N2967" t="s">
        <v>898</v>
      </c>
      <c r="O2967">
        <v>212</v>
      </c>
      <c r="P2967" t="s">
        <v>262</v>
      </c>
      <c r="S2967" t="s">
        <v>899</v>
      </c>
      <c r="T2967">
        <v>24</v>
      </c>
      <c r="U2967" t="s">
        <v>900</v>
      </c>
      <c r="V2967">
        <v>82.9</v>
      </c>
      <c r="W2967" t="s">
        <v>905</v>
      </c>
      <c r="X2967" t="s">
        <v>280</v>
      </c>
      <c r="Y2967">
        <v>2160</v>
      </c>
      <c r="AB2967">
        <v>1</v>
      </c>
      <c r="AC2967" t="s">
        <v>297</v>
      </c>
      <c r="AH2967">
        <v>6.3617278360175904</v>
      </c>
      <c r="AI2967">
        <v>40</v>
      </c>
      <c r="AV2967" t="s">
        <v>88</v>
      </c>
      <c r="AX2967">
        <v>212</v>
      </c>
      <c r="AZ2967">
        <v>1</v>
      </c>
      <c r="BA2967">
        <v>6.3617278360175904</v>
      </c>
    </row>
    <row r="2968" spans="1:53" hidden="1" x14ac:dyDescent="0.3">
      <c r="A2968" t="s">
        <v>897</v>
      </c>
      <c r="C2968" t="s">
        <v>251</v>
      </c>
      <c r="D2968" t="s">
        <v>81</v>
      </c>
      <c r="E2968">
        <v>10000000</v>
      </c>
      <c r="H2968">
        <v>0.79</v>
      </c>
      <c r="I2968" t="s">
        <v>56</v>
      </c>
      <c r="J2968">
        <v>7.9000000000000009E-5</v>
      </c>
      <c r="K2968" t="s">
        <v>57</v>
      </c>
      <c r="N2968" t="s">
        <v>898</v>
      </c>
      <c r="O2968">
        <v>212</v>
      </c>
      <c r="P2968" t="s">
        <v>262</v>
      </c>
      <c r="S2968" t="s">
        <v>899</v>
      </c>
      <c r="T2968">
        <v>24</v>
      </c>
      <c r="U2968" t="s">
        <v>900</v>
      </c>
      <c r="V2968">
        <v>82.9</v>
      </c>
      <c r="W2968" t="s">
        <v>906</v>
      </c>
      <c r="X2968" t="s">
        <v>280</v>
      </c>
      <c r="Y2968">
        <v>2160</v>
      </c>
      <c r="AB2968">
        <v>8</v>
      </c>
      <c r="AC2968" t="s">
        <v>297</v>
      </c>
      <c r="AH2968">
        <v>6.0791812460476198</v>
      </c>
      <c r="AI2968">
        <v>40</v>
      </c>
      <c r="AV2968" t="s">
        <v>88</v>
      </c>
      <c r="AX2968">
        <v>212</v>
      </c>
      <c r="AZ2968">
        <v>8</v>
      </c>
      <c r="BA2968">
        <v>6.0791812460476198</v>
      </c>
    </row>
    <row r="2969" spans="1:53" hidden="1" x14ac:dyDescent="0.3">
      <c r="A2969" t="s">
        <v>907</v>
      </c>
      <c r="C2969" t="s">
        <v>251</v>
      </c>
      <c r="E2969">
        <v>10000000</v>
      </c>
      <c r="N2969" t="s">
        <v>908</v>
      </c>
      <c r="O2969">
        <v>3000</v>
      </c>
      <c r="P2969" t="s">
        <v>315</v>
      </c>
      <c r="V2969">
        <v>75</v>
      </c>
      <c r="W2969" t="s">
        <v>909</v>
      </c>
      <c r="X2969" t="s">
        <v>280</v>
      </c>
      <c r="Y2969">
        <v>180</v>
      </c>
      <c r="AB2969">
        <v>1</v>
      </c>
      <c r="AC2969" t="s">
        <v>297</v>
      </c>
      <c r="AH2969">
        <v>4.5486035532400404</v>
      </c>
      <c r="AI2969">
        <v>55</v>
      </c>
      <c r="AW2969">
        <v>3000</v>
      </c>
      <c r="AZ2969">
        <v>1</v>
      </c>
      <c r="BA2969">
        <v>4.5486035532400404</v>
      </c>
    </row>
    <row r="2970" spans="1:53" hidden="1" x14ac:dyDescent="0.3">
      <c r="A2970" t="s">
        <v>907</v>
      </c>
      <c r="C2970" t="s">
        <v>251</v>
      </c>
      <c r="E2970">
        <v>10000000</v>
      </c>
      <c r="N2970" t="s">
        <v>908</v>
      </c>
      <c r="O2970">
        <v>3000</v>
      </c>
      <c r="P2970" t="s">
        <v>315</v>
      </c>
      <c r="V2970">
        <v>75</v>
      </c>
      <c r="W2970" t="s">
        <v>910</v>
      </c>
      <c r="X2970" t="s">
        <v>280</v>
      </c>
      <c r="Y2970">
        <v>180</v>
      </c>
      <c r="AB2970">
        <v>1</v>
      </c>
      <c r="AC2970" t="s">
        <v>297</v>
      </c>
      <c r="AH2970">
        <v>3.6496431921402301</v>
      </c>
      <c r="AI2970">
        <v>66</v>
      </c>
      <c r="AW2970">
        <v>3000</v>
      </c>
      <c r="AZ2970">
        <v>1</v>
      </c>
      <c r="BA2970">
        <v>3.649643192140231</v>
      </c>
    </row>
    <row r="2971" spans="1:53" hidden="1" x14ac:dyDescent="0.3">
      <c r="A2971" t="s">
        <v>907</v>
      </c>
      <c r="C2971" t="s">
        <v>251</v>
      </c>
      <c r="E2971">
        <v>10000000</v>
      </c>
      <c r="N2971" t="s">
        <v>908</v>
      </c>
      <c r="O2971">
        <v>3000</v>
      </c>
      <c r="P2971" t="s">
        <v>315</v>
      </c>
      <c r="V2971">
        <v>75</v>
      </c>
      <c r="W2971" t="s">
        <v>911</v>
      </c>
      <c r="X2971" t="s">
        <v>280</v>
      </c>
      <c r="Y2971">
        <v>180</v>
      </c>
      <c r="AB2971">
        <v>0</v>
      </c>
      <c r="AC2971" t="s">
        <v>297</v>
      </c>
      <c r="AH2971">
        <v>2.8629631406686298</v>
      </c>
      <c r="AI2971">
        <v>16</v>
      </c>
      <c r="AW2971">
        <v>3000</v>
      </c>
      <c r="AZ2971">
        <v>0</v>
      </c>
      <c r="BA2971">
        <v>2.8629631406686298</v>
      </c>
    </row>
    <row r="2972" spans="1:53" hidden="1" x14ac:dyDescent="0.3">
      <c r="A2972" t="s">
        <v>907</v>
      </c>
      <c r="C2972" t="s">
        <v>251</v>
      </c>
      <c r="E2972">
        <v>10000000</v>
      </c>
      <c r="N2972" t="s">
        <v>908</v>
      </c>
      <c r="O2972">
        <v>3000</v>
      </c>
      <c r="P2972" t="s">
        <v>315</v>
      </c>
      <c r="V2972">
        <v>75</v>
      </c>
      <c r="W2972" t="s">
        <v>912</v>
      </c>
      <c r="X2972" t="s">
        <v>280</v>
      </c>
      <c r="Y2972">
        <v>180</v>
      </c>
      <c r="AB2972">
        <v>1</v>
      </c>
      <c r="AC2972" t="s">
        <v>297</v>
      </c>
      <c r="AH2972">
        <v>1.1656352327458901</v>
      </c>
      <c r="AI2972">
        <v>17</v>
      </c>
      <c r="AW2972">
        <v>3000</v>
      </c>
      <c r="AZ2972">
        <v>1</v>
      </c>
      <c r="BA2972">
        <v>1.1656352327458901</v>
      </c>
    </row>
    <row r="2973" spans="1:53" hidden="1" x14ac:dyDescent="0.3">
      <c r="A2973" t="s">
        <v>913</v>
      </c>
      <c r="C2973" t="s">
        <v>251</v>
      </c>
      <c r="D2973" t="s">
        <v>81</v>
      </c>
      <c r="E2973">
        <v>10000000</v>
      </c>
      <c r="O2973">
        <v>1</v>
      </c>
      <c r="P2973" t="s">
        <v>262</v>
      </c>
      <c r="T2973">
        <v>22</v>
      </c>
      <c r="V2973">
        <v>90</v>
      </c>
      <c r="W2973" t="s">
        <v>150</v>
      </c>
      <c r="X2973" t="s">
        <v>280</v>
      </c>
      <c r="AB2973">
        <v>2.7932960893854299E-2</v>
      </c>
      <c r="AC2973" t="s">
        <v>85</v>
      </c>
      <c r="AE2973" t="s">
        <v>63</v>
      </c>
      <c r="AI2973">
        <v>2</v>
      </c>
      <c r="AJ2973" t="s">
        <v>201</v>
      </c>
      <c r="AT2973" t="s">
        <v>150</v>
      </c>
    </row>
    <row r="2974" spans="1:53" hidden="1" x14ac:dyDescent="0.3">
      <c r="A2974" t="s">
        <v>913</v>
      </c>
      <c r="C2974" t="s">
        <v>251</v>
      </c>
      <c r="D2974" t="s">
        <v>81</v>
      </c>
      <c r="E2974">
        <v>10000000</v>
      </c>
      <c r="O2974">
        <v>1</v>
      </c>
      <c r="P2974" t="s">
        <v>262</v>
      </c>
      <c r="T2974">
        <v>22</v>
      </c>
      <c r="V2974">
        <v>90</v>
      </c>
      <c r="W2974" t="s">
        <v>150</v>
      </c>
      <c r="X2974" t="s">
        <v>280</v>
      </c>
      <c r="Y2974">
        <v>8.1459917883825703</v>
      </c>
      <c r="AB2974">
        <v>2.7932960893854299E-2</v>
      </c>
      <c r="AC2974" t="s">
        <v>85</v>
      </c>
      <c r="AE2974" t="s">
        <v>63</v>
      </c>
      <c r="AI2974">
        <v>2</v>
      </c>
      <c r="AJ2974" t="s">
        <v>201</v>
      </c>
      <c r="AT2974" t="s">
        <v>150</v>
      </c>
    </row>
    <row r="2975" spans="1:53" hidden="1" x14ac:dyDescent="0.3">
      <c r="A2975" t="s">
        <v>913</v>
      </c>
      <c r="C2975" t="s">
        <v>251</v>
      </c>
      <c r="D2975" t="s">
        <v>81</v>
      </c>
      <c r="E2975">
        <v>10000000</v>
      </c>
      <c r="O2975">
        <v>1</v>
      </c>
      <c r="P2975" t="s">
        <v>262</v>
      </c>
      <c r="T2975">
        <v>22</v>
      </c>
      <c r="V2975">
        <v>90</v>
      </c>
      <c r="W2975" t="s">
        <v>150</v>
      </c>
      <c r="X2975" t="s">
        <v>280</v>
      </c>
      <c r="Y2975">
        <v>18.994413407821199</v>
      </c>
      <c r="AB2975">
        <v>6.1452513966479799E-2</v>
      </c>
      <c r="AC2975" t="s">
        <v>85</v>
      </c>
      <c r="AE2975" t="s">
        <v>63</v>
      </c>
      <c r="AI2975">
        <v>2</v>
      </c>
      <c r="AJ2975" t="s">
        <v>201</v>
      </c>
      <c r="AT2975" t="s">
        <v>150</v>
      </c>
    </row>
    <row r="2976" spans="1:53" hidden="1" x14ac:dyDescent="0.3">
      <c r="A2976" t="s">
        <v>913</v>
      </c>
      <c r="C2976" t="s">
        <v>251</v>
      </c>
      <c r="D2976" t="s">
        <v>81</v>
      </c>
      <c r="E2976">
        <v>10000000</v>
      </c>
      <c r="O2976">
        <v>1</v>
      </c>
      <c r="P2976" t="s">
        <v>262</v>
      </c>
      <c r="T2976">
        <v>22</v>
      </c>
      <c r="V2976">
        <v>90</v>
      </c>
      <c r="W2976" t="s">
        <v>150</v>
      </c>
      <c r="X2976" t="s">
        <v>280</v>
      </c>
      <c r="Y2976">
        <v>29.388503735612801</v>
      </c>
      <c r="AB2976">
        <v>7.8212290502792797E-2</v>
      </c>
      <c r="AC2976" t="s">
        <v>85</v>
      </c>
      <c r="AE2976" t="s">
        <v>63</v>
      </c>
      <c r="AI2976">
        <v>2</v>
      </c>
      <c r="AJ2976" t="s">
        <v>201</v>
      </c>
      <c r="AT2976" t="s">
        <v>150</v>
      </c>
    </row>
    <row r="2977" spans="1:46" hidden="1" x14ac:dyDescent="0.3">
      <c r="A2977" t="s">
        <v>913</v>
      </c>
      <c r="C2977" t="s">
        <v>251</v>
      </c>
      <c r="D2977" t="s">
        <v>81</v>
      </c>
      <c r="E2977">
        <v>10000000</v>
      </c>
      <c r="O2977">
        <v>1</v>
      </c>
      <c r="P2977" t="s">
        <v>262</v>
      </c>
      <c r="T2977">
        <v>22</v>
      </c>
      <c r="V2977">
        <v>90</v>
      </c>
      <c r="W2977" t="s">
        <v>150</v>
      </c>
      <c r="X2977" t="s">
        <v>280</v>
      </c>
      <c r="Y2977">
        <v>59.7050212021269</v>
      </c>
      <c r="AB2977">
        <v>0.37988826815642301</v>
      </c>
      <c r="AC2977" t="s">
        <v>85</v>
      </c>
      <c r="AE2977" t="s">
        <v>63</v>
      </c>
      <c r="AI2977">
        <v>2</v>
      </c>
      <c r="AJ2977" t="s">
        <v>201</v>
      </c>
      <c r="AT2977" t="s">
        <v>150</v>
      </c>
    </row>
    <row r="2978" spans="1:46" hidden="1" x14ac:dyDescent="0.3">
      <c r="A2978" t="s">
        <v>913</v>
      </c>
      <c r="C2978" t="s">
        <v>251</v>
      </c>
      <c r="D2978" t="s">
        <v>81</v>
      </c>
      <c r="E2978">
        <v>10000000</v>
      </c>
      <c r="O2978">
        <v>1</v>
      </c>
      <c r="P2978" t="s">
        <v>262</v>
      </c>
      <c r="T2978">
        <v>22</v>
      </c>
      <c r="V2978">
        <v>90</v>
      </c>
      <c r="W2978" t="s">
        <v>150</v>
      </c>
      <c r="X2978" t="s">
        <v>280</v>
      </c>
      <c r="Y2978">
        <v>89.592448004307698</v>
      </c>
      <c r="AB2978">
        <v>0.83240223463687013</v>
      </c>
      <c r="AC2978" t="s">
        <v>85</v>
      </c>
      <c r="AE2978" t="s">
        <v>63</v>
      </c>
      <c r="AI2978">
        <v>2</v>
      </c>
      <c r="AJ2978" t="s">
        <v>201</v>
      </c>
      <c r="AT2978" t="s">
        <v>150</v>
      </c>
    </row>
    <row r="2979" spans="1:46" hidden="1" x14ac:dyDescent="0.3">
      <c r="A2979" t="s">
        <v>913</v>
      </c>
      <c r="C2979" t="s">
        <v>251</v>
      </c>
      <c r="D2979" t="s">
        <v>81</v>
      </c>
      <c r="E2979">
        <v>10000000</v>
      </c>
      <c r="O2979">
        <v>1</v>
      </c>
      <c r="P2979" t="s">
        <v>262</v>
      </c>
      <c r="T2979">
        <v>22</v>
      </c>
      <c r="V2979">
        <v>90</v>
      </c>
      <c r="W2979" t="s">
        <v>150</v>
      </c>
      <c r="X2979" t="s">
        <v>280</v>
      </c>
      <c r="Y2979">
        <v>120.77724305041301</v>
      </c>
      <c r="AB2979">
        <v>0.89944134078212212</v>
      </c>
      <c r="AC2979" t="s">
        <v>85</v>
      </c>
      <c r="AE2979" t="s">
        <v>63</v>
      </c>
      <c r="AI2979">
        <v>2</v>
      </c>
      <c r="AJ2979" t="s">
        <v>201</v>
      </c>
      <c r="AT2979" t="s">
        <v>150</v>
      </c>
    </row>
    <row r="2980" spans="1:46" hidden="1" x14ac:dyDescent="0.3">
      <c r="A2980" t="s">
        <v>913</v>
      </c>
      <c r="C2980" t="s">
        <v>251</v>
      </c>
      <c r="D2980" t="s">
        <v>81</v>
      </c>
      <c r="E2980">
        <v>10000000</v>
      </c>
      <c r="O2980">
        <v>1</v>
      </c>
      <c r="P2980" t="s">
        <v>262</v>
      </c>
      <c r="T2980">
        <v>22</v>
      </c>
      <c r="V2980">
        <v>90</v>
      </c>
      <c r="W2980" t="s">
        <v>150</v>
      </c>
      <c r="X2980" t="s">
        <v>280</v>
      </c>
      <c r="Y2980">
        <v>179.088140270579</v>
      </c>
      <c r="AB2980">
        <v>1.0837988826815601</v>
      </c>
      <c r="AC2980" t="s">
        <v>85</v>
      </c>
      <c r="AE2980" t="s">
        <v>63</v>
      </c>
      <c r="AI2980">
        <v>2</v>
      </c>
      <c r="AJ2980" t="s">
        <v>201</v>
      </c>
      <c r="AT2980" t="s">
        <v>150</v>
      </c>
    </row>
    <row r="2981" spans="1:46" hidden="1" x14ac:dyDescent="0.3">
      <c r="A2981" t="s">
        <v>913</v>
      </c>
      <c r="C2981" t="s">
        <v>251</v>
      </c>
      <c r="D2981" t="s">
        <v>81</v>
      </c>
      <c r="E2981">
        <v>10000000</v>
      </c>
      <c r="O2981">
        <v>1</v>
      </c>
      <c r="P2981" t="s">
        <v>262</v>
      </c>
      <c r="T2981">
        <v>22</v>
      </c>
      <c r="V2981">
        <v>90</v>
      </c>
      <c r="W2981" t="s">
        <v>150</v>
      </c>
      <c r="X2981" t="s">
        <v>280</v>
      </c>
      <c r="Y2981">
        <v>240.55916403042301</v>
      </c>
      <c r="AB2981">
        <v>1.2513966480446901</v>
      </c>
      <c r="AC2981" t="s">
        <v>85</v>
      </c>
      <c r="AE2981" t="s">
        <v>63</v>
      </c>
      <c r="AI2981">
        <v>2</v>
      </c>
      <c r="AJ2981" t="s">
        <v>201</v>
      </c>
      <c r="AT2981" t="s">
        <v>150</v>
      </c>
    </row>
    <row r="2982" spans="1:46" hidden="1" x14ac:dyDescent="0.3">
      <c r="A2982" t="s">
        <v>913</v>
      </c>
      <c r="C2982" t="s">
        <v>251</v>
      </c>
      <c r="D2982" t="s">
        <v>81</v>
      </c>
      <c r="E2982">
        <v>10000000</v>
      </c>
      <c r="O2982">
        <v>2</v>
      </c>
      <c r="P2982" t="s">
        <v>262</v>
      </c>
      <c r="T2982">
        <v>22</v>
      </c>
      <c r="V2982">
        <v>90</v>
      </c>
      <c r="W2982" t="s">
        <v>150</v>
      </c>
      <c r="X2982" t="s">
        <v>280</v>
      </c>
      <c r="Y2982">
        <v>43.914484754661103</v>
      </c>
      <c r="AB2982">
        <v>0.53072625698323905</v>
      </c>
      <c r="AC2982" t="s">
        <v>85</v>
      </c>
      <c r="AE2982" t="s">
        <v>63</v>
      </c>
      <c r="AI2982">
        <v>2</v>
      </c>
      <c r="AJ2982" t="s">
        <v>201</v>
      </c>
      <c r="AT2982" t="s">
        <v>150</v>
      </c>
    </row>
    <row r="2983" spans="1:46" hidden="1" x14ac:dyDescent="0.3">
      <c r="A2983" t="s">
        <v>913</v>
      </c>
      <c r="C2983" t="s">
        <v>251</v>
      </c>
      <c r="D2983" t="s">
        <v>81</v>
      </c>
      <c r="E2983">
        <v>10000000</v>
      </c>
      <c r="O2983">
        <v>2</v>
      </c>
      <c r="P2983" t="s">
        <v>262</v>
      </c>
      <c r="T2983">
        <v>22</v>
      </c>
      <c r="V2983">
        <v>90</v>
      </c>
      <c r="W2983" t="s">
        <v>150</v>
      </c>
      <c r="X2983" t="s">
        <v>280</v>
      </c>
      <c r="Y2983">
        <v>59.318839604226902</v>
      </c>
      <c r="AB2983">
        <v>0.81564245810055813</v>
      </c>
      <c r="AC2983" t="s">
        <v>85</v>
      </c>
      <c r="AE2983" t="s">
        <v>63</v>
      </c>
      <c r="AI2983">
        <v>2</v>
      </c>
      <c r="AJ2983" t="s">
        <v>201</v>
      </c>
      <c r="AT2983" t="s">
        <v>150</v>
      </c>
    </row>
    <row r="2984" spans="1:46" hidden="1" x14ac:dyDescent="0.3">
      <c r="A2984" t="s">
        <v>913</v>
      </c>
      <c r="C2984" t="s">
        <v>251</v>
      </c>
      <c r="D2984" t="s">
        <v>81</v>
      </c>
      <c r="E2984">
        <v>1000000</v>
      </c>
      <c r="O2984">
        <v>2</v>
      </c>
      <c r="P2984" t="s">
        <v>262</v>
      </c>
      <c r="T2984">
        <v>22</v>
      </c>
      <c r="V2984">
        <v>90</v>
      </c>
      <c r="W2984" t="s">
        <v>150</v>
      </c>
      <c r="X2984" t="s">
        <v>280</v>
      </c>
      <c r="Y2984">
        <v>89.630308945278301</v>
      </c>
      <c r="AB2984">
        <v>1.0837988826815601</v>
      </c>
      <c r="AC2984" t="s">
        <v>85</v>
      </c>
      <c r="AE2984" t="s">
        <v>63</v>
      </c>
      <c r="AI2984">
        <v>2</v>
      </c>
      <c r="AJ2984" t="s">
        <v>201</v>
      </c>
      <c r="AT2984" t="s">
        <v>150</v>
      </c>
    </row>
    <row r="2985" spans="1:46" hidden="1" x14ac:dyDescent="0.3">
      <c r="A2985" t="s">
        <v>913</v>
      </c>
      <c r="C2985" t="s">
        <v>251</v>
      </c>
      <c r="D2985" t="s">
        <v>81</v>
      </c>
      <c r="E2985">
        <v>1000000</v>
      </c>
      <c r="O2985">
        <v>2</v>
      </c>
      <c r="P2985" t="s">
        <v>262</v>
      </c>
      <c r="T2985">
        <v>22</v>
      </c>
      <c r="V2985">
        <v>90</v>
      </c>
      <c r="W2985" t="s">
        <v>150</v>
      </c>
      <c r="X2985" t="s">
        <v>280</v>
      </c>
      <c r="Y2985">
        <v>119.47482668102499</v>
      </c>
      <c r="AB2985">
        <v>1.2513966480446901</v>
      </c>
      <c r="AC2985" t="s">
        <v>85</v>
      </c>
      <c r="AE2985" t="s">
        <v>63</v>
      </c>
      <c r="AI2985">
        <v>2</v>
      </c>
      <c r="AJ2985" t="s">
        <v>201</v>
      </c>
      <c r="AT2985" t="s">
        <v>150</v>
      </c>
    </row>
    <row r="2986" spans="1:46" hidden="1" x14ac:dyDescent="0.3">
      <c r="A2986" t="s">
        <v>913</v>
      </c>
      <c r="C2986" t="s">
        <v>251</v>
      </c>
      <c r="D2986" t="s">
        <v>81</v>
      </c>
      <c r="E2986">
        <v>1000000</v>
      </c>
      <c r="O2986">
        <v>2</v>
      </c>
      <c r="P2986" t="s">
        <v>262</v>
      </c>
      <c r="T2986">
        <v>22</v>
      </c>
      <c r="V2986">
        <v>90</v>
      </c>
      <c r="W2986" t="s">
        <v>150</v>
      </c>
      <c r="X2986" t="s">
        <v>280</v>
      </c>
      <c r="Y2986">
        <v>148.40815777074701</v>
      </c>
      <c r="AB2986">
        <v>1.36871508379888</v>
      </c>
      <c r="AC2986" t="s">
        <v>85</v>
      </c>
      <c r="AE2986" t="s">
        <v>63</v>
      </c>
      <c r="AI2986">
        <v>2</v>
      </c>
      <c r="AJ2986" t="s">
        <v>201</v>
      </c>
      <c r="AT2986" t="s">
        <v>150</v>
      </c>
    </row>
    <row r="2987" spans="1:46" hidden="1" x14ac:dyDescent="0.3">
      <c r="A2987" t="s">
        <v>913</v>
      </c>
      <c r="C2987" t="s">
        <v>251</v>
      </c>
      <c r="D2987" t="s">
        <v>81</v>
      </c>
      <c r="E2987">
        <v>1000000</v>
      </c>
      <c r="O2987">
        <v>2</v>
      </c>
      <c r="P2987" t="s">
        <v>262</v>
      </c>
      <c r="T2987">
        <v>22</v>
      </c>
      <c r="V2987">
        <v>90</v>
      </c>
      <c r="W2987" t="s">
        <v>150</v>
      </c>
      <c r="X2987" t="s">
        <v>280</v>
      </c>
      <c r="Y2987">
        <v>179.15881402705699</v>
      </c>
      <c r="AB2987">
        <v>1.5530726256983201</v>
      </c>
      <c r="AC2987" t="s">
        <v>85</v>
      </c>
      <c r="AE2987" t="s">
        <v>63</v>
      </c>
      <c r="AI2987">
        <v>2</v>
      </c>
      <c r="AJ2987" t="s">
        <v>201</v>
      </c>
      <c r="AT2987" t="s">
        <v>150</v>
      </c>
    </row>
    <row r="2988" spans="1:46" hidden="1" x14ac:dyDescent="0.3">
      <c r="A2988" t="s">
        <v>913</v>
      </c>
      <c r="C2988" t="s">
        <v>251</v>
      </c>
      <c r="D2988" t="s">
        <v>81</v>
      </c>
      <c r="E2988">
        <v>1000000</v>
      </c>
      <c r="O2988">
        <v>2</v>
      </c>
      <c r="P2988" t="s">
        <v>262</v>
      </c>
      <c r="T2988">
        <v>22</v>
      </c>
      <c r="V2988">
        <v>90</v>
      </c>
      <c r="W2988" t="s">
        <v>150</v>
      </c>
      <c r="X2988" t="s">
        <v>280</v>
      </c>
      <c r="Y2988">
        <v>239.29460860200501</v>
      </c>
      <c r="AB2988">
        <v>1.85474860335195</v>
      </c>
      <c r="AC2988" t="s">
        <v>85</v>
      </c>
      <c r="AE2988" t="s">
        <v>63</v>
      </c>
      <c r="AI2988">
        <v>2</v>
      </c>
      <c r="AJ2988" t="s">
        <v>201</v>
      </c>
      <c r="AT2988" t="s">
        <v>150</v>
      </c>
    </row>
    <row r="2989" spans="1:46" hidden="1" x14ac:dyDescent="0.3">
      <c r="A2989" t="s">
        <v>913</v>
      </c>
      <c r="C2989" t="s">
        <v>251</v>
      </c>
      <c r="D2989" t="s">
        <v>81</v>
      </c>
      <c r="E2989">
        <v>1000000</v>
      </c>
      <c r="O2989">
        <v>3</v>
      </c>
      <c r="P2989" t="s">
        <v>262</v>
      </c>
      <c r="T2989">
        <v>22</v>
      </c>
      <c r="V2989">
        <v>90</v>
      </c>
      <c r="W2989" t="s">
        <v>150</v>
      </c>
      <c r="X2989" t="s">
        <v>280</v>
      </c>
      <c r="Y2989">
        <v>240.32695025913699</v>
      </c>
      <c r="AB2989">
        <v>2.7094972067039098</v>
      </c>
      <c r="AC2989" t="s">
        <v>85</v>
      </c>
      <c r="AE2989" t="s">
        <v>63</v>
      </c>
      <c r="AI2989">
        <v>2</v>
      </c>
      <c r="AJ2989" t="s">
        <v>201</v>
      </c>
      <c r="AT2989" t="s">
        <v>150</v>
      </c>
    </row>
    <row r="2990" spans="1:46" hidden="1" x14ac:dyDescent="0.3">
      <c r="A2990" t="s">
        <v>913</v>
      </c>
      <c r="C2990" t="s">
        <v>251</v>
      </c>
      <c r="D2990" t="s">
        <v>81</v>
      </c>
      <c r="E2990">
        <v>1000000</v>
      </c>
      <c r="O2990">
        <v>3</v>
      </c>
      <c r="P2990" t="s">
        <v>262</v>
      </c>
      <c r="T2990">
        <v>22</v>
      </c>
      <c r="V2990">
        <v>90</v>
      </c>
      <c r="W2990" t="s">
        <v>150</v>
      </c>
      <c r="X2990" t="s">
        <v>280</v>
      </c>
      <c r="Y2990">
        <v>179.709059702497</v>
      </c>
      <c r="AB2990">
        <v>2.2067039106145199</v>
      </c>
      <c r="AC2990" t="s">
        <v>85</v>
      </c>
      <c r="AE2990" t="s">
        <v>63</v>
      </c>
      <c r="AI2990">
        <v>2</v>
      </c>
      <c r="AJ2990" t="s">
        <v>201</v>
      </c>
      <c r="AT2990" t="s">
        <v>150</v>
      </c>
    </row>
    <row r="2991" spans="1:46" hidden="1" x14ac:dyDescent="0.3">
      <c r="A2991" t="s">
        <v>913</v>
      </c>
      <c r="C2991" t="s">
        <v>251</v>
      </c>
      <c r="D2991" t="s">
        <v>81</v>
      </c>
      <c r="E2991">
        <v>1000000</v>
      </c>
      <c r="O2991">
        <v>3</v>
      </c>
      <c r="P2991" t="s">
        <v>262</v>
      </c>
      <c r="T2991">
        <v>22</v>
      </c>
      <c r="V2991">
        <v>90</v>
      </c>
      <c r="W2991" t="s">
        <v>150</v>
      </c>
      <c r="X2991" t="s">
        <v>280</v>
      </c>
      <c r="Y2991">
        <v>150.30372888200799</v>
      </c>
      <c r="AB2991">
        <v>1.95530726256983</v>
      </c>
      <c r="AC2991" t="s">
        <v>85</v>
      </c>
      <c r="AE2991" t="s">
        <v>63</v>
      </c>
      <c r="AI2991">
        <v>2</v>
      </c>
      <c r="AJ2991" t="s">
        <v>201</v>
      </c>
      <c r="AT2991" t="s">
        <v>150</v>
      </c>
    </row>
    <row r="2992" spans="1:46" hidden="1" x14ac:dyDescent="0.3">
      <c r="A2992" t="s">
        <v>913</v>
      </c>
      <c r="C2992" t="s">
        <v>251</v>
      </c>
      <c r="D2992" t="s">
        <v>81</v>
      </c>
      <c r="E2992">
        <v>100000</v>
      </c>
      <c r="O2992">
        <v>3</v>
      </c>
      <c r="P2992" t="s">
        <v>262</v>
      </c>
      <c r="T2992">
        <v>22</v>
      </c>
      <c r="V2992">
        <v>90</v>
      </c>
      <c r="W2992" t="s">
        <v>150</v>
      </c>
      <c r="X2992" t="s">
        <v>280</v>
      </c>
      <c r="Y2992">
        <v>119.550548562966</v>
      </c>
      <c r="AB2992">
        <v>1.75418994413407</v>
      </c>
      <c r="AC2992" t="s">
        <v>85</v>
      </c>
      <c r="AE2992" t="s">
        <v>63</v>
      </c>
      <c r="AI2992">
        <v>2</v>
      </c>
      <c r="AJ2992" t="s">
        <v>201</v>
      </c>
      <c r="AT2992" t="s">
        <v>150</v>
      </c>
    </row>
    <row r="2993" spans="1:46" hidden="1" x14ac:dyDescent="0.3">
      <c r="A2993" t="s">
        <v>913</v>
      </c>
      <c r="C2993" t="s">
        <v>251</v>
      </c>
      <c r="D2993" t="s">
        <v>81</v>
      </c>
      <c r="E2993">
        <v>100000</v>
      </c>
      <c r="O2993">
        <v>3</v>
      </c>
      <c r="P2993" t="s">
        <v>262</v>
      </c>
      <c r="T2993">
        <v>22</v>
      </c>
      <c r="V2993">
        <v>90</v>
      </c>
      <c r="W2993" t="s">
        <v>150</v>
      </c>
      <c r="X2993" t="s">
        <v>280</v>
      </c>
      <c r="Y2993">
        <v>88.777175742074405</v>
      </c>
      <c r="AB2993">
        <v>1.4189944134078201</v>
      </c>
      <c r="AC2993" t="s">
        <v>85</v>
      </c>
      <c r="AE2993" t="s">
        <v>63</v>
      </c>
      <c r="AI2993">
        <v>2</v>
      </c>
      <c r="AJ2993" t="s">
        <v>201</v>
      </c>
      <c r="AT2993" t="s">
        <v>150</v>
      </c>
    </row>
    <row r="2994" spans="1:46" hidden="1" x14ac:dyDescent="0.3">
      <c r="A2994" t="s">
        <v>913</v>
      </c>
      <c r="C2994" t="s">
        <v>251</v>
      </c>
      <c r="D2994" t="s">
        <v>81</v>
      </c>
      <c r="E2994">
        <v>100000</v>
      </c>
      <c r="O2994">
        <v>3</v>
      </c>
      <c r="P2994" t="s">
        <v>262</v>
      </c>
      <c r="T2994">
        <v>22</v>
      </c>
      <c r="V2994">
        <v>90</v>
      </c>
      <c r="W2994" t="s">
        <v>150</v>
      </c>
      <c r="X2994" t="s">
        <v>280</v>
      </c>
      <c r="Y2994">
        <v>59.818604025038702</v>
      </c>
      <c r="AB2994">
        <v>1.1340782122905</v>
      </c>
      <c r="AC2994" t="s">
        <v>85</v>
      </c>
      <c r="AE2994" t="s">
        <v>63</v>
      </c>
      <c r="AI2994">
        <v>2</v>
      </c>
      <c r="AJ2994" t="s">
        <v>201</v>
      </c>
      <c r="AT2994" t="s">
        <v>150</v>
      </c>
    </row>
    <row r="2995" spans="1:46" hidden="1" x14ac:dyDescent="0.3">
      <c r="A2995" t="s">
        <v>913</v>
      </c>
      <c r="C2995" t="s">
        <v>251</v>
      </c>
      <c r="D2995" t="s">
        <v>81</v>
      </c>
      <c r="E2995">
        <v>100000</v>
      </c>
      <c r="O2995">
        <v>3</v>
      </c>
      <c r="P2995" t="s">
        <v>262</v>
      </c>
      <c r="T2995">
        <v>22</v>
      </c>
      <c r="V2995">
        <v>90</v>
      </c>
      <c r="W2995" t="s">
        <v>150</v>
      </c>
      <c r="X2995" t="s">
        <v>280</v>
      </c>
      <c r="Y2995">
        <v>39.881032509927898</v>
      </c>
      <c r="AB2995">
        <v>0.74860335195530603</v>
      </c>
      <c r="AC2995" t="s">
        <v>85</v>
      </c>
      <c r="AE2995" t="s">
        <v>63</v>
      </c>
      <c r="AI2995">
        <v>2</v>
      </c>
      <c r="AJ2995" t="s">
        <v>201</v>
      </c>
      <c r="AT2995" t="s">
        <v>150</v>
      </c>
    </row>
    <row r="2996" spans="1:46" hidden="1" x14ac:dyDescent="0.3">
      <c r="A2996" t="s">
        <v>913</v>
      </c>
      <c r="C2996" t="s">
        <v>251</v>
      </c>
      <c r="D2996" t="s">
        <v>81</v>
      </c>
      <c r="E2996">
        <v>100000</v>
      </c>
      <c r="O2996">
        <v>10</v>
      </c>
      <c r="P2996" t="s">
        <v>262</v>
      </c>
      <c r="T2996">
        <v>22</v>
      </c>
      <c r="V2996">
        <v>90</v>
      </c>
      <c r="W2996" t="s">
        <v>150</v>
      </c>
      <c r="X2996" t="s">
        <v>280</v>
      </c>
      <c r="Y2996">
        <v>239.943292723968</v>
      </c>
      <c r="AB2996">
        <v>3.1620111731843501</v>
      </c>
      <c r="AC2996" t="s">
        <v>85</v>
      </c>
      <c r="AE2996" t="s">
        <v>63</v>
      </c>
      <c r="AI2996">
        <v>2</v>
      </c>
      <c r="AJ2996" t="s">
        <v>201</v>
      </c>
      <c r="AT2996" t="s">
        <v>150</v>
      </c>
    </row>
    <row r="2997" spans="1:46" hidden="1" x14ac:dyDescent="0.3">
      <c r="A2997" t="s">
        <v>913</v>
      </c>
      <c r="C2997" t="s">
        <v>251</v>
      </c>
      <c r="D2997" t="s">
        <v>81</v>
      </c>
      <c r="E2997">
        <v>100000</v>
      </c>
      <c r="O2997">
        <v>10</v>
      </c>
      <c r="P2997" t="s">
        <v>262</v>
      </c>
      <c r="T2997">
        <v>22</v>
      </c>
      <c r="V2997">
        <v>90</v>
      </c>
      <c r="W2997" t="s">
        <v>150</v>
      </c>
      <c r="X2997" t="s">
        <v>280</v>
      </c>
      <c r="Y2997">
        <v>178.371306454869</v>
      </c>
      <c r="AB2997">
        <v>2.32402234636871</v>
      </c>
      <c r="AC2997" t="s">
        <v>85</v>
      </c>
      <c r="AE2997" t="s">
        <v>63</v>
      </c>
      <c r="AI2997">
        <v>2</v>
      </c>
      <c r="AJ2997" t="s">
        <v>201</v>
      </c>
      <c r="AT2997" t="s">
        <v>150</v>
      </c>
    </row>
    <row r="2998" spans="1:46" hidden="1" x14ac:dyDescent="0.3">
      <c r="A2998" t="s">
        <v>913</v>
      </c>
      <c r="C2998" t="s">
        <v>251</v>
      </c>
      <c r="D2998" t="s">
        <v>81</v>
      </c>
      <c r="E2998">
        <v>100000</v>
      </c>
      <c r="O2998">
        <v>10</v>
      </c>
      <c r="P2998" t="s">
        <v>262</v>
      </c>
      <c r="T2998">
        <v>22</v>
      </c>
      <c r="V2998">
        <v>90</v>
      </c>
      <c r="W2998" t="s">
        <v>150</v>
      </c>
      <c r="X2998" t="s">
        <v>280</v>
      </c>
      <c r="Y2998">
        <v>120.002355791882</v>
      </c>
      <c r="AB2998">
        <v>1.75418994413407</v>
      </c>
      <c r="AC2998" t="s">
        <v>85</v>
      </c>
      <c r="AE2998" t="s">
        <v>63</v>
      </c>
      <c r="AI2998">
        <v>2</v>
      </c>
      <c r="AJ2998" t="s">
        <v>201</v>
      </c>
      <c r="AT2998" t="s">
        <v>150</v>
      </c>
    </row>
    <row r="2999" spans="1:46" hidden="1" x14ac:dyDescent="0.3">
      <c r="A2999" t="s">
        <v>913</v>
      </c>
      <c r="C2999" t="s">
        <v>251</v>
      </c>
      <c r="D2999" t="s">
        <v>81</v>
      </c>
      <c r="E2999">
        <v>100000</v>
      </c>
      <c r="O2999">
        <v>10</v>
      </c>
      <c r="P2999" t="s">
        <v>262</v>
      </c>
      <c r="T2999">
        <v>22</v>
      </c>
      <c r="V2999">
        <v>90</v>
      </c>
      <c r="W2999" t="s">
        <v>150</v>
      </c>
      <c r="X2999" t="s">
        <v>280</v>
      </c>
      <c r="Y2999">
        <v>58.036615736689697</v>
      </c>
      <c r="AB2999">
        <v>1.30167597765363</v>
      </c>
      <c r="AC2999" t="s">
        <v>85</v>
      </c>
      <c r="AE2999" t="s">
        <v>63</v>
      </c>
      <c r="AI2999">
        <v>2</v>
      </c>
      <c r="AJ2999" t="s">
        <v>201</v>
      </c>
      <c r="AT2999" t="s">
        <v>150</v>
      </c>
    </row>
    <row r="3000" spans="1:46" hidden="1" x14ac:dyDescent="0.3">
      <c r="A3000" t="s">
        <v>913</v>
      </c>
      <c r="C3000" t="s">
        <v>251</v>
      </c>
      <c r="D3000" t="s">
        <v>81</v>
      </c>
      <c r="E3000">
        <v>10000000</v>
      </c>
      <c r="O3000">
        <v>10</v>
      </c>
      <c r="P3000" t="s">
        <v>262</v>
      </c>
      <c r="T3000">
        <v>22</v>
      </c>
      <c r="V3000">
        <v>90</v>
      </c>
      <c r="W3000" t="s">
        <v>150</v>
      </c>
      <c r="X3000" t="s">
        <v>280</v>
      </c>
      <c r="Y3000">
        <v>37.652285118126102</v>
      </c>
      <c r="AB3000">
        <v>0.94972067039106101</v>
      </c>
      <c r="AC3000" t="s">
        <v>85</v>
      </c>
      <c r="AE3000" t="s">
        <v>63</v>
      </c>
      <c r="AI3000">
        <v>2</v>
      </c>
      <c r="AJ3000" t="s">
        <v>201</v>
      </c>
      <c r="AT3000" t="s">
        <v>150</v>
      </c>
    </row>
    <row r="3001" spans="1:46" hidden="1" x14ac:dyDescent="0.3">
      <c r="A3001" t="s">
        <v>913</v>
      </c>
      <c r="C3001" t="s">
        <v>251</v>
      </c>
      <c r="D3001" t="s">
        <v>81</v>
      </c>
      <c r="E3001">
        <v>10000000</v>
      </c>
      <c r="O3001">
        <v>10</v>
      </c>
      <c r="P3001" t="s">
        <v>262</v>
      </c>
      <c r="T3001">
        <v>22</v>
      </c>
      <c r="V3001">
        <v>90</v>
      </c>
      <c r="W3001" t="s">
        <v>150</v>
      </c>
      <c r="X3001" t="s">
        <v>280</v>
      </c>
      <c r="Y3001">
        <v>18.148852392811399</v>
      </c>
      <c r="AB3001">
        <v>0.44692737430167512</v>
      </c>
      <c r="AC3001" t="s">
        <v>85</v>
      </c>
      <c r="AE3001" t="s">
        <v>63</v>
      </c>
      <c r="AI3001">
        <v>2</v>
      </c>
      <c r="AJ3001" t="s">
        <v>201</v>
      </c>
      <c r="AT3001" t="s">
        <v>150</v>
      </c>
    </row>
    <row r="3002" spans="1:46" hidden="1" x14ac:dyDescent="0.3">
      <c r="A3002" t="s">
        <v>913</v>
      </c>
      <c r="C3002" t="s">
        <v>251</v>
      </c>
      <c r="D3002" t="s">
        <v>81</v>
      </c>
      <c r="E3002">
        <v>10000000</v>
      </c>
      <c r="O3002">
        <v>10</v>
      </c>
      <c r="P3002" t="s">
        <v>262</v>
      </c>
      <c r="T3002">
        <v>22</v>
      </c>
      <c r="V3002">
        <v>70</v>
      </c>
      <c r="W3002" t="s">
        <v>150</v>
      </c>
      <c r="X3002" t="s">
        <v>280</v>
      </c>
      <c r="Y3002">
        <v>239.24142207523701</v>
      </c>
      <c r="AB3002">
        <v>1.3728813559322</v>
      </c>
      <c r="AC3002" t="s">
        <v>85</v>
      </c>
      <c r="AE3002" t="s">
        <v>63</v>
      </c>
      <c r="AI3002">
        <v>2</v>
      </c>
      <c r="AJ3002" t="s">
        <v>201</v>
      </c>
      <c r="AT3002" t="s">
        <v>150</v>
      </c>
    </row>
    <row r="3003" spans="1:46" hidden="1" x14ac:dyDescent="0.3">
      <c r="A3003" t="s">
        <v>913</v>
      </c>
      <c r="C3003" t="s">
        <v>251</v>
      </c>
      <c r="D3003" t="s">
        <v>81</v>
      </c>
      <c r="E3003">
        <v>10000000</v>
      </c>
      <c r="O3003">
        <v>10</v>
      </c>
      <c r="P3003" t="s">
        <v>262</v>
      </c>
      <c r="T3003">
        <v>22</v>
      </c>
      <c r="V3003">
        <v>70</v>
      </c>
      <c r="W3003" t="s">
        <v>150</v>
      </c>
      <c r="X3003" t="s">
        <v>280</v>
      </c>
      <c r="Y3003">
        <v>178.826477883422</v>
      </c>
      <c r="AB3003">
        <v>1.0508474576271101</v>
      </c>
      <c r="AC3003" t="s">
        <v>85</v>
      </c>
      <c r="AE3003" t="s">
        <v>63</v>
      </c>
      <c r="AI3003">
        <v>2</v>
      </c>
      <c r="AJ3003" t="s">
        <v>201</v>
      </c>
      <c r="AT3003" t="s">
        <v>150</v>
      </c>
    </row>
    <row r="3004" spans="1:46" hidden="1" x14ac:dyDescent="0.3">
      <c r="A3004" t="s">
        <v>913</v>
      </c>
      <c r="C3004" t="s">
        <v>251</v>
      </c>
      <c r="D3004" t="s">
        <v>81</v>
      </c>
      <c r="E3004">
        <v>10000000</v>
      </c>
      <c r="O3004">
        <v>10</v>
      </c>
      <c r="P3004" t="s">
        <v>262</v>
      </c>
      <c r="T3004">
        <v>22</v>
      </c>
      <c r="V3004">
        <v>70</v>
      </c>
      <c r="W3004" t="s">
        <v>150</v>
      </c>
      <c r="X3004" t="s">
        <v>280</v>
      </c>
      <c r="Y3004">
        <v>118.43220338982999</v>
      </c>
      <c r="AB3004">
        <v>0.86440677966101698</v>
      </c>
      <c r="AC3004" t="s">
        <v>85</v>
      </c>
      <c r="AE3004" t="s">
        <v>63</v>
      </c>
      <c r="AI3004">
        <v>2</v>
      </c>
      <c r="AJ3004" t="s">
        <v>201</v>
      </c>
      <c r="AT3004" t="s">
        <v>150</v>
      </c>
    </row>
    <row r="3005" spans="1:46" hidden="1" x14ac:dyDescent="0.3">
      <c r="A3005" t="s">
        <v>913</v>
      </c>
      <c r="C3005" t="s">
        <v>251</v>
      </c>
      <c r="D3005" t="s">
        <v>81</v>
      </c>
      <c r="E3005">
        <v>10000000</v>
      </c>
      <c r="O3005">
        <v>10</v>
      </c>
      <c r="P3005" t="s">
        <v>262</v>
      </c>
      <c r="T3005">
        <v>22</v>
      </c>
      <c r="V3005">
        <v>70</v>
      </c>
      <c r="W3005" t="s">
        <v>150</v>
      </c>
      <c r="X3005" t="s">
        <v>280</v>
      </c>
      <c r="Y3005">
        <v>87.779040926002395</v>
      </c>
      <c r="AB3005">
        <v>0.77966101694915202</v>
      </c>
      <c r="AC3005" t="s">
        <v>85</v>
      </c>
      <c r="AE3005" t="s">
        <v>63</v>
      </c>
      <c r="AI3005">
        <v>2</v>
      </c>
      <c r="AJ3005" t="s">
        <v>201</v>
      </c>
      <c r="AT3005" t="s">
        <v>150</v>
      </c>
    </row>
    <row r="3006" spans="1:46" hidden="1" x14ac:dyDescent="0.3">
      <c r="A3006" t="s">
        <v>913</v>
      </c>
      <c r="C3006" t="s">
        <v>251</v>
      </c>
      <c r="D3006" t="s">
        <v>81</v>
      </c>
      <c r="E3006">
        <v>10000000</v>
      </c>
      <c r="O3006">
        <v>10</v>
      </c>
      <c r="P3006" t="s">
        <v>262</v>
      </c>
      <c r="T3006">
        <v>22</v>
      </c>
      <c r="V3006">
        <v>70</v>
      </c>
      <c r="W3006" t="s">
        <v>150</v>
      </c>
      <c r="X3006" t="s">
        <v>280</v>
      </c>
      <c r="Y3006">
        <v>58.466825134353002</v>
      </c>
      <c r="AB3006">
        <v>0.49152542372881303</v>
      </c>
      <c r="AC3006" t="s">
        <v>85</v>
      </c>
      <c r="AE3006" t="s">
        <v>63</v>
      </c>
      <c r="AI3006">
        <v>2</v>
      </c>
      <c r="AJ3006" t="s">
        <v>201</v>
      </c>
      <c r="AT3006" t="s">
        <v>150</v>
      </c>
    </row>
    <row r="3007" spans="1:46" hidden="1" x14ac:dyDescent="0.3">
      <c r="A3007" t="s">
        <v>913</v>
      </c>
      <c r="C3007" t="s">
        <v>251</v>
      </c>
      <c r="D3007" t="s">
        <v>81</v>
      </c>
      <c r="E3007">
        <v>10000000</v>
      </c>
      <c r="O3007">
        <v>10</v>
      </c>
      <c r="P3007" t="s">
        <v>262</v>
      </c>
      <c r="T3007">
        <v>22</v>
      </c>
      <c r="V3007">
        <v>70</v>
      </c>
      <c r="W3007" t="s">
        <v>150</v>
      </c>
      <c r="X3007" t="s">
        <v>280</v>
      </c>
      <c r="Y3007">
        <v>28.7024596940884</v>
      </c>
      <c r="AB3007">
        <v>0.23728813559322001</v>
      </c>
      <c r="AC3007" t="s">
        <v>85</v>
      </c>
      <c r="AE3007" t="s">
        <v>63</v>
      </c>
      <c r="AI3007">
        <v>2</v>
      </c>
      <c r="AJ3007" t="s">
        <v>201</v>
      </c>
      <c r="AT3007" t="s">
        <v>150</v>
      </c>
    </row>
    <row r="3008" spans="1:46" hidden="1" x14ac:dyDescent="0.3">
      <c r="A3008" t="s">
        <v>913</v>
      </c>
      <c r="C3008" t="s">
        <v>251</v>
      </c>
      <c r="D3008" t="s">
        <v>81</v>
      </c>
      <c r="E3008">
        <v>10000000</v>
      </c>
      <c r="O3008">
        <v>10</v>
      </c>
      <c r="P3008" t="s">
        <v>262</v>
      </c>
      <c r="T3008">
        <v>22</v>
      </c>
      <c r="V3008">
        <v>80</v>
      </c>
      <c r="W3008" t="s">
        <v>150</v>
      </c>
      <c r="X3008" t="s">
        <v>280</v>
      </c>
      <c r="Y3008">
        <v>239.81758991318699</v>
      </c>
      <c r="AB3008">
        <v>2.1525423728813502</v>
      </c>
      <c r="AC3008" t="s">
        <v>85</v>
      </c>
      <c r="AE3008" t="s">
        <v>63</v>
      </c>
      <c r="AI3008">
        <v>2</v>
      </c>
      <c r="AJ3008" t="s">
        <v>201</v>
      </c>
      <c r="AT3008" t="s">
        <v>150</v>
      </c>
    </row>
    <row r="3009" spans="1:46" hidden="1" x14ac:dyDescent="0.3">
      <c r="A3009" t="s">
        <v>913</v>
      </c>
      <c r="C3009" t="s">
        <v>251</v>
      </c>
      <c r="D3009" t="s">
        <v>81</v>
      </c>
      <c r="E3009">
        <v>10000000</v>
      </c>
      <c r="O3009">
        <v>10</v>
      </c>
      <c r="P3009" t="s">
        <v>262</v>
      </c>
      <c r="T3009">
        <v>22</v>
      </c>
      <c r="V3009">
        <v>80</v>
      </c>
      <c r="W3009" t="s">
        <v>150</v>
      </c>
      <c r="X3009" t="s">
        <v>280</v>
      </c>
      <c r="Y3009">
        <v>178.45700702769699</v>
      </c>
      <c r="AB3009">
        <v>1.6271186440677901</v>
      </c>
      <c r="AC3009" t="s">
        <v>85</v>
      </c>
      <c r="AE3009" t="s">
        <v>63</v>
      </c>
      <c r="AI3009">
        <v>2</v>
      </c>
      <c r="AJ3009" t="s">
        <v>201</v>
      </c>
      <c r="AT3009" t="s">
        <v>150</v>
      </c>
    </row>
    <row r="3010" spans="1:46" hidden="1" x14ac:dyDescent="0.3">
      <c r="A3010" t="s">
        <v>913</v>
      </c>
      <c r="C3010" t="s">
        <v>251</v>
      </c>
      <c r="D3010" t="s">
        <v>81</v>
      </c>
      <c r="E3010">
        <v>10000000</v>
      </c>
      <c r="O3010">
        <v>10</v>
      </c>
      <c r="P3010" t="s">
        <v>262</v>
      </c>
      <c r="T3010">
        <v>22</v>
      </c>
      <c r="V3010">
        <v>80</v>
      </c>
      <c r="W3010" t="s">
        <v>150</v>
      </c>
      <c r="X3010" t="s">
        <v>280</v>
      </c>
      <c r="Y3010">
        <v>118.956696982224</v>
      </c>
      <c r="AB3010">
        <v>1.3050847457627099</v>
      </c>
      <c r="AC3010" t="s">
        <v>85</v>
      </c>
      <c r="AE3010" t="s">
        <v>63</v>
      </c>
      <c r="AI3010">
        <v>2</v>
      </c>
      <c r="AJ3010" t="s">
        <v>201</v>
      </c>
      <c r="AT3010" t="s">
        <v>150</v>
      </c>
    </row>
    <row r="3011" spans="1:46" hidden="1" x14ac:dyDescent="0.3">
      <c r="A3011" t="s">
        <v>913</v>
      </c>
      <c r="C3011" t="s">
        <v>251</v>
      </c>
      <c r="D3011" t="s">
        <v>81</v>
      </c>
      <c r="E3011">
        <v>10000000</v>
      </c>
      <c r="O3011">
        <v>10</v>
      </c>
      <c r="P3011" t="s">
        <v>262</v>
      </c>
      <c r="T3011">
        <v>22</v>
      </c>
      <c r="V3011">
        <v>80</v>
      </c>
      <c r="W3011" t="s">
        <v>150</v>
      </c>
      <c r="X3011" t="s">
        <v>280</v>
      </c>
      <c r="Y3011">
        <v>88.768602728400097</v>
      </c>
      <c r="AB3011">
        <v>1.2711864406779601</v>
      </c>
      <c r="AC3011" t="s">
        <v>85</v>
      </c>
      <c r="AE3011" t="s">
        <v>63</v>
      </c>
      <c r="AI3011">
        <v>2</v>
      </c>
      <c r="AJ3011" t="s">
        <v>201</v>
      </c>
      <c r="AT3011" t="s">
        <v>150</v>
      </c>
    </row>
    <row r="3012" spans="1:46" hidden="1" x14ac:dyDescent="0.3">
      <c r="A3012" t="s">
        <v>913</v>
      </c>
      <c r="C3012" t="s">
        <v>251</v>
      </c>
      <c r="D3012" t="s">
        <v>81</v>
      </c>
      <c r="E3012">
        <v>10000000</v>
      </c>
      <c r="O3012">
        <v>10</v>
      </c>
      <c r="P3012" t="s">
        <v>262</v>
      </c>
      <c r="T3012">
        <v>22</v>
      </c>
      <c r="V3012">
        <v>80</v>
      </c>
      <c r="W3012" t="s">
        <v>150</v>
      </c>
      <c r="X3012" t="s">
        <v>280</v>
      </c>
      <c r="Y3012">
        <v>57.6142000826787</v>
      </c>
      <c r="AB3012">
        <v>0.89830508474576309</v>
      </c>
      <c r="AC3012" t="s">
        <v>85</v>
      </c>
      <c r="AE3012" t="s">
        <v>63</v>
      </c>
      <c r="AI3012">
        <v>2</v>
      </c>
      <c r="AJ3012" t="s">
        <v>201</v>
      </c>
      <c r="AT3012" t="s">
        <v>150</v>
      </c>
    </row>
    <row r="3013" spans="1:46" hidden="1" x14ac:dyDescent="0.3">
      <c r="A3013" t="s">
        <v>913</v>
      </c>
      <c r="C3013" t="s">
        <v>251</v>
      </c>
      <c r="D3013" t="s">
        <v>81</v>
      </c>
      <c r="E3013">
        <v>10000000</v>
      </c>
      <c r="O3013">
        <v>10</v>
      </c>
      <c r="P3013" t="s">
        <v>262</v>
      </c>
      <c r="T3013">
        <v>22</v>
      </c>
      <c r="V3013">
        <v>80</v>
      </c>
      <c r="W3013" t="s">
        <v>150</v>
      </c>
      <c r="X3013" t="s">
        <v>280</v>
      </c>
      <c r="Y3013">
        <v>42.018912773873403</v>
      </c>
      <c r="AB3013">
        <v>0.59322033898305104</v>
      </c>
      <c r="AC3013" t="s">
        <v>85</v>
      </c>
      <c r="AE3013" t="s">
        <v>63</v>
      </c>
      <c r="AI3013">
        <v>2</v>
      </c>
      <c r="AJ3013" t="s">
        <v>201</v>
      </c>
      <c r="AT3013" t="s">
        <v>150</v>
      </c>
    </row>
    <row r="3014" spans="1:46" hidden="1" x14ac:dyDescent="0.3">
      <c r="A3014" t="s">
        <v>913</v>
      </c>
      <c r="C3014" t="s">
        <v>251</v>
      </c>
      <c r="D3014" t="s">
        <v>81</v>
      </c>
      <c r="E3014">
        <v>10000000</v>
      </c>
      <c r="O3014">
        <v>10</v>
      </c>
      <c r="P3014" t="s">
        <v>262</v>
      </c>
      <c r="T3014">
        <v>22</v>
      </c>
      <c r="V3014">
        <v>90</v>
      </c>
      <c r="W3014" t="s">
        <v>150</v>
      </c>
      <c r="X3014" t="s">
        <v>280</v>
      </c>
      <c r="Y3014">
        <v>239.057978503513</v>
      </c>
      <c r="AB3014">
        <v>3.1694915254237199</v>
      </c>
      <c r="AC3014" t="s">
        <v>85</v>
      </c>
      <c r="AE3014" t="s">
        <v>63</v>
      </c>
      <c r="AI3014">
        <v>2</v>
      </c>
      <c r="AJ3014" t="s">
        <v>201</v>
      </c>
      <c r="AT3014" t="s">
        <v>150</v>
      </c>
    </row>
    <row r="3015" spans="1:46" hidden="1" x14ac:dyDescent="0.3">
      <c r="A3015" t="s">
        <v>913</v>
      </c>
      <c r="C3015" t="s">
        <v>251</v>
      </c>
      <c r="D3015" t="s">
        <v>81</v>
      </c>
      <c r="E3015">
        <v>10000000</v>
      </c>
      <c r="O3015">
        <v>10</v>
      </c>
      <c r="P3015" t="s">
        <v>262</v>
      </c>
      <c r="T3015">
        <v>22</v>
      </c>
      <c r="V3015">
        <v>90</v>
      </c>
      <c r="W3015" t="s">
        <v>150</v>
      </c>
      <c r="X3015" t="s">
        <v>280</v>
      </c>
      <c r="Y3015">
        <v>178.537102108309</v>
      </c>
      <c r="AB3015">
        <v>2.1525423728813502</v>
      </c>
      <c r="AC3015" t="s">
        <v>85</v>
      </c>
      <c r="AE3015" t="s">
        <v>63</v>
      </c>
      <c r="AI3015">
        <v>2</v>
      </c>
      <c r="AJ3015" t="s">
        <v>201</v>
      </c>
      <c r="AT3015" t="s">
        <v>150</v>
      </c>
    </row>
    <row r="3016" spans="1:46" hidden="1" x14ac:dyDescent="0.3">
      <c r="A3016" t="s">
        <v>913</v>
      </c>
      <c r="C3016" t="s">
        <v>251</v>
      </c>
      <c r="D3016" t="s">
        <v>81</v>
      </c>
      <c r="E3016">
        <v>10000000</v>
      </c>
      <c r="O3016">
        <v>10</v>
      </c>
      <c r="P3016" t="s">
        <v>262</v>
      </c>
      <c r="T3016">
        <v>22</v>
      </c>
      <c r="V3016">
        <v>90</v>
      </c>
      <c r="W3016" t="s">
        <v>150</v>
      </c>
      <c r="X3016" t="s">
        <v>280</v>
      </c>
      <c r="Y3016">
        <v>119.013538652335</v>
      </c>
      <c r="AB3016">
        <v>1.6779661016949099</v>
      </c>
      <c r="AC3016" t="s">
        <v>85</v>
      </c>
      <c r="AE3016" t="s">
        <v>63</v>
      </c>
      <c r="AI3016">
        <v>2</v>
      </c>
      <c r="AJ3016" t="s">
        <v>201</v>
      </c>
      <c r="AT3016" t="s">
        <v>150</v>
      </c>
    </row>
    <row r="3017" spans="1:46" hidden="1" x14ac:dyDescent="0.3">
      <c r="A3017" t="s">
        <v>913</v>
      </c>
      <c r="C3017" t="s">
        <v>251</v>
      </c>
      <c r="D3017" t="s">
        <v>81</v>
      </c>
      <c r="E3017">
        <v>10000000</v>
      </c>
      <c r="O3017">
        <v>10</v>
      </c>
      <c r="P3017" t="s">
        <v>262</v>
      </c>
      <c r="T3017">
        <v>22</v>
      </c>
      <c r="V3017">
        <v>90</v>
      </c>
      <c r="W3017" t="s">
        <v>150</v>
      </c>
      <c r="X3017" t="s">
        <v>280</v>
      </c>
      <c r="Y3017">
        <v>88.7789375775113</v>
      </c>
      <c r="AB3017">
        <v>1.3389830508474501</v>
      </c>
      <c r="AC3017" t="s">
        <v>85</v>
      </c>
      <c r="AE3017" t="s">
        <v>63</v>
      </c>
      <c r="AI3017">
        <v>2</v>
      </c>
      <c r="AJ3017" t="s">
        <v>201</v>
      </c>
      <c r="AT3017" t="s">
        <v>150</v>
      </c>
    </row>
    <row r="3018" spans="1:46" hidden="1" x14ac:dyDescent="0.3">
      <c r="A3018" t="s">
        <v>913</v>
      </c>
      <c r="C3018" t="s">
        <v>251</v>
      </c>
      <c r="D3018" t="s">
        <v>81</v>
      </c>
      <c r="E3018">
        <v>10000000</v>
      </c>
      <c r="O3018">
        <v>10</v>
      </c>
      <c r="P3018" t="s">
        <v>262</v>
      </c>
      <c r="T3018">
        <v>22</v>
      </c>
      <c r="V3018">
        <v>90</v>
      </c>
      <c r="W3018" t="s">
        <v>150</v>
      </c>
      <c r="X3018" t="s">
        <v>280</v>
      </c>
      <c r="Y3018">
        <v>59.004237288135599</v>
      </c>
      <c r="AB3018">
        <v>1.0169491525423699</v>
      </c>
      <c r="AC3018" t="s">
        <v>85</v>
      </c>
      <c r="AE3018" t="s">
        <v>63</v>
      </c>
      <c r="AI3018">
        <v>2</v>
      </c>
      <c r="AJ3018" t="s">
        <v>201</v>
      </c>
      <c r="AT3018" t="s">
        <v>150</v>
      </c>
    </row>
    <row r="3019" spans="1:46" hidden="1" x14ac:dyDescent="0.3">
      <c r="A3019" t="s">
        <v>913</v>
      </c>
      <c r="C3019" t="s">
        <v>251</v>
      </c>
      <c r="D3019" t="s">
        <v>81</v>
      </c>
      <c r="E3019">
        <v>10000000</v>
      </c>
      <c r="O3019">
        <v>10</v>
      </c>
      <c r="P3019" t="s">
        <v>262</v>
      </c>
      <c r="T3019">
        <v>22</v>
      </c>
      <c r="V3019">
        <v>90</v>
      </c>
      <c r="W3019" t="s">
        <v>150</v>
      </c>
      <c r="X3019" t="s">
        <v>280</v>
      </c>
      <c r="Y3019">
        <v>38.840946672178497</v>
      </c>
      <c r="AB3019">
        <v>0.74576271186440701</v>
      </c>
      <c r="AC3019" t="s">
        <v>85</v>
      </c>
      <c r="AE3019" t="s">
        <v>63</v>
      </c>
      <c r="AI3019">
        <v>2</v>
      </c>
      <c r="AJ3019" t="s">
        <v>201</v>
      </c>
      <c r="AT3019" t="s">
        <v>150</v>
      </c>
    </row>
    <row r="3020" spans="1:46" hidden="1" x14ac:dyDescent="0.3">
      <c r="A3020" t="s">
        <v>913</v>
      </c>
      <c r="C3020" t="s">
        <v>251</v>
      </c>
      <c r="D3020" t="s">
        <v>81</v>
      </c>
      <c r="E3020">
        <v>10000000</v>
      </c>
      <c r="O3020">
        <v>10</v>
      </c>
      <c r="P3020" t="s">
        <v>262</v>
      </c>
      <c r="T3020">
        <v>22</v>
      </c>
      <c r="V3020">
        <v>90</v>
      </c>
      <c r="W3020" t="s">
        <v>150</v>
      </c>
      <c r="X3020" t="s">
        <v>280</v>
      </c>
      <c r="Y3020">
        <v>19.1220545680032</v>
      </c>
      <c r="AB3020">
        <v>0.38983050847457601</v>
      </c>
      <c r="AC3020" t="s">
        <v>85</v>
      </c>
      <c r="AE3020" t="s">
        <v>63</v>
      </c>
      <c r="AI3020">
        <v>2</v>
      </c>
      <c r="AJ3020" t="s">
        <v>201</v>
      </c>
      <c r="AT3020" t="s">
        <v>150</v>
      </c>
    </row>
    <row r="3021" spans="1:46" hidden="1" x14ac:dyDescent="0.3">
      <c r="A3021" t="s">
        <v>913</v>
      </c>
      <c r="C3021" t="s">
        <v>251</v>
      </c>
      <c r="D3021" t="s">
        <v>81</v>
      </c>
      <c r="E3021">
        <v>10000000</v>
      </c>
      <c r="O3021">
        <v>10</v>
      </c>
      <c r="P3021" t="s">
        <v>262</v>
      </c>
      <c r="T3021">
        <v>22</v>
      </c>
      <c r="V3021">
        <v>95</v>
      </c>
      <c r="W3021" t="s">
        <v>150</v>
      </c>
      <c r="X3021" t="s">
        <v>280</v>
      </c>
      <c r="Y3021">
        <v>239.56696982224</v>
      </c>
      <c r="AB3021">
        <v>3.5084745762711802</v>
      </c>
      <c r="AC3021" t="s">
        <v>85</v>
      </c>
      <c r="AE3021" t="s">
        <v>63</v>
      </c>
      <c r="AI3021">
        <v>2</v>
      </c>
      <c r="AJ3021" t="s">
        <v>201</v>
      </c>
      <c r="AT3021" t="s">
        <v>150</v>
      </c>
    </row>
    <row r="3022" spans="1:46" hidden="1" x14ac:dyDescent="0.3">
      <c r="A3022" t="s">
        <v>913</v>
      </c>
      <c r="C3022" t="s">
        <v>251</v>
      </c>
      <c r="D3022" t="s">
        <v>81</v>
      </c>
      <c r="E3022">
        <v>10000000</v>
      </c>
      <c r="O3022">
        <v>10</v>
      </c>
      <c r="P3022" t="s">
        <v>262</v>
      </c>
      <c r="T3022">
        <v>22</v>
      </c>
      <c r="V3022">
        <v>95</v>
      </c>
      <c r="W3022" t="s">
        <v>150</v>
      </c>
      <c r="X3022" t="s">
        <v>280</v>
      </c>
      <c r="Y3022">
        <v>179.149441918148</v>
      </c>
      <c r="AB3022">
        <v>3.1694915254237199</v>
      </c>
      <c r="AC3022" t="s">
        <v>85</v>
      </c>
      <c r="AE3022" t="s">
        <v>63</v>
      </c>
      <c r="AI3022">
        <v>2</v>
      </c>
      <c r="AJ3022" t="s">
        <v>201</v>
      </c>
      <c r="AT3022" t="s">
        <v>150</v>
      </c>
    </row>
    <row r="3023" spans="1:46" hidden="1" x14ac:dyDescent="0.3">
      <c r="A3023" t="s">
        <v>913</v>
      </c>
      <c r="C3023" t="s">
        <v>251</v>
      </c>
      <c r="D3023" t="s">
        <v>81</v>
      </c>
      <c r="E3023">
        <v>10000000</v>
      </c>
      <c r="O3023">
        <v>10</v>
      </c>
      <c r="P3023" t="s">
        <v>262</v>
      </c>
      <c r="T3023">
        <v>22</v>
      </c>
      <c r="V3023">
        <v>95</v>
      </c>
      <c r="W3023" t="s">
        <v>150</v>
      </c>
      <c r="X3023" t="s">
        <v>280</v>
      </c>
      <c r="Y3023">
        <v>119.561285655229</v>
      </c>
      <c r="AB3023">
        <v>2.2711864406779601</v>
      </c>
      <c r="AC3023" t="s">
        <v>85</v>
      </c>
      <c r="AE3023" t="s">
        <v>63</v>
      </c>
      <c r="AI3023">
        <v>2</v>
      </c>
      <c r="AJ3023" t="s">
        <v>201</v>
      </c>
      <c r="AT3023" t="s">
        <v>150</v>
      </c>
    </row>
    <row r="3024" spans="1:46" hidden="1" x14ac:dyDescent="0.3">
      <c r="A3024" t="s">
        <v>913</v>
      </c>
      <c r="C3024" t="s">
        <v>251</v>
      </c>
      <c r="D3024" t="s">
        <v>81</v>
      </c>
      <c r="E3024">
        <v>10000000</v>
      </c>
      <c r="O3024">
        <v>10</v>
      </c>
      <c r="P3024" t="s">
        <v>262</v>
      </c>
      <c r="T3024">
        <v>22</v>
      </c>
      <c r="V3024">
        <v>95</v>
      </c>
      <c r="W3024" t="s">
        <v>150</v>
      </c>
      <c r="X3024" t="s">
        <v>280</v>
      </c>
      <c r="Y3024">
        <v>78.769636213311301</v>
      </c>
      <c r="AB3024">
        <v>1.6779661016949099</v>
      </c>
      <c r="AC3024" t="s">
        <v>85</v>
      </c>
      <c r="AE3024" t="s">
        <v>63</v>
      </c>
      <c r="AI3024">
        <v>2</v>
      </c>
      <c r="AJ3024" t="s">
        <v>201</v>
      </c>
      <c r="AT3024" t="s">
        <v>150</v>
      </c>
    </row>
    <row r="3025" spans="1:46" hidden="1" x14ac:dyDescent="0.3">
      <c r="A3025" t="s">
        <v>913</v>
      </c>
      <c r="C3025" t="s">
        <v>251</v>
      </c>
      <c r="D3025" t="s">
        <v>81</v>
      </c>
      <c r="E3025">
        <v>10000000</v>
      </c>
      <c r="O3025">
        <v>10</v>
      </c>
      <c r="P3025" t="s">
        <v>262</v>
      </c>
      <c r="T3025">
        <v>22</v>
      </c>
      <c r="V3025">
        <v>95</v>
      </c>
      <c r="W3025" t="s">
        <v>150</v>
      </c>
      <c r="X3025" t="s">
        <v>280</v>
      </c>
      <c r="Y3025">
        <v>58.136109962794499</v>
      </c>
      <c r="AB3025">
        <v>1.3220338983050799</v>
      </c>
      <c r="AC3025" t="s">
        <v>85</v>
      </c>
      <c r="AE3025" t="s">
        <v>63</v>
      </c>
      <c r="AI3025">
        <v>2</v>
      </c>
      <c r="AJ3025" t="s">
        <v>201</v>
      </c>
      <c r="AT3025" t="s">
        <v>150</v>
      </c>
    </row>
    <row r="3026" spans="1:46" hidden="1" x14ac:dyDescent="0.3">
      <c r="A3026" t="s">
        <v>913</v>
      </c>
      <c r="C3026" t="s">
        <v>251</v>
      </c>
      <c r="D3026" t="s">
        <v>81</v>
      </c>
      <c r="E3026">
        <v>10000000</v>
      </c>
      <c r="O3026">
        <v>10</v>
      </c>
      <c r="P3026" t="s">
        <v>262</v>
      </c>
      <c r="T3026">
        <v>22</v>
      </c>
      <c r="V3026">
        <v>95</v>
      </c>
      <c r="W3026" t="s">
        <v>150</v>
      </c>
      <c r="X3026" t="s">
        <v>280</v>
      </c>
      <c r="Y3026">
        <v>18.695742042166099</v>
      </c>
      <c r="AB3026">
        <v>0.59322033898305104</v>
      </c>
      <c r="AC3026" t="s">
        <v>85</v>
      </c>
      <c r="AE3026" t="s">
        <v>63</v>
      </c>
      <c r="AI3026">
        <v>2</v>
      </c>
      <c r="AJ3026" t="s">
        <v>201</v>
      </c>
      <c r="AT3026" t="s">
        <v>150</v>
      </c>
    </row>
    <row r="3027" spans="1:46" hidden="1" x14ac:dyDescent="0.3">
      <c r="A3027" t="s">
        <v>913</v>
      </c>
      <c r="C3027" t="s">
        <v>251</v>
      </c>
      <c r="D3027" t="s">
        <v>81</v>
      </c>
      <c r="E3027">
        <v>10000000</v>
      </c>
      <c r="O3027">
        <v>10</v>
      </c>
      <c r="P3027" t="s">
        <v>262</v>
      </c>
      <c r="T3027">
        <v>22</v>
      </c>
      <c r="V3027">
        <v>95</v>
      </c>
      <c r="W3027" t="s">
        <v>150</v>
      </c>
      <c r="X3027" t="s">
        <v>280</v>
      </c>
      <c r="Y3027">
        <v>6.2861719718891997</v>
      </c>
      <c r="AB3027">
        <v>0.186440677966101</v>
      </c>
      <c r="AC3027" t="s">
        <v>85</v>
      </c>
      <c r="AE3027" t="s">
        <v>63</v>
      </c>
      <c r="AI3027">
        <v>2</v>
      </c>
      <c r="AJ3027" t="s">
        <v>201</v>
      </c>
      <c r="AT3027" t="s">
        <v>150</v>
      </c>
    </row>
    <row r="3028" spans="1:46" hidden="1" x14ac:dyDescent="0.3">
      <c r="A3028" t="s">
        <v>913</v>
      </c>
      <c r="C3028" t="s">
        <v>251</v>
      </c>
      <c r="D3028" t="s">
        <v>81</v>
      </c>
      <c r="E3028">
        <v>10000000</v>
      </c>
      <c r="O3028">
        <v>10</v>
      </c>
      <c r="P3028" t="s">
        <v>262</v>
      </c>
      <c r="T3028">
        <v>22</v>
      </c>
      <c r="V3028">
        <v>95</v>
      </c>
      <c r="W3028" t="s">
        <v>150</v>
      </c>
      <c r="X3028" t="s">
        <v>280</v>
      </c>
      <c r="AB3028">
        <v>3.3898305084746103E-2</v>
      </c>
      <c r="AC3028" t="s">
        <v>85</v>
      </c>
      <c r="AE3028" t="s">
        <v>63</v>
      </c>
      <c r="AI3028">
        <v>2</v>
      </c>
      <c r="AJ3028" t="s">
        <v>201</v>
      </c>
      <c r="AT3028" t="s">
        <v>150</v>
      </c>
    </row>
    <row r="3029" spans="1:46" hidden="1" x14ac:dyDescent="0.3">
      <c r="A3029" t="s">
        <v>913</v>
      </c>
      <c r="C3029" t="s">
        <v>251</v>
      </c>
      <c r="D3029" t="s">
        <v>81</v>
      </c>
      <c r="E3029">
        <v>10000000</v>
      </c>
      <c r="O3029">
        <v>10</v>
      </c>
      <c r="P3029" t="s">
        <v>262</v>
      </c>
      <c r="T3029">
        <v>22</v>
      </c>
      <c r="V3029">
        <v>90</v>
      </c>
      <c r="W3029" t="s">
        <v>381</v>
      </c>
      <c r="X3029" t="s">
        <v>280</v>
      </c>
      <c r="Y3029">
        <v>240.98251028806499</v>
      </c>
      <c r="AB3029">
        <v>2.7166666666666601</v>
      </c>
      <c r="AC3029" t="s">
        <v>85</v>
      </c>
      <c r="AE3029" t="s">
        <v>63</v>
      </c>
      <c r="AI3029">
        <v>2</v>
      </c>
      <c r="AJ3029" t="s">
        <v>201</v>
      </c>
      <c r="AT3029" t="s">
        <v>382</v>
      </c>
    </row>
    <row r="3030" spans="1:46" hidden="1" x14ac:dyDescent="0.3">
      <c r="A3030" t="s">
        <v>913</v>
      </c>
      <c r="C3030" t="s">
        <v>251</v>
      </c>
      <c r="D3030" t="s">
        <v>81</v>
      </c>
      <c r="E3030">
        <v>10000000</v>
      </c>
      <c r="O3030">
        <v>10</v>
      </c>
      <c r="P3030" t="s">
        <v>262</v>
      </c>
      <c r="T3030">
        <v>22</v>
      </c>
      <c r="V3030">
        <v>90</v>
      </c>
      <c r="W3030" t="s">
        <v>381</v>
      </c>
      <c r="X3030" t="s">
        <v>280</v>
      </c>
      <c r="Y3030">
        <v>181.40432098765399</v>
      </c>
      <c r="AB3030">
        <v>2.25</v>
      </c>
      <c r="AC3030" t="s">
        <v>85</v>
      </c>
      <c r="AE3030" t="s">
        <v>63</v>
      </c>
      <c r="AI3030">
        <v>2</v>
      </c>
      <c r="AJ3030" t="s">
        <v>201</v>
      </c>
      <c r="AT3030" t="s">
        <v>382</v>
      </c>
    </row>
    <row r="3031" spans="1:46" hidden="1" x14ac:dyDescent="0.3">
      <c r="A3031" t="s">
        <v>913</v>
      </c>
      <c r="C3031" t="s">
        <v>251</v>
      </c>
      <c r="D3031" t="s">
        <v>81</v>
      </c>
      <c r="E3031">
        <v>10000000</v>
      </c>
      <c r="O3031">
        <v>10</v>
      </c>
      <c r="P3031" t="s">
        <v>262</v>
      </c>
      <c r="T3031">
        <v>22</v>
      </c>
      <c r="V3031">
        <v>90</v>
      </c>
      <c r="W3031" t="s">
        <v>381</v>
      </c>
      <c r="X3031" t="s">
        <v>280</v>
      </c>
      <c r="Y3031">
        <v>121.399176954732</v>
      </c>
      <c r="AB3031">
        <v>1.6666666666666601</v>
      </c>
      <c r="AC3031" t="s">
        <v>85</v>
      </c>
      <c r="AE3031" t="s">
        <v>63</v>
      </c>
      <c r="AI3031">
        <v>2</v>
      </c>
      <c r="AJ3031" t="s">
        <v>201</v>
      </c>
      <c r="AT3031" t="s">
        <v>382</v>
      </c>
    </row>
    <row r="3032" spans="1:46" hidden="1" x14ac:dyDescent="0.3">
      <c r="A3032" t="s">
        <v>913</v>
      </c>
      <c r="C3032" t="s">
        <v>251</v>
      </c>
      <c r="D3032" t="s">
        <v>81</v>
      </c>
      <c r="E3032">
        <v>10000000</v>
      </c>
      <c r="O3032">
        <v>10</v>
      </c>
      <c r="P3032" t="s">
        <v>262</v>
      </c>
      <c r="T3032">
        <v>22</v>
      </c>
      <c r="V3032">
        <v>90</v>
      </c>
      <c r="W3032" t="s">
        <v>381</v>
      </c>
      <c r="X3032" t="s">
        <v>280</v>
      </c>
      <c r="Y3032">
        <v>91.409465020576107</v>
      </c>
      <c r="AB3032">
        <v>1.3333333333333299</v>
      </c>
      <c r="AC3032" t="s">
        <v>85</v>
      </c>
      <c r="AE3032" t="s">
        <v>63</v>
      </c>
      <c r="AI3032">
        <v>2</v>
      </c>
      <c r="AJ3032" t="s">
        <v>201</v>
      </c>
      <c r="AT3032" t="s">
        <v>382</v>
      </c>
    </row>
    <row r="3033" spans="1:46" hidden="1" x14ac:dyDescent="0.3">
      <c r="A3033" t="s">
        <v>913</v>
      </c>
      <c r="C3033" t="s">
        <v>251</v>
      </c>
      <c r="D3033" t="s">
        <v>81</v>
      </c>
      <c r="E3033">
        <v>10000000</v>
      </c>
      <c r="O3033">
        <v>10</v>
      </c>
      <c r="P3033" t="s">
        <v>262</v>
      </c>
      <c r="T3033">
        <v>22</v>
      </c>
      <c r="V3033">
        <v>90</v>
      </c>
      <c r="W3033" t="s">
        <v>381</v>
      </c>
      <c r="X3033" t="s">
        <v>280</v>
      </c>
      <c r="Y3033">
        <v>61.399176954732503</v>
      </c>
      <c r="AB3033">
        <v>1.06666666666666</v>
      </c>
      <c r="AC3033" t="s">
        <v>85</v>
      </c>
      <c r="AE3033" t="s">
        <v>63</v>
      </c>
      <c r="AI3033">
        <v>2</v>
      </c>
      <c r="AJ3033" t="s">
        <v>201</v>
      </c>
      <c r="AT3033" t="s">
        <v>382</v>
      </c>
    </row>
    <row r="3034" spans="1:46" hidden="1" x14ac:dyDescent="0.3">
      <c r="A3034" t="s">
        <v>913</v>
      </c>
      <c r="C3034" t="s">
        <v>251</v>
      </c>
      <c r="D3034" t="s">
        <v>81</v>
      </c>
      <c r="E3034">
        <v>10000000</v>
      </c>
      <c r="O3034">
        <v>10</v>
      </c>
      <c r="P3034" t="s">
        <v>262</v>
      </c>
      <c r="T3034">
        <v>22</v>
      </c>
      <c r="V3034">
        <v>90</v>
      </c>
      <c r="W3034" t="s">
        <v>381</v>
      </c>
      <c r="X3034" t="s">
        <v>280</v>
      </c>
      <c r="Y3034">
        <v>20.879629629629601</v>
      </c>
      <c r="AB3034">
        <v>0.35</v>
      </c>
      <c r="AC3034" t="s">
        <v>85</v>
      </c>
      <c r="AE3034" t="s">
        <v>63</v>
      </c>
      <c r="AI3034">
        <v>2</v>
      </c>
      <c r="AJ3034" t="s">
        <v>201</v>
      </c>
      <c r="AT3034" t="s">
        <v>382</v>
      </c>
    </row>
    <row r="3035" spans="1:46" hidden="1" x14ac:dyDescent="0.3">
      <c r="A3035" t="s">
        <v>913</v>
      </c>
      <c r="C3035" t="s">
        <v>251</v>
      </c>
      <c r="D3035" t="s">
        <v>81</v>
      </c>
      <c r="E3035">
        <v>10000000</v>
      </c>
      <c r="O3035">
        <v>10</v>
      </c>
      <c r="P3035" t="s">
        <v>262</v>
      </c>
      <c r="T3035">
        <v>22</v>
      </c>
      <c r="V3035">
        <v>90</v>
      </c>
      <c r="W3035" t="s">
        <v>914</v>
      </c>
      <c r="X3035" t="s">
        <v>280</v>
      </c>
      <c r="Y3035">
        <v>241.01851851851799</v>
      </c>
      <c r="AB3035">
        <v>2.6</v>
      </c>
      <c r="AC3035" t="s">
        <v>85</v>
      </c>
      <c r="AE3035" t="s">
        <v>63</v>
      </c>
      <c r="AI3035">
        <v>2</v>
      </c>
      <c r="AJ3035" t="s">
        <v>201</v>
      </c>
      <c r="AT3035" t="s">
        <v>203</v>
      </c>
    </row>
    <row r="3036" spans="1:46" hidden="1" x14ac:dyDescent="0.3">
      <c r="A3036" t="s">
        <v>913</v>
      </c>
      <c r="C3036" t="s">
        <v>251</v>
      </c>
      <c r="D3036" t="s">
        <v>81</v>
      </c>
      <c r="E3036">
        <v>10000000</v>
      </c>
      <c r="O3036">
        <v>10</v>
      </c>
      <c r="P3036" t="s">
        <v>262</v>
      </c>
      <c r="T3036">
        <v>22</v>
      </c>
      <c r="V3036">
        <v>90</v>
      </c>
      <c r="W3036" t="s">
        <v>914</v>
      </c>
      <c r="X3036" t="s">
        <v>280</v>
      </c>
      <c r="Y3036">
        <v>181.90329218106899</v>
      </c>
      <c r="AB3036">
        <v>2.1333333333333302</v>
      </c>
      <c r="AC3036" t="s">
        <v>85</v>
      </c>
      <c r="AE3036" t="s">
        <v>63</v>
      </c>
      <c r="AI3036">
        <v>2</v>
      </c>
      <c r="AJ3036" t="s">
        <v>201</v>
      </c>
      <c r="AT3036" t="s">
        <v>203</v>
      </c>
    </row>
    <row r="3037" spans="1:46" hidden="1" x14ac:dyDescent="0.3">
      <c r="A3037" t="s">
        <v>913</v>
      </c>
      <c r="C3037" t="s">
        <v>251</v>
      </c>
      <c r="D3037" t="s">
        <v>81</v>
      </c>
      <c r="E3037">
        <v>10000000</v>
      </c>
      <c r="O3037">
        <v>10</v>
      </c>
      <c r="P3037" t="s">
        <v>262</v>
      </c>
      <c r="T3037">
        <v>22</v>
      </c>
      <c r="V3037">
        <v>90</v>
      </c>
      <c r="W3037" t="s">
        <v>914</v>
      </c>
      <c r="X3037" t="s">
        <v>280</v>
      </c>
      <c r="Y3037">
        <v>120.53497942386799</v>
      </c>
      <c r="AB3037">
        <v>1.4666666666666599</v>
      </c>
      <c r="AC3037" t="s">
        <v>85</v>
      </c>
      <c r="AE3037" t="s">
        <v>63</v>
      </c>
      <c r="AI3037">
        <v>2</v>
      </c>
      <c r="AJ3037" t="s">
        <v>201</v>
      </c>
      <c r="AT3037" t="s">
        <v>203</v>
      </c>
    </row>
    <row r="3038" spans="1:46" hidden="1" x14ac:dyDescent="0.3">
      <c r="A3038" t="s">
        <v>913</v>
      </c>
      <c r="C3038" t="s">
        <v>251</v>
      </c>
      <c r="D3038" t="s">
        <v>81</v>
      </c>
      <c r="E3038">
        <v>10000000</v>
      </c>
      <c r="O3038">
        <v>10</v>
      </c>
      <c r="P3038" t="s">
        <v>262</v>
      </c>
      <c r="T3038">
        <v>22</v>
      </c>
      <c r="V3038">
        <v>90</v>
      </c>
      <c r="W3038" t="s">
        <v>914</v>
      </c>
      <c r="X3038" t="s">
        <v>280</v>
      </c>
      <c r="Y3038">
        <v>60.529835390946502</v>
      </c>
      <c r="AB3038">
        <v>0.88333333333333297</v>
      </c>
      <c r="AC3038" t="s">
        <v>85</v>
      </c>
      <c r="AE3038" t="s">
        <v>63</v>
      </c>
      <c r="AI3038">
        <v>2</v>
      </c>
      <c r="AJ3038" t="s">
        <v>201</v>
      </c>
      <c r="AT3038" t="s">
        <v>203</v>
      </c>
    </row>
    <row r="3039" spans="1:46" hidden="1" x14ac:dyDescent="0.3">
      <c r="A3039" t="s">
        <v>913</v>
      </c>
      <c r="C3039" t="s">
        <v>251</v>
      </c>
      <c r="D3039" t="s">
        <v>81</v>
      </c>
      <c r="E3039">
        <v>10000000</v>
      </c>
      <c r="O3039">
        <v>10</v>
      </c>
      <c r="P3039" t="s">
        <v>262</v>
      </c>
      <c r="T3039">
        <v>22</v>
      </c>
      <c r="V3039">
        <v>90</v>
      </c>
      <c r="W3039" t="s">
        <v>914</v>
      </c>
      <c r="X3039" t="s">
        <v>280</v>
      </c>
      <c r="Y3039">
        <v>31.481481481481399</v>
      </c>
      <c r="AB3039">
        <v>0.5</v>
      </c>
      <c r="AC3039" t="s">
        <v>85</v>
      </c>
      <c r="AE3039" t="s">
        <v>63</v>
      </c>
      <c r="AI3039">
        <v>2</v>
      </c>
      <c r="AJ3039" t="s">
        <v>201</v>
      </c>
      <c r="AT3039" t="s">
        <v>203</v>
      </c>
    </row>
    <row r="3040" spans="1:46" hidden="1" x14ac:dyDescent="0.3">
      <c r="A3040" t="s">
        <v>913</v>
      </c>
      <c r="C3040" t="s">
        <v>251</v>
      </c>
      <c r="D3040" t="s">
        <v>81</v>
      </c>
      <c r="E3040">
        <v>10000000</v>
      </c>
      <c r="O3040">
        <v>10</v>
      </c>
      <c r="P3040" t="s">
        <v>262</v>
      </c>
      <c r="T3040">
        <v>22</v>
      </c>
      <c r="V3040">
        <v>90</v>
      </c>
      <c r="W3040" t="s">
        <v>915</v>
      </c>
      <c r="X3040" t="s">
        <v>280</v>
      </c>
      <c r="Y3040">
        <v>239.59971886609301</v>
      </c>
      <c r="AB3040">
        <v>1.5100572308310101</v>
      </c>
      <c r="AC3040" t="s">
        <v>85</v>
      </c>
      <c r="AE3040" t="s">
        <v>63</v>
      </c>
      <c r="AI3040">
        <v>2</v>
      </c>
      <c r="AJ3040" t="s">
        <v>201</v>
      </c>
      <c r="AT3040" t="s">
        <v>75</v>
      </c>
    </row>
    <row r="3041" spans="1:46" hidden="1" x14ac:dyDescent="0.3">
      <c r="A3041" t="s">
        <v>913</v>
      </c>
      <c r="C3041" t="s">
        <v>251</v>
      </c>
      <c r="D3041" t="s">
        <v>81</v>
      </c>
      <c r="E3041">
        <v>10000000</v>
      </c>
      <c r="O3041">
        <v>10</v>
      </c>
      <c r="P3041" t="s">
        <v>262</v>
      </c>
      <c r="T3041">
        <v>22</v>
      </c>
      <c r="V3041">
        <v>90</v>
      </c>
      <c r="W3041" t="s">
        <v>915</v>
      </c>
      <c r="X3041" t="s">
        <v>280</v>
      </c>
      <c r="Y3041">
        <v>178.47317513972999</v>
      </c>
      <c r="AB3041">
        <v>1.0699320593058601</v>
      </c>
      <c r="AC3041" t="s">
        <v>85</v>
      </c>
      <c r="AE3041" t="s">
        <v>63</v>
      </c>
      <c r="AI3041">
        <v>2</v>
      </c>
      <c r="AJ3041" t="s">
        <v>201</v>
      </c>
      <c r="AT3041" t="s">
        <v>75</v>
      </c>
    </row>
    <row r="3042" spans="1:46" hidden="1" x14ac:dyDescent="0.3">
      <c r="A3042" t="s">
        <v>913</v>
      </c>
      <c r="C3042" t="s">
        <v>251</v>
      </c>
      <c r="D3042" t="s">
        <v>81</v>
      </c>
      <c r="E3042">
        <v>10000000</v>
      </c>
      <c r="O3042">
        <v>10</v>
      </c>
      <c r="P3042" t="s">
        <v>262</v>
      </c>
      <c r="T3042">
        <v>22</v>
      </c>
      <c r="V3042">
        <v>90</v>
      </c>
      <c r="W3042" t="s">
        <v>915</v>
      </c>
      <c r="X3042" t="s">
        <v>280</v>
      </c>
      <c r="Y3042">
        <v>118.717159208808</v>
      </c>
      <c r="AB3042">
        <v>0.679959168646876</v>
      </c>
      <c r="AC3042" t="s">
        <v>85</v>
      </c>
      <c r="AE3042" t="s">
        <v>63</v>
      </c>
      <c r="AI3042">
        <v>2</v>
      </c>
      <c r="AJ3042" t="s">
        <v>201</v>
      </c>
      <c r="AT3042" t="s">
        <v>75</v>
      </c>
    </row>
    <row r="3043" spans="1:46" hidden="1" x14ac:dyDescent="0.3">
      <c r="A3043" t="s">
        <v>913</v>
      </c>
      <c r="C3043" t="s">
        <v>251</v>
      </c>
      <c r="D3043" t="s">
        <v>81</v>
      </c>
      <c r="E3043">
        <v>10000000</v>
      </c>
      <c r="O3043">
        <v>10</v>
      </c>
      <c r="P3043" t="s">
        <v>262</v>
      </c>
      <c r="T3043">
        <v>22</v>
      </c>
      <c r="V3043">
        <v>90</v>
      </c>
      <c r="W3043" t="s">
        <v>915</v>
      </c>
      <c r="X3043" t="s">
        <v>280</v>
      </c>
      <c r="Y3043">
        <v>87.927976170554501</v>
      </c>
      <c r="AB3043">
        <v>0.45987148164262598</v>
      </c>
      <c r="AC3043" t="s">
        <v>85</v>
      </c>
      <c r="AE3043" t="s">
        <v>63</v>
      </c>
      <c r="AI3043">
        <v>2</v>
      </c>
      <c r="AJ3043" t="s">
        <v>201</v>
      </c>
      <c r="AT3043" t="s">
        <v>75</v>
      </c>
    </row>
    <row r="3044" spans="1:46" hidden="1" x14ac:dyDescent="0.3">
      <c r="A3044" t="s">
        <v>913</v>
      </c>
      <c r="C3044" t="s">
        <v>251</v>
      </c>
      <c r="D3044" t="s">
        <v>81</v>
      </c>
      <c r="E3044">
        <v>10000000</v>
      </c>
      <c r="O3044">
        <v>10</v>
      </c>
      <c r="P3044" t="s">
        <v>262</v>
      </c>
      <c r="T3044">
        <v>22</v>
      </c>
      <c r="V3044">
        <v>90</v>
      </c>
      <c r="W3044" t="s">
        <v>915</v>
      </c>
      <c r="X3044" t="s">
        <v>280</v>
      </c>
      <c r="Y3044">
        <v>57.153853877305103</v>
      </c>
      <c r="AB3044">
        <v>0.28978546805448702</v>
      </c>
      <c r="AC3044" t="s">
        <v>85</v>
      </c>
      <c r="AE3044" t="s">
        <v>63</v>
      </c>
      <c r="AI3044">
        <v>2</v>
      </c>
      <c r="AJ3044" t="s">
        <v>201</v>
      </c>
      <c r="AT3044" t="s">
        <v>75</v>
      </c>
    </row>
    <row r="3045" spans="1:46" hidden="1" x14ac:dyDescent="0.3">
      <c r="A3045" t="s">
        <v>913</v>
      </c>
      <c r="C3045" t="s">
        <v>251</v>
      </c>
      <c r="D3045" t="s">
        <v>81</v>
      </c>
      <c r="E3045">
        <v>10000000</v>
      </c>
      <c r="O3045">
        <v>10</v>
      </c>
      <c r="P3045" t="s">
        <v>262</v>
      </c>
      <c r="T3045">
        <v>22</v>
      </c>
      <c r="V3045">
        <v>90</v>
      </c>
      <c r="W3045" t="s">
        <v>915</v>
      </c>
      <c r="X3045" t="s">
        <v>280</v>
      </c>
      <c r="Y3045">
        <v>28.182000736302999</v>
      </c>
      <c r="AB3045">
        <v>0.10323303992770901</v>
      </c>
      <c r="AC3045" t="s">
        <v>85</v>
      </c>
      <c r="AE3045" t="s">
        <v>63</v>
      </c>
      <c r="AI3045">
        <v>2</v>
      </c>
      <c r="AJ3045" t="s">
        <v>201</v>
      </c>
      <c r="AT3045" t="s">
        <v>75</v>
      </c>
    </row>
    <row r="3046" spans="1:46" hidden="1" x14ac:dyDescent="0.3">
      <c r="A3046" t="s">
        <v>913</v>
      </c>
      <c r="C3046" t="s">
        <v>251</v>
      </c>
      <c r="D3046" t="s">
        <v>81</v>
      </c>
      <c r="E3046">
        <v>10000000</v>
      </c>
      <c r="O3046">
        <v>10</v>
      </c>
      <c r="P3046" t="s">
        <v>262</v>
      </c>
      <c r="T3046">
        <v>22</v>
      </c>
      <c r="V3046">
        <v>90</v>
      </c>
      <c r="W3046" t="s">
        <v>915</v>
      </c>
      <c r="X3046" t="s">
        <v>280</v>
      </c>
      <c r="Y3046">
        <v>11.4444927875765</v>
      </c>
      <c r="AB3046">
        <v>3.4706650155628703E-2</v>
      </c>
      <c r="AC3046" t="s">
        <v>85</v>
      </c>
      <c r="AE3046" t="s">
        <v>63</v>
      </c>
      <c r="AI3046">
        <v>2</v>
      </c>
      <c r="AJ3046" t="s">
        <v>201</v>
      </c>
      <c r="AT3046" t="s">
        <v>75</v>
      </c>
    </row>
    <row r="3047" spans="1:46" hidden="1" x14ac:dyDescent="0.3">
      <c r="A3047" t="s">
        <v>913</v>
      </c>
      <c r="B3047" t="s">
        <v>916</v>
      </c>
      <c r="C3047" t="s">
        <v>251</v>
      </c>
      <c r="D3047" t="s">
        <v>81</v>
      </c>
      <c r="E3047">
        <v>10000000</v>
      </c>
      <c r="O3047">
        <v>10</v>
      </c>
      <c r="P3047" t="s">
        <v>262</v>
      </c>
      <c r="T3047">
        <v>22</v>
      </c>
      <c r="V3047">
        <v>90</v>
      </c>
      <c r="W3047" t="s">
        <v>917</v>
      </c>
      <c r="X3047" t="s">
        <v>280</v>
      </c>
      <c r="Y3047">
        <v>239.80052879949099</v>
      </c>
      <c r="AB3047">
        <v>2.1767462097124999</v>
      </c>
      <c r="AC3047" t="s">
        <v>85</v>
      </c>
      <c r="AE3047" t="s">
        <v>63</v>
      </c>
      <c r="AI3047">
        <v>2</v>
      </c>
      <c r="AJ3047" t="s">
        <v>201</v>
      </c>
      <c r="AT3047" t="s">
        <v>73</v>
      </c>
    </row>
    <row r="3048" spans="1:46" hidden="1" x14ac:dyDescent="0.3">
      <c r="A3048" t="s">
        <v>913</v>
      </c>
      <c r="B3048" t="s">
        <v>916</v>
      </c>
      <c r="C3048" t="s">
        <v>251</v>
      </c>
      <c r="D3048" t="s">
        <v>81</v>
      </c>
      <c r="E3048">
        <v>10000000</v>
      </c>
      <c r="O3048">
        <v>10</v>
      </c>
      <c r="P3048" t="s">
        <v>262</v>
      </c>
      <c r="T3048">
        <v>22</v>
      </c>
      <c r="V3048">
        <v>90</v>
      </c>
      <c r="W3048" t="s">
        <v>917</v>
      </c>
      <c r="X3048" t="s">
        <v>280</v>
      </c>
      <c r="Y3048">
        <v>178.14685899795799</v>
      </c>
      <c r="AB3048">
        <v>1.48656246862344</v>
      </c>
      <c r="AC3048" t="s">
        <v>85</v>
      </c>
      <c r="AE3048" t="s">
        <v>63</v>
      </c>
      <c r="AI3048">
        <v>2</v>
      </c>
      <c r="AJ3048" t="s">
        <v>201</v>
      </c>
      <c r="AT3048" t="s">
        <v>73</v>
      </c>
    </row>
    <row r="3049" spans="1:46" hidden="1" x14ac:dyDescent="0.3">
      <c r="A3049" t="s">
        <v>913</v>
      </c>
      <c r="B3049" t="s">
        <v>916</v>
      </c>
      <c r="C3049" t="s">
        <v>251</v>
      </c>
      <c r="D3049" t="s">
        <v>81</v>
      </c>
      <c r="E3049">
        <v>10000000</v>
      </c>
      <c r="O3049">
        <v>10</v>
      </c>
      <c r="P3049" t="s">
        <v>262</v>
      </c>
      <c r="T3049">
        <v>22</v>
      </c>
      <c r="V3049">
        <v>90</v>
      </c>
      <c r="W3049" t="s">
        <v>917</v>
      </c>
      <c r="X3049" t="s">
        <v>280</v>
      </c>
      <c r="Y3049">
        <v>116.14679206131299</v>
      </c>
      <c r="AB3049">
        <v>1.14634023896382</v>
      </c>
      <c r="AC3049" t="s">
        <v>85</v>
      </c>
      <c r="AE3049" t="s">
        <v>63</v>
      </c>
      <c r="AI3049">
        <v>2</v>
      </c>
      <c r="AJ3049" t="s">
        <v>201</v>
      </c>
      <c r="AT3049" t="s">
        <v>73</v>
      </c>
    </row>
    <row r="3050" spans="1:46" hidden="1" x14ac:dyDescent="0.3">
      <c r="A3050" t="s">
        <v>913</v>
      </c>
      <c r="B3050" t="s">
        <v>916</v>
      </c>
      <c r="C3050" t="s">
        <v>251</v>
      </c>
      <c r="D3050" t="s">
        <v>81</v>
      </c>
      <c r="E3050">
        <v>10000000</v>
      </c>
      <c r="O3050">
        <v>10</v>
      </c>
      <c r="P3050" t="s">
        <v>262</v>
      </c>
      <c r="T3050">
        <v>22</v>
      </c>
      <c r="V3050">
        <v>90</v>
      </c>
      <c r="W3050" t="s">
        <v>917</v>
      </c>
      <c r="X3050" t="s">
        <v>280</v>
      </c>
      <c r="Y3050">
        <v>57.214096857324499</v>
      </c>
      <c r="AB3050">
        <v>0.48979216171893297</v>
      </c>
      <c r="AC3050" t="s">
        <v>85</v>
      </c>
      <c r="AE3050" t="s">
        <v>63</v>
      </c>
      <c r="AI3050">
        <v>2</v>
      </c>
      <c r="AJ3050" t="s">
        <v>201</v>
      </c>
      <c r="AT3050" t="s">
        <v>73</v>
      </c>
    </row>
    <row r="3051" spans="1:46" hidden="1" x14ac:dyDescent="0.3">
      <c r="A3051" t="s">
        <v>913</v>
      </c>
      <c r="B3051" t="s">
        <v>916</v>
      </c>
      <c r="C3051" t="s">
        <v>251</v>
      </c>
      <c r="D3051" t="s">
        <v>81</v>
      </c>
      <c r="E3051">
        <v>10000000</v>
      </c>
      <c r="O3051">
        <v>10</v>
      </c>
      <c r="P3051" t="s">
        <v>262</v>
      </c>
      <c r="T3051">
        <v>22</v>
      </c>
      <c r="V3051">
        <v>90</v>
      </c>
      <c r="W3051" t="s">
        <v>917</v>
      </c>
      <c r="X3051" t="s">
        <v>280</v>
      </c>
      <c r="Y3051">
        <v>28.217142474647709</v>
      </c>
      <c r="AB3051">
        <v>0.219903611231969</v>
      </c>
      <c r="AC3051" t="s">
        <v>85</v>
      </c>
      <c r="AE3051" t="s">
        <v>63</v>
      </c>
      <c r="AI3051">
        <v>2</v>
      </c>
      <c r="AJ3051" t="s">
        <v>201</v>
      </c>
      <c r="AT3051" t="s">
        <v>73</v>
      </c>
    </row>
    <row r="3052" spans="1:46" hidden="1" x14ac:dyDescent="0.3">
      <c r="A3052" t="s">
        <v>913</v>
      </c>
      <c r="C3052" t="s">
        <v>251</v>
      </c>
      <c r="D3052" t="s">
        <v>81</v>
      </c>
      <c r="E3052">
        <v>10000000</v>
      </c>
      <c r="O3052">
        <v>10</v>
      </c>
      <c r="P3052" t="s">
        <v>262</v>
      </c>
      <c r="T3052">
        <v>22</v>
      </c>
      <c r="V3052">
        <v>90</v>
      </c>
      <c r="W3052" t="s">
        <v>918</v>
      </c>
      <c r="X3052" t="s">
        <v>280</v>
      </c>
      <c r="Y3052">
        <v>240.869841694835</v>
      </c>
      <c r="AB3052">
        <v>4.2268650222564297</v>
      </c>
      <c r="AC3052" t="s">
        <v>85</v>
      </c>
      <c r="AE3052" t="s">
        <v>63</v>
      </c>
      <c r="AI3052">
        <v>2</v>
      </c>
      <c r="AJ3052" t="s">
        <v>201</v>
      </c>
      <c r="AT3052" t="s">
        <v>73</v>
      </c>
    </row>
    <row r="3053" spans="1:46" hidden="1" x14ac:dyDescent="0.3">
      <c r="A3053" t="s">
        <v>913</v>
      </c>
      <c r="C3053" t="s">
        <v>251</v>
      </c>
      <c r="D3053" t="s">
        <v>81</v>
      </c>
      <c r="E3053">
        <v>10000000</v>
      </c>
      <c r="O3053">
        <v>10</v>
      </c>
      <c r="P3053" t="s">
        <v>262</v>
      </c>
      <c r="T3053">
        <v>22</v>
      </c>
      <c r="V3053">
        <v>90</v>
      </c>
      <c r="W3053" t="s">
        <v>918</v>
      </c>
      <c r="X3053" t="s">
        <v>280</v>
      </c>
      <c r="Y3053">
        <v>179.73827772013701</v>
      </c>
      <c r="AB3053">
        <v>3.7700726262592399</v>
      </c>
      <c r="AC3053" t="s">
        <v>85</v>
      </c>
      <c r="AE3053" t="s">
        <v>63</v>
      </c>
      <c r="AI3053">
        <v>2</v>
      </c>
      <c r="AJ3053" t="s">
        <v>201</v>
      </c>
      <c r="AT3053" t="s">
        <v>73</v>
      </c>
    </row>
    <row r="3054" spans="1:46" hidden="1" x14ac:dyDescent="0.3">
      <c r="A3054" t="s">
        <v>913</v>
      </c>
      <c r="C3054" t="s">
        <v>251</v>
      </c>
      <c r="D3054" t="s">
        <v>81</v>
      </c>
      <c r="E3054">
        <v>10000000</v>
      </c>
      <c r="O3054">
        <v>10</v>
      </c>
      <c r="P3054" t="s">
        <v>262</v>
      </c>
      <c r="T3054">
        <v>22</v>
      </c>
      <c r="V3054">
        <v>90</v>
      </c>
      <c r="W3054" t="s">
        <v>918</v>
      </c>
      <c r="X3054" t="s">
        <v>280</v>
      </c>
      <c r="Y3054">
        <v>119.419993975701</v>
      </c>
      <c r="AB3054">
        <v>3.0133705947320801</v>
      </c>
      <c r="AC3054" t="s">
        <v>85</v>
      </c>
      <c r="AE3054" t="s">
        <v>63</v>
      </c>
      <c r="AI3054">
        <v>2</v>
      </c>
      <c r="AJ3054" t="s">
        <v>201</v>
      </c>
      <c r="AT3054" t="s">
        <v>73</v>
      </c>
    </row>
    <row r="3055" spans="1:46" hidden="1" x14ac:dyDescent="0.3">
      <c r="A3055" t="s">
        <v>913</v>
      </c>
      <c r="C3055" t="s">
        <v>251</v>
      </c>
      <c r="D3055" t="s">
        <v>81</v>
      </c>
      <c r="E3055">
        <v>10000000</v>
      </c>
      <c r="O3055">
        <v>10</v>
      </c>
      <c r="P3055" t="s">
        <v>262</v>
      </c>
      <c r="T3055">
        <v>22</v>
      </c>
      <c r="V3055">
        <v>90</v>
      </c>
      <c r="W3055" t="s">
        <v>918</v>
      </c>
      <c r="X3055" t="s">
        <v>280</v>
      </c>
      <c r="Y3055">
        <v>88.570567957428281</v>
      </c>
      <c r="AB3055">
        <v>2.5932762140633798</v>
      </c>
      <c r="AC3055" t="s">
        <v>85</v>
      </c>
      <c r="AE3055" t="s">
        <v>63</v>
      </c>
      <c r="AI3055">
        <v>2</v>
      </c>
      <c r="AJ3055" t="s">
        <v>201</v>
      </c>
      <c r="AT3055" t="s">
        <v>73</v>
      </c>
    </row>
    <row r="3056" spans="1:46" hidden="1" x14ac:dyDescent="0.3">
      <c r="A3056" t="s">
        <v>913</v>
      </c>
      <c r="C3056" t="s">
        <v>251</v>
      </c>
      <c r="D3056" t="s">
        <v>81</v>
      </c>
      <c r="E3056">
        <v>10000000</v>
      </c>
      <c r="O3056">
        <v>10</v>
      </c>
      <c r="P3056" t="s">
        <v>262</v>
      </c>
      <c r="T3056">
        <v>22</v>
      </c>
      <c r="V3056">
        <v>90</v>
      </c>
      <c r="W3056" t="s">
        <v>918</v>
      </c>
      <c r="X3056" t="s">
        <v>280</v>
      </c>
      <c r="Y3056">
        <v>58.167944040965203</v>
      </c>
      <c r="AB3056">
        <v>2.1565648114060001</v>
      </c>
      <c r="AC3056" t="s">
        <v>85</v>
      </c>
      <c r="AE3056" t="s">
        <v>63</v>
      </c>
      <c r="AI3056">
        <v>2</v>
      </c>
      <c r="AJ3056" t="s">
        <v>201</v>
      </c>
      <c r="AT3056" t="s">
        <v>73</v>
      </c>
    </row>
    <row r="3057" spans="1:46" hidden="1" x14ac:dyDescent="0.3">
      <c r="A3057" t="s">
        <v>913</v>
      </c>
      <c r="C3057" t="s">
        <v>251</v>
      </c>
      <c r="D3057" t="s">
        <v>81</v>
      </c>
      <c r="E3057">
        <v>10000000</v>
      </c>
      <c r="O3057">
        <v>10</v>
      </c>
      <c r="P3057" t="s">
        <v>262</v>
      </c>
      <c r="T3057">
        <v>22</v>
      </c>
      <c r="V3057">
        <v>90</v>
      </c>
      <c r="W3057" t="s">
        <v>918</v>
      </c>
      <c r="X3057" t="s">
        <v>280</v>
      </c>
      <c r="Y3057">
        <v>37.660229592690499</v>
      </c>
      <c r="AB3057">
        <v>1.5709528431339701</v>
      </c>
      <c r="AC3057" t="s">
        <v>85</v>
      </c>
      <c r="AE3057" t="s">
        <v>63</v>
      </c>
      <c r="AI3057">
        <v>2</v>
      </c>
      <c r="AJ3057" t="s">
        <v>201</v>
      </c>
      <c r="AT3057" t="s">
        <v>73</v>
      </c>
    </row>
    <row r="3058" spans="1:46" hidden="1" x14ac:dyDescent="0.3">
      <c r="A3058" t="s">
        <v>913</v>
      </c>
      <c r="C3058" t="s">
        <v>251</v>
      </c>
      <c r="D3058" t="s">
        <v>81</v>
      </c>
      <c r="E3058">
        <v>10000000</v>
      </c>
      <c r="O3058">
        <v>10</v>
      </c>
      <c r="P3058" t="s">
        <v>262</v>
      </c>
      <c r="T3058">
        <v>22</v>
      </c>
      <c r="V3058">
        <v>90</v>
      </c>
      <c r="W3058" t="s">
        <v>918</v>
      </c>
      <c r="X3058" t="s">
        <v>280</v>
      </c>
      <c r="Y3058">
        <v>18.989926035007802</v>
      </c>
      <c r="AB3058">
        <v>1.0855450316275601</v>
      </c>
      <c r="AC3058" t="s">
        <v>85</v>
      </c>
      <c r="AE3058" t="s">
        <v>63</v>
      </c>
      <c r="AI3058">
        <v>2</v>
      </c>
      <c r="AJ3058" t="s">
        <v>201</v>
      </c>
      <c r="AT3058" t="s">
        <v>73</v>
      </c>
    </row>
    <row r="3059" spans="1:46" hidden="1" x14ac:dyDescent="0.3">
      <c r="A3059" t="s">
        <v>913</v>
      </c>
      <c r="C3059" t="s">
        <v>251</v>
      </c>
      <c r="D3059" t="s">
        <v>81</v>
      </c>
      <c r="E3059">
        <v>10000000</v>
      </c>
      <c r="O3059">
        <v>10</v>
      </c>
      <c r="P3059" t="s">
        <v>262</v>
      </c>
      <c r="T3059">
        <v>22</v>
      </c>
      <c r="V3059">
        <v>90</v>
      </c>
      <c r="W3059" t="s">
        <v>918</v>
      </c>
      <c r="X3059" t="s">
        <v>280</v>
      </c>
      <c r="AB3059">
        <v>-1.6700692794269199E-2</v>
      </c>
      <c r="AC3059" t="s">
        <v>85</v>
      </c>
      <c r="AE3059" t="s">
        <v>63</v>
      </c>
      <c r="AI3059">
        <v>2</v>
      </c>
      <c r="AJ3059" t="s">
        <v>201</v>
      </c>
      <c r="AT3059" t="s">
        <v>73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557"/>
  <sheetViews>
    <sheetView topLeftCell="A8539" workbookViewId="0">
      <selection activeCell="C8551" sqref="C8551:F8551"/>
    </sheetView>
  </sheetViews>
  <sheetFormatPr defaultRowHeight="14.4" x14ac:dyDescent="0.3"/>
  <cols>
    <col min="1" max="1" width="32.109375" style="3" bestFit="1" customWidth="1"/>
    <col min="2" max="2" width="16.6640625" style="3" bestFit="1" customWidth="1"/>
    <col min="3" max="3" width="12.6640625" style="3" bestFit="1" customWidth="1"/>
    <col min="4" max="4" width="10" style="3" bestFit="1" customWidth="1"/>
    <col min="5" max="5" width="12" style="3" bestFit="1" customWidth="1"/>
    <col min="6" max="6" width="16.5546875" style="3" bestFit="1" customWidth="1"/>
  </cols>
  <sheetData>
    <row r="1" spans="1:1" x14ac:dyDescent="0.3">
      <c r="A1" s="1"/>
    </row>
    <row r="8539" spans="1:2" x14ac:dyDescent="0.3">
      <c r="B8539" s="3" t="s">
        <v>1581</v>
      </c>
    </row>
    <row r="8540" spans="1:2" x14ac:dyDescent="0.3">
      <c r="A8540" s="3" t="s">
        <v>1582</v>
      </c>
      <c r="B8540" s="3">
        <f>COUNTA(FumigationMaster[Ref])</f>
        <v>3058</v>
      </c>
    </row>
    <row r="8541" spans="1:2" x14ac:dyDescent="0.3">
      <c r="A8541" s="3" t="s">
        <v>1583</v>
      </c>
      <c r="B8541" s="3">
        <f>COUNTA(FumigationMaster[GrimeDirt])</f>
        <v>213</v>
      </c>
    </row>
    <row r="8542" spans="1:2" x14ac:dyDescent="0.3">
      <c r="A8542" s="3" t="s">
        <v>1584</v>
      </c>
      <c r="B8542" s="3">
        <f>COUNTA(FumigationMaster[Rinsate])</f>
        <v>775</v>
      </c>
    </row>
    <row r="8548" spans="1:6" x14ac:dyDescent="0.3">
      <c r="B8548" s="3" t="s">
        <v>1585</v>
      </c>
      <c r="C8548" s="3" t="s">
        <v>1586</v>
      </c>
      <c r="D8548" s="3" t="s">
        <v>1587</v>
      </c>
      <c r="E8548" s="3" t="s">
        <v>1588</v>
      </c>
      <c r="F8548" s="3" t="s">
        <v>1589</v>
      </c>
    </row>
    <row r="8549" spans="1:6" x14ac:dyDescent="0.3">
      <c r="A8549" s="3" t="s">
        <v>1590</v>
      </c>
      <c r="B8549" s="3" t="str" cm="1">
        <f t="array" ref="B8549">IFERROR(IF(IF(COUNTA(FumigationMaster[ConvertedCoupAreaUn]),COUNTIF(FumigationMaster[ConvertedCoupAreaUn],INDEX(FumigationMaster[ConvertedCoupAreaUn],MATCH(TRUE,FumigationMaster[ConvertedCoupAreaUn]&lt;&gt;"",0)))=COUNTIF(FumigationMaster[ConvertedCoupAreaUn],"&lt;&gt;"),""),INDEX(FumigationMaster[ConvertedCoupAreaUn],MATCH(TRUE,FumigationMaster[ConvertedCoupAreaUn]&lt;&gt;"",0)), "multiple units given"),"NA")</f>
        <v>multiple units given</v>
      </c>
      <c r="C8549" s="3">
        <f>IF(AND(ISNUMBER(E8549),ISNUMBER(F8549)),MIN(FumigationMaster[ConvertedCoupArea]),"NA")</f>
        <v>1.1399999999999999E-5</v>
      </c>
      <c r="D8549" s="3">
        <f>IF(AND(ISNUMBER(E8549),ISNUMBER(F8549)),MAX(FumigationMaster[ConvertedCoupArea]),"NA")</f>
        <v>0.1022</v>
      </c>
      <c r="E8549" s="3">
        <f>IFERROR(AVERAGE(FumigationMaster[ConvertedCoupArea]),"NA")</f>
        <v>5.7714360125046904E-3</v>
      </c>
      <c r="F8549" s="3">
        <f>IFERROR(STDEV(FumigationMaster[ConvertedCoupArea]),"NA")</f>
        <v>1.9587031900998465E-2</v>
      </c>
    </row>
    <row r="8550" spans="1:6" x14ac:dyDescent="0.3">
      <c r="A8550" s="3" t="s">
        <v>1591</v>
      </c>
      <c r="B8550" s="3" t="str" cm="1">
        <f t="array" ref="B8550">IFERROR(IF(IF(COUNTA(FumigationMaster[LoadingUn]),COUNTIF(FumigationMaster[LoadingUn],INDEX(FumigationMaster[LoadingUn],MATCH(TRUE,FumigationMaster[LoadingUn]&lt;&gt;"",0)))=COUNTIF(FumigationMaster[LoadingUn],"&lt;&gt;"),""),INDEX(FumigationMaster[LoadingUn],MATCH(TRUE,FumigationMaster[LoadingUn]&lt;&gt;"",0)), "multiple units given"),"NA")</f>
        <v>multiple units given</v>
      </c>
      <c r="C8550" s="3">
        <f>IF(AND(ISNUMBER(E8550),ISNUMBER(F8550)),MIN(FumigationMaster[LoadingNum]),"NA")</f>
        <v>10000</v>
      </c>
      <c r="D8550" s="3">
        <f>IF(AND(ISNUMBER(E8550),ISNUMBER(F8550)),MAX(FumigationMaster[LoadingNum]),"NA")</f>
        <v>10000000000</v>
      </c>
      <c r="E8550" s="3">
        <f>IFERROR(AVERAGE(FumigationMaster[LoadingNum]),"NA")</f>
        <v>59823739.699149773</v>
      </c>
      <c r="F8550" s="3">
        <f>IFERROR(STDEV(FumigationMaster[LoadingNum]),"NA")</f>
        <v>443260579.54930329</v>
      </c>
    </row>
    <row r="8551" spans="1:6" x14ac:dyDescent="0.3">
      <c r="A8551" s="3" t="s">
        <v>1592</v>
      </c>
      <c r="B8551" s="3" t="str">
        <f>IF(E13 = "NA", "NA", "#")</f>
        <v>#</v>
      </c>
      <c r="C8551" s="3">
        <f>IF(AND(ISNUMBER(E8551),ISNUMBER(F8551)),MIN(FumigationMaster[TotalApp]),"NA")</f>
        <v>1</v>
      </c>
      <c r="D8551" s="3">
        <f>IF(AND(ISNUMBER(E8551),ISNUMBER(F8551)),MAX(FumigationMaster[TotalApp]),"NA")</f>
        <v>12</v>
      </c>
      <c r="E8551" s="3">
        <f>IFERROR(AVERAGE(FumigationMaster[TotalApp]),"NA")</f>
        <v>1.7152103559870551</v>
      </c>
      <c r="F8551" s="3">
        <f>IFERROR(STDEV(FumigationMaster[TotalApp]),"NA")</f>
        <v>2.3978741337799292</v>
      </c>
    </row>
    <row r="8552" spans="1:6" x14ac:dyDescent="0.3">
      <c r="A8552" s="3" t="s">
        <v>1593</v>
      </c>
      <c r="B8552" s="3" t="s">
        <v>1594</v>
      </c>
      <c r="C8552" s="3">
        <f>IF(AND(ISNUMBER(E8552),ISNUMBER(F8552)),MIN(FumigationMaster[TempNum]),"NA")</f>
        <v>10.9</v>
      </c>
      <c r="D8552" s="3">
        <f>IF(AND(ISNUMBER(E8552),ISNUMBER(F8552)),MAX(FumigationMaster[TempNum]),"NA")</f>
        <v>100</v>
      </c>
      <c r="E8552" s="3">
        <f>IFERROR(AVERAGE(FumigationMaster[TempNum]),"NA")</f>
        <v>27.67076307897365</v>
      </c>
      <c r="F8552" s="3">
        <f>IFERROR(STDEV(FumigationMaster[TempNum]),"NA")</f>
        <v>9.3418475822960172</v>
      </c>
    </row>
    <row r="8553" spans="1:6" x14ac:dyDescent="0.3">
      <c r="A8553" s="3" t="s">
        <v>1595</v>
      </c>
      <c r="B8553" s="3" t="s">
        <v>1527</v>
      </c>
      <c r="C8553" s="3">
        <f>IF(AND(ISNUMBER(E8553),ISNUMBER(F8553)),MIN(FumigationMaster[RHNum]),"NA")</f>
        <v>30</v>
      </c>
      <c r="D8553" s="3">
        <f>IF(AND(ISNUMBER(E8553),ISNUMBER(F8553)),MAX(FumigationMaster[RHNum]),"NA")</f>
        <v>95</v>
      </c>
      <c r="E8553" s="3">
        <f>IFERROR(AVERAGE(FumigationMaster[RHNum]),"NA")</f>
        <v>68.96368632707771</v>
      </c>
      <c r="F8553" s="3">
        <f>IFERROR(STDEV(FumigationMaster[RHNum]),"NA")</f>
        <v>14.095256076615762</v>
      </c>
    </row>
    <row r="8554" spans="1:6" x14ac:dyDescent="0.3">
      <c r="A8554" s="3" t="s">
        <v>1596</v>
      </c>
      <c r="B8554" s="3" t="s">
        <v>1597</v>
      </c>
      <c r="C8554" s="3">
        <f>IF(AND(ISNUMBER(E8554),ISNUMBER(F8554)),MIN(FumigationMaster[ContTimeNumMin]),"NA")</f>
        <v>0</v>
      </c>
      <c r="D8554" s="3">
        <f>IF(AND(ISNUMBER(E8554),ISNUMBER(F8554)),MAX(FumigationMaster[ContTimeNumMin]),"NA")</f>
        <v>20160</v>
      </c>
      <c r="E8554" s="3">
        <f>IFERROR(AVERAGE(FumigationMaster[ContTimeNumMin]),"NA")</f>
        <v>719.60927460756193</v>
      </c>
      <c r="F8554" s="3">
        <f>IFERROR(STDEV(FumigationMaster[ContTimeNumMin]),"NA")</f>
        <v>1497.6987986067013</v>
      </c>
    </row>
    <row r="8555" spans="1:6" x14ac:dyDescent="0.3">
      <c r="A8555" s="3" t="s">
        <v>1598</v>
      </c>
      <c r="B8555" s="3" t="str" cm="1">
        <f t="array" ref="B8555">IFERROR(IF(IF(COUNTA(FumigationMaster[ConcDoseUn]),COUNTIF(FumigationMaster[ConcDoseUn],INDEX(FumigationMaster[ConcDoseUn],MATCH(TRUE,FumigationMaster[ConcDoseUn]&lt;&gt;"",0)))=COUNTIF(FumigationMaster[ConcDoseUn],"&lt;&gt;"),""),INDEX(FumigationMaster[ConcDoseUn],MATCH(TRUE,FumigationMaster[ConcDoseUn]&lt;&gt;"",0)), "multiple units given"),"NA")</f>
        <v>multiple units given</v>
      </c>
      <c r="C8555" s="3">
        <f>IF(AND(ISNUMBER(E8555),ISNUMBER(F8555)),MIN(FumigationMaster[ConcDoseNum]),"NA")</f>
        <v>0</v>
      </c>
      <c r="D8555" s="3">
        <f>IF(AND(ISNUMBER(E8555),ISNUMBER(F8555)),MAX(FumigationMaster[ConcDoseNum]),"NA")</f>
        <v>50000</v>
      </c>
      <c r="E8555" s="3">
        <f>IFERROR(AVERAGE(FumigationMaster[ConcDoseNum]),"NA")</f>
        <v>2106.5337123745835</v>
      </c>
      <c r="F8555" s="3">
        <f>IFERROR(STDEV(FumigationMaster[ConcDoseNum]),"NA")</f>
        <v>4652.5586354722909</v>
      </c>
    </row>
    <row r="8556" spans="1:6" x14ac:dyDescent="0.3">
      <c r="A8556" s="3" t="s">
        <v>1599</v>
      </c>
      <c r="B8556" s="3" t="str" cm="1">
        <f t="array" ref="B8556">IFERROR(IF(IF(COUNTA(FumigationMaster[EffMeas]),COUNTIF(FumigationMaster[EffMeas],INDEX(FumigationMaster[EffMeas],MATCH(TRUE,FumigationMaster[EffMeas]&lt;&gt;"",0)))=COUNTIF(FumigationMaster[EffMeas],"&lt;&gt;"),""),INDEX(FumigationMaster[EffMeas],MATCH(TRUE,FumigationMaster[EffMeas]&lt;&gt;"",0)), "multiple units given"),"NA")</f>
        <v>multiple units given</v>
      </c>
      <c r="C8556" s="3">
        <f>IF(AND(ISNUMBER(E8556),ISNUMBER(F8556)),MIN(FumigationMaster[Eff]),"NA")</f>
        <v>-2.8416375079047498</v>
      </c>
      <c r="D8556" s="3">
        <f>IF(AND(ISNUMBER(E8556),ISNUMBER(F8556)),MAX(FumigationMaster[Eff]),"NA")</f>
        <v>30</v>
      </c>
      <c r="E8556" s="3">
        <f>IFERROR(AVERAGE(FumigationMaster[Eff]),"NA")</f>
        <v>4.575824369215316</v>
      </c>
      <c r="F8556" s="3">
        <f>IFERROR(STDEV(FumigationMaster[Eff]),"NA")</f>
        <v>4.0779486560481093</v>
      </c>
    </row>
    <row r="8557" spans="1:6" x14ac:dyDescent="0.3">
      <c r="A8557" s="3" t="s">
        <v>1600</v>
      </c>
      <c r="B8557" s="3" t="str" cm="1">
        <f t="array" ref="B8557">IFERROR(IF(IF(COUNTA(FumigationMaster[ConvertedVolAppUn]),COUNTIF(FumigationMaster[ConvertedVolAppUn],INDEX(FumigationMaster[ConvertedVolAppUn],MATCH(TRUE,FumigationMaster[ConvertedVolAppUn]&lt;&gt;"",0)))=COUNTIF(FumigationMaster[ConvertedVolAppUn],"&lt;&gt;"),""),INDEX(FumigationMaster[ConvertedVolAppUn],MATCH(TRUE,FumigationMaster[ConvertedVolAppUn]&lt;&gt;"",0)), "multiple units given"),"NA")</f>
        <v>mL</v>
      </c>
      <c r="C8557" s="3">
        <f>IF(AND(ISNUMBER(E8557),ISNUMBER(F8557)),MIN(FumigationMaster[ConvertedVolApp]),"NA")</f>
        <v>4.1700000000000001E-3</v>
      </c>
      <c r="D8557" s="3">
        <f>IF(AND(ISNUMBER(E8557),ISNUMBER(F8557)),MAX(FumigationMaster[ConvertedVolApp]),"NA")</f>
        <v>1.0240000000000001E-2</v>
      </c>
      <c r="E8557" s="3">
        <f>IFERROR(AVERAGE(FumigationMaster[ConvertedVolApp]),"NA")</f>
        <v>6.9300000000000013E-3</v>
      </c>
      <c r="F8557" s="3">
        <f>IFERROR(STDEV(FumigationMaster[ConvertedVolApp]),"NA")</f>
        <v>2.6199375426282073E-3</v>
      </c>
    </row>
  </sheetData>
  <conditionalFormatting sqref="B8549:B8557">
    <cfRule type="cellIs" dxfId="60" priority="1" operator="equal">
      <formula>"multiple units given"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33"/>
  <sheetViews>
    <sheetView workbookViewId="0">
      <selection activeCell="G20" sqref="G20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213</v>
      </c>
      <c r="C2" t="s">
        <v>214</v>
      </c>
      <c r="D2" t="s">
        <v>81</v>
      </c>
      <c r="E2">
        <v>1000000</v>
      </c>
      <c r="H2">
        <v>1.8</v>
      </c>
      <c r="I2" t="s">
        <v>215</v>
      </c>
      <c r="J2">
        <v>1.1612879999999999E-3</v>
      </c>
      <c r="K2" t="s">
        <v>57</v>
      </c>
      <c r="O2">
        <v>42.5</v>
      </c>
      <c r="P2" t="s">
        <v>216</v>
      </c>
      <c r="T2">
        <v>20</v>
      </c>
      <c r="V2">
        <v>50</v>
      </c>
      <c r="W2" t="s">
        <v>217</v>
      </c>
      <c r="X2" t="s">
        <v>218</v>
      </c>
      <c r="Y2">
        <v>7200</v>
      </c>
      <c r="AB2">
        <v>0.83</v>
      </c>
      <c r="AC2" t="s">
        <v>85</v>
      </c>
      <c r="AD2" t="s">
        <v>219</v>
      </c>
      <c r="AE2" t="s">
        <v>138</v>
      </c>
      <c r="AI2">
        <v>5</v>
      </c>
      <c r="AJ2" t="s">
        <v>201</v>
      </c>
      <c r="AK2">
        <v>80</v>
      </c>
      <c r="AL2" t="s">
        <v>220</v>
      </c>
      <c r="AM2">
        <v>0.08</v>
      </c>
      <c r="AN2" t="s">
        <v>82</v>
      </c>
      <c r="AT2" t="s">
        <v>221</v>
      </c>
      <c r="AU2">
        <v>6.8888888888888888E-2</v>
      </c>
      <c r="AV2" t="s">
        <v>222</v>
      </c>
    </row>
    <row r="3" spans="1:53" x14ac:dyDescent="0.3">
      <c r="A3" t="s">
        <v>213</v>
      </c>
      <c r="C3" t="s">
        <v>214</v>
      </c>
      <c r="D3" t="s">
        <v>81</v>
      </c>
      <c r="E3">
        <v>1000000</v>
      </c>
      <c r="H3">
        <v>1.8</v>
      </c>
      <c r="I3" t="s">
        <v>215</v>
      </c>
      <c r="J3">
        <v>1.1612879999999999E-3</v>
      </c>
      <c r="K3" t="s">
        <v>57</v>
      </c>
      <c r="O3">
        <v>42.5</v>
      </c>
      <c r="P3" t="s">
        <v>216</v>
      </c>
      <c r="T3">
        <v>20</v>
      </c>
      <c r="V3">
        <v>50</v>
      </c>
      <c r="W3" t="s">
        <v>217</v>
      </c>
      <c r="X3" t="s">
        <v>218</v>
      </c>
      <c r="Y3">
        <v>7200</v>
      </c>
      <c r="AB3">
        <v>4.59</v>
      </c>
      <c r="AC3" t="s">
        <v>85</v>
      </c>
      <c r="AD3" t="s">
        <v>223</v>
      </c>
      <c r="AE3" t="s">
        <v>138</v>
      </c>
      <c r="AI3">
        <v>5</v>
      </c>
      <c r="AJ3" t="s">
        <v>201</v>
      </c>
      <c r="AK3">
        <v>160</v>
      </c>
      <c r="AL3" t="s">
        <v>220</v>
      </c>
      <c r="AM3">
        <v>0.16</v>
      </c>
      <c r="AN3" t="s">
        <v>82</v>
      </c>
      <c r="AT3" t="s">
        <v>221</v>
      </c>
      <c r="AU3">
        <v>0.1377777777777778</v>
      </c>
      <c r="AV3" t="s">
        <v>222</v>
      </c>
    </row>
    <row r="4" spans="1:53" x14ac:dyDescent="0.3">
      <c r="A4" t="s">
        <v>213</v>
      </c>
      <c r="C4" t="s">
        <v>214</v>
      </c>
      <c r="D4" t="s">
        <v>81</v>
      </c>
      <c r="E4">
        <v>1000000</v>
      </c>
      <c r="H4">
        <v>1.8</v>
      </c>
      <c r="I4" t="s">
        <v>215</v>
      </c>
      <c r="J4">
        <v>1.1612879999999999E-3</v>
      </c>
      <c r="K4" t="s">
        <v>57</v>
      </c>
      <c r="O4">
        <v>42.5</v>
      </c>
      <c r="P4" t="s">
        <v>216</v>
      </c>
      <c r="T4">
        <v>20</v>
      </c>
      <c r="V4">
        <v>50</v>
      </c>
      <c r="W4" t="s">
        <v>217</v>
      </c>
      <c r="X4" t="s">
        <v>218</v>
      </c>
      <c r="Y4">
        <v>10080</v>
      </c>
      <c r="AB4">
        <v>6.01</v>
      </c>
      <c r="AC4" t="s">
        <v>85</v>
      </c>
      <c r="AD4" t="s">
        <v>224</v>
      </c>
      <c r="AE4" t="s">
        <v>138</v>
      </c>
      <c r="AI4">
        <v>5</v>
      </c>
      <c r="AJ4" t="s">
        <v>201</v>
      </c>
      <c r="AK4">
        <v>160</v>
      </c>
      <c r="AL4" t="s">
        <v>220</v>
      </c>
      <c r="AM4">
        <v>0.16</v>
      </c>
      <c r="AN4" t="s">
        <v>82</v>
      </c>
      <c r="AT4" t="s">
        <v>221</v>
      </c>
      <c r="AU4">
        <v>0.1377777777777778</v>
      </c>
      <c r="AV4" t="s">
        <v>222</v>
      </c>
    </row>
    <row r="5" spans="1:53" x14ac:dyDescent="0.3">
      <c r="A5" t="s">
        <v>213</v>
      </c>
      <c r="C5" t="s">
        <v>214</v>
      </c>
      <c r="D5" t="s">
        <v>81</v>
      </c>
      <c r="E5">
        <v>1000000</v>
      </c>
      <c r="H5">
        <v>1.8</v>
      </c>
      <c r="I5" t="s">
        <v>215</v>
      </c>
      <c r="J5">
        <v>1.1612879999999999E-3</v>
      </c>
      <c r="K5" t="s">
        <v>57</v>
      </c>
      <c r="O5">
        <v>42.5</v>
      </c>
      <c r="P5" t="s">
        <v>216</v>
      </c>
      <c r="T5">
        <v>20</v>
      </c>
      <c r="V5">
        <v>50</v>
      </c>
      <c r="W5" t="s">
        <v>217</v>
      </c>
      <c r="X5" t="s">
        <v>218</v>
      </c>
      <c r="Y5">
        <v>10080</v>
      </c>
      <c r="AB5">
        <v>3.77</v>
      </c>
      <c r="AC5" t="s">
        <v>85</v>
      </c>
      <c r="AD5" t="s">
        <v>225</v>
      </c>
      <c r="AE5" t="s">
        <v>138</v>
      </c>
      <c r="AI5">
        <v>5</v>
      </c>
      <c r="AJ5" t="s">
        <v>201</v>
      </c>
      <c r="AK5">
        <v>160</v>
      </c>
      <c r="AL5" t="s">
        <v>220</v>
      </c>
      <c r="AM5">
        <v>0.16</v>
      </c>
      <c r="AN5" t="s">
        <v>82</v>
      </c>
      <c r="AT5" t="s">
        <v>221</v>
      </c>
      <c r="AU5">
        <v>0.1377777777777778</v>
      </c>
      <c r="AV5" t="s">
        <v>222</v>
      </c>
    </row>
    <row r="6" spans="1:53" x14ac:dyDescent="0.3">
      <c r="A6" t="s">
        <v>213</v>
      </c>
      <c r="C6" t="s">
        <v>214</v>
      </c>
      <c r="D6" t="s">
        <v>81</v>
      </c>
      <c r="E6">
        <v>1000000</v>
      </c>
      <c r="H6">
        <v>1.8</v>
      </c>
      <c r="I6" t="s">
        <v>215</v>
      </c>
      <c r="J6">
        <v>1.1612879999999999E-3</v>
      </c>
      <c r="K6" t="s">
        <v>57</v>
      </c>
      <c r="O6">
        <v>42.5</v>
      </c>
      <c r="P6" t="s">
        <v>216</v>
      </c>
      <c r="T6">
        <v>20</v>
      </c>
      <c r="V6">
        <v>50</v>
      </c>
      <c r="W6" t="s">
        <v>217</v>
      </c>
      <c r="X6" t="s">
        <v>218</v>
      </c>
      <c r="Y6">
        <v>10080</v>
      </c>
      <c r="AB6">
        <v>6.52</v>
      </c>
      <c r="AC6" t="s">
        <v>85</v>
      </c>
      <c r="AD6" t="s">
        <v>226</v>
      </c>
      <c r="AE6" t="s">
        <v>138</v>
      </c>
      <c r="AI6">
        <v>5</v>
      </c>
      <c r="AJ6" t="s">
        <v>201</v>
      </c>
      <c r="AK6">
        <v>160</v>
      </c>
      <c r="AL6" t="s">
        <v>220</v>
      </c>
      <c r="AM6">
        <v>0.16</v>
      </c>
      <c r="AN6" t="s">
        <v>82</v>
      </c>
      <c r="AT6" t="s">
        <v>221</v>
      </c>
      <c r="AU6">
        <v>0.1377777777777778</v>
      </c>
      <c r="AV6" t="s">
        <v>222</v>
      </c>
    </row>
    <row r="7" spans="1:53" x14ac:dyDescent="0.3">
      <c r="A7" t="s">
        <v>213</v>
      </c>
      <c r="C7" t="s">
        <v>214</v>
      </c>
      <c r="D7" t="s">
        <v>81</v>
      </c>
      <c r="E7">
        <v>1000000</v>
      </c>
      <c r="H7">
        <v>1.8</v>
      </c>
      <c r="I7" t="s">
        <v>215</v>
      </c>
      <c r="J7">
        <v>1.1612879999999999E-3</v>
      </c>
      <c r="K7" t="s">
        <v>57</v>
      </c>
      <c r="O7">
        <v>42.5</v>
      </c>
      <c r="P7" t="s">
        <v>216</v>
      </c>
      <c r="T7">
        <v>20</v>
      </c>
      <c r="V7">
        <v>50</v>
      </c>
      <c r="W7" t="s">
        <v>217</v>
      </c>
      <c r="X7" t="s">
        <v>218</v>
      </c>
      <c r="Y7">
        <v>20160</v>
      </c>
      <c r="AA7" t="s">
        <v>94</v>
      </c>
      <c r="AB7">
        <v>7.84</v>
      </c>
      <c r="AC7" t="s">
        <v>85</v>
      </c>
      <c r="AD7" t="s">
        <v>227</v>
      </c>
      <c r="AE7" t="s">
        <v>138</v>
      </c>
      <c r="AI7">
        <v>5</v>
      </c>
      <c r="AJ7" t="s">
        <v>201</v>
      </c>
      <c r="AK7">
        <v>160</v>
      </c>
      <c r="AL7" t="s">
        <v>220</v>
      </c>
      <c r="AM7">
        <v>0.16</v>
      </c>
      <c r="AN7" t="s">
        <v>82</v>
      </c>
      <c r="AT7" t="s">
        <v>221</v>
      </c>
      <c r="AU7">
        <v>0.1377777777777778</v>
      </c>
      <c r="AV7" t="s">
        <v>222</v>
      </c>
      <c r="AZ7">
        <v>0</v>
      </c>
      <c r="BA7">
        <v>7.84</v>
      </c>
    </row>
    <row r="8" spans="1:53" x14ac:dyDescent="0.3">
      <c r="A8" t="s">
        <v>213</v>
      </c>
      <c r="C8" t="s">
        <v>214</v>
      </c>
      <c r="D8" t="s">
        <v>81</v>
      </c>
      <c r="E8">
        <v>10000000</v>
      </c>
      <c r="H8">
        <v>1.8</v>
      </c>
      <c r="I8" t="s">
        <v>215</v>
      </c>
      <c r="J8">
        <v>1.1612879999999999E-3</v>
      </c>
      <c r="K8" t="s">
        <v>57</v>
      </c>
      <c r="O8">
        <v>42.5</v>
      </c>
      <c r="P8" t="s">
        <v>216</v>
      </c>
      <c r="T8">
        <v>20</v>
      </c>
      <c r="V8">
        <v>50</v>
      </c>
      <c r="W8" t="s">
        <v>217</v>
      </c>
      <c r="X8" t="s">
        <v>218</v>
      </c>
      <c r="Y8">
        <v>10080</v>
      </c>
      <c r="AB8">
        <v>1.89</v>
      </c>
      <c r="AC8" t="s">
        <v>85</v>
      </c>
      <c r="AD8" t="s">
        <v>228</v>
      </c>
      <c r="AE8" t="s">
        <v>138</v>
      </c>
      <c r="AI8">
        <v>5</v>
      </c>
      <c r="AJ8" t="s">
        <v>201</v>
      </c>
      <c r="AK8">
        <v>160</v>
      </c>
      <c r="AL8" t="s">
        <v>220</v>
      </c>
      <c r="AM8">
        <v>0.16</v>
      </c>
      <c r="AN8" t="s">
        <v>82</v>
      </c>
      <c r="AT8" t="s">
        <v>221</v>
      </c>
      <c r="AU8">
        <v>0.1377777777777778</v>
      </c>
      <c r="AV8" t="s">
        <v>222</v>
      </c>
    </row>
    <row r="9" spans="1:53" x14ac:dyDescent="0.3">
      <c r="A9" t="s">
        <v>213</v>
      </c>
      <c r="C9" t="s">
        <v>214</v>
      </c>
      <c r="D9" t="s">
        <v>81</v>
      </c>
      <c r="E9">
        <v>10000000</v>
      </c>
      <c r="H9">
        <v>1.8</v>
      </c>
      <c r="I9" t="s">
        <v>215</v>
      </c>
      <c r="J9">
        <v>1.1612879999999999E-3</v>
      </c>
      <c r="K9" t="s">
        <v>57</v>
      </c>
      <c r="O9">
        <v>42.5</v>
      </c>
      <c r="P9" t="s">
        <v>216</v>
      </c>
      <c r="T9">
        <v>20</v>
      </c>
      <c r="V9">
        <v>50</v>
      </c>
      <c r="W9" t="s">
        <v>217</v>
      </c>
      <c r="X9" t="s">
        <v>218</v>
      </c>
      <c r="Y9">
        <v>20160</v>
      </c>
      <c r="AB9">
        <v>2.98</v>
      </c>
      <c r="AC9" t="s">
        <v>85</v>
      </c>
      <c r="AD9" t="s">
        <v>104</v>
      </c>
      <c r="AE9" t="s">
        <v>138</v>
      </c>
      <c r="AI9">
        <v>5</v>
      </c>
      <c r="AJ9" t="s">
        <v>201</v>
      </c>
      <c r="AK9">
        <v>160</v>
      </c>
      <c r="AL9" t="s">
        <v>220</v>
      </c>
      <c r="AM9">
        <v>0.16</v>
      </c>
      <c r="AN9" t="s">
        <v>82</v>
      </c>
      <c r="AT9" t="s">
        <v>221</v>
      </c>
      <c r="AU9">
        <v>0.1377777777777778</v>
      </c>
      <c r="AV9" t="s">
        <v>222</v>
      </c>
    </row>
    <row r="10" spans="1:53" x14ac:dyDescent="0.3">
      <c r="A10" t="s">
        <v>213</v>
      </c>
      <c r="C10" t="s">
        <v>214</v>
      </c>
      <c r="D10" t="s">
        <v>81</v>
      </c>
      <c r="E10">
        <v>10000000</v>
      </c>
      <c r="H10">
        <v>1.8</v>
      </c>
      <c r="I10" t="s">
        <v>215</v>
      </c>
      <c r="J10">
        <v>1.1612879999999999E-3</v>
      </c>
      <c r="K10" t="s">
        <v>57</v>
      </c>
      <c r="O10">
        <v>42.5</v>
      </c>
      <c r="P10" t="s">
        <v>216</v>
      </c>
      <c r="T10">
        <v>20</v>
      </c>
      <c r="V10">
        <v>50</v>
      </c>
      <c r="W10" t="s">
        <v>229</v>
      </c>
      <c r="X10" t="s">
        <v>218</v>
      </c>
      <c r="Y10">
        <v>7200</v>
      </c>
      <c r="AB10">
        <v>7.22</v>
      </c>
      <c r="AC10" t="s">
        <v>85</v>
      </c>
      <c r="AD10" t="s">
        <v>230</v>
      </c>
      <c r="AE10" t="s">
        <v>138</v>
      </c>
      <c r="AI10">
        <v>5</v>
      </c>
      <c r="AJ10" t="s">
        <v>201</v>
      </c>
      <c r="AK10">
        <v>80</v>
      </c>
      <c r="AL10" t="s">
        <v>220</v>
      </c>
      <c r="AM10">
        <v>0.08</v>
      </c>
      <c r="AN10" t="s">
        <v>82</v>
      </c>
      <c r="AU10">
        <v>6.8888888888888888E-2</v>
      </c>
      <c r="AV10" t="s">
        <v>222</v>
      </c>
    </row>
    <row r="11" spans="1:53" x14ac:dyDescent="0.3">
      <c r="A11" t="s">
        <v>213</v>
      </c>
      <c r="C11" t="s">
        <v>214</v>
      </c>
      <c r="D11" t="s">
        <v>81</v>
      </c>
      <c r="E11">
        <v>10000000</v>
      </c>
      <c r="H11">
        <v>1.8</v>
      </c>
      <c r="I11" t="s">
        <v>215</v>
      </c>
      <c r="J11">
        <v>1.1612879999999999E-3</v>
      </c>
      <c r="K11" t="s">
        <v>57</v>
      </c>
      <c r="O11">
        <v>42.5</v>
      </c>
      <c r="P11" t="s">
        <v>216</v>
      </c>
      <c r="T11">
        <v>20</v>
      </c>
      <c r="V11">
        <v>50</v>
      </c>
      <c r="W11" t="s">
        <v>229</v>
      </c>
      <c r="X11" t="s">
        <v>218</v>
      </c>
      <c r="Y11">
        <v>7200</v>
      </c>
      <c r="AA11" t="s">
        <v>94</v>
      </c>
      <c r="AB11">
        <v>7.77</v>
      </c>
      <c r="AC11" t="s">
        <v>85</v>
      </c>
      <c r="AD11" t="s">
        <v>231</v>
      </c>
      <c r="AE11" t="s">
        <v>138</v>
      </c>
      <c r="AI11">
        <v>5</v>
      </c>
      <c r="AJ11" t="s">
        <v>201</v>
      </c>
      <c r="AK11">
        <v>160</v>
      </c>
      <c r="AL11" t="s">
        <v>220</v>
      </c>
      <c r="AM11">
        <v>0.16</v>
      </c>
      <c r="AN11" t="s">
        <v>82</v>
      </c>
      <c r="AU11">
        <v>0.1377777777777778</v>
      </c>
      <c r="AV11" t="s">
        <v>222</v>
      </c>
      <c r="AZ11">
        <v>0</v>
      </c>
      <c r="BA11">
        <v>7.77</v>
      </c>
    </row>
    <row r="12" spans="1:53" x14ac:dyDescent="0.3">
      <c r="A12" t="s">
        <v>213</v>
      </c>
      <c r="C12" t="s">
        <v>214</v>
      </c>
      <c r="D12" t="s">
        <v>81</v>
      </c>
      <c r="E12">
        <v>10000000</v>
      </c>
      <c r="H12">
        <v>1.8</v>
      </c>
      <c r="I12" t="s">
        <v>215</v>
      </c>
      <c r="J12">
        <v>1.1612879999999999E-3</v>
      </c>
      <c r="K12" t="s">
        <v>57</v>
      </c>
      <c r="O12">
        <v>42.5</v>
      </c>
      <c r="P12" t="s">
        <v>216</v>
      </c>
      <c r="T12">
        <v>20</v>
      </c>
      <c r="V12">
        <v>50</v>
      </c>
      <c r="W12" t="s">
        <v>229</v>
      </c>
      <c r="X12" t="s">
        <v>218</v>
      </c>
      <c r="Y12">
        <v>10080</v>
      </c>
      <c r="AA12" t="s">
        <v>94</v>
      </c>
      <c r="AB12">
        <v>7.81</v>
      </c>
      <c r="AC12" t="s">
        <v>85</v>
      </c>
      <c r="AD12" t="s">
        <v>232</v>
      </c>
      <c r="AE12" t="s">
        <v>138</v>
      </c>
      <c r="AI12">
        <v>5</v>
      </c>
      <c r="AJ12" t="s">
        <v>201</v>
      </c>
      <c r="AK12">
        <v>160</v>
      </c>
      <c r="AL12" t="s">
        <v>220</v>
      </c>
      <c r="AM12">
        <v>0.16</v>
      </c>
      <c r="AN12" t="s">
        <v>82</v>
      </c>
      <c r="AU12">
        <v>0.1377777777777778</v>
      </c>
      <c r="AV12" t="s">
        <v>222</v>
      </c>
      <c r="AZ12">
        <v>0</v>
      </c>
      <c r="BA12">
        <v>7.81</v>
      </c>
    </row>
    <row r="13" spans="1:53" x14ac:dyDescent="0.3">
      <c r="A13" t="s">
        <v>213</v>
      </c>
      <c r="C13" t="s">
        <v>214</v>
      </c>
      <c r="D13" t="s">
        <v>81</v>
      </c>
      <c r="E13">
        <v>10000000</v>
      </c>
      <c r="H13">
        <v>1.8</v>
      </c>
      <c r="I13" t="s">
        <v>215</v>
      </c>
      <c r="J13">
        <v>1.1612879999999999E-3</v>
      </c>
      <c r="K13" t="s">
        <v>57</v>
      </c>
      <c r="O13">
        <v>42.5</v>
      </c>
      <c r="P13" t="s">
        <v>216</v>
      </c>
      <c r="T13">
        <v>20</v>
      </c>
      <c r="V13">
        <v>50</v>
      </c>
      <c r="W13" t="s">
        <v>229</v>
      </c>
      <c r="X13" t="s">
        <v>218</v>
      </c>
      <c r="Y13">
        <v>10080</v>
      </c>
      <c r="AA13" t="s">
        <v>94</v>
      </c>
      <c r="AB13">
        <v>7.68</v>
      </c>
      <c r="AC13" t="s">
        <v>85</v>
      </c>
      <c r="AD13" t="s">
        <v>233</v>
      </c>
      <c r="AE13" t="s">
        <v>138</v>
      </c>
      <c r="AI13">
        <v>5</v>
      </c>
      <c r="AJ13" t="s">
        <v>201</v>
      </c>
      <c r="AK13">
        <v>160</v>
      </c>
      <c r="AL13" t="s">
        <v>220</v>
      </c>
      <c r="AM13">
        <v>0.16</v>
      </c>
      <c r="AN13" t="s">
        <v>82</v>
      </c>
      <c r="AU13">
        <v>0.1377777777777778</v>
      </c>
      <c r="AV13" t="s">
        <v>222</v>
      </c>
      <c r="AZ13">
        <v>0</v>
      </c>
      <c r="BA13">
        <v>7.68</v>
      </c>
    </row>
    <row r="14" spans="1:53" x14ac:dyDescent="0.3">
      <c r="A14" t="s">
        <v>213</v>
      </c>
      <c r="C14" t="s">
        <v>214</v>
      </c>
      <c r="D14" t="s">
        <v>81</v>
      </c>
      <c r="E14">
        <v>10000000</v>
      </c>
      <c r="H14">
        <v>1.8</v>
      </c>
      <c r="I14" t="s">
        <v>215</v>
      </c>
      <c r="J14">
        <v>1.1612879999999999E-3</v>
      </c>
      <c r="K14" t="s">
        <v>57</v>
      </c>
      <c r="O14">
        <v>42.5</v>
      </c>
      <c r="P14" t="s">
        <v>216</v>
      </c>
      <c r="T14">
        <v>20</v>
      </c>
      <c r="V14">
        <v>50</v>
      </c>
      <c r="W14" t="s">
        <v>229</v>
      </c>
      <c r="X14" t="s">
        <v>218</v>
      </c>
      <c r="Y14">
        <v>10080</v>
      </c>
      <c r="AA14" t="s">
        <v>94</v>
      </c>
      <c r="AB14">
        <v>7.91</v>
      </c>
      <c r="AC14" t="s">
        <v>85</v>
      </c>
      <c r="AD14" t="s">
        <v>234</v>
      </c>
      <c r="AE14" t="s">
        <v>138</v>
      </c>
      <c r="AI14">
        <v>5</v>
      </c>
      <c r="AJ14" t="s">
        <v>201</v>
      </c>
      <c r="AK14">
        <v>160</v>
      </c>
      <c r="AL14" t="s">
        <v>220</v>
      </c>
      <c r="AM14">
        <v>0.16</v>
      </c>
      <c r="AN14" t="s">
        <v>82</v>
      </c>
      <c r="AU14">
        <v>0.1377777777777778</v>
      </c>
      <c r="AV14" t="s">
        <v>222</v>
      </c>
      <c r="AZ14">
        <v>0</v>
      </c>
      <c r="BA14">
        <v>7.91</v>
      </c>
    </row>
    <row r="15" spans="1:53" x14ac:dyDescent="0.3">
      <c r="A15" t="s">
        <v>213</v>
      </c>
      <c r="C15" t="s">
        <v>214</v>
      </c>
      <c r="D15" t="s">
        <v>81</v>
      </c>
      <c r="E15">
        <v>10000000</v>
      </c>
      <c r="H15">
        <v>1.8</v>
      </c>
      <c r="I15" t="s">
        <v>215</v>
      </c>
      <c r="J15">
        <v>1.1612879999999999E-3</v>
      </c>
      <c r="K15" t="s">
        <v>57</v>
      </c>
      <c r="O15">
        <v>42.5</v>
      </c>
      <c r="P15" t="s">
        <v>216</v>
      </c>
      <c r="T15">
        <v>20</v>
      </c>
      <c r="V15">
        <v>50</v>
      </c>
      <c r="W15" t="s">
        <v>229</v>
      </c>
      <c r="X15" t="s">
        <v>218</v>
      </c>
      <c r="Y15">
        <v>20160</v>
      </c>
      <c r="AA15" t="s">
        <v>94</v>
      </c>
      <c r="AB15">
        <v>7.79</v>
      </c>
      <c r="AC15" t="s">
        <v>85</v>
      </c>
      <c r="AD15" t="s">
        <v>235</v>
      </c>
      <c r="AE15" t="s">
        <v>138</v>
      </c>
      <c r="AI15">
        <v>5</v>
      </c>
      <c r="AJ15" t="s">
        <v>201</v>
      </c>
      <c r="AK15">
        <v>160</v>
      </c>
      <c r="AL15" t="s">
        <v>220</v>
      </c>
      <c r="AM15">
        <v>0.16</v>
      </c>
      <c r="AN15" t="s">
        <v>82</v>
      </c>
      <c r="AU15">
        <v>0.1377777777777778</v>
      </c>
      <c r="AV15" t="s">
        <v>222</v>
      </c>
      <c r="AZ15">
        <v>0</v>
      </c>
      <c r="BA15">
        <v>7.79</v>
      </c>
    </row>
    <row r="16" spans="1:53" x14ac:dyDescent="0.3">
      <c r="A16" t="s">
        <v>213</v>
      </c>
      <c r="C16" t="s">
        <v>214</v>
      </c>
      <c r="D16" t="s">
        <v>81</v>
      </c>
      <c r="E16">
        <v>10000000</v>
      </c>
      <c r="H16">
        <v>1.8</v>
      </c>
      <c r="I16" t="s">
        <v>215</v>
      </c>
      <c r="J16">
        <v>1.1612879999999999E-3</v>
      </c>
      <c r="K16" t="s">
        <v>57</v>
      </c>
      <c r="O16">
        <v>42.5</v>
      </c>
      <c r="P16" t="s">
        <v>216</v>
      </c>
      <c r="T16">
        <v>20</v>
      </c>
      <c r="V16">
        <v>50</v>
      </c>
      <c r="W16" t="s">
        <v>229</v>
      </c>
      <c r="X16" t="s">
        <v>218</v>
      </c>
      <c r="Y16">
        <v>10080</v>
      </c>
      <c r="AA16" t="s">
        <v>94</v>
      </c>
      <c r="AB16">
        <v>7.81</v>
      </c>
      <c r="AC16" t="s">
        <v>85</v>
      </c>
      <c r="AD16" t="s">
        <v>227</v>
      </c>
      <c r="AE16" t="s">
        <v>138</v>
      </c>
      <c r="AI16">
        <v>5</v>
      </c>
      <c r="AJ16" t="s">
        <v>201</v>
      </c>
      <c r="AK16">
        <v>160</v>
      </c>
      <c r="AL16" t="s">
        <v>220</v>
      </c>
      <c r="AM16">
        <v>0.16</v>
      </c>
      <c r="AN16" t="s">
        <v>82</v>
      </c>
      <c r="AU16">
        <v>0.1377777777777778</v>
      </c>
      <c r="AV16" t="s">
        <v>222</v>
      </c>
      <c r="AZ16">
        <v>0</v>
      </c>
      <c r="BA16">
        <v>7.81</v>
      </c>
    </row>
    <row r="17" spans="1:53" x14ac:dyDescent="0.3">
      <c r="A17" t="s">
        <v>213</v>
      </c>
      <c r="C17" t="s">
        <v>214</v>
      </c>
      <c r="D17" t="s">
        <v>81</v>
      </c>
      <c r="E17">
        <v>10000000</v>
      </c>
      <c r="H17">
        <v>1.8</v>
      </c>
      <c r="I17" t="s">
        <v>215</v>
      </c>
      <c r="J17">
        <v>1.1612879999999999E-3</v>
      </c>
      <c r="K17" t="s">
        <v>57</v>
      </c>
      <c r="O17">
        <v>42.5</v>
      </c>
      <c r="P17" t="s">
        <v>216</v>
      </c>
      <c r="T17">
        <v>20</v>
      </c>
      <c r="V17">
        <v>50</v>
      </c>
      <c r="W17" t="s">
        <v>229</v>
      </c>
      <c r="X17" t="s">
        <v>218</v>
      </c>
      <c r="Y17">
        <v>20160</v>
      </c>
      <c r="AA17" t="s">
        <v>94</v>
      </c>
      <c r="AB17">
        <v>7.74</v>
      </c>
      <c r="AC17" t="s">
        <v>85</v>
      </c>
      <c r="AD17" t="s">
        <v>236</v>
      </c>
      <c r="AE17" t="s">
        <v>138</v>
      </c>
      <c r="AI17">
        <v>5</v>
      </c>
      <c r="AJ17" t="s">
        <v>201</v>
      </c>
      <c r="AK17">
        <v>160</v>
      </c>
      <c r="AL17" t="s">
        <v>220</v>
      </c>
      <c r="AM17">
        <v>0.16</v>
      </c>
      <c r="AN17" t="s">
        <v>82</v>
      </c>
      <c r="AU17">
        <v>0.1377777777777778</v>
      </c>
      <c r="AV17" t="s">
        <v>222</v>
      </c>
      <c r="AZ17">
        <v>0</v>
      </c>
      <c r="BA17">
        <v>7.74</v>
      </c>
    </row>
    <row r="18" spans="1:53" x14ac:dyDescent="0.3">
      <c r="A18" t="s">
        <v>213</v>
      </c>
      <c r="C18" t="s">
        <v>214</v>
      </c>
      <c r="D18" t="s">
        <v>81</v>
      </c>
      <c r="E18">
        <v>10000000</v>
      </c>
      <c r="H18">
        <v>1.8</v>
      </c>
      <c r="I18" t="s">
        <v>215</v>
      </c>
      <c r="J18">
        <v>1.1612879999999999E-3</v>
      </c>
      <c r="K18" t="s">
        <v>57</v>
      </c>
      <c r="O18">
        <v>42.5</v>
      </c>
      <c r="P18" t="s">
        <v>216</v>
      </c>
      <c r="T18">
        <v>20</v>
      </c>
      <c r="V18">
        <v>50</v>
      </c>
      <c r="W18" t="s">
        <v>217</v>
      </c>
      <c r="X18" t="s">
        <v>218</v>
      </c>
      <c r="Y18">
        <v>7200</v>
      </c>
      <c r="AB18">
        <v>0.22</v>
      </c>
      <c r="AC18" t="s">
        <v>85</v>
      </c>
      <c r="AD18" t="s">
        <v>237</v>
      </c>
      <c r="AE18" t="s">
        <v>138</v>
      </c>
      <c r="AI18">
        <v>5</v>
      </c>
      <c r="AJ18" t="s">
        <v>201</v>
      </c>
      <c r="AK18">
        <v>80</v>
      </c>
      <c r="AL18" t="s">
        <v>220</v>
      </c>
      <c r="AM18">
        <v>0.08</v>
      </c>
      <c r="AN18" t="s">
        <v>82</v>
      </c>
      <c r="AT18" t="s">
        <v>221</v>
      </c>
      <c r="AU18">
        <v>6.8888888888888888E-2</v>
      </c>
      <c r="AV18" t="s">
        <v>222</v>
      </c>
    </row>
    <row r="19" spans="1:53" x14ac:dyDescent="0.3">
      <c r="A19" t="s">
        <v>213</v>
      </c>
      <c r="C19" t="s">
        <v>214</v>
      </c>
      <c r="D19" t="s">
        <v>81</v>
      </c>
      <c r="E19">
        <v>10000000</v>
      </c>
      <c r="H19">
        <v>1.8</v>
      </c>
      <c r="I19" t="s">
        <v>215</v>
      </c>
      <c r="J19">
        <v>1.1612879999999999E-3</v>
      </c>
      <c r="K19" t="s">
        <v>57</v>
      </c>
      <c r="O19">
        <v>42.5</v>
      </c>
      <c r="P19" t="s">
        <v>216</v>
      </c>
      <c r="T19">
        <v>20</v>
      </c>
      <c r="V19">
        <v>50</v>
      </c>
      <c r="W19" t="s">
        <v>217</v>
      </c>
      <c r="X19" t="s">
        <v>218</v>
      </c>
      <c r="Y19">
        <v>7200</v>
      </c>
      <c r="AB19">
        <v>1.08</v>
      </c>
      <c r="AC19" t="s">
        <v>85</v>
      </c>
      <c r="AD19" t="s">
        <v>238</v>
      </c>
      <c r="AE19" t="s">
        <v>138</v>
      </c>
      <c r="AI19">
        <v>5</v>
      </c>
      <c r="AJ19" t="s">
        <v>201</v>
      </c>
      <c r="AK19">
        <v>160</v>
      </c>
      <c r="AL19" t="s">
        <v>220</v>
      </c>
      <c r="AM19">
        <v>0.16</v>
      </c>
      <c r="AN19" t="s">
        <v>82</v>
      </c>
      <c r="AT19" t="s">
        <v>221</v>
      </c>
      <c r="AU19">
        <v>0.1377777777777778</v>
      </c>
      <c r="AV19" t="s">
        <v>222</v>
      </c>
    </row>
    <row r="20" spans="1:53" x14ac:dyDescent="0.3">
      <c r="A20" t="s">
        <v>213</v>
      </c>
      <c r="C20" t="s">
        <v>214</v>
      </c>
      <c r="D20" t="s">
        <v>81</v>
      </c>
      <c r="E20">
        <v>10000000</v>
      </c>
      <c r="H20">
        <v>1.8</v>
      </c>
      <c r="I20" t="s">
        <v>215</v>
      </c>
      <c r="J20">
        <v>1.1612879999999999E-3</v>
      </c>
      <c r="K20" t="s">
        <v>57</v>
      </c>
      <c r="O20">
        <v>42.5</v>
      </c>
      <c r="P20" t="s">
        <v>216</v>
      </c>
      <c r="T20">
        <v>20</v>
      </c>
      <c r="V20">
        <v>50</v>
      </c>
      <c r="W20" t="s">
        <v>217</v>
      </c>
      <c r="X20" t="s">
        <v>218</v>
      </c>
      <c r="Y20">
        <v>10080</v>
      </c>
      <c r="AB20">
        <v>1.1299999999999899</v>
      </c>
      <c r="AC20" t="s">
        <v>85</v>
      </c>
      <c r="AD20" t="s">
        <v>228</v>
      </c>
      <c r="AE20" t="s">
        <v>138</v>
      </c>
      <c r="AI20">
        <v>5</v>
      </c>
      <c r="AJ20" t="s">
        <v>201</v>
      </c>
      <c r="AK20">
        <v>160</v>
      </c>
      <c r="AL20" t="s">
        <v>220</v>
      </c>
      <c r="AM20">
        <v>0.16</v>
      </c>
      <c r="AN20" t="s">
        <v>82</v>
      </c>
      <c r="AT20" t="s">
        <v>221</v>
      </c>
      <c r="AU20">
        <v>0.1377777777777778</v>
      </c>
      <c r="AV20" t="s">
        <v>222</v>
      </c>
    </row>
    <row r="21" spans="1:53" x14ac:dyDescent="0.3">
      <c r="A21" t="s">
        <v>213</v>
      </c>
      <c r="C21" t="s">
        <v>214</v>
      </c>
      <c r="D21" t="s">
        <v>81</v>
      </c>
      <c r="E21">
        <v>10000000</v>
      </c>
      <c r="H21">
        <v>1.8</v>
      </c>
      <c r="I21" t="s">
        <v>215</v>
      </c>
      <c r="J21">
        <v>1.1612879999999999E-3</v>
      </c>
      <c r="K21" t="s">
        <v>57</v>
      </c>
      <c r="O21">
        <v>42.5</v>
      </c>
      <c r="P21" t="s">
        <v>216</v>
      </c>
      <c r="T21">
        <v>20</v>
      </c>
      <c r="V21">
        <v>50</v>
      </c>
      <c r="W21" t="s">
        <v>217</v>
      </c>
      <c r="X21" t="s">
        <v>218</v>
      </c>
      <c r="Y21">
        <v>10080</v>
      </c>
      <c r="AB21">
        <v>0.66</v>
      </c>
      <c r="AC21" t="s">
        <v>85</v>
      </c>
      <c r="AD21" t="s">
        <v>239</v>
      </c>
      <c r="AE21" t="s">
        <v>138</v>
      </c>
      <c r="AI21">
        <v>5</v>
      </c>
      <c r="AJ21" t="s">
        <v>201</v>
      </c>
      <c r="AK21">
        <v>160</v>
      </c>
      <c r="AL21" t="s">
        <v>220</v>
      </c>
      <c r="AM21">
        <v>0.16</v>
      </c>
      <c r="AN21" t="s">
        <v>82</v>
      </c>
      <c r="AT21" t="s">
        <v>221</v>
      </c>
      <c r="AU21">
        <v>0.1377777777777778</v>
      </c>
      <c r="AV21" t="s">
        <v>222</v>
      </c>
    </row>
    <row r="22" spans="1:53" x14ac:dyDescent="0.3">
      <c r="A22" t="s">
        <v>213</v>
      </c>
      <c r="C22" t="s">
        <v>214</v>
      </c>
      <c r="D22" t="s">
        <v>81</v>
      </c>
      <c r="E22">
        <v>10000000</v>
      </c>
      <c r="H22">
        <v>1.8</v>
      </c>
      <c r="I22" t="s">
        <v>215</v>
      </c>
      <c r="J22">
        <v>1.1612879999999999E-3</v>
      </c>
      <c r="K22" t="s">
        <v>57</v>
      </c>
      <c r="O22">
        <v>42.5</v>
      </c>
      <c r="P22" t="s">
        <v>216</v>
      </c>
      <c r="T22">
        <v>20</v>
      </c>
      <c r="V22">
        <v>50</v>
      </c>
      <c r="W22" t="s">
        <v>217</v>
      </c>
      <c r="X22" t="s">
        <v>218</v>
      </c>
      <c r="Y22">
        <v>10080</v>
      </c>
      <c r="AB22">
        <v>0.63</v>
      </c>
      <c r="AC22" t="s">
        <v>85</v>
      </c>
      <c r="AD22" t="s">
        <v>240</v>
      </c>
      <c r="AE22" t="s">
        <v>138</v>
      </c>
      <c r="AI22">
        <v>5</v>
      </c>
      <c r="AJ22" t="s">
        <v>201</v>
      </c>
      <c r="AK22">
        <v>160</v>
      </c>
      <c r="AL22" t="s">
        <v>220</v>
      </c>
      <c r="AM22">
        <v>0.16</v>
      </c>
      <c r="AN22" t="s">
        <v>82</v>
      </c>
      <c r="AT22" t="s">
        <v>221</v>
      </c>
      <c r="AU22">
        <v>0.1377777777777778</v>
      </c>
      <c r="AV22" t="s">
        <v>222</v>
      </c>
    </row>
    <row r="23" spans="1:53" x14ac:dyDescent="0.3">
      <c r="A23" t="s">
        <v>213</v>
      </c>
      <c r="C23" t="s">
        <v>214</v>
      </c>
      <c r="D23" t="s">
        <v>81</v>
      </c>
      <c r="E23">
        <v>10000000</v>
      </c>
      <c r="H23">
        <v>1.8</v>
      </c>
      <c r="I23" t="s">
        <v>215</v>
      </c>
      <c r="J23">
        <v>1.1612879999999999E-3</v>
      </c>
      <c r="K23" t="s">
        <v>57</v>
      </c>
      <c r="O23">
        <v>42.5</v>
      </c>
      <c r="P23" t="s">
        <v>216</v>
      </c>
      <c r="T23">
        <v>20</v>
      </c>
      <c r="V23">
        <v>50</v>
      </c>
      <c r="W23" t="s">
        <v>217</v>
      </c>
      <c r="X23" t="s">
        <v>218</v>
      </c>
      <c r="Y23">
        <v>20160</v>
      </c>
      <c r="AB23">
        <v>1.1000000000000001</v>
      </c>
      <c r="AC23" t="s">
        <v>85</v>
      </c>
      <c r="AD23" t="s">
        <v>241</v>
      </c>
      <c r="AE23" t="s">
        <v>138</v>
      </c>
      <c r="AI23">
        <v>5</v>
      </c>
      <c r="AJ23" t="s">
        <v>201</v>
      </c>
      <c r="AK23">
        <v>160</v>
      </c>
      <c r="AL23" t="s">
        <v>220</v>
      </c>
      <c r="AM23">
        <v>0.16</v>
      </c>
      <c r="AN23" t="s">
        <v>82</v>
      </c>
      <c r="AT23" t="s">
        <v>221</v>
      </c>
      <c r="AU23">
        <v>0.1377777777777778</v>
      </c>
      <c r="AV23" t="s">
        <v>222</v>
      </c>
    </row>
    <row r="24" spans="1:53" x14ac:dyDescent="0.3">
      <c r="A24" t="s">
        <v>213</v>
      </c>
      <c r="C24" t="s">
        <v>214</v>
      </c>
      <c r="D24" t="s">
        <v>81</v>
      </c>
      <c r="E24">
        <v>10000000</v>
      </c>
      <c r="H24">
        <v>1.8</v>
      </c>
      <c r="I24" t="s">
        <v>215</v>
      </c>
      <c r="J24">
        <v>1.1612879999999999E-3</v>
      </c>
      <c r="K24" t="s">
        <v>57</v>
      </c>
      <c r="O24">
        <v>42.5</v>
      </c>
      <c r="P24" t="s">
        <v>216</v>
      </c>
      <c r="T24">
        <v>20</v>
      </c>
      <c r="V24">
        <v>50</v>
      </c>
      <c r="W24" t="s">
        <v>217</v>
      </c>
      <c r="X24" t="s">
        <v>218</v>
      </c>
      <c r="Y24">
        <v>10080</v>
      </c>
      <c r="AB24">
        <v>0.68</v>
      </c>
      <c r="AC24" t="s">
        <v>85</v>
      </c>
      <c r="AD24" t="s">
        <v>231</v>
      </c>
      <c r="AE24" t="s">
        <v>138</v>
      </c>
      <c r="AI24">
        <v>5</v>
      </c>
      <c r="AJ24" t="s">
        <v>201</v>
      </c>
      <c r="AK24">
        <v>160</v>
      </c>
      <c r="AL24" t="s">
        <v>220</v>
      </c>
      <c r="AM24">
        <v>0.16</v>
      </c>
      <c r="AN24" t="s">
        <v>82</v>
      </c>
      <c r="AT24" t="s">
        <v>221</v>
      </c>
      <c r="AU24">
        <v>0.1377777777777778</v>
      </c>
      <c r="AV24" t="s">
        <v>222</v>
      </c>
    </row>
    <row r="25" spans="1:53" x14ac:dyDescent="0.3">
      <c r="A25" t="s">
        <v>213</v>
      </c>
      <c r="C25" t="s">
        <v>214</v>
      </c>
      <c r="D25" t="s">
        <v>81</v>
      </c>
      <c r="E25">
        <v>10000000</v>
      </c>
      <c r="H25">
        <v>1.8</v>
      </c>
      <c r="I25" t="s">
        <v>215</v>
      </c>
      <c r="J25">
        <v>1.1612879999999999E-3</v>
      </c>
      <c r="K25" t="s">
        <v>57</v>
      </c>
      <c r="O25">
        <v>42.5</v>
      </c>
      <c r="P25" t="s">
        <v>216</v>
      </c>
      <c r="T25">
        <v>20</v>
      </c>
      <c r="V25">
        <v>50</v>
      </c>
      <c r="W25" t="s">
        <v>217</v>
      </c>
      <c r="X25" t="s">
        <v>218</v>
      </c>
      <c r="Y25">
        <v>20160</v>
      </c>
      <c r="AB25">
        <v>0.89</v>
      </c>
      <c r="AC25" t="s">
        <v>85</v>
      </c>
      <c r="AD25" t="s">
        <v>242</v>
      </c>
      <c r="AE25" t="s">
        <v>138</v>
      </c>
      <c r="AI25">
        <v>5</v>
      </c>
      <c r="AJ25" t="s">
        <v>201</v>
      </c>
      <c r="AK25">
        <v>160</v>
      </c>
      <c r="AL25" t="s">
        <v>220</v>
      </c>
      <c r="AM25">
        <v>0.16</v>
      </c>
      <c r="AN25" t="s">
        <v>82</v>
      </c>
      <c r="AT25" t="s">
        <v>221</v>
      </c>
      <c r="AU25">
        <v>0.1377777777777778</v>
      </c>
      <c r="AV25" t="s">
        <v>222</v>
      </c>
    </row>
    <row r="26" spans="1:53" x14ac:dyDescent="0.3">
      <c r="A26" t="s">
        <v>213</v>
      </c>
      <c r="C26" t="s">
        <v>214</v>
      </c>
      <c r="D26" t="s">
        <v>81</v>
      </c>
      <c r="E26">
        <v>10000000</v>
      </c>
      <c r="H26">
        <v>1.8</v>
      </c>
      <c r="I26" t="s">
        <v>215</v>
      </c>
      <c r="J26">
        <v>1.1612879999999999E-3</v>
      </c>
      <c r="K26" t="s">
        <v>57</v>
      </c>
      <c r="O26">
        <v>42.5</v>
      </c>
      <c r="P26" t="s">
        <v>216</v>
      </c>
      <c r="T26">
        <v>20</v>
      </c>
      <c r="V26">
        <v>50</v>
      </c>
      <c r="W26" t="s">
        <v>229</v>
      </c>
      <c r="X26" t="s">
        <v>218</v>
      </c>
      <c r="Y26">
        <v>7200</v>
      </c>
      <c r="AB26">
        <v>0.77</v>
      </c>
      <c r="AC26" t="s">
        <v>85</v>
      </c>
      <c r="AD26" t="s">
        <v>243</v>
      </c>
      <c r="AE26" t="s">
        <v>138</v>
      </c>
      <c r="AI26">
        <v>5</v>
      </c>
      <c r="AJ26" t="s">
        <v>201</v>
      </c>
      <c r="AK26">
        <v>80</v>
      </c>
      <c r="AL26" t="s">
        <v>220</v>
      </c>
      <c r="AM26">
        <v>0.08</v>
      </c>
      <c r="AN26" t="s">
        <v>82</v>
      </c>
      <c r="AU26">
        <v>6.8888888888888888E-2</v>
      </c>
      <c r="AV26" t="s">
        <v>222</v>
      </c>
    </row>
    <row r="27" spans="1:53" x14ac:dyDescent="0.3">
      <c r="A27" t="s">
        <v>213</v>
      </c>
      <c r="C27" t="s">
        <v>214</v>
      </c>
      <c r="D27" t="s">
        <v>81</v>
      </c>
      <c r="E27">
        <v>10000000</v>
      </c>
      <c r="H27">
        <v>1.8</v>
      </c>
      <c r="I27" t="s">
        <v>215</v>
      </c>
      <c r="J27">
        <v>1.1612879999999999E-3</v>
      </c>
      <c r="K27" t="s">
        <v>57</v>
      </c>
      <c r="O27">
        <v>42.5</v>
      </c>
      <c r="P27" t="s">
        <v>216</v>
      </c>
      <c r="T27">
        <v>20</v>
      </c>
      <c r="V27">
        <v>50</v>
      </c>
      <c r="W27" t="s">
        <v>229</v>
      </c>
      <c r="X27" t="s">
        <v>218</v>
      </c>
      <c r="Y27">
        <v>7200</v>
      </c>
      <c r="AB27">
        <v>3.72</v>
      </c>
      <c r="AC27" t="s">
        <v>85</v>
      </c>
      <c r="AD27" t="s">
        <v>244</v>
      </c>
      <c r="AE27" t="s">
        <v>138</v>
      </c>
      <c r="AI27">
        <v>5</v>
      </c>
      <c r="AJ27" t="s">
        <v>201</v>
      </c>
      <c r="AK27">
        <v>160</v>
      </c>
      <c r="AL27" t="s">
        <v>220</v>
      </c>
      <c r="AM27">
        <v>0.16</v>
      </c>
      <c r="AN27" t="s">
        <v>82</v>
      </c>
      <c r="AU27">
        <v>0.1377777777777778</v>
      </c>
      <c r="AV27" t="s">
        <v>222</v>
      </c>
    </row>
    <row r="28" spans="1:53" x14ac:dyDescent="0.3">
      <c r="A28" t="s">
        <v>213</v>
      </c>
      <c r="C28" t="s">
        <v>214</v>
      </c>
      <c r="D28" t="s">
        <v>81</v>
      </c>
      <c r="E28">
        <v>10000000</v>
      </c>
      <c r="H28">
        <v>1.8</v>
      </c>
      <c r="I28" t="s">
        <v>215</v>
      </c>
      <c r="J28">
        <v>1.1612879999999999E-3</v>
      </c>
      <c r="K28" t="s">
        <v>57</v>
      </c>
      <c r="O28">
        <v>42.5</v>
      </c>
      <c r="P28" t="s">
        <v>216</v>
      </c>
      <c r="T28">
        <v>20</v>
      </c>
      <c r="V28">
        <v>50</v>
      </c>
      <c r="W28" t="s">
        <v>229</v>
      </c>
      <c r="X28" t="s">
        <v>218</v>
      </c>
      <c r="Y28">
        <v>10080</v>
      </c>
      <c r="AB28">
        <v>6.16</v>
      </c>
      <c r="AC28" t="s">
        <v>85</v>
      </c>
      <c r="AD28" t="s">
        <v>245</v>
      </c>
      <c r="AE28" t="s">
        <v>138</v>
      </c>
      <c r="AI28">
        <v>5</v>
      </c>
      <c r="AJ28" t="s">
        <v>201</v>
      </c>
      <c r="AK28">
        <v>160</v>
      </c>
      <c r="AL28" t="s">
        <v>220</v>
      </c>
      <c r="AM28">
        <v>0.16</v>
      </c>
      <c r="AN28" t="s">
        <v>82</v>
      </c>
      <c r="AU28">
        <v>0.1377777777777778</v>
      </c>
      <c r="AV28" t="s">
        <v>222</v>
      </c>
    </row>
    <row r="29" spans="1:53" x14ac:dyDescent="0.3">
      <c r="A29" t="s">
        <v>213</v>
      </c>
      <c r="C29" t="s">
        <v>214</v>
      </c>
      <c r="D29" t="s">
        <v>81</v>
      </c>
      <c r="E29">
        <v>10000000</v>
      </c>
      <c r="H29">
        <v>1.8</v>
      </c>
      <c r="I29" t="s">
        <v>215</v>
      </c>
      <c r="J29">
        <v>1.1612879999999999E-3</v>
      </c>
      <c r="K29" t="s">
        <v>57</v>
      </c>
      <c r="O29">
        <v>42.5</v>
      </c>
      <c r="P29" t="s">
        <v>216</v>
      </c>
      <c r="T29">
        <v>20</v>
      </c>
      <c r="V29">
        <v>50</v>
      </c>
      <c r="W29" t="s">
        <v>229</v>
      </c>
      <c r="X29" t="s">
        <v>218</v>
      </c>
      <c r="Y29">
        <v>10080</v>
      </c>
      <c r="AA29" t="s">
        <v>94</v>
      </c>
      <c r="AB29">
        <v>7.76</v>
      </c>
      <c r="AC29" t="s">
        <v>85</v>
      </c>
      <c r="AD29" t="s">
        <v>246</v>
      </c>
      <c r="AE29" t="s">
        <v>138</v>
      </c>
      <c r="AI29">
        <v>5</v>
      </c>
      <c r="AJ29" t="s">
        <v>201</v>
      </c>
      <c r="AK29">
        <v>160</v>
      </c>
      <c r="AL29" t="s">
        <v>220</v>
      </c>
      <c r="AM29">
        <v>0.16</v>
      </c>
      <c r="AN29" t="s">
        <v>82</v>
      </c>
      <c r="AU29">
        <v>0.1377777777777778</v>
      </c>
      <c r="AV29" t="s">
        <v>222</v>
      </c>
      <c r="AZ29">
        <v>0</v>
      </c>
      <c r="BA29">
        <v>7.76</v>
      </c>
    </row>
    <row r="30" spans="1:53" x14ac:dyDescent="0.3">
      <c r="A30" t="s">
        <v>213</v>
      </c>
      <c r="C30" t="s">
        <v>214</v>
      </c>
      <c r="D30" t="s">
        <v>81</v>
      </c>
      <c r="E30">
        <v>10000000</v>
      </c>
      <c r="H30">
        <v>1.8</v>
      </c>
      <c r="I30" t="s">
        <v>215</v>
      </c>
      <c r="J30">
        <v>1.1612879999999999E-3</v>
      </c>
      <c r="K30" t="s">
        <v>57</v>
      </c>
      <c r="O30">
        <v>42.5</v>
      </c>
      <c r="P30" t="s">
        <v>216</v>
      </c>
      <c r="T30">
        <v>20</v>
      </c>
      <c r="V30">
        <v>50</v>
      </c>
      <c r="W30" t="s">
        <v>229</v>
      </c>
      <c r="X30" t="s">
        <v>218</v>
      </c>
      <c r="Y30">
        <v>10080</v>
      </c>
      <c r="AA30" t="s">
        <v>94</v>
      </c>
      <c r="AB30">
        <v>7.85</v>
      </c>
      <c r="AC30" t="s">
        <v>85</v>
      </c>
      <c r="AD30" t="s">
        <v>247</v>
      </c>
      <c r="AE30" t="s">
        <v>138</v>
      </c>
      <c r="AI30">
        <v>5</v>
      </c>
      <c r="AJ30" t="s">
        <v>201</v>
      </c>
      <c r="AK30">
        <v>160</v>
      </c>
      <c r="AL30" t="s">
        <v>220</v>
      </c>
      <c r="AM30">
        <v>0.16</v>
      </c>
      <c r="AN30" t="s">
        <v>82</v>
      </c>
      <c r="AU30">
        <v>0.1377777777777778</v>
      </c>
      <c r="AV30" t="s">
        <v>222</v>
      </c>
      <c r="AZ30">
        <v>0</v>
      </c>
      <c r="BA30">
        <v>7.85</v>
      </c>
    </row>
    <row r="31" spans="1:53" x14ac:dyDescent="0.3">
      <c r="A31" t="s">
        <v>213</v>
      </c>
      <c r="C31" t="s">
        <v>214</v>
      </c>
      <c r="D31" t="s">
        <v>81</v>
      </c>
      <c r="E31">
        <v>10000000</v>
      </c>
      <c r="H31">
        <v>1.8</v>
      </c>
      <c r="I31" t="s">
        <v>215</v>
      </c>
      <c r="J31">
        <v>1.1612879999999999E-3</v>
      </c>
      <c r="K31" t="s">
        <v>57</v>
      </c>
      <c r="O31">
        <v>42.5</v>
      </c>
      <c r="P31" t="s">
        <v>216</v>
      </c>
      <c r="T31">
        <v>20</v>
      </c>
      <c r="V31">
        <v>50</v>
      </c>
      <c r="W31" t="s">
        <v>229</v>
      </c>
      <c r="X31" t="s">
        <v>218</v>
      </c>
      <c r="Y31">
        <v>20160</v>
      </c>
      <c r="AB31">
        <v>1.74</v>
      </c>
      <c r="AC31" t="s">
        <v>85</v>
      </c>
      <c r="AD31" t="s">
        <v>248</v>
      </c>
      <c r="AE31" t="s">
        <v>138</v>
      </c>
      <c r="AI31">
        <v>5</v>
      </c>
      <c r="AJ31" t="s">
        <v>201</v>
      </c>
      <c r="AK31">
        <v>160</v>
      </c>
      <c r="AL31" t="s">
        <v>220</v>
      </c>
      <c r="AM31">
        <v>0.16</v>
      </c>
      <c r="AN31" t="s">
        <v>82</v>
      </c>
      <c r="AU31">
        <v>0.1377777777777778</v>
      </c>
      <c r="AV31" t="s">
        <v>222</v>
      </c>
    </row>
    <row r="32" spans="1:53" x14ac:dyDescent="0.3">
      <c r="A32" t="s">
        <v>213</v>
      </c>
      <c r="C32" t="s">
        <v>214</v>
      </c>
      <c r="D32" t="s">
        <v>81</v>
      </c>
      <c r="E32">
        <v>10000000</v>
      </c>
      <c r="H32">
        <v>1.8</v>
      </c>
      <c r="I32" t="s">
        <v>215</v>
      </c>
      <c r="J32">
        <v>1.1612879999999999E-3</v>
      </c>
      <c r="K32" t="s">
        <v>57</v>
      </c>
      <c r="O32">
        <v>42.5</v>
      </c>
      <c r="P32" t="s">
        <v>216</v>
      </c>
      <c r="T32">
        <v>20</v>
      </c>
      <c r="V32">
        <v>50</v>
      </c>
      <c r="W32" t="s">
        <v>229</v>
      </c>
      <c r="X32" t="s">
        <v>218</v>
      </c>
      <c r="Y32">
        <v>10080</v>
      </c>
      <c r="AB32">
        <v>4.8</v>
      </c>
      <c r="AC32" t="s">
        <v>85</v>
      </c>
      <c r="AD32" t="s">
        <v>249</v>
      </c>
      <c r="AE32" t="s">
        <v>138</v>
      </c>
      <c r="AI32">
        <v>5</v>
      </c>
      <c r="AJ32" t="s">
        <v>201</v>
      </c>
      <c r="AK32">
        <v>160</v>
      </c>
      <c r="AL32" t="s">
        <v>220</v>
      </c>
      <c r="AM32">
        <v>0.16</v>
      </c>
      <c r="AN32" t="s">
        <v>82</v>
      </c>
      <c r="AU32">
        <v>0.1377777777777778</v>
      </c>
      <c r="AV32" t="s">
        <v>222</v>
      </c>
    </row>
    <row r="33" spans="1:53" x14ac:dyDescent="0.3">
      <c r="A33" t="s">
        <v>213</v>
      </c>
      <c r="C33" t="s">
        <v>214</v>
      </c>
      <c r="D33" t="s">
        <v>81</v>
      </c>
      <c r="E33">
        <v>10000000</v>
      </c>
      <c r="H33">
        <v>1.8</v>
      </c>
      <c r="I33" t="s">
        <v>215</v>
      </c>
      <c r="J33">
        <v>1.1612879999999999E-3</v>
      </c>
      <c r="K33" t="s">
        <v>57</v>
      </c>
      <c r="O33">
        <v>42.5</v>
      </c>
      <c r="P33" t="s">
        <v>216</v>
      </c>
      <c r="T33">
        <v>20</v>
      </c>
      <c r="V33">
        <v>50</v>
      </c>
      <c r="W33" t="s">
        <v>229</v>
      </c>
      <c r="X33" t="s">
        <v>218</v>
      </c>
      <c r="Y33">
        <v>20160</v>
      </c>
      <c r="AA33" t="s">
        <v>94</v>
      </c>
      <c r="AB33">
        <v>7.75</v>
      </c>
      <c r="AC33" t="s">
        <v>85</v>
      </c>
      <c r="AD33" t="s">
        <v>236</v>
      </c>
      <c r="AE33" t="s">
        <v>138</v>
      </c>
      <c r="AI33">
        <v>5</v>
      </c>
      <c r="AJ33" t="s">
        <v>201</v>
      </c>
      <c r="AK33">
        <v>160</v>
      </c>
      <c r="AL33" t="s">
        <v>220</v>
      </c>
      <c r="AM33">
        <v>0.16</v>
      </c>
      <c r="AN33" t="s">
        <v>82</v>
      </c>
      <c r="AU33">
        <v>0.1377777777777778</v>
      </c>
      <c r="AV33" t="s">
        <v>222</v>
      </c>
      <c r="AZ33">
        <v>0</v>
      </c>
      <c r="BA33">
        <v>7.75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9"/>
  <sheetViews>
    <sheetView workbookViewId="0">
      <selection activeCell="C18" sqref="C18:F18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COUNTA(FumigationLiquidMaster[Ref])</f>
        <v>32</v>
      </c>
      <c r="C2" s="3"/>
      <c r="D2" s="3"/>
      <c r="E2" s="3"/>
      <c r="F2" s="3"/>
    </row>
    <row r="3" spans="1:6" x14ac:dyDescent="0.3">
      <c r="A3" s="3" t="s">
        <v>1583</v>
      </c>
      <c r="B3" s="3">
        <f>COUNTA(FumigationLiquidMaster[GrimeDirt])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COUNTA(FumigationLiquidMaster[Rinsate])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FumigationLiquidMaster[ConvertedCoupAreaUn]),COUNTIF(FumigationLiquidMaster[ConvertedCoupAreaUn],INDEX(FumigationLiquidMaster[ConvertedCoupAreaUn],MATCH(TRUE,FumigationLiquidMaster[ConvertedCoupAreaUn]&lt;&gt;"",0)))=COUNTIF(FumigationLiquidMaster[ConvertedCoupAreaUn],"&lt;&gt;"),""),INDEX(FumigationLiquidMaster[ConvertedCoupAreaUn],MATCH(TRUE,FumigationLiquidMaster[ConvertedCoupAreaUn]&lt;&gt;"",0)), "multiple units given"),"NA")</f>
        <v>m^2</v>
      </c>
      <c r="C11" s="3">
        <f>IF(AND(ISNUMBER(E11),ISNUMBER(F11)),MIN(FumigationLiquidMaster[ConvertedCoupArea]),"NA")</f>
        <v>1.1612879999999999E-3</v>
      </c>
      <c r="D11" s="3">
        <f>IF(AND(ISNUMBER(E11),ISNUMBER(F11)),MAX(FumigationLiquidMaster[ConvertedCoupArea]),"NA")</f>
        <v>1.1612879999999999E-3</v>
      </c>
      <c r="E11" s="3">
        <f>IFERROR(AVERAGE(FumigationLiquidMaster[ConvertedCoupArea]),"NA")</f>
        <v>1.1612879999999995E-3</v>
      </c>
      <c r="F11" s="3">
        <f>IFERROR(STDEV(FumigationLiquidMaster[ConvertedCoupArea]),"NA")</f>
        <v>4.4062020351853285E-19</v>
      </c>
    </row>
    <row r="12" spans="1:6" x14ac:dyDescent="0.3">
      <c r="A12" s="3" t="s">
        <v>1591</v>
      </c>
      <c r="B12" s="3" t="str" cm="1">
        <f t="array" ref="B12">IFERROR(IF(IF(COUNTA(FumigationLiquidMaster[LoadingUn]),COUNTIF(FumigationLiquidMaster[LoadingUn],INDEX(FumigationLiquidMaster[LoadingUn],MATCH(TRUE,FumigationLiquidMaster[LoadingUn]&lt;&gt;"",0)))=COUNTIF(FumigationLiquidMaster[LoadingUn],"&lt;&gt;"),""),INDEX(FumigationLiquidMaster[LoadingUn],MATCH(TRUE,FumigationLiquidMaster[LoadingUn]&lt;&gt;"",0)), "multiple units given"),"NA")</f>
        <v>CFU</v>
      </c>
      <c r="C12" s="3">
        <f>IF(AND(ISNUMBER(E12),ISNUMBER(F12)),MIN(FumigationLiquidMaster[LoadingNum]),"NA")</f>
        <v>1000000</v>
      </c>
      <c r="D12" s="3">
        <f>IF(AND(ISNUMBER(E12),ISNUMBER(F12)),MAX(FumigationLiquidMaster[LoadingNum]),"NA")</f>
        <v>10000000</v>
      </c>
      <c r="E12" s="3">
        <f>IFERROR(AVERAGE(FumigationLiquidMaster[LoadingNum]),"NA")</f>
        <v>8312500</v>
      </c>
      <c r="F12" s="3">
        <f>IFERROR(STDEV(FumigationLiquidMaster[LoadingNum]),"NA")</f>
        <v>3569019.9251063941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IF(AND(ISNUMBER(E13),ISNUMBER(F13)),MIN(FumigationLiquidMaster[TotalApp]),"NA")</f>
        <v>NA</v>
      </c>
      <c r="D13" s="3" t="str">
        <f>IF(AND(ISNUMBER(E13),ISNUMBER(F13)),MAX(FumigationLiquidMaster[TotalApp]),"NA")</f>
        <v>NA</v>
      </c>
      <c r="E13" s="3" t="str">
        <f>IFERROR(AVERAGE(FumigationLiquidMaster[TotalApp]),"NA")</f>
        <v>NA</v>
      </c>
      <c r="F13" s="3" t="str">
        <f>IFERROR(STDEV(FumigationLiquidMaster[TotalApp]),"NA")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IF(AND(ISNUMBER(E14),ISNUMBER(F14)),MIN(FumigationLiquidMaster[TempNum]),"NA")</f>
        <v>20</v>
      </c>
      <c r="D14" s="3">
        <f>IF(AND(ISNUMBER(E14),ISNUMBER(F14)),MAX(FumigationLiquidMaster[TempNum]),"NA")</f>
        <v>20</v>
      </c>
      <c r="E14" s="3">
        <f>IFERROR(AVERAGE(FumigationLiquidMaster[TempNum]),"NA")</f>
        <v>20</v>
      </c>
      <c r="F14" s="3">
        <f>IFERROR(STDEV(FumigationLiquidMaster[TempNum]),"NA")</f>
        <v>0</v>
      </c>
    </row>
    <row r="15" spans="1:6" x14ac:dyDescent="0.3">
      <c r="A15" s="3" t="s">
        <v>1595</v>
      </c>
      <c r="B15" s="3" t="s">
        <v>1527</v>
      </c>
      <c r="C15" s="3">
        <f>IF(AND(ISNUMBER(E15),ISNUMBER(F15)),MIN(FumigationLiquidMaster[RHNum]),"NA")</f>
        <v>50</v>
      </c>
      <c r="D15" s="3">
        <f>IF(AND(ISNUMBER(E15),ISNUMBER(F15)),MAX(FumigationLiquidMaster[RHNum]),"NA")</f>
        <v>50</v>
      </c>
      <c r="E15" s="3">
        <f>IFERROR(AVERAGE(FumigationLiquidMaster[RHNum]),"NA")</f>
        <v>50</v>
      </c>
      <c r="F15" s="3">
        <f>IFERROR(STDEV(FumigationLiquidMaster[RHNum]),"NA")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IF(AND(ISNUMBER(E16),ISNUMBER(F16)),MIN(FumigationLiquidMaster[ContTimeNumMin]),"NA")</f>
        <v>7200</v>
      </c>
      <c r="D16" s="3">
        <f>IF(AND(ISNUMBER(E16),ISNUMBER(F16)),MAX(FumigationLiquidMaster[ContTimeNumMin]),"NA")</f>
        <v>20160</v>
      </c>
      <c r="E16" s="3">
        <f>IFERROR(AVERAGE(FumigationLiquidMaster[ContTimeNumMin]),"NA")</f>
        <v>11880</v>
      </c>
      <c r="F16" s="3">
        <f>IFERROR(STDEV(FumigationLiquidMaster[ContTimeNumMin]),"NA")</f>
        <v>5001.6977762717024</v>
      </c>
    </row>
    <row r="17" spans="1:6" x14ac:dyDescent="0.3">
      <c r="A17" s="3" t="s">
        <v>1598</v>
      </c>
      <c r="B17" s="3" t="str" cm="1">
        <f t="array" ref="B17">IFERROR(IF(IF(COUNTA(FumigationLiquidMaster[ConcDoseUn]),COUNTIF(FumigationLiquidMaster[ConcDoseUn],INDEX(FumigationLiquidMaster[ConcDoseUn],MATCH(TRUE,FumigationLiquidMaster[ConcDoseUn]&lt;&gt;"",0)))=COUNTIF(FumigationLiquidMaster[ConcDoseUn],"&lt;&gt;"),""),INDEX(FumigationLiquidMaster[ConcDoseUn],MATCH(TRUE,FumigationLiquidMaster[ConcDoseUn]&lt;&gt;"",0)), "multiple units given"),"NA")</f>
        <v>wt% (liquid applied)</v>
      </c>
      <c r="C17" s="3">
        <f>IF(AND(ISNUMBER(E17),ISNUMBER(F17)),MIN(FumigationLiquidMaster[ConcDoseNum]),"NA")</f>
        <v>42.5</v>
      </c>
      <c r="D17" s="3">
        <f>IF(AND(ISNUMBER(E17),ISNUMBER(F17)),MAX(FumigationLiquidMaster[ConcDoseNum]),"NA")</f>
        <v>42.5</v>
      </c>
      <c r="E17" s="3">
        <f>IFERROR(AVERAGE(FumigationLiquidMaster[ConcDoseNum]),"NA")</f>
        <v>42.5</v>
      </c>
      <c r="F17" s="3">
        <f>IFERROR(STDEV(FumigationLiquidMaster[ConcDoseNum]),"NA")</f>
        <v>0</v>
      </c>
    </row>
    <row r="18" spans="1:6" x14ac:dyDescent="0.3">
      <c r="A18" s="3" t="s">
        <v>1599</v>
      </c>
      <c r="B18" s="3" t="str" cm="1">
        <f t="array" ref="B18">IFERROR(IF(IF(COUNTA(FumigationLiquidMaster[EffMeas]),COUNTIF(FumigationLiquidMaster[EffMeas],INDEX(FumigationLiquidMaster[EffMeas],MATCH(TRUE,FumigationLiquidMaster[EffMeas]&lt;&gt;"",0)))=COUNTIF(FumigationLiquidMaster[EffMeas],"&lt;&gt;"),""),INDEX(FumigationLiquidMaster[EffMeas],MATCH(TRUE,FumigationLiquidMaster[EffMeas]&lt;&gt;"",0)), "multiple units given"),"NA")</f>
        <v>LR</v>
      </c>
      <c r="C18" s="3">
        <f>IF(AND(ISNUMBER(E18),ISNUMBER(F18)),MIN(FumigationLiquidMaster[Eff]),"NA")</f>
        <v>0.22</v>
      </c>
      <c r="D18" s="3">
        <f>IF(AND(ISNUMBER(E18),ISNUMBER(F18)),MAX(FumigationLiquidMaster[Eff]),"NA")</f>
        <v>7.91</v>
      </c>
      <c r="E18" s="3">
        <f>IFERROR(AVERAGE(FumigationLiquidMaster[Eff]),"NA")</f>
        <v>4.4718749999999998</v>
      </c>
      <c r="F18" s="3">
        <f>IFERROR(STDEV(FumigationLiquidMaster[Eff]),"NA")</f>
        <v>3.0657561688915789</v>
      </c>
    </row>
    <row r="19" spans="1:6" x14ac:dyDescent="0.3">
      <c r="A19" s="3" t="s">
        <v>1600</v>
      </c>
      <c r="B19" s="3" t="str" cm="1">
        <f t="array" ref="B19">IFERROR(IF(IF(COUNTA(FumigationLiquidMaster[ConvertedVolAppUn]),COUNTIF(FumigationLiquidMaster[ConvertedVolAppUn],INDEX(FumigationLiquidMaster[ConvertedVolAppUn],MATCH(TRUE,FumigationLiquidMaster[ConvertedVolAppUn]&lt;&gt;"",0)))=COUNTIF(FumigationLiquidMaster[ConvertedVolAppUn],"&lt;&gt;"),""),INDEX(FumigationLiquidMaster[ConvertedVolAppUn],MATCH(TRUE,FumigationLiquidMaster[ConvertedVolAppUn]&lt;&gt;"",0)), "multiple units given"),"NA")</f>
        <v>mL</v>
      </c>
      <c r="C19" s="3">
        <f>IF(AND(ISNUMBER(E19),ISNUMBER(F19)),MIN(FumigationLiquidMaster[ConvertedVolApp]),"NA")</f>
        <v>0.08</v>
      </c>
      <c r="D19" s="3">
        <f>IF(AND(ISNUMBER(E19),ISNUMBER(F19)),MAX(FumigationLiquidMaster[ConvertedVolApp]),"NA")</f>
        <v>0.16</v>
      </c>
      <c r="E19" s="3">
        <f>IFERROR(AVERAGE(FumigationLiquidMaster[ConvertedVolApp]),"NA")</f>
        <v>0.15000000000000005</v>
      </c>
      <c r="F19" s="3">
        <f>IFERROR(STDEV(FumigationLiquidMaster[ConvertedVolApp]),"NA")</f>
        <v>2.6880860201289401E-2</v>
      </c>
    </row>
  </sheetData>
  <conditionalFormatting sqref="B11:B19">
    <cfRule type="cellIs" dxfId="56" priority="1" operator="equal">
      <formula>"multiple units given"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48"/>
  <sheetViews>
    <sheetView topLeftCell="S1" workbookViewId="0">
      <selection activeCell="E23" sqref="E23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206</v>
      </c>
      <c r="C2" t="s">
        <v>207</v>
      </c>
      <c r="D2" t="s">
        <v>81</v>
      </c>
      <c r="E2">
        <v>5000000</v>
      </c>
      <c r="H2">
        <v>6</v>
      </c>
      <c r="I2" t="s">
        <v>56</v>
      </c>
      <c r="J2">
        <v>6.0000000000000006E-4</v>
      </c>
      <c r="K2" t="s">
        <v>57</v>
      </c>
      <c r="O2">
        <v>0.5</v>
      </c>
      <c r="P2" t="s">
        <v>59</v>
      </c>
      <c r="S2">
        <v>2</v>
      </c>
      <c r="T2">
        <v>22</v>
      </c>
      <c r="V2">
        <v>50</v>
      </c>
      <c r="W2" t="s">
        <v>208</v>
      </c>
      <c r="X2" t="s">
        <v>209</v>
      </c>
      <c r="Y2">
        <v>0</v>
      </c>
      <c r="AB2">
        <v>6.51851393987788</v>
      </c>
      <c r="AC2" t="s">
        <v>210</v>
      </c>
      <c r="AH2">
        <v>6.5</v>
      </c>
      <c r="AK2">
        <v>0.8</v>
      </c>
      <c r="AL2" t="s">
        <v>82</v>
      </c>
      <c r="AM2">
        <v>0.8</v>
      </c>
      <c r="AN2" t="s">
        <v>82</v>
      </c>
      <c r="AU2">
        <v>1.333333333333333</v>
      </c>
      <c r="AV2" t="s">
        <v>115</v>
      </c>
      <c r="BA2">
        <v>6.5</v>
      </c>
    </row>
    <row r="3" spans="1:53" x14ac:dyDescent="0.3">
      <c r="A3" t="s">
        <v>206</v>
      </c>
      <c r="C3" t="s">
        <v>207</v>
      </c>
      <c r="D3" t="s">
        <v>81</v>
      </c>
      <c r="E3">
        <v>5000000</v>
      </c>
      <c r="H3">
        <v>6</v>
      </c>
      <c r="I3" t="s">
        <v>56</v>
      </c>
      <c r="J3">
        <v>6.0000000000000006E-4</v>
      </c>
      <c r="K3" t="s">
        <v>57</v>
      </c>
      <c r="O3">
        <v>0.5</v>
      </c>
      <c r="P3" t="s">
        <v>59</v>
      </c>
      <c r="S3">
        <v>2</v>
      </c>
      <c r="T3">
        <v>22</v>
      </c>
      <c r="V3">
        <v>50</v>
      </c>
      <c r="W3" t="s">
        <v>208</v>
      </c>
      <c r="X3" t="s">
        <v>209</v>
      </c>
      <c r="Y3">
        <v>0.25</v>
      </c>
      <c r="AB3">
        <v>5.98227123303956</v>
      </c>
      <c r="AC3" t="s">
        <v>210</v>
      </c>
      <c r="AH3">
        <v>6.5</v>
      </c>
      <c r="AK3">
        <v>0.8</v>
      </c>
      <c r="AL3" t="s">
        <v>82</v>
      </c>
      <c r="AM3">
        <v>0.8</v>
      </c>
      <c r="AN3" t="s">
        <v>82</v>
      </c>
      <c r="AU3">
        <v>1.333333333333333</v>
      </c>
      <c r="AV3" t="s">
        <v>115</v>
      </c>
      <c r="BA3">
        <v>6.5</v>
      </c>
    </row>
    <row r="4" spans="1:53" x14ac:dyDescent="0.3">
      <c r="A4" t="s">
        <v>206</v>
      </c>
      <c r="C4" t="s">
        <v>207</v>
      </c>
      <c r="D4" t="s">
        <v>81</v>
      </c>
      <c r="E4">
        <v>5000000</v>
      </c>
      <c r="H4">
        <v>6</v>
      </c>
      <c r="I4" t="s">
        <v>56</v>
      </c>
      <c r="J4">
        <v>6.0000000000000006E-4</v>
      </c>
      <c r="K4" t="s">
        <v>57</v>
      </c>
      <c r="O4">
        <v>0.5</v>
      </c>
      <c r="P4" t="s">
        <v>59</v>
      </c>
      <c r="S4">
        <v>2</v>
      </c>
      <c r="T4">
        <v>22</v>
      </c>
      <c r="V4">
        <v>50</v>
      </c>
      <c r="W4" t="s">
        <v>208</v>
      </c>
      <c r="X4" t="s">
        <v>209</v>
      </c>
      <c r="Y4">
        <v>0.5</v>
      </c>
      <c r="AB4">
        <v>5.9138138523837096</v>
      </c>
      <c r="AC4" t="s">
        <v>210</v>
      </c>
      <c r="AH4">
        <v>6.5</v>
      </c>
      <c r="AK4">
        <v>0.8</v>
      </c>
      <c r="AL4" t="s">
        <v>82</v>
      </c>
      <c r="AM4">
        <v>0.8</v>
      </c>
      <c r="AN4" t="s">
        <v>82</v>
      </c>
      <c r="AU4">
        <v>1.333333333333333</v>
      </c>
      <c r="AV4" t="s">
        <v>115</v>
      </c>
      <c r="BA4">
        <v>6.5</v>
      </c>
    </row>
    <row r="5" spans="1:53" x14ac:dyDescent="0.3">
      <c r="A5" t="s">
        <v>206</v>
      </c>
      <c r="C5" t="s">
        <v>207</v>
      </c>
      <c r="D5" t="s">
        <v>81</v>
      </c>
      <c r="E5">
        <v>5000000</v>
      </c>
      <c r="H5">
        <v>6</v>
      </c>
      <c r="I5" t="s">
        <v>56</v>
      </c>
      <c r="J5">
        <v>6.0000000000000006E-4</v>
      </c>
      <c r="K5" t="s">
        <v>57</v>
      </c>
      <c r="O5">
        <v>0.5</v>
      </c>
      <c r="P5" t="s">
        <v>59</v>
      </c>
      <c r="S5">
        <v>2</v>
      </c>
      <c r="T5">
        <v>22</v>
      </c>
      <c r="V5">
        <v>50</v>
      </c>
      <c r="W5" t="s">
        <v>208</v>
      </c>
      <c r="X5" t="s">
        <v>209</v>
      </c>
      <c r="Y5">
        <v>1</v>
      </c>
      <c r="AB5">
        <v>5.6020599913279598</v>
      </c>
      <c r="AC5" t="s">
        <v>210</v>
      </c>
      <c r="AH5">
        <v>6.5</v>
      </c>
      <c r="AK5">
        <v>0.8</v>
      </c>
      <c r="AL5" t="s">
        <v>82</v>
      </c>
      <c r="AM5">
        <v>0.8</v>
      </c>
      <c r="AN5" t="s">
        <v>82</v>
      </c>
      <c r="AU5">
        <v>1.333333333333333</v>
      </c>
      <c r="AV5" t="s">
        <v>115</v>
      </c>
      <c r="BA5">
        <v>6.5</v>
      </c>
    </row>
    <row r="6" spans="1:53" x14ac:dyDescent="0.3">
      <c r="A6" t="s">
        <v>206</v>
      </c>
      <c r="C6" t="s">
        <v>207</v>
      </c>
      <c r="D6" t="s">
        <v>81</v>
      </c>
      <c r="E6">
        <v>5000000</v>
      </c>
      <c r="H6">
        <v>6</v>
      </c>
      <c r="I6" t="s">
        <v>56</v>
      </c>
      <c r="J6">
        <v>6.0000000000000006E-4</v>
      </c>
      <c r="K6" t="s">
        <v>57</v>
      </c>
      <c r="O6">
        <v>0.5</v>
      </c>
      <c r="P6" t="s">
        <v>59</v>
      </c>
      <c r="S6">
        <v>2</v>
      </c>
      <c r="T6">
        <v>22</v>
      </c>
      <c r="V6">
        <v>50</v>
      </c>
      <c r="W6" t="s">
        <v>208</v>
      </c>
      <c r="X6" t="s">
        <v>209</v>
      </c>
      <c r="Y6">
        <v>5</v>
      </c>
      <c r="AA6" t="s">
        <v>128</v>
      </c>
      <c r="AB6">
        <v>2</v>
      </c>
      <c r="AC6" t="s">
        <v>210</v>
      </c>
      <c r="AH6">
        <v>6.5</v>
      </c>
      <c r="AK6">
        <v>0.8</v>
      </c>
      <c r="AL6" t="s">
        <v>82</v>
      </c>
      <c r="AM6">
        <v>0.8</v>
      </c>
      <c r="AN6" t="s">
        <v>82</v>
      </c>
      <c r="AU6">
        <v>1.333333333333333</v>
      </c>
      <c r="AV6" t="s">
        <v>115</v>
      </c>
      <c r="AZ6">
        <v>0</v>
      </c>
      <c r="BA6">
        <v>6.5</v>
      </c>
    </row>
    <row r="7" spans="1:53" x14ac:dyDescent="0.3">
      <c r="A7" t="s">
        <v>206</v>
      </c>
      <c r="C7" t="s">
        <v>207</v>
      </c>
      <c r="D7" t="s">
        <v>81</v>
      </c>
      <c r="E7">
        <v>5000000</v>
      </c>
      <c r="H7">
        <v>6</v>
      </c>
      <c r="I7" t="s">
        <v>56</v>
      </c>
      <c r="J7">
        <v>6.0000000000000006E-4</v>
      </c>
      <c r="K7" t="s">
        <v>57</v>
      </c>
      <c r="O7">
        <v>0.5</v>
      </c>
      <c r="P7" t="s">
        <v>59</v>
      </c>
      <c r="S7">
        <v>2</v>
      </c>
      <c r="T7">
        <v>22</v>
      </c>
      <c r="V7">
        <v>50</v>
      </c>
      <c r="W7" t="s">
        <v>208</v>
      </c>
      <c r="X7" t="s">
        <v>209</v>
      </c>
      <c r="Y7">
        <v>10</v>
      </c>
      <c r="AA7" t="s">
        <v>128</v>
      </c>
      <c r="AB7">
        <v>2</v>
      </c>
      <c r="AC7" t="s">
        <v>210</v>
      </c>
      <c r="AH7">
        <v>6.5</v>
      </c>
      <c r="AK7">
        <v>0.8</v>
      </c>
      <c r="AL7" t="s">
        <v>82</v>
      </c>
      <c r="AM7">
        <v>0.8</v>
      </c>
      <c r="AN7" t="s">
        <v>82</v>
      </c>
      <c r="AU7">
        <v>1.333333333333333</v>
      </c>
      <c r="AV7" t="s">
        <v>115</v>
      </c>
      <c r="AZ7">
        <v>0</v>
      </c>
      <c r="BA7">
        <v>6.5</v>
      </c>
    </row>
    <row r="8" spans="1:53" x14ac:dyDescent="0.3">
      <c r="A8" t="s">
        <v>206</v>
      </c>
      <c r="C8" t="s">
        <v>207</v>
      </c>
      <c r="D8" t="s">
        <v>81</v>
      </c>
      <c r="E8">
        <v>5000000</v>
      </c>
      <c r="H8">
        <v>6</v>
      </c>
      <c r="I8" t="s">
        <v>56</v>
      </c>
      <c r="J8">
        <v>6.0000000000000006E-4</v>
      </c>
      <c r="K8" t="s">
        <v>57</v>
      </c>
      <c r="O8">
        <v>0.5</v>
      </c>
      <c r="P8" t="s">
        <v>59</v>
      </c>
      <c r="S8">
        <v>2</v>
      </c>
      <c r="T8">
        <v>22</v>
      </c>
      <c r="V8">
        <v>50</v>
      </c>
      <c r="W8" t="s">
        <v>208</v>
      </c>
      <c r="X8" t="s">
        <v>209</v>
      </c>
      <c r="Y8">
        <v>30</v>
      </c>
      <c r="AA8" t="s">
        <v>128</v>
      </c>
      <c r="AB8">
        <v>2</v>
      </c>
      <c r="AC8" t="s">
        <v>210</v>
      </c>
      <c r="AH8">
        <v>6.5</v>
      </c>
      <c r="AK8">
        <v>0.8</v>
      </c>
      <c r="AL8" t="s">
        <v>82</v>
      </c>
      <c r="AM8">
        <v>0.8</v>
      </c>
      <c r="AN8" t="s">
        <v>82</v>
      </c>
      <c r="AU8">
        <v>1.333333333333333</v>
      </c>
      <c r="AV8" t="s">
        <v>115</v>
      </c>
      <c r="AZ8">
        <v>0</v>
      </c>
      <c r="BA8">
        <v>6.5</v>
      </c>
    </row>
    <row r="9" spans="1:53" x14ac:dyDescent="0.3">
      <c r="A9" t="s">
        <v>206</v>
      </c>
      <c r="C9" t="s">
        <v>207</v>
      </c>
      <c r="D9" t="s">
        <v>81</v>
      </c>
      <c r="E9">
        <v>5000000</v>
      </c>
      <c r="H9">
        <v>6</v>
      </c>
      <c r="I9" t="s">
        <v>56</v>
      </c>
      <c r="J9">
        <v>6.0000000000000006E-4</v>
      </c>
      <c r="K9" t="s">
        <v>57</v>
      </c>
      <c r="O9">
        <v>0.5</v>
      </c>
      <c r="P9" t="s">
        <v>59</v>
      </c>
      <c r="S9">
        <v>2</v>
      </c>
      <c r="T9">
        <v>22</v>
      </c>
      <c r="V9">
        <v>50</v>
      </c>
      <c r="W9" t="s">
        <v>208</v>
      </c>
      <c r="X9" t="s">
        <v>209</v>
      </c>
      <c r="Y9">
        <v>0</v>
      </c>
      <c r="AB9">
        <v>6.3010299956639804</v>
      </c>
      <c r="AC9" t="s">
        <v>210</v>
      </c>
      <c r="AH9">
        <v>6.3</v>
      </c>
      <c r="AK9">
        <v>0.8</v>
      </c>
      <c r="AL9" t="s">
        <v>82</v>
      </c>
      <c r="AM9">
        <v>0.8</v>
      </c>
      <c r="AN9" t="s">
        <v>82</v>
      </c>
      <c r="AU9">
        <v>1.333333333333333</v>
      </c>
      <c r="AV9" t="s">
        <v>115</v>
      </c>
      <c r="BA9">
        <v>6.3</v>
      </c>
    </row>
    <row r="10" spans="1:53" x14ac:dyDescent="0.3">
      <c r="A10" t="s">
        <v>206</v>
      </c>
      <c r="C10" t="s">
        <v>207</v>
      </c>
      <c r="D10" t="s">
        <v>81</v>
      </c>
      <c r="E10">
        <v>5000000</v>
      </c>
      <c r="H10">
        <v>6</v>
      </c>
      <c r="I10" t="s">
        <v>56</v>
      </c>
      <c r="J10">
        <v>6.0000000000000006E-4</v>
      </c>
      <c r="K10" t="s">
        <v>57</v>
      </c>
      <c r="O10">
        <v>0.5</v>
      </c>
      <c r="P10" t="s">
        <v>59</v>
      </c>
      <c r="S10">
        <v>2</v>
      </c>
      <c r="T10">
        <v>22</v>
      </c>
      <c r="V10">
        <v>50</v>
      </c>
      <c r="W10" t="s">
        <v>208</v>
      </c>
      <c r="X10" t="s">
        <v>209</v>
      </c>
      <c r="Y10">
        <v>0.25</v>
      </c>
      <c r="AB10">
        <v>5.9542425094393199</v>
      </c>
      <c r="AC10" t="s">
        <v>210</v>
      </c>
      <c r="AH10">
        <v>6.3</v>
      </c>
      <c r="AK10">
        <v>0.8</v>
      </c>
      <c r="AL10" t="s">
        <v>82</v>
      </c>
      <c r="AM10">
        <v>0.8</v>
      </c>
      <c r="AN10" t="s">
        <v>82</v>
      </c>
      <c r="AU10">
        <v>1.333333333333333</v>
      </c>
      <c r="AV10" t="s">
        <v>115</v>
      </c>
      <c r="BA10">
        <v>6.3</v>
      </c>
    </row>
    <row r="11" spans="1:53" x14ac:dyDescent="0.3">
      <c r="A11" t="s">
        <v>206</v>
      </c>
      <c r="C11" t="s">
        <v>207</v>
      </c>
      <c r="D11" t="s">
        <v>81</v>
      </c>
      <c r="E11">
        <v>5000000</v>
      </c>
      <c r="H11">
        <v>6</v>
      </c>
      <c r="I11" t="s">
        <v>56</v>
      </c>
      <c r="J11">
        <v>6.0000000000000006E-4</v>
      </c>
      <c r="K11" t="s">
        <v>57</v>
      </c>
      <c r="O11">
        <v>0.5</v>
      </c>
      <c r="P11" t="s">
        <v>59</v>
      </c>
      <c r="S11">
        <v>2</v>
      </c>
      <c r="T11">
        <v>22</v>
      </c>
      <c r="V11">
        <v>50</v>
      </c>
      <c r="W11" t="s">
        <v>208</v>
      </c>
      <c r="X11" t="s">
        <v>209</v>
      </c>
      <c r="Y11">
        <v>0.5</v>
      </c>
      <c r="AB11">
        <v>5.2304489213782697</v>
      </c>
      <c r="AC11" t="s">
        <v>210</v>
      </c>
      <c r="AH11">
        <v>6.3</v>
      </c>
      <c r="AK11">
        <v>0.8</v>
      </c>
      <c r="AL11" t="s">
        <v>82</v>
      </c>
      <c r="AM11">
        <v>0.8</v>
      </c>
      <c r="AN11" t="s">
        <v>82</v>
      </c>
      <c r="AU11">
        <v>1.333333333333333</v>
      </c>
      <c r="AV11" t="s">
        <v>115</v>
      </c>
      <c r="BA11">
        <v>6.3</v>
      </c>
    </row>
    <row r="12" spans="1:53" x14ac:dyDescent="0.3">
      <c r="A12" t="s">
        <v>206</v>
      </c>
      <c r="C12" t="s">
        <v>207</v>
      </c>
      <c r="D12" t="s">
        <v>81</v>
      </c>
      <c r="E12">
        <v>5000000</v>
      </c>
      <c r="H12">
        <v>6</v>
      </c>
      <c r="I12" t="s">
        <v>56</v>
      </c>
      <c r="J12">
        <v>6.0000000000000006E-4</v>
      </c>
      <c r="K12" t="s">
        <v>57</v>
      </c>
      <c r="O12">
        <v>0.5</v>
      </c>
      <c r="P12" t="s">
        <v>59</v>
      </c>
      <c r="S12">
        <v>2</v>
      </c>
      <c r="T12">
        <v>22</v>
      </c>
      <c r="V12">
        <v>50</v>
      </c>
      <c r="W12" t="s">
        <v>208</v>
      </c>
      <c r="X12" t="s">
        <v>209</v>
      </c>
      <c r="Y12">
        <v>1</v>
      </c>
      <c r="AB12">
        <v>2.7781512503836399</v>
      </c>
      <c r="AC12" t="s">
        <v>210</v>
      </c>
      <c r="AH12">
        <v>6.3</v>
      </c>
      <c r="AK12">
        <v>0.8</v>
      </c>
      <c r="AL12" t="s">
        <v>82</v>
      </c>
      <c r="AM12">
        <v>0.8</v>
      </c>
      <c r="AN12" t="s">
        <v>82</v>
      </c>
      <c r="AU12">
        <v>1.333333333333333</v>
      </c>
      <c r="AV12" t="s">
        <v>115</v>
      </c>
      <c r="BA12">
        <v>6.3</v>
      </c>
    </row>
    <row r="13" spans="1:53" x14ac:dyDescent="0.3">
      <c r="A13" t="s">
        <v>206</v>
      </c>
      <c r="C13" t="s">
        <v>207</v>
      </c>
      <c r="D13" t="s">
        <v>81</v>
      </c>
      <c r="E13">
        <v>5000000</v>
      </c>
      <c r="H13">
        <v>6</v>
      </c>
      <c r="I13" t="s">
        <v>56</v>
      </c>
      <c r="J13">
        <v>6.0000000000000006E-4</v>
      </c>
      <c r="K13" t="s">
        <v>57</v>
      </c>
      <c r="O13">
        <v>0.5</v>
      </c>
      <c r="P13" t="s">
        <v>59</v>
      </c>
      <c r="S13">
        <v>2</v>
      </c>
      <c r="T13">
        <v>22</v>
      </c>
      <c r="V13">
        <v>50</v>
      </c>
      <c r="W13" t="s">
        <v>208</v>
      </c>
      <c r="X13" t="s">
        <v>209</v>
      </c>
      <c r="Y13">
        <v>5</v>
      </c>
      <c r="AA13" t="s">
        <v>128</v>
      </c>
      <c r="AB13">
        <v>2</v>
      </c>
      <c r="AC13" t="s">
        <v>210</v>
      </c>
      <c r="AH13">
        <v>6.3</v>
      </c>
      <c r="AK13">
        <v>0.8</v>
      </c>
      <c r="AL13" t="s">
        <v>82</v>
      </c>
      <c r="AM13">
        <v>0.8</v>
      </c>
      <c r="AN13" t="s">
        <v>82</v>
      </c>
      <c r="AU13">
        <v>1.333333333333333</v>
      </c>
      <c r="AV13" t="s">
        <v>115</v>
      </c>
      <c r="AZ13">
        <v>0</v>
      </c>
      <c r="BA13">
        <v>6.3</v>
      </c>
    </row>
    <row r="14" spans="1:53" x14ac:dyDescent="0.3">
      <c r="A14" t="s">
        <v>206</v>
      </c>
      <c r="C14" t="s">
        <v>207</v>
      </c>
      <c r="D14" t="s">
        <v>81</v>
      </c>
      <c r="E14">
        <v>5000000</v>
      </c>
      <c r="H14">
        <v>6</v>
      </c>
      <c r="I14" t="s">
        <v>56</v>
      </c>
      <c r="J14">
        <v>6.0000000000000006E-4</v>
      </c>
      <c r="K14" t="s">
        <v>57</v>
      </c>
      <c r="O14">
        <v>0.5</v>
      </c>
      <c r="P14" t="s">
        <v>59</v>
      </c>
      <c r="S14">
        <v>2</v>
      </c>
      <c r="T14">
        <v>22</v>
      </c>
      <c r="V14">
        <v>50</v>
      </c>
      <c r="W14" t="s">
        <v>208</v>
      </c>
      <c r="X14" t="s">
        <v>209</v>
      </c>
      <c r="Y14">
        <v>10</v>
      </c>
      <c r="AA14" t="s">
        <v>128</v>
      </c>
      <c r="AB14">
        <v>2</v>
      </c>
      <c r="AC14" t="s">
        <v>210</v>
      </c>
      <c r="AH14">
        <v>6.3</v>
      </c>
      <c r="AK14">
        <v>0.8</v>
      </c>
      <c r="AL14" t="s">
        <v>82</v>
      </c>
      <c r="AM14">
        <v>0.8</v>
      </c>
      <c r="AN14" t="s">
        <v>82</v>
      </c>
      <c r="AU14">
        <v>1.333333333333333</v>
      </c>
      <c r="AV14" t="s">
        <v>115</v>
      </c>
      <c r="AZ14">
        <v>0</v>
      </c>
      <c r="BA14">
        <v>6.3</v>
      </c>
    </row>
    <row r="15" spans="1:53" x14ac:dyDescent="0.3">
      <c r="A15" t="s">
        <v>206</v>
      </c>
      <c r="C15" t="s">
        <v>207</v>
      </c>
      <c r="D15" t="s">
        <v>81</v>
      </c>
      <c r="E15">
        <v>5000000</v>
      </c>
      <c r="H15">
        <v>6</v>
      </c>
      <c r="I15" t="s">
        <v>56</v>
      </c>
      <c r="J15">
        <v>6.0000000000000006E-4</v>
      </c>
      <c r="K15" t="s">
        <v>57</v>
      </c>
      <c r="O15">
        <v>0.5</v>
      </c>
      <c r="P15" t="s">
        <v>59</v>
      </c>
      <c r="S15">
        <v>2</v>
      </c>
      <c r="T15">
        <v>22</v>
      </c>
      <c r="V15">
        <v>50</v>
      </c>
      <c r="W15" t="s">
        <v>208</v>
      </c>
      <c r="X15" t="s">
        <v>209</v>
      </c>
      <c r="Y15">
        <v>30</v>
      </c>
      <c r="AA15" t="s">
        <v>128</v>
      </c>
      <c r="AB15">
        <v>2</v>
      </c>
      <c r="AC15" t="s">
        <v>210</v>
      </c>
      <c r="AH15">
        <v>6.3</v>
      </c>
      <c r="AK15">
        <v>0.8</v>
      </c>
      <c r="AL15" t="s">
        <v>82</v>
      </c>
      <c r="AM15">
        <v>0.8</v>
      </c>
      <c r="AN15" t="s">
        <v>82</v>
      </c>
      <c r="AU15">
        <v>1.333333333333333</v>
      </c>
      <c r="AV15" t="s">
        <v>115</v>
      </c>
      <c r="AZ15">
        <v>0</v>
      </c>
      <c r="BA15">
        <v>6.3</v>
      </c>
    </row>
    <row r="16" spans="1:53" x14ac:dyDescent="0.3">
      <c r="A16" t="s">
        <v>206</v>
      </c>
      <c r="C16" t="s">
        <v>207</v>
      </c>
      <c r="D16" t="s">
        <v>81</v>
      </c>
      <c r="E16">
        <v>5000000</v>
      </c>
      <c r="H16">
        <v>6</v>
      </c>
      <c r="I16" t="s">
        <v>56</v>
      </c>
      <c r="J16">
        <v>6.0000000000000006E-4</v>
      </c>
      <c r="K16" t="s">
        <v>57</v>
      </c>
      <c r="O16">
        <v>0.5</v>
      </c>
      <c r="P16" t="s">
        <v>59</v>
      </c>
      <c r="S16">
        <v>2</v>
      </c>
      <c r="T16">
        <v>22</v>
      </c>
      <c r="V16">
        <v>50</v>
      </c>
      <c r="W16" t="s">
        <v>211</v>
      </c>
      <c r="X16" t="s">
        <v>209</v>
      </c>
      <c r="Y16">
        <v>0</v>
      </c>
      <c r="AB16">
        <v>6.27875360095282</v>
      </c>
      <c r="AC16" t="s">
        <v>210</v>
      </c>
      <c r="AH16">
        <v>6.3</v>
      </c>
      <c r="AK16">
        <v>0.8</v>
      </c>
      <c r="AL16" t="s">
        <v>82</v>
      </c>
      <c r="AM16">
        <v>0.8</v>
      </c>
      <c r="AN16" t="s">
        <v>82</v>
      </c>
      <c r="AT16" t="s">
        <v>212</v>
      </c>
      <c r="AU16">
        <v>1.333333333333333</v>
      </c>
      <c r="AV16" t="s">
        <v>115</v>
      </c>
      <c r="BA16">
        <v>6.3</v>
      </c>
    </row>
    <row r="17" spans="1:53" x14ac:dyDescent="0.3">
      <c r="A17" t="s">
        <v>206</v>
      </c>
      <c r="C17" t="s">
        <v>207</v>
      </c>
      <c r="D17" t="s">
        <v>81</v>
      </c>
      <c r="E17">
        <v>5000000</v>
      </c>
      <c r="H17">
        <v>6</v>
      </c>
      <c r="I17" t="s">
        <v>56</v>
      </c>
      <c r="J17">
        <v>6.0000000000000006E-4</v>
      </c>
      <c r="K17" t="s">
        <v>57</v>
      </c>
      <c r="O17">
        <v>0.5</v>
      </c>
      <c r="P17" t="s">
        <v>59</v>
      </c>
      <c r="S17">
        <v>2</v>
      </c>
      <c r="T17">
        <v>22</v>
      </c>
      <c r="V17">
        <v>50</v>
      </c>
      <c r="W17" t="s">
        <v>211</v>
      </c>
      <c r="X17" t="s">
        <v>209</v>
      </c>
      <c r="Y17">
        <v>60</v>
      </c>
      <c r="AB17">
        <v>4.8633228601204497</v>
      </c>
      <c r="AC17" t="s">
        <v>210</v>
      </c>
      <c r="AH17">
        <v>6.3</v>
      </c>
      <c r="AK17">
        <v>0.8</v>
      </c>
      <c r="AL17" t="s">
        <v>82</v>
      </c>
      <c r="AM17">
        <v>0.8</v>
      </c>
      <c r="AN17" t="s">
        <v>82</v>
      </c>
      <c r="AT17" t="s">
        <v>212</v>
      </c>
      <c r="AU17">
        <v>1.333333333333333</v>
      </c>
      <c r="AV17" t="s">
        <v>115</v>
      </c>
      <c r="BA17">
        <v>6.3</v>
      </c>
    </row>
    <row r="18" spans="1:53" x14ac:dyDescent="0.3">
      <c r="A18" t="s">
        <v>206</v>
      </c>
      <c r="C18" t="s">
        <v>207</v>
      </c>
      <c r="D18" t="s">
        <v>81</v>
      </c>
      <c r="E18">
        <v>5000000</v>
      </c>
      <c r="H18">
        <v>6</v>
      </c>
      <c r="I18" t="s">
        <v>56</v>
      </c>
      <c r="J18">
        <v>6.0000000000000006E-4</v>
      </c>
      <c r="K18" t="s">
        <v>57</v>
      </c>
      <c r="O18">
        <v>0.5</v>
      </c>
      <c r="P18" t="s">
        <v>59</v>
      </c>
      <c r="S18">
        <v>2</v>
      </c>
      <c r="T18">
        <v>22</v>
      </c>
      <c r="V18">
        <v>50</v>
      </c>
      <c r="W18" t="s">
        <v>211</v>
      </c>
      <c r="X18" t="s">
        <v>209</v>
      </c>
      <c r="Y18">
        <v>120</v>
      </c>
      <c r="AB18">
        <v>5.5797835966168101</v>
      </c>
      <c r="AC18" t="s">
        <v>210</v>
      </c>
      <c r="AH18">
        <v>6.3</v>
      </c>
      <c r="AK18">
        <v>0.8</v>
      </c>
      <c r="AL18" t="s">
        <v>82</v>
      </c>
      <c r="AM18">
        <v>0.8</v>
      </c>
      <c r="AN18" t="s">
        <v>82</v>
      </c>
      <c r="AT18" t="s">
        <v>212</v>
      </c>
      <c r="AU18">
        <v>1.333333333333333</v>
      </c>
      <c r="AV18" t="s">
        <v>115</v>
      </c>
      <c r="BA18">
        <v>6.3</v>
      </c>
    </row>
    <row r="19" spans="1:53" x14ac:dyDescent="0.3">
      <c r="A19" t="s">
        <v>206</v>
      </c>
      <c r="C19" t="s">
        <v>207</v>
      </c>
      <c r="D19" t="s">
        <v>81</v>
      </c>
      <c r="E19">
        <v>5000000</v>
      </c>
      <c r="H19">
        <v>6</v>
      </c>
      <c r="I19" t="s">
        <v>56</v>
      </c>
      <c r="J19">
        <v>6.0000000000000006E-4</v>
      </c>
      <c r="K19" t="s">
        <v>57</v>
      </c>
      <c r="O19">
        <v>0.5</v>
      </c>
      <c r="P19" t="s">
        <v>59</v>
      </c>
      <c r="S19">
        <v>2</v>
      </c>
      <c r="T19">
        <v>22</v>
      </c>
      <c r="V19">
        <v>50</v>
      </c>
      <c r="W19" t="s">
        <v>211</v>
      </c>
      <c r="X19" t="s">
        <v>209</v>
      </c>
      <c r="Y19">
        <v>180</v>
      </c>
      <c r="AB19">
        <v>4.3424226808222004</v>
      </c>
      <c r="AC19" t="s">
        <v>210</v>
      </c>
      <c r="AH19">
        <v>6.3</v>
      </c>
      <c r="AK19">
        <v>0.8</v>
      </c>
      <c r="AL19" t="s">
        <v>82</v>
      </c>
      <c r="AM19">
        <v>0.8</v>
      </c>
      <c r="AN19" t="s">
        <v>82</v>
      </c>
      <c r="AT19" t="s">
        <v>212</v>
      </c>
      <c r="AU19">
        <v>1.333333333333333</v>
      </c>
      <c r="AV19" t="s">
        <v>115</v>
      </c>
      <c r="BA19">
        <v>6.3</v>
      </c>
    </row>
    <row r="20" spans="1:53" x14ac:dyDescent="0.3">
      <c r="A20" t="s">
        <v>206</v>
      </c>
      <c r="C20" t="s">
        <v>207</v>
      </c>
      <c r="D20" t="s">
        <v>81</v>
      </c>
      <c r="E20">
        <v>5000000</v>
      </c>
      <c r="H20">
        <v>6</v>
      </c>
      <c r="I20" t="s">
        <v>56</v>
      </c>
      <c r="J20">
        <v>6.0000000000000006E-4</v>
      </c>
      <c r="K20" t="s">
        <v>57</v>
      </c>
      <c r="O20">
        <v>0.5</v>
      </c>
      <c r="P20" t="s">
        <v>59</v>
      </c>
      <c r="S20">
        <v>2</v>
      </c>
      <c r="T20">
        <v>22</v>
      </c>
      <c r="V20">
        <v>50</v>
      </c>
      <c r="W20" t="s">
        <v>211</v>
      </c>
      <c r="X20" t="s">
        <v>209</v>
      </c>
      <c r="Y20">
        <v>360</v>
      </c>
      <c r="AB20">
        <v>5.2304489213782697</v>
      </c>
      <c r="AC20" t="s">
        <v>210</v>
      </c>
      <c r="AH20">
        <v>6.3</v>
      </c>
      <c r="AK20">
        <v>0.8</v>
      </c>
      <c r="AL20" t="s">
        <v>82</v>
      </c>
      <c r="AM20">
        <v>0.8</v>
      </c>
      <c r="AN20" t="s">
        <v>82</v>
      </c>
      <c r="AT20" t="s">
        <v>212</v>
      </c>
      <c r="AU20">
        <v>1.333333333333333</v>
      </c>
      <c r="AV20" t="s">
        <v>115</v>
      </c>
      <c r="BA20">
        <v>6.3</v>
      </c>
    </row>
    <row r="21" spans="1:53" x14ac:dyDescent="0.3">
      <c r="A21" t="s">
        <v>206</v>
      </c>
      <c r="C21" t="s">
        <v>207</v>
      </c>
      <c r="D21" t="s">
        <v>81</v>
      </c>
      <c r="E21">
        <v>5000000</v>
      </c>
      <c r="H21">
        <v>6</v>
      </c>
      <c r="I21" t="s">
        <v>56</v>
      </c>
      <c r="J21">
        <v>6.0000000000000006E-4</v>
      </c>
      <c r="K21" t="s">
        <v>57</v>
      </c>
      <c r="O21">
        <v>0.5</v>
      </c>
      <c r="P21" t="s">
        <v>59</v>
      </c>
      <c r="S21">
        <v>2</v>
      </c>
      <c r="T21">
        <v>22</v>
      </c>
      <c r="V21">
        <v>50</v>
      </c>
      <c r="W21" t="s">
        <v>211</v>
      </c>
      <c r="X21" t="s">
        <v>209</v>
      </c>
      <c r="Y21">
        <v>0</v>
      </c>
      <c r="AB21">
        <v>6.1461280356782302</v>
      </c>
      <c r="AC21" t="s">
        <v>210</v>
      </c>
      <c r="AH21">
        <v>6.1</v>
      </c>
      <c r="AK21">
        <v>0.8</v>
      </c>
      <c r="AL21" t="s">
        <v>82</v>
      </c>
      <c r="AM21">
        <v>0.8</v>
      </c>
      <c r="AN21" t="s">
        <v>82</v>
      </c>
      <c r="AT21" t="s">
        <v>212</v>
      </c>
      <c r="AU21">
        <v>1.333333333333333</v>
      </c>
      <c r="AV21" t="s">
        <v>115</v>
      </c>
      <c r="BA21">
        <v>6.1</v>
      </c>
    </row>
    <row r="22" spans="1:53" x14ac:dyDescent="0.3">
      <c r="A22" t="s">
        <v>206</v>
      </c>
      <c r="C22" t="s">
        <v>207</v>
      </c>
      <c r="D22" t="s">
        <v>81</v>
      </c>
      <c r="E22">
        <v>5000000</v>
      </c>
      <c r="H22">
        <v>6</v>
      </c>
      <c r="I22" t="s">
        <v>56</v>
      </c>
      <c r="J22">
        <v>6.0000000000000006E-4</v>
      </c>
      <c r="K22" t="s">
        <v>57</v>
      </c>
      <c r="O22">
        <v>0.5</v>
      </c>
      <c r="P22" t="s">
        <v>59</v>
      </c>
      <c r="S22">
        <v>2</v>
      </c>
      <c r="T22">
        <v>22</v>
      </c>
      <c r="V22">
        <v>50</v>
      </c>
      <c r="W22" t="s">
        <v>211</v>
      </c>
      <c r="X22" t="s">
        <v>209</v>
      </c>
      <c r="Y22">
        <v>60</v>
      </c>
      <c r="AB22">
        <v>3.91381385238371</v>
      </c>
      <c r="AC22" t="s">
        <v>210</v>
      </c>
      <c r="AH22">
        <v>6.1</v>
      </c>
      <c r="AK22">
        <v>0.8</v>
      </c>
      <c r="AL22" t="s">
        <v>82</v>
      </c>
      <c r="AM22">
        <v>0.8</v>
      </c>
      <c r="AN22" t="s">
        <v>82</v>
      </c>
      <c r="AT22" t="s">
        <v>212</v>
      </c>
      <c r="AU22">
        <v>1.333333333333333</v>
      </c>
      <c r="AV22" t="s">
        <v>115</v>
      </c>
      <c r="BA22">
        <v>6.1</v>
      </c>
    </row>
    <row r="23" spans="1:53" x14ac:dyDescent="0.3">
      <c r="A23" t="s">
        <v>206</v>
      </c>
      <c r="C23" t="s">
        <v>207</v>
      </c>
      <c r="D23" t="s">
        <v>81</v>
      </c>
      <c r="E23">
        <v>5000000</v>
      </c>
      <c r="H23">
        <v>6</v>
      </c>
      <c r="I23" t="s">
        <v>56</v>
      </c>
      <c r="J23">
        <v>6.0000000000000006E-4</v>
      </c>
      <c r="K23" t="s">
        <v>57</v>
      </c>
      <c r="O23">
        <v>0.5</v>
      </c>
      <c r="P23" t="s">
        <v>59</v>
      </c>
      <c r="S23">
        <v>2</v>
      </c>
      <c r="T23">
        <v>22</v>
      </c>
      <c r="V23">
        <v>50</v>
      </c>
      <c r="W23" t="s">
        <v>211</v>
      </c>
      <c r="X23" t="s">
        <v>209</v>
      </c>
      <c r="Y23">
        <v>120</v>
      </c>
      <c r="AB23">
        <v>3.80617997398388</v>
      </c>
      <c r="AC23" t="s">
        <v>210</v>
      </c>
      <c r="AH23">
        <v>6.1</v>
      </c>
      <c r="AK23">
        <v>0.8</v>
      </c>
      <c r="AL23" t="s">
        <v>82</v>
      </c>
      <c r="AM23">
        <v>0.8</v>
      </c>
      <c r="AN23" t="s">
        <v>82</v>
      </c>
      <c r="AT23" t="s">
        <v>212</v>
      </c>
      <c r="AU23">
        <v>1.333333333333333</v>
      </c>
      <c r="AV23" t="s">
        <v>115</v>
      </c>
      <c r="BA23">
        <v>6.1</v>
      </c>
    </row>
    <row r="24" spans="1:53" x14ac:dyDescent="0.3">
      <c r="A24" t="s">
        <v>206</v>
      </c>
      <c r="C24" t="s">
        <v>207</v>
      </c>
      <c r="D24" t="s">
        <v>81</v>
      </c>
      <c r="E24">
        <v>5000000</v>
      </c>
      <c r="H24">
        <v>6</v>
      </c>
      <c r="I24" t="s">
        <v>56</v>
      </c>
      <c r="J24">
        <v>6.0000000000000006E-4</v>
      </c>
      <c r="K24" t="s">
        <v>57</v>
      </c>
      <c r="O24">
        <v>0.5</v>
      </c>
      <c r="P24" t="s">
        <v>59</v>
      </c>
      <c r="S24">
        <v>2</v>
      </c>
      <c r="T24">
        <v>22</v>
      </c>
      <c r="V24">
        <v>50</v>
      </c>
      <c r="W24" t="s">
        <v>211</v>
      </c>
      <c r="X24" t="s">
        <v>209</v>
      </c>
      <c r="Y24">
        <v>180</v>
      </c>
      <c r="AB24">
        <v>4.1139433523068298</v>
      </c>
      <c r="AC24" t="s">
        <v>210</v>
      </c>
      <c r="AH24">
        <v>6.1</v>
      </c>
      <c r="AK24">
        <v>0.8</v>
      </c>
      <c r="AL24" t="s">
        <v>82</v>
      </c>
      <c r="AM24">
        <v>0.8</v>
      </c>
      <c r="AN24" t="s">
        <v>82</v>
      </c>
      <c r="AT24" t="s">
        <v>212</v>
      </c>
      <c r="AU24">
        <v>1.333333333333333</v>
      </c>
      <c r="AV24" t="s">
        <v>115</v>
      </c>
      <c r="BA24">
        <v>6.1</v>
      </c>
    </row>
    <row r="25" spans="1:53" x14ac:dyDescent="0.3">
      <c r="A25" t="s">
        <v>206</v>
      </c>
      <c r="C25" t="s">
        <v>207</v>
      </c>
      <c r="D25" t="s">
        <v>81</v>
      </c>
      <c r="E25">
        <v>5000000</v>
      </c>
      <c r="H25">
        <v>6</v>
      </c>
      <c r="I25" t="s">
        <v>56</v>
      </c>
      <c r="J25">
        <v>6.0000000000000006E-4</v>
      </c>
      <c r="K25" t="s">
        <v>57</v>
      </c>
      <c r="O25">
        <v>0.5</v>
      </c>
      <c r="P25" t="s">
        <v>59</v>
      </c>
      <c r="S25">
        <v>2</v>
      </c>
      <c r="T25">
        <v>22</v>
      </c>
      <c r="V25">
        <v>50</v>
      </c>
      <c r="W25" t="s">
        <v>211</v>
      </c>
      <c r="X25" t="s">
        <v>209</v>
      </c>
      <c r="Y25">
        <v>360</v>
      </c>
      <c r="AB25">
        <v>4.3979400086720304</v>
      </c>
      <c r="AC25" t="s">
        <v>210</v>
      </c>
      <c r="AH25">
        <v>6.1</v>
      </c>
      <c r="AK25">
        <v>0.8</v>
      </c>
      <c r="AL25" t="s">
        <v>82</v>
      </c>
      <c r="AM25">
        <v>0.8</v>
      </c>
      <c r="AN25" t="s">
        <v>82</v>
      </c>
      <c r="AT25" t="s">
        <v>212</v>
      </c>
      <c r="AU25">
        <v>1.333333333333333</v>
      </c>
      <c r="AV25" t="s">
        <v>115</v>
      </c>
      <c r="BA25">
        <v>6.1</v>
      </c>
    </row>
    <row r="26" spans="1:53" x14ac:dyDescent="0.3">
      <c r="A26" t="s">
        <v>206</v>
      </c>
      <c r="C26" t="s">
        <v>207</v>
      </c>
      <c r="D26" t="s">
        <v>81</v>
      </c>
      <c r="E26">
        <v>5000000</v>
      </c>
      <c r="H26">
        <v>6</v>
      </c>
      <c r="I26" t="s">
        <v>56</v>
      </c>
      <c r="J26">
        <v>6.0000000000000006E-4</v>
      </c>
      <c r="K26" t="s">
        <v>57</v>
      </c>
      <c r="O26">
        <v>1</v>
      </c>
      <c r="P26" t="s">
        <v>59</v>
      </c>
      <c r="S26">
        <v>2</v>
      </c>
      <c r="T26">
        <v>22</v>
      </c>
      <c r="V26">
        <v>50</v>
      </c>
      <c r="W26" t="s">
        <v>211</v>
      </c>
      <c r="X26" t="s">
        <v>209</v>
      </c>
      <c r="Y26">
        <v>0</v>
      </c>
      <c r="AB26">
        <v>6</v>
      </c>
      <c r="AC26" t="s">
        <v>210</v>
      </c>
      <c r="AH26">
        <v>6</v>
      </c>
      <c r="AK26">
        <v>0.8</v>
      </c>
      <c r="AL26" t="s">
        <v>82</v>
      </c>
      <c r="AM26">
        <v>0.8</v>
      </c>
      <c r="AN26" t="s">
        <v>82</v>
      </c>
      <c r="AT26" t="s">
        <v>212</v>
      </c>
      <c r="AU26">
        <v>1.333333333333333</v>
      </c>
      <c r="AV26" t="s">
        <v>115</v>
      </c>
      <c r="BA26">
        <v>6</v>
      </c>
    </row>
    <row r="27" spans="1:53" x14ac:dyDescent="0.3">
      <c r="A27" t="s">
        <v>206</v>
      </c>
      <c r="C27" t="s">
        <v>207</v>
      </c>
      <c r="D27" t="s">
        <v>81</v>
      </c>
      <c r="E27">
        <v>5000000</v>
      </c>
      <c r="H27">
        <v>6</v>
      </c>
      <c r="I27" t="s">
        <v>56</v>
      </c>
      <c r="J27">
        <v>6.0000000000000006E-4</v>
      </c>
      <c r="K27" t="s">
        <v>57</v>
      </c>
      <c r="O27">
        <v>1</v>
      </c>
      <c r="P27" t="s">
        <v>59</v>
      </c>
      <c r="S27">
        <v>2</v>
      </c>
      <c r="T27">
        <v>22</v>
      </c>
      <c r="V27">
        <v>50</v>
      </c>
      <c r="W27" t="s">
        <v>211</v>
      </c>
      <c r="X27" t="s">
        <v>209</v>
      </c>
      <c r="Y27">
        <v>60</v>
      </c>
      <c r="AB27">
        <v>5.2041199826559197</v>
      </c>
      <c r="AC27" t="s">
        <v>210</v>
      </c>
      <c r="AH27">
        <v>6</v>
      </c>
      <c r="AK27">
        <v>0.8</v>
      </c>
      <c r="AL27" t="s">
        <v>82</v>
      </c>
      <c r="AM27">
        <v>0.8</v>
      </c>
      <c r="AN27" t="s">
        <v>82</v>
      </c>
      <c r="AT27" t="s">
        <v>212</v>
      </c>
      <c r="AU27">
        <v>1.333333333333333</v>
      </c>
      <c r="AV27" t="s">
        <v>115</v>
      </c>
      <c r="BA27">
        <v>6</v>
      </c>
    </row>
    <row r="28" spans="1:53" x14ac:dyDescent="0.3">
      <c r="A28" t="s">
        <v>206</v>
      </c>
      <c r="C28" t="s">
        <v>207</v>
      </c>
      <c r="D28" t="s">
        <v>81</v>
      </c>
      <c r="E28">
        <v>5000000</v>
      </c>
      <c r="H28">
        <v>6</v>
      </c>
      <c r="I28" t="s">
        <v>56</v>
      </c>
      <c r="J28">
        <v>6.0000000000000006E-4</v>
      </c>
      <c r="K28" t="s">
        <v>57</v>
      </c>
      <c r="O28">
        <v>1</v>
      </c>
      <c r="P28" t="s">
        <v>59</v>
      </c>
      <c r="S28">
        <v>2</v>
      </c>
      <c r="T28">
        <v>22</v>
      </c>
      <c r="V28">
        <v>50</v>
      </c>
      <c r="W28" t="s">
        <v>211</v>
      </c>
      <c r="X28" t="s">
        <v>209</v>
      </c>
      <c r="Y28">
        <v>120</v>
      </c>
      <c r="AB28">
        <v>3.7634279935629298</v>
      </c>
      <c r="AC28" t="s">
        <v>210</v>
      </c>
      <c r="AH28">
        <v>6</v>
      </c>
      <c r="AK28">
        <v>0.8</v>
      </c>
      <c r="AL28" t="s">
        <v>82</v>
      </c>
      <c r="AM28">
        <v>0.8</v>
      </c>
      <c r="AN28" t="s">
        <v>82</v>
      </c>
      <c r="AT28" t="s">
        <v>212</v>
      </c>
      <c r="AU28">
        <v>1.333333333333333</v>
      </c>
      <c r="AV28" t="s">
        <v>115</v>
      </c>
      <c r="BA28">
        <v>6</v>
      </c>
    </row>
    <row r="29" spans="1:53" x14ac:dyDescent="0.3">
      <c r="A29" t="s">
        <v>206</v>
      </c>
      <c r="C29" t="s">
        <v>207</v>
      </c>
      <c r="D29" t="s">
        <v>81</v>
      </c>
      <c r="E29">
        <v>5000000</v>
      </c>
      <c r="H29">
        <v>6</v>
      </c>
      <c r="I29" t="s">
        <v>56</v>
      </c>
      <c r="J29">
        <v>6.0000000000000006E-4</v>
      </c>
      <c r="K29" t="s">
        <v>57</v>
      </c>
      <c r="O29">
        <v>1</v>
      </c>
      <c r="P29" t="s">
        <v>59</v>
      </c>
      <c r="S29">
        <v>2</v>
      </c>
      <c r="T29">
        <v>22</v>
      </c>
      <c r="V29">
        <v>50</v>
      </c>
      <c r="W29" t="s">
        <v>211</v>
      </c>
      <c r="X29" t="s">
        <v>209</v>
      </c>
      <c r="Y29">
        <v>180</v>
      </c>
      <c r="AB29">
        <v>4.8129133566428504</v>
      </c>
      <c r="AC29" t="s">
        <v>210</v>
      </c>
      <c r="AH29">
        <v>6</v>
      </c>
      <c r="AK29">
        <v>0.8</v>
      </c>
      <c r="AL29" t="s">
        <v>82</v>
      </c>
      <c r="AM29">
        <v>0.8</v>
      </c>
      <c r="AN29" t="s">
        <v>82</v>
      </c>
      <c r="AT29" t="s">
        <v>212</v>
      </c>
      <c r="AU29">
        <v>1.333333333333333</v>
      </c>
      <c r="AV29" t="s">
        <v>115</v>
      </c>
      <c r="BA29">
        <v>6</v>
      </c>
    </row>
    <row r="30" spans="1:53" x14ac:dyDescent="0.3">
      <c r="A30" t="s">
        <v>206</v>
      </c>
      <c r="C30" t="s">
        <v>207</v>
      </c>
      <c r="D30" t="s">
        <v>81</v>
      </c>
      <c r="E30">
        <v>5000000</v>
      </c>
      <c r="H30">
        <v>6</v>
      </c>
      <c r="I30" t="s">
        <v>56</v>
      </c>
      <c r="J30">
        <v>6.0000000000000006E-4</v>
      </c>
      <c r="K30" t="s">
        <v>57</v>
      </c>
      <c r="O30">
        <v>1</v>
      </c>
      <c r="P30" t="s">
        <v>59</v>
      </c>
      <c r="S30">
        <v>2</v>
      </c>
      <c r="T30">
        <v>22</v>
      </c>
      <c r="V30">
        <v>50</v>
      </c>
      <c r="W30" t="s">
        <v>211</v>
      </c>
      <c r="X30" t="s">
        <v>209</v>
      </c>
      <c r="Y30">
        <v>360</v>
      </c>
      <c r="AB30">
        <v>3.6434526764861799</v>
      </c>
      <c r="AC30" t="s">
        <v>210</v>
      </c>
      <c r="AH30">
        <v>6</v>
      </c>
      <c r="AK30">
        <v>0.8</v>
      </c>
      <c r="AL30" t="s">
        <v>82</v>
      </c>
      <c r="AM30">
        <v>0.8</v>
      </c>
      <c r="AN30" t="s">
        <v>82</v>
      </c>
      <c r="AT30" t="s">
        <v>212</v>
      </c>
      <c r="AU30">
        <v>1.333333333333333</v>
      </c>
      <c r="AV30" t="s">
        <v>115</v>
      </c>
      <c r="BA30">
        <v>6</v>
      </c>
    </row>
    <row r="31" spans="1:53" x14ac:dyDescent="0.3">
      <c r="A31" t="s">
        <v>206</v>
      </c>
      <c r="C31" t="s">
        <v>207</v>
      </c>
      <c r="D31" t="s">
        <v>81</v>
      </c>
      <c r="E31">
        <v>5000000</v>
      </c>
      <c r="H31">
        <v>6</v>
      </c>
      <c r="I31" t="s">
        <v>56</v>
      </c>
      <c r="J31">
        <v>6.0000000000000006E-4</v>
      </c>
      <c r="K31" t="s">
        <v>57</v>
      </c>
      <c r="O31">
        <v>5</v>
      </c>
      <c r="P31" t="s">
        <v>59</v>
      </c>
      <c r="S31">
        <v>2</v>
      </c>
      <c r="T31">
        <v>22</v>
      </c>
      <c r="V31">
        <v>50</v>
      </c>
      <c r="W31" t="s">
        <v>211</v>
      </c>
      <c r="X31" t="s">
        <v>209</v>
      </c>
      <c r="Y31">
        <v>0</v>
      </c>
      <c r="AB31">
        <v>6</v>
      </c>
      <c r="AC31" t="s">
        <v>210</v>
      </c>
      <c r="AH31">
        <v>6</v>
      </c>
      <c r="AK31">
        <v>0.8</v>
      </c>
      <c r="AL31" t="s">
        <v>82</v>
      </c>
      <c r="AM31">
        <v>0.8</v>
      </c>
      <c r="AN31" t="s">
        <v>82</v>
      </c>
      <c r="AT31" t="s">
        <v>212</v>
      </c>
      <c r="AU31">
        <v>1.333333333333333</v>
      </c>
      <c r="AV31" t="s">
        <v>115</v>
      </c>
      <c r="BA31">
        <v>6</v>
      </c>
    </row>
    <row r="32" spans="1:53" x14ac:dyDescent="0.3">
      <c r="A32" t="s">
        <v>206</v>
      </c>
      <c r="C32" t="s">
        <v>207</v>
      </c>
      <c r="D32" t="s">
        <v>81</v>
      </c>
      <c r="E32">
        <v>5000000</v>
      </c>
      <c r="H32">
        <v>6</v>
      </c>
      <c r="I32" t="s">
        <v>56</v>
      </c>
      <c r="J32">
        <v>6.0000000000000006E-4</v>
      </c>
      <c r="K32" t="s">
        <v>57</v>
      </c>
      <c r="O32">
        <v>5</v>
      </c>
      <c r="P32" t="s">
        <v>59</v>
      </c>
      <c r="S32">
        <v>2</v>
      </c>
      <c r="T32">
        <v>22</v>
      </c>
      <c r="V32">
        <v>50</v>
      </c>
      <c r="W32" t="s">
        <v>211</v>
      </c>
      <c r="X32" t="s">
        <v>209</v>
      </c>
      <c r="Y32">
        <v>60</v>
      </c>
      <c r="AB32">
        <v>3.17609125905568</v>
      </c>
      <c r="AC32" t="s">
        <v>210</v>
      </c>
      <c r="AH32">
        <v>6</v>
      </c>
      <c r="AK32">
        <v>0.8</v>
      </c>
      <c r="AL32" t="s">
        <v>82</v>
      </c>
      <c r="AM32">
        <v>0.8</v>
      </c>
      <c r="AN32" t="s">
        <v>82</v>
      </c>
      <c r="AT32" t="s">
        <v>212</v>
      </c>
      <c r="AU32">
        <v>1.333333333333333</v>
      </c>
      <c r="AV32" t="s">
        <v>115</v>
      </c>
      <c r="BA32">
        <v>6</v>
      </c>
    </row>
    <row r="33" spans="1:53" x14ac:dyDescent="0.3">
      <c r="A33" t="s">
        <v>206</v>
      </c>
      <c r="C33" t="s">
        <v>207</v>
      </c>
      <c r="D33" t="s">
        <v>81</v>
      </c>
      <c r="E33">
        <v>5000000</v>
      </c>
      <c r="H33">
        <v>6</v>
      </c>
      <c r="I33" t="s">
        <v>56</v>
      </c>
      <c r="J33">
        <v>6.0000000000000006E-4</v>
      </c>
      <c r="K33" t="s">
        <v>57</v>
      </c>
      <c r="O33">
        <v>5</v>
      </c>
      <c r="P33" t="s">
        <v>59</v>
      </c>
      <c r="S33">
        <v>2</v>
      </c>
      <c r="T33">
        <v>22</v>
      </c>
      <c r="V33">
        <v>50</v>
      </c>
      <c r="W33" t="s">
        <v>211</v>
      </c>
      <c r="X33" t="s">
        <v>209</v>
      </c>
      <c r="Y33">
        <v>120</v>
      </c>
      <c r="AB33">
        <v>3.2041199826559201</v>
      </c>
      <c r="AC33" t="s">
        <v>210</v>
      </c>
      <c r="AH33">
        <v>6</v>
      </c>
      <c r="AK33">
        <v>0.8</v>
      </c>
      <c r="AL33" t="s">
        <v>82</v>
      </c>
      <c r="AM33">
        <v>0.8</v>
      </c>
      <c r="AN33" t="s">
        <v>82</v>
      </c>
      <c r="AT33" t="s">
        <v>212</v>
      </c>
      <c r="AU33">
        <v>1.333333333333333</v>
      </c>
      <c r="AV33" t="s">
        <v>115</v>
      </c>
      <c r="BA33">
        <v>6</v>
      </c>
    </row>
    <row r="34" spans="1:53" x14ac:dyDescent="0.3">
      <c r="A34" t="s">
        <v>206</v>
      </c>
      <c r="C34" t="s">
        <v>207</v>
      </c>
      <c r="D34" t="s">
        <v>81</v>
      </c>
      <c r="E34">
        <v>5000000</v>
      </c>
      <c r="H34">
        <v>6</v>
      </c>
      <c r="I34" t="s">
        <v>56</v>
      </c>
      <c r="J34">
        <v>6.0000000000000006E-4</v>
      </c>
      <c r="K34" t="s">
        <v>57</v>
      </c>
      <c r="O34">
        <v>5</v>
      </c>
      <c r="P34" t="s">
        <v>59</v>
      </c>
      <c r="S34">
        <v>2</v>
      </c>
      <c r="T34">
        <v>22</v>
      </c>
      <c r="V34">
        <v>50</v>
      </c>
      <c r="W34" t="s">
        <v>211</v>
      </c>
      <c r="X34" t="s">
        <v>209</v>
      </c>
      <c r="Y34">
        <v>180</v>
      </c>
      <c r="AB34">
        <v>2.17609125905568</v>
      </c>
      <c r="AC34" t="s">
        <v>210</v>
      </c>
      <c r="AH34">
        <v>6</v>
      </c>
      <c r="AK34">
        <v>0.8</v>
      </c>
      <c r="AL34" t="s">
        <v>82</v>
      </c>
      <c r="AM34">
        <v>0.8</v>
      </c>
      <c r="AN34" t="s">
        <v>82</v>
      </c>
      <c r="AT34" t="s">
        <v>212</v>
      </c>
      <c r="AU34">
        <v>1.333333333333333</v>
      </c>
      <c r="AV34" t="s">
        <v>115</v>
      </c>
      <c r="BA34">
        <v>6</v>
      </c>
    </row>
    <row r="35" spans="1:53" x14ac:dyDescent="0.3">
      <c r="A35" t="s">
        <v>206</v>
      </c>
      <c r="C35" t="s">
        <v>207</v>
      </c>
      <c r="D35" t="s">
        <v>81</v>
      </c>
      <c r="E35">
        <v>5000000</v>
      </c>
      <c r="H35">
        <v>6</v>
      </c>
      <c r="I35" t="s">
        <v>56</v>
      </c>
      <c r="J35">
        <v>6.0000000000000006E-4</v>
      </c>
      <c r="K35" t="s">
        <v>57</v>
      </c>
      <c r="O35">
        <v>5</v>
      </c>
      <c r="P35" t="s">
        <v>59</v>
      </c>
      <c r="S35">
        <v>2</v>
      </c>
      <c r="T35">
        <v>22</v>
      </c>
      <c r="V35">
        <v>50</v>
      </c>
      <c r="W35" t="s">
        <v>211</v>
      </c>
      <c r="X35" t="s">
        <v>209</v>
      </c>
      <c r="Y35">
        <v>360</v>
      </c>
      <c r="AB35">
        <v>2.5440680443502699</v>
      </c>
      <c r="AC35" t="s">
        <v>210</v>
      </c>
      <c r="AH35">
        <v>6</v>
      </c>
      <c r="AK35">
        <v>0.8</v>
      </c>
      <c r="AL35" t="s">
        <v>82</v>
      </c>
      <c r="AM35">
        <v>0.8</v>
      </c>
      <c r="AN35" t="s">
        <v>82</v>
      </c>
      <c r="AT35" t="s">
        <v>212</v>
      </c>
      <c r="AU35">
        <v>1.333333333333333</v>
      </c>
      <c r="AV35" t="s">
        <v>115</v>
      </c>
      <c r="BA35">
        <v>6</v>
      </c>
    </row>
    <row r="36" spans="1:53" x14ac:dyDescent="0.3">
      <c r="A36" t="s">
        <v>206</v>
      </c>
      <c r="C36" t="s">
        <v>207</v>
      </c>
      <c r="D36" t="s">
        <v>81</v>
      </c>
      <c r="E36">
        <v>5000000</v>
      </c>
      <c r="H36">
        <v>6</v>
      </c>
      <c r="I36" t="s">
        <v>56</v>
      </c>
      <c r="J36">
        <v>6.0000000000000006E-4</v>
      </c>
      <c r="K36" t="s">
        <v>57</v>
      </c>
      <c r="O36">
        <v>0.3</v>
      </c>
      <c r="P36" t="s">
        <v>59</v>
      </c>
      <c r="S36">
        <v>2</v>
      </c>
      <c r="T36">
        <v>22</v>
      </c>
      <c r="V36">
        <v>50</v>
      </c>
      <c r="W36" t="s">
        <v>211</v>
      </c>
      <c r="X36" t="s">
        <v>209</v>
      </c>
      <c r="Y36">
        <v>0</v>
      </c>
      <c r="AB36">
        <v>6</v>
      </c>
      <c r="AC36" t="s">
        <v>210</v>
      </c>
      <c r="AH36">
        <v>6</v>
      </c>
      <c r="AK36">
        <v>0.8</v>
      </c>
      <c r="AL36" t="s">
        <v>82</v>
      </c>
      <c r="AM36">
        <v>0.8</v>
      </c>
      <c r="AN36" t="s">
        <v>82</v>
      </c>
      <c r="AT36" t="s">
        <v>212</v>
      </c>
      <c r="AU36">
        <v>1.333333333333333</v>
      </c>
      <c r="AV36" t="s">
        <v>115</v>
      </c>
      <c r="BA36">
        <v>6</v>
      </c>
    </row>
    <row r="37" spans="1:53" x14ac:dyDescent="0.3">
      <c r="A37" t="s">
        <v>206</v>
      </c>
      <c r="C37" t="s">
        <v>207</v>
      </c>
      <c r="D37" t="s">
        <v>81</v>
      </c>
      <c r="E37">
        <v>100000000</v>
      </c>
      <c r="H37">
        <v>6</v>
      </c>
      <c r="I37" t="s">
        <v>56</v>
      </c>
      <c r="J37">
        <v>6.0000000000000006E-4</v>
      </c>
      <c r="K37" t="s">
        <v>57</v>
      </c>
      <c r="O37">
        <v>0.3</v>
      </c>
      <c r="P37" t="s">
        <v>59</v>
      </c>
      <c r="S37">
        <v>2</v>
      </c>
      <c r="T37">
        <v>22</v>
      </c>
      <c r="V37">
        <v>50</v>
      </c>
      <c r="W37" t="s">
        <v>211</v>
      </c>
      <c r="X37" t="s">
        <v>209</v>
      </c>
      <c r="Y37">
        <v>0.25</v>
      </c>
      <c r="AB37">
        <v>6.3424226808222004</v>
      </c>
      <c r="AC37" t="s">
        <v>210</v>
      </c>
      <c r="AH37">
        <v>6</v>
      </c>
      <c r="AK37">
        <v>0.8</v>
      </c>
      <c r="AL37" t="s">
        <v>82</v>
      </c>
      <c r="AM37">
        <v>0.8</v>
      </c>
      <c r="AN37" t="s">
        <v>82</v>
      </c>
      <c r="AT37" t="s">
        <v>212</v>
      </c>
      <c r="AU37">
        <v>1.333333333333333</v>
      </c>
      <c r="AV37" t="s">
        <v>115</v>
      </c>
      <c r="BA37">
        <v>6</v>
      </c>
    </row>
    <row r="38" spans="1:53" x14ac:dyDescent="0.3">
      <c r="A38" t="s">
        <v>206</v>
      </c>
      <c r="C38" t="s">
        <v>207</v>
      </c>
      <c r="D38" t="s">
        <v>81</v>
      </c>
      <c r="E38">
        <v>100000000</v>
      </c>
      <c r="H38">
        <v>6</v>
      </c>
      <c r="I38" t="s">
        <v>56</v>
      </c>
      <c r="J38">
        <v>6.0000000000000006E-4</v>
      </c>
      <c r="K38" t="s">
        <v>57</v>
      </c>
      <c r="O38">
        <v>0.3</v>
      </c>
      <c r="P38" t="s">
        <v>59</v>
      </c>
      <c r="S38">
        <v>2</v>
      </c>
      <c r="T38">
        <v>22</v>
      </c>
      <c r="V38">
        <v>50</v>
      </c>
      <c r="W38" t="s">
        <v>211</v>
      </c>
      <c r="X38" t="s">
        <v>209</v>
      </c>
      <c r="Y38">
        <v>0.5</v>
      </c>
      <c r="AB38">
        <v>4.7634279935629298</v>
      </c>
      <c r="AC38" t="s">
        <v>210</v>
      </c>
      <c r="AH38">
        <v>6</v>
      </c>
      <c r="AK38">
        <v>0.8</v>
      </c>
      <c r="AL38" t="s">
        <v>82</v>
      </c>
      <c r="AM38">
        <v>0.8</v>
      </c>
      <c r="AN38" t="s">
        <v>82</v>
      </c>
      <c r="AT38" t="s">
        <v>212</v>
      </c>
      <c r="AU38">
        <v>1.333333333333333</v>
      </c>
      <c r="AV38" t="s">
        <v>115</v>
      </c>
      <c r="BA38">
        <v>6</v>
      </c>
    </row>
    <row r="39" spans="1:53" x14ac:dyDescent="0.3">
      <c r="A39" t="s">
        <v>206</v>
      </c>
      <c r="C39" t="s">
        <v>207</v>
      </c>
      <c r="D39" t="s">
        <v>81</v>
      </c>
      <c r="E39">
        <v>100000000</v>
      </c>
      <c r="H39">
        <v>6</v>
      </c>
      <c r="I39" t="s">
        <v>56</v>
      </c>
      <c r="J39">
        <v>6.0000000000000006E-4</v>
      </c>
      <c r="K39" t="s">
        <v>57</v>
      </c>
      <c r="O39">
        <v>0.3</v>
      </c>
      <c r="P39" t="s">
        <v>59</v>
      </c>
      <c r="S39">
        <v>2</v>
      </c>
      <c r="T39">
        <v>22</v>
      </c>
      <c r="V39">
        <v>50</v>
      </c>
      <c r="W39" t="s">
        <v>211</v>
      </c>
      <c r="X39" t="s">
        <v>209</v>
      </c>
      <c r="Y39">
        <v>1</v>
      </c>
      <c r="AB39">
        <v>2.4771212547196599</v>
      </c>
      <c r="AC39" t="s">
        <v>210</v>
      </c>
      <c r="AH39">
        <v>6</v>
      </c>
      <c r="AK39">
        <v>0.8</v>
      </c>
      <c r="AL39" t="s">
        <v>82</v>
      </c>
      <c r="AM39">
        <v>0.8</v>
      </c>
      <c r="AN39" t="s">
        <v>82</v>
      </c>
      <c r="AT39" t="s">
        <v>212</v>
      </c>
      <c r="AU39">
        <v>1.333333333333333</v>
      </c>
      <c r="AV39" t="s">
        <v>115</v>
      </c>
      <c r="BA39">
        <v>6</v>
      </c>
    </row>
    <row r="40" spans="1:53" x14ac:dyDescent="0.3">
      <c r="A40" t="s">
        <v>206</v>
      </c>
      <c r="C40" t="s">
        <v>207</v>
      </c>
      <c r="D40" t="s">
        <v>81</v>
      </c>
      <c r="E40">
        <v>100000000</v>
      </c>
      <c r="H40">
        <v>6</v>
      </c>
      <c r="I40" t="s">
        <v>56</v>
      </c>
      <c r="J40">
        <v>6.0000000000000006E-4</v>
      </c>
      <c r="K40" t="s">
        <v>57</v>
      </c>
      <c r="O40">
        <v>0.3</v>
      </c>
      <c r="P40" t="s">
        <v>59</v>
      </c>
      <c r="S40">
        <v>2</v>
      </c>
      <c r="T40">
        <v>22</v>
      </c>
      <c r="V40">
        <v>50</v>
      </c>
      <c r="W40" t="s">
        <v>211</v>
      </c>
      <c r="X40" t="s">
        <v>209</v>
      </c>
      <c r="Y40">
        <v>5</v>
      </c>
      <c r="AA40" t="s">
        <v>128</v>
      </c>
      <c r="AB40">
        <v>2</v>
      </c>
      <c r="AC40" t="s">
        <v>210</v>
      </c>
      <c r="AH40">
        <v>6</v>
      </c>
      <c r="AK40">
        <v>0.8</v>
      </c>
      <c r="AL40" t="s">
        <v>82</v>
      </c>
      <c r="AM40">
        <v>0.8</v>
      </c>
      <c r="AN40" t="s">
        <v>82</v>
      </c>
      <c r="AT40" t="s">
        <v>212</v>
      </c>
      <c r="AU40">
        <v>1.333333333333333</v>
      </c>
      <c r="AV40" t="s">
        <v>115</v>
      </c>
      <c r="AZ40">
        <v>0</v>
      </c>
      <c r="BA40">
        <v>6</v>
      </c>
    </row>
    <row r="41" spans="1:53" x14ac:dyDescent="0.3">
      <c r="A41" t="s">
        <v>206</v>
      </c>
      <c r="C41" t="s">
        <v>207</v>
      </c>
      <c r="D41" t="s">
        <v>81</v>
      </c>
      <c r="E41">
        <v>100000000</v>
      </c>
      <c r="H41">
        <v>6</v>
      </c>
      <c r="I41" t="s">
        <v>56</v>
      </c>
      <c r="J41">
        <v>6.0000000000000006E-4</v>
      </c>
      <c r="K41" t="s">
        <v>57</v>
      </c>
      <c r="O41">
        <v>0.3</v>
      </c>
      <c r="P41" t="s">
        <v>59</v>
      </c>
      <c r="S41">
        <v>2</v>
      </c>
      <c r="T41">
        <v>22</v>
      </c>
      <c r="V41">
        <v>50</v>
      </c>
      <c r="W41" t="s">
        <v>211</v>
      </c>
      <c r="X41" t="s">
        <v>209</v>
      </c>
      <c r="Y41">
        <v>10</v>
      </c>
      <c r="AA41" t="s">
        <v>128</v>
      </c>
      <c r="AB41">
        <v>2</v>
      </c>
      <c r="AC41" t="s">
        <v>210</v>
      </c>
      <c r="AH41">
        <v>6</v>
      </c>
      <c r="AK41">
        <v>0.8</v>
      </c>
      <c r="AL41" t="s">
        <v>82</v>
      </c>
      <c r="AM41">
        <v>0.8</v>
      </c>
      <c r="AN41" t="s">
        <v>82</v>
      </c>
      <c r="AT41" t="s">
        <v>212</v>
      </c>
      <c r="AU41">
        <v>1.333333333333333</v>
      </c>
      <c r="AV41" t="s">
        <v>115</v>
      </c>
      <c r="AZ41">
        <v>0</v>
      </c>
      <c r="BA41">
        <v>6</v>
      </c>
    </row>
    <row r="42" spans="1:53" x14ac:dyDescent="0.3">
      <c r="A42" t="s">
        <v>206</v>
      </c>
      <c r="C42" t="s">
        <v>207</v>
      </c>
      <c r="D42" t="s">
        <v>81</v>
      </c>
      <c r="E42">
        <v>100000000</v>
      </c>
      <c r="H42">
        <v>6</v>
      </c>
      <c r="I42" t="s">
        <v>56</v>
      </c>
      <c r="J42">
        <v>6.0000000000000006E-4</v>
      </c>
      <c r="K42" t="s">
        <v>57</v>
      </c>
      <c r="O42">
        <v>0.3</v>
      </c>
      <c r="P42" t="s">
        <v>59</v>
      </c>
      <c r="S42">
        <v>2</v>
      </c>
      <c r="T42">
        <v>22</v>
      </c>
      <c r="V42">
        <v>50</v>
      </c>
      <c r="W42" t="s">
        <v>211</v>
      </c>
      <c r="X42" t="s">
        <v>209</v>
      </c>
      <c r="Y42">
        <v>30</v>
      </c>
      <c r="AA42" t="s">
        <v>128</v>
      </c>
      <c r="AB42">
        <v>2</v>
      </c>
      <c r="AC42" t="s">
        <v>210</v>
      </c>
      <c r="AH42">
        <v>6</v>
      </c>
      <c r="AK42">
        <v>0.8</v>
      </c>
      <c r="AL42" t="s">
        <v>82</v>
      </c>
      <c r="AM42">
        <v>0.8</v>
      </c>
      <c r="AN42" t="s">
        <v>82</v>
      </c>
      <c r="AT42" t="s">
        <v>212</v>
      </c>
      <c r="AU42">
        <v>1.333333333333333</v>
      </c>
      <c r="AV42" t="s">
        <v>115</v>
      </c>
      <c r="AZ42">
        <v>0</v>
      </c>
      <c r="BA42">
        <v>6</v>
      </c>
    </row>
    <row r="43" spans="1:53" x14ac:dyDescent="0.3">
      <c r="A43" t="s">
        <v>206</v>
      </c>
      <c r="C43" t="s">
        <v>207</v>
      </c>
      <c r="D43" t="s">
        <v>81</v>
      </c>
      <c r="E43">
        <v>100000000</v>
      </c>
      <c r="H43">
        <v>6</v>
      </c>
      <c r="I43" t="s">
        <v>56</v>
      </c>
      <c r="J43">
        <v>6.0000000000000006E-4</v>
      </c>
      <c r="K43" t="s">
        <v>57</v>
      </c>
      <c r="O43">
        <v>0.3</v>
      </c>
      <c r="P43" t="s">
        <v>59</v>
      </c>
      <c r="S43">
        <v>2</v>
      </c>
      <c r="T43">
        <v>22</v>
      </c>
      <c r="V43">
        <v>50</v>
      </c>
      <c r="W43" t="s">
        <v>211</v>
      </c>
      <c r="X43" t="s">
        <v>209</v>
      </c>
      <c r="Y43">
        <v>60</v>
      </c>
      <c r="AA43" t="s">
        <v>128</v>
      </c>
      <c r="AB43">
        <v>2</v>
      </c>
      <c r="AC43" t="s">
        <v>210</v>
      </c>
      <c r="AH43">
        <v>6</v>
      </c>
      <c r="AK43">
        <v>0.8</v>
      </c>
      <c r="AL43" t="s">
        <v>82</v>
      </c>
      <c r="AM43">
        <v>0.8</v>
      </c>
      <c r="AN43" t="s">
        <v>82</v>
      </c>
      <c r="AT43" t="s">
        <v>212</v>
      </c>
      <c r="AU43">
        <v>1.333333333333333</v>
      </c>
      <c r="AV43" t="s">
        <v>115</v>
      </c>
      <c r="AZ43">
        <v>0</v>
      </c>
      <c r="BA43">
        <v>6</v>
      </c>
    </row>
    <row r="44" spans="1:53" x14ac:dyDescent="0.3">
      <c r="A44" t="s">
        <v>206</v>
      </c>
      <c r="C44" t="s">
        <v>207</v>
      </c>
      <c r="D44" t="s">
        <v>81</v>
      </c>
      <c r="E44">
        <v>100000000</v>
      </c>
      <c r="H44">
        <v>6</v>
      </c>
      <c r="I44" t="s">
        <v>56</v>
      </c>
      <c r="J44">
        <v>6.0000000000000006E-4</v>
      </c>
      <c r="K44" t="s">
        <v>57</v>
      </c>
      <c r="O44">
        <v>2</v>
      </c>
      <c r="P44" t="s">
        <v>59</v>
      </c>
      <c r="S44">
        <v>2</v>
      </c>
      <c r="T44">
        <v>22</v>
      </c>
      <c r="V44">
        <v>50</v>
      </c>
      <c r="W44" t="s">
        <v>211</v>
      </c>
      <c r="X44" t="s">
        <v>209</v>
      </c>
      <c r="Y44">
        <v>0</v>
      </c>
      <c r="AB44">
        <v>6.1760912590556796</v>
      </c>
      <c r="AC44" t="s">
        <v>210</v>
      </c>
      <c r="AH44">
        <v>6.2</v>
      </c>
      <c r="AK44">
        <v>0.8</v>
      </c>
      <c r="AL44" t="s">
        <v>82</v>
      </c>
      <c r="AM44">
        <v>0.8</v>
      </c>
      <c r="AN44" t="s">
        <v>82</v>
      </c>
      <c r="AT44" t="s">
        <v>212</v>
      </c>
      <c r="AU44">
        <v>1.333333333333333</v>
      </c>
      <c r="AV44" t="s">
        <v>115</v>
      </c>
      <c r="BA44">
        <v>6.2</v>
      </c>
    </row>
    <row r="45" spans="1:53" x14ac:dyDescent="0.3">
      <c r="A45" t="s">
        <v>206</v>
      </c>
      <c r="C45" t="s">
        <v>207</v>
      </c>
      <c r="D45" t="s">
        <v>81</v>
      </c>
      <c r="E45">
        <v>100000000</v>
      </c>
      <c r="H45">
        <v>6</v>
      </c>
      <c r="I45" t="s">
        <v>56</v>
      </c>
      <c r="J45">
        <v>6.0000000000000006E-4</v>
      </c>
      <c r="K45" t="s">
        <v>57</v>
      </c>
      <c r="O45">
        <v>2</v>
      </c>
      <c r="P45" t="s">
        <v>59</v>
      </c>
      <c r="S45">
        <v>2</v>
      </c>
      <c r="T45">
        <v>22</v>
      </c>
      <c r="V45">
        <v>50</v>
      </c>
      <c r="W45" t="s">
        <v>211</v>
      </c>
      <c r="X45" t="s">
        <v>209</v>
      </c>
      <c r="Y45">
        <v>60</v>
      </c>
      <c r="AB45">
        <v>3.9777236052888401</v>
      </c>
      <c r="AC45" t="s">
        <v>210</v>
      </c>
      <c r="AH45">
        <v>6.2</v>
      </c>
      <c r="AK45">
        <v>0.8</v>
      </c>
      <c r="AL45" t="s">
        <v>82</v>
      </c>
      <c r="AM45">
        <v>0.8</v>
      </c>
      <c r="AN45" t="s">
        <v>82</v>
      </c>
      <c r="AT45" t="s">
        <v>212</v>
      </c>
      <c r="AU45">
        <v>1.333333333333333</v>
      </c>
      <c r="AV45" t="s">
        <v>115</v>
      </c>
      <c r="BA45">
        <v>6.2</v>
      </c>
    </row>
    <row r="46" spans="1:53" x14ac:dyDescent="0.3">
      <c r="A46" t="s">
        <v>206</v>
      </c>
      <c r="C46" t="s">
        <v>207</v>
      </c>
      <c r="D46" t="s">
        <v>81</v>
      </c>
      <c r="E46">
        <v>100000000</v>
      </c>
      <c r="H46">
        <v>6</v>
      </c>
      <c r="I46" t="s">
        <v>56</v>
      </c>
      <c r="J46">
        <v>6.0000000000000006E-4</v>
      </c>
      <c r="K46" t="s">
        <v>57</v>
      </c>
      <c r="O46">
        <v>2</v>
      </c>
      <c r="P46" t="s">
        <v>59</v>
      </c>
      <c r="S46">
        <v>2</v>
      </c>
      <c r="T46">
        <v>22</v>
      </c>
      <c r="V46">
        <v>50</v>
      </c>
      <c r="W46" t="s">
        <v>211</v>
      </c>
      <c r="X46" t="s">
        <v>209</v>
      </c>
      <c r="Y46">
        <v>120</v>
      </c>
      <c r="AB46">
        <v>3.8450980400142498</v>
      </c>
      <c r="AC46" t="s">
        <v>210</v>
      </c>
      <c r="AH46">
        <v>6.2</v>
      </c>
      <c r="AK46">
        <v>0.8</v>
      </c>
      <c r="AL46" t="s">
        <v>82</v>
      </c>
      <c r="AM46">
        <v>0.8</v>
      </c>
      <c r="AN46" t="s">
        <v>82</v>
      </c>
      <c r="AT46" t="s">
        <v>212</v>
      </c>
      <c r="AU46">
        <v>1.333333333333333</v>
      </c>
      <c r="AV46" t="s">
        <v>115</v>
      </c>
      <c r="BA46">
        <v>6.2</v>
      </c>
    </row>
    <row r="47" spans="1:53" x14ac:dyDescent="0.3">
      <c r="A47" t="s">
        <v>206</v>
      </c>
      <c r="C47" t="s">
        <v>207</v>
      </c>
      <c r="D47" t="s">
        <v>81</v>
      </c>
      <c r="E47">
        <v>100000000</v>
      </c>
      <c r="H47">
        <v>6</v>
      </c>
      <c r="I47" t="s">
        <v>56</v>
      </c>
      <c r="J47">
        <v>6.0000000000000006E-4</v>
      </c>
      <c r="K47" t="s">
        <v>57</v>
      </c>
      <c r="O47">
        <v>2</v>
      </c>
      <c r="P47" t="s">
        <v>59</v>
      </c>
      <c r="S47">
        <v>2</v>
      </c>
      <c r="T47">
        <v>22</v>
      </c>
      <c r="V47">
        <v>50</v>
      </c>
      <c r="W47" t="s">
        <v>211</v>
      </c>
      <c r="X47" t="s">
        <v>209</v>
      </c>
      <c r="Y47">
        <v>180</v>
      </c>
      <c r="AB47">
        <v>2.17609125905568</v>
      </c>
      <c r="AC47" t="s">
        <v>210</v>
      </c>
      <c r="AH47">
        <v>6.2</v>
      </c>
      <c r="AK47">
        <v>0.8</v>
      </c>
      <c r="AL47" t="s">
        <v>82</v>
      </c>
      <c r="AM47">
        <v>0.8</v>
      </c>
      <c r="AN47" t="s">
        <v>82</v>
      </c>
      <c r="AT47" t="s">
        <v>212</v>
      </c>
      <c r="AU47">
        <v>1.333333333333333</v>
      </c>
      <c r="AV47" t="s">
        <v>115</v>
      </c>
      <c r="BA47">
        <v>6.2</v>
      </c>
    </row>
    <row r="48" spans="1:53" x14ac:dyDescent="0.3">
      <c r="A48" t="s">
        <v>206</v>
      </c>
      <c r="C48" t="s">
        <v>207</v>
      </c>
      <c r="D48" t="s">
        <v>81</v>
      </c>
      <c r="E48">
        <v>100000000</v>
      </c>
      <c r="H48">
        <v>6</v>
      </c>
      <c r="I48" t="s">
        <v>56</v>
      </c>
      <c r="J48">
        <v>6.0000000000000006E-4</v>
      </c>
      <c r="K48" t="s">
        <v>57</v>
      </c>
      <c r="O48">
        <v>2</v>
      </c>
      <c r="P48" t="s">
        <v>59</v>
      </c>
      <c r="S48">
        <v>2</v>
      </c>
      <c r="T48">
        <v>22</v>
      </c>
      <c r="V48">
        <v>50</v>
      </c>
      <c r="W48" t="s">
        <v>211</v>
      </c>
      <c r="X48" t="s">
        <v>209</v>
      </c>
      <c r="Y48">
        <v>360</v>
      </c>
      <c r="AA48" t="s">
        <v>128</v>
      </c>
      <c r="AB48">
        <v>2</v>
      </c>
      <c r="AC48" t="s">
        <v>210</v>
      </c>
      <c r="AH48">
        <v>6.2</v>
      </c>
      <c r="AK48">
        <v>0.8</v>
      </c>
      <c r="AL48" t="s">
        <v>82</v>
      </c>
      <c r="AM48">
        <v>0.8</v>
      </c>
      <c r="AN48" t="s">
        <v>82</v>
      </c>
      <c r="AT48" t="s">
        <v>212</v>
      </c>
      <c r="AU48">
        <v>1.333333333333333</v>
      </c>
      <c r="AV48" t="s">
        <v>115</v>
      </c>
      <c r="AZ48">
        <v>0</v>
      </c>
      <c r="BA48">
        <v>6.2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9"/>
  <sheetViews>
    <sheetView workbookViewId="0">
      <selection activeCell="C17" sqref="C17:F17"/>
    </sheetView>
  </sheetViews>
  <sheetFormatPr defaultRowHeight="14.4" x14ac:dyDescent="0.3"/>
  <cols>
    <col min="1" max="1" width="32.109375" bestFit="1" customWidth="1"/>
    <col min="2" max="2" width="7.5546875" bestFit="1" customWidth="1"/>
    <col min="3" max="3" width="8.6640625" bestFit="1" customWidth="1"/>
    <col min="4" max="4" width="11" bestFit="1" customWidth="1"/>
    <col min="5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COUNTA(LiquidSoakedGauzeCoveringMaster[Ref])</f>
        <v>47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COUNTA(LiquidSoakedGauzeCoveringMaster[GrimeDirt])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COUNTA(LiquidSoakedGauzeCoveringMaster[Rinsate])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SoakedGauzeCoveringMaster[ConvertedCoupAreaUn]),COUNTIF(LiquidSoakedGauzeCoveringMaster[ConvertedCoupAreaUn],INDEX(LiquidSoakedGauzeCoveringMaster[ConvertedCoupAreaUn],MATCH(TRUE,LiquidSoakedGauzeCoveringMaster[ConvertedCoupAreaUn]&lt;&gt;"",0)))=COUNTIF(LiquidSoakedGauzeCoveringMaster[ConvertedCoupAreaUn],"&lt;&gt;"),""),INDEX(LiquidSoakedGauzeCoveringMaster[ConvertedCoupAreaUn],MATCH(TRUE,LiquidSoakedGauzeCoveringMaster[ConvertedCoupAreaUn]&lt;&gt;"",0)), "multiple units given"),"NA")</f>
        <v>m^2</v>
      </c>
      <c r="C11" s="3">
        <f>IF(AND(ISNUMBER(E11),ISNUMBER(F11)),MIN(LiquidSoakedGauzeCoveringMaster[ConvertedCoupArea]),"NA")</f>
        <v>6.0000000000000006E-4</v>
      </c>
      <c r="D11" s="3">
        <f>IF(AND(ISNUMBER(E11),ISNUMBER(F11)),MAX(LiquidSoakedGauzeCoveringMaster[ConvertedCoupArea]),"NA")</f>
        <v>6.0000000000000006E-4</v>
      </c>
      <c r="E11" s="3">
        <f>IFERROR(AVERAGE(LiquidSoakedGauzeCoveringMaster[ConvertedCoupArea]),"NA")</f>
        <v>5.9999999999999995E-4</v>
      </c>
      <c r="F11" s="3">
        <f>IFERROR(STDEV(LiquidSoakedGauzeCoveringMaster[ConvertedCoupArea]),"NA")</f>
        <v>1.0959236177034253E-19</v>
      </c>
    </row>
    <row r="12" spans="1:6" x14ac:dyDescent="0.3">
      <c r="A12" s="3" t="s">
        <v>1591</v>
      </c>
      <c r="B12" s="3" t="str" cm="1">
        <f t="array" ref="B12">IFERROR(IF(IF(COUNTA(LiquidSoakedGauzeCoveringMaster[LoadingUn]),COUNTIF(LiquidSoakedGauzeCoveringMaster[LoadingUn],INDEX(LiquidSoakedGauzeCoveringMaster[LoadingUn],MATCH(TRUE,LiquidSoakedGauzeCoveringMaster[LoadingUn]&lt;&gt;"",0)))=COUNTIF(LiquidSoakedGauzeCoveringMaster[LoadingUn],"&lt;&gt;"),""),INDEX(LiquidSoakedGauzeCoveringMaster[LoadingUn],MATCH(TRUE,LiquidSoakedGauzeCoveringMaster[LoadingUn]&lt;&gt;"",0)), "multiple units given"),"NA")</f>
        <v>CFU</v>
      </c>
      <c r="C12" s="3">
        <f>IF(AND(ISNUMBER(E12),ISNUMBER(F12)),MIN(LiquidSoakedGauzeCoveringMaster[LoadingNum]),"NA")</f>
        <v>5000000</v>
      </c>
      <c r="D12" s="3">
        <f>IF(AND(ISNUMBER(E12),ISNUMBER(F12)),MAX(LiquidSoakedGauzeCoveringMaster[LoadingNum]),"NA")</f>
        <v>100000000</v>
      </c>
      <c r="E12" s="3">
        <f>IFERROR(AVERAGE(LiquidSoakedGauzeCoveringMaster[LoadingNum]),"NA")</f>
        <v>29255319.148936171</v>
      </c>
      <c r="F12" s="3">
        <f>IFERROR(STDEV(LiquidSoakedGauzeCoveringMaster[LoadingNum]),"NA")</f>
        <v>41871681.872486472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IF(AND(ISNUMBER(E13),ISNUMBER(F13)),MIN(LiquidSoakedGauzeCoveringMaster[TotalApp]),"NA")</f>
        <v>NA</v>
      </c>
      <c r="D13" s="3" t="str">
        <f>IF(AND(ISNUMBER(E13),ISNUMBER(F13)),MAX(LiquidSoakedGauzeCoveringMaster[TotalApp]),"NA")</f>
        <v>NA</v>
      </c>
      <c r="E13" s="3" t="str">
        <f>IFERROR(AVERAGE(LiquidSoakedGauzeCoveringMaster[TotalApp]),"NA")</f>
        <v>NA</v>
      </c>
      <c r="F13" s="3" t="str">
        <f>IFERROR(STDEV(LiquidSoakedGauzeCoveringMaster[TotalApp]),"NA")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IF(AND(ISNUMBER(E14),ISNUMBER(F14)),MIN(LiquidSoakedGauzeCoveringMaster[TempNum]),"NA")</f>
        <v>22</v>
      </c>
      <c r="D14" s="3">
        <f>IF(AND(ISNUMBER(E14),ISNUMBER(F14)),MAX(LiquidSoakedGauzeCoveringMaster[TempNum]),"NA")</f>
        <v>22</v>
      </c>
      <c r="E14" s="3">
        <f>IFERROR(AVERAGE(LiquidSoakedGauzeCoveringMaster[TempNum]),"NA")</f>
        <v>22</v>
      </c>
      <c r="F14" s="3">
        <f>IFERROR(STDEV(LiquidSoakedGauzeCoveringMaster[TempNum]),"NA")</f>
        <v>0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IF(AND(ISNUMBER(E15),ISNUMBER(F15)),MIN(LiquidSoakedGauzeCoveringMaster[RHNum]),"NA")</f>
        <v>50</v>
      </c>
      <c r="D15" s="3">
        <f>IF(AND(ISNUMBER(E15),ISNUMBER(F15)),MAX(LiquidSoakedGauzeCoveringMaster[RHNum]),"NA")</f>
        <v>50</v>
      </c>
      <c r="E15" s="3">
        <f>IFERROR(AVERAGE(LiquidSoakedGauzeCoveringMaster[RHNum]),"NA")</f>
        <v>50</v>
      </c>
      <c r="F15" s="3">
        <f>IFERROR(STDEV(LiquidSoakedGauzeCoveringMaster[RHNum]),"NA")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IF(AND(ISNUMBER(E16),ISNUMBER(F16)),MIN(LiquidSoakedGauzeCoveringMaster[ContTimeNumMin]),"NA")</f>
        <v>0</v>
      </c>
      <c r="D16" s="3">
        <f>IF(AND(ISNUMBER(E16),ISNUMBER(F16)),MAX(LiquidSoakedGauzeCoveringMaster[ContTimeNumMin]),"NA")</f>
        <v>360</v>
      </c>
      <c r="E16" s="3">
        <f>IFERROR(AVERAGE(LiquidSoakedGauzeCoveringMaster[ContTimeNumMin]),"NA")</f>
        <v>80.856382978723403</v>
      </c>
      <c r="F16" s="3">
        <f>IFERROR(STDEV(LiquidSoakedGauzeCoveringMaster[ContTimeNumMin]),"NA")</f>
        <v>114.15135529153221</v>
      </c>
    </row>
    <row r="17" spans="1:6" x14ac:dyDescent="0.3">
      <c r="A17" s="3" t="s">
        <v>1598</v>
      </c>
      <c r="B17" s="3" t="str" cm="1">
        <f t="array" ref="B17">IFERROR(IF(IF(COUNTA(LiquidSoakedGauzeCoveringMaster[ConcDoseUn]),COUNTIF(LiquidSoakedGauzeCoveringMaster[ConcDoseUn],INDEX(LiquidSoakedGauzeCoveringMaster[ConcDoseUn],MATCH(TRUE,LiquidSoakedGauzeCoveringMaster[ConcDoseUn]&lt;&gt;"",0)))=COUNTIF(LiquidSoakedGauzeCoveringMaster[ConcDoseUn],"&lt;&gt;"),""),INDEX(LiquidSoakedGauzeCoveringMaster[ConcDoseUn],MATCH(TRUE,LiquidSoakedGauzeCoveringMaster[ConcDoseUn]&lt;&gt;"",0)), "multiple units given"),"NA")</f>
        <v>wt%</v>
      </c>
      <c r="C17" s="3">
        <f>IF(AND(ISNUMBER(E17),ISNUMBER(F17)),MIN(LiquidSoakedGauzeCoveringMaster[ConcDoseNum]),"NA")</f>
        <v>0.3</v>
      </c>
      <c r="D17" s="3">
        <f>IF(AND(ISNUMBER(E17),ISNUMBER(F17)),MAX(LiquidSoakedGauzeCoveringMaster[ConcDoseNum]),"NA")</f>
        <v>5</v>
      </c>
      <c r="E17" s="3">
        <f>IFERROR(AVERAGE(LiquidSoakedGauzeCoveringMaster[ConcDoseNum]),"NA")</f>
        <v>1.1574468085106377</v>
      </c>
      <c r="F17" s="3">
        <f>IFERROR(STDEV(LiquidSoakedGauzeCoveringMaster[ConcDoseNum]),"NA")</f>
        <v>1.427637860677418</v>
      </c>
    </row>
    <row r="18" spans="1:6" x14ac:dyDescent="0.3">
      <c r="A18" s="3" t="s">
        <v>1599</v>
      </c>
      <c r="B18" s="3" t="str" cm="1">
        <f t="array" ref="B18">IFERROR(IF(IF(COUNTA(LiquidSoakedGauzeCoveringMaster[EffMeas]),COUNTIF(LiquidSoakedGauzeCoveringMaster[EffMeas],INDEX(LiquidSoakedGauzeCoveringMaster[EffMeas],MATCH(TRUE,LiquidSoakedGauzeCoveringMaster[EffMeas]&lt;&gt;"",0)))=COUNTIF(LiquidSoakedGauzeCoveringMaster[EffMeas],"&lt;&gt;"),""),INDEX(LiquidSoakedGauzeCoveringMaster[EffMeas],MATCH(TRUE,LiquidSoakedGauzeCoveringMaster[EffMeas]&lt;&gt;"",0)), "multiple units given"),"NA")</f>
        <v>LSurv</v>
      </c>
      <c r="C18" s="3">
        <f>IF(AND(ISNUMBER(E18),ISNUMBER(F18)),MIN(LiquidSoakedGauzeCoveringMaster[Eff]),"NA")</f>
        <v>2</v>
      </c>
      <c r="D18" s="3">
        <f>IF(AND(ISNUMBER(E18),ISNUMBER(F18)),MAX(LiquidSoakedGauzeCoveringMaster[Eff]),"NA")</f>
        <v>6.51851393987788</v>
      </c>
      <c r="E18" s="3">
        <f>IFERROR(AVERAGE(LiquidSoakedGauzeCoveringMaster[Eff]),"NA")</f>
        <v>4.0688410473062611</v>
      </c>
      <c r="F18" s="3">
        <f>IFERROR(STDEV(LiquidSoakedGauzeCoveringMaster[Eff]),"NA")</f>
        <v>1.6472287892818145</v>
      </c>
    </row>
    <row r="19" spans="1:6" x14ac:dyDescent="0.3">
      <c r="A19" s="3" t="s">
        <v>1600</v>
      </c>
      <c r="B19" s="3" t="str" cm="1">
        <f t="array" ref="B19">IFERROR(IF(IF(COUNTA(LiquidSoakedGauzeCoveringMaster[ConvertedVolAppUn]),COUNTIF(LiquidSoakedGauzeCoveringMaster[ConvertedVolAppUn],INDEX(LiquidSoakedGauzeCoveringMaster[ConvertedVolAppUn],MATCH(TRUE,LiquidSoakedGauzeCoveringMaster[ConvertedVolAppUn]&lt;&gt;"",0)))=COUNTIF(LiquidSoakedGauzeCoveringMaster[ConvertedVolAppUn],"&lt;&gt;"),""),INDEX(LiquidSoakedGauzeCoveringMaster[ConvertedVolAppUn],MATCH(TRUE,LiquidSoakedGauzeCoveringMaster[ConvertedVolAppUn]&lt;&gt;"",0)), "multiple units given"),"NA")</f>
        <v>mL</v>
      </c>
      <c r="C19" s="3">
        <f>IF(AND(ISNUMBER(E19),ISNUMBER(F19)),MIN(LiquidSoakedGauzeCoveringMaster[ConvertedVolApp]),"NA")</f>
        <v>0.8</v>
      </c>
      <c r="D19" s="3">
        <f>IF(AND(ISNUMBER(E19),ISNUMBER(F19)),MAX(LiquidSoakedGauzeCoveringMaster[ConvertedVolApp]),"NA")</f>
        <v>0.8</v>
      </c>
      <c r="E19" s="3">
        <f>IFERROR(AVERAGE(LiquidSoakedGauzeCoveringMaster[ConvertedVolApp]),"NA")</f>
        <v>0.79999999999999993</v>
      </c>
      <c r="F19" s="3">
        <f>IFERROR(STDEV(LiquidSoakedGauzeCoveringMaster[ConvertedVolApp]),"NA")</f>
        <v>1.1222257845283075E-16</v>
      </c>
    </row>
  </sheetData>
  <conditionalFormatting sqref="B11:B19">
    <cfRule type="cellIs" dxfId="52" priority="1" operator="equal">
      <formula>"multiple units given"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A117"/>
  <sheetViews>
    <sheetView workbookViewId="0">
      <selection activeCell="F24" sqref="F24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206</v>
      </c>
      <c r="C2" t="s">
        <v>1490</v>
      </c>
      <c r="D2" t="s">
        <v>81</v>
      </c>
      <c r="E2">
        <v>100000000</v>
      </c>
      <c r="H2">
        <v>6</v>
      </c>
      <c r="I2" t="s">
        <v>56</v>
      </c>
      <c r="J2">
        <v>6.0000000000000006E-4</v>
      </c>
      <c r="K2" t="s">
        <v>57</v>
      </c>
      <c r="O2">
        <v>0.1</v>
      </c>
      <c r="P2" t="s">
        <v>59</v>
      </c>
      <c r="S2">
        <v>2</v>
      </c>
      <c r="T2">
        <v>22</v>
      </c>
      <c r="V2">
        <v>50</v>
      </c>
      <c r="W2" t="s">
        <v>1491</v>
      </c>
      <c r="X2" t="s">
        <v>114</v>
      </c>
      <c r="Y2">
        <v>0</v>
      </c>
      <c r="AB2">
        <v>6.3802112417116001</v>
      </c>
      <c r="AC2" t="s">
        <v>210</v>
      </c>
      <c r="AH2">
        <v>6.4</v>
      </c>
      <c r="AK2">
        <v>0.8</v>
      </c>
      <c r="AL2" t="s">
        <v>82</v>
      </c>
      <c r="AM2">
        <v>0.8</v>
      </c>
      <c r="AN2" t="s">
        <v>82</v>
      </c>
      <c r="AU2">
        <v>1.333333333333333</v>
      </c>
      <c r="AV2" t="s">
        <v>115</v>
      </c>
      <c r="BA2">
        <v>6.4</v>
      </c>
    </row>
    <row r="3" spans="1:53" x14ac:dyDescent="0.3">
      <c r="A3" t="s">
        <v>206</v>
      </c>
      <c r="C3" t="s">
        <v>1490</v>
      </c>
      <c r="D3" t="s">
        <v>81</v>
      </c>
      <c r="E3">
        <v>100000000</v>
      </c>
      <c r="H3">
        <v>6</v>
      </c>
      <c r="I3" t="s">
        <v>56</v>
      </c>
      <c r="J3">
        <v>6.0000000000000006E-4</v>
      </c>
      <c r="K3" t="s">
        <v>57</v>
      </c>
      <c r="O3">
        <v>0.1</v>
      </c>
      <c r="P3" t="s">
        <v>59</v>
      </c>
      <c r="S3">
        <v>2</v>
      </c>
      <c r="T3">
        <v>22</v>
      </c>
      <c r="V3">
        <v>50</v>
      </c>
      <c r="W3" t="s">
        <v>1491</v>
      </c>
      <c r="X3" t="s">
        <v>114</v>
      </c>
      <c r="Y3">
        <v>1</v>
      </c>
      <c r="Z3">
        <v>8</v>
      </c>
      <c r="AB3">
        <v>3.4313637641589798</v>
      </c>
      <c r="AC3" t="s">
        <v>210</v>
      </c>
      <c r="AH3">
        <v>6.4</v>
      </c>
      <c r="AK3">
        <v>0.8</v>
      </c>
      <c r="AL3" t="s">
        <v>82</v>
      </c>
      <c r="AM3">
        <v>0.8</v>
      </c>
      <c r="AN3" t="s">
        <v>82</v>
      </c>
      <c r="AU3">
        <v>1.333333333333333</v>
      </c>
      <c r="AV3" t="s">
        <v>115</v>
      </c>
      <c r="BA3">
        <v>6.4</v>
      </c>
    </row>
    <row r="4" spans="1:53" x14ac:dyDescent="0.3">
      <c r="A4" t="s">
        <v>206</v>
      </c>
      <c r="C4" t="s">
        <v>1490</v>
      </c>
      <c r="D4" t="s">
        <v>81</v>
      </c>
      <c r="E4">
        <v>100000000</v>
      </c>
      <c r="H4">
        <v>6</v>
      </c>
      <c r="I4" t="s">
        <v>56</v>
      </c>
      <c r="J4">
        <v>6.0000000000000006E-4</v>
      </c>
      <c r="K4" t="s">
        <v>57</v>
      </c>
      <c r="O4">
        <v>0.1</v>
      </c>
      <c r="P4" t="s">
        <v>59</v>
      </c>
      <c r="S4">
        <v>2</v>
      </c>
      <c r="T4">
        <v>22</v>
      </c>
      <c r="V4">
        <v>50</v>
      </c>
      <c r="W4" t="s">
        <v>1491</v>
      </c>
      <c r="X4" t="s">
        <v>114</v>
      </c>
      <c r="Y4">
        <v>5</v>
      </c>
      <c r="Z4">
        <v>8</v>
      </c>
      <c r="AB4">
        <v>3.5682017240669901</v>
      </c>
      <c r="AC4" t="s">
        <v>210</v>
      </c>
      <c r="AH4">
        <v>6.4</v>
      </c>
      <c r="AK4">
        <v>0.8</v>
      </c>
      <c r="AL4" t="s">
        <v>82</v>
      </c>
      <c r="AM4">
        <v>0.8</v>
      </c>
      <c r="AN4" t="s">
        <v>82</v>
      </c>
      <c r="AU4">
        <v>1.333333333333333</v>
      </c>
      <c r="AV4" t="s">
        <v>115</v>
      </c>
      <c r="BA4">
        <v>6.4</v>
      </c>
    </row>
    <row r="5" spans="1:53" x14ac:dyDescent="0.3">
      <c r="A5" t="s">
        <v>206</v>
      </c>
      <c r="C5" t="s">
        <v>1490</v>
      </c>
      <c r="D5" t="s">
        <v>81</v>
      </c>
      <c r="E5">
        <v>100000000</v>
      </c>
      <c r="H5">
        <v>6</v>
      </c>
      <c r="I5" t="s">
        <v>56</v>
      </c>
      <c r="J5">
        <v>6.0000000000000006E-4</v>
      </c>
      <c r="K5" t="s">
        <v>57</v>
      </c>
      <c r="O5">
        <v>0.1</v>
      </c>
      <c r="P5" t="s">
        <v>59</v>
      </c>
      <c r="S5">
        <v>2</v>
      </c>
      <c r="T5">
        <v>22</v>
      </c>
      <c r="V5">
        <v>50</v>
      </c>
      <c r="W5" t="s">
        <v>1491</v>
      </c>
      <c r="X5" t="s">
        <v>114</v>
      </c>
      <c r="Y5">
        <v>10</v>
      </c>
      <c r="Z5">
        <v>4</v>
      </c>
      <c r="AB5">
        <v>3.4471580313422101</v>
      </c>
      <c r="AC5" t="s">
        <v>210</v>
      </c>
      <c r="AH5">
        <v>6.4</v>
      </c>
      <c r="AK5">
        <v>0.8</v>
      </c>
      <c r="AL5" t="s">
        <v>82</v>
      </c>
      <c r="AM5">
        <v>0.8</v>
      </c>
      <c r="AN5" t="s">
        <v>82</v>
      </c>
      <c r="AU5">
        <v>1.333333333333333</v>
      </c>
      <c r="AV5" t="s">
        <v>115</v>
      </c>
      <c r="BA5">
        <v>6.4</v>
      </c>
    </row>
    <row r="6" spans="1:53" x14ac:dyDescent="0.3">
      <c r="A6" t="s">
        <v>206</v>
      </c>
      <c r="C6" t="s">
        <v>1490</v>
      </c>
      <c r="D6" t="s">
        <v>81</v>
      </c>
      <c r="E6">
        <v>360</v>
      </c>
      <c r="H6">
        <v>6</v>
      </c>
      <c r="I6" t="s">
        <v>56</v>
      </c>
      <c r="J6">
        <v>6.0000000000000006E-4</v>
      </c>
      <c r="K6" t="s">
        <v>57</v>
      </c>
      <c r="O6">
        <v>0.1</v>
      </c>
      <c r="P6" t="s">
        <v>59</v>
      </c>
      <c r="S6">
        <v>2</v>
      </c>
      <c r="T6">
        <v>22</v>
      </c>
      <c r="V6">
        <v>50</v>
      </c>
      <c r="W6" t="s">
        <v>1491</v>
      </c>
      <c r="X6" t="s">
        <v>114</v>
      </c>
      <c r="Y6">
        <v>20</v>
      </c>
      <c r="Z6">
        <v>2</v>
      </c>
      <c r="AB6">
        <v>3.2304489213782701</v>
      </c>
      <c r="AC6" t="s">
        <v>210</v>
      </c>
      <c r="AH6">
        <v>6.4</v>
      </c>
      <c r="AK6">
        <v>0.8</v>
      </c>
      <c r="AL6" t="s">
        <v>82</v>
      </c>
      <c r="AM6">
        <v>0.8</v>
      </c>
      <c r="AN6" t="s">
        <v>82</v>
      </c>
      <c r="AU6">
        <v>1.333333333333333</v>
      </c>
      <c r="AV6" t="s">
        <v>115</v>
      </c>
      <c r="BA6">
        <v>6.4</v>
      </c>
    </row>
    <row r="7" spans="1:53" x14ac:dyDescent="0.3">
      <c r="A7" t="s">
        <v>206</v>
      </c>
      <c r="C7" t="s">
        <v>1490</v>
      </c>
      <c r="D7" t="s">
        <v>81</v>
      </c>
      <c r="E7">
        <v>360</v>
      </c>
      <c r="H7">
        <v>6</v>
      </c>
      <c r="I7" t="s">
        <v>56</v>
      </c>
      <c r="J7">
        <v>6.0000000000000006E-4</v>
      </c>
      <c r="K7" t="s">
        <v>57</v>
      </c>
      <c r="O7">
        <v>0.1</v>
      </c>
      <c r="P7" t="s">
        <v>59</v>
      </c>
      <c r="S7">
        <v>2</v>
      </c>
      <c r="T7">
        <v>22</v>
      </c>
      <c r="V7">
        <v>50</v>
      </c>
      <c r="W7" t="s">
        <v>1491</v>
      </c>
      <c r="X7" t="s">
        <v>114</v>
      </c>
      <c r="Y7">
        <v>30</v>
      </c>
      <c r="Z7">
        <v>2</v>
      </c>
      <c r="AA7" t="s">
        <v>128</v>
      </c>
      <c r="AB7">
        <v>2</v>
      </c>
      <c r="AC7" t="s">
        <v>210</v>
      </c>
      <c r="AH7">
        <v>6.4</v>
      </c>
      <c r="AK7">
        <v>0.8</v>
      </c>
      <c r="AL7" t="s">
        <v>82</v>
      </c>
      <c r="AM7">
        <v>0.8</v>
      </c>
      <c r="AN7" t="s">
        <v>82</v>
      </c>
      <c r="AU7">
        <v>1.333333333333333</v>
      </c>
      <c r="AV7" t="s">
        <v>115</v>
      </c>
      <c r="AZ7">
        <v>0</v>
      </c>
      <c r="BA7">
        <v>6.4</v>
      </c>
    </row>
    <row r="8" spans="1:53" x14ac:dyDescent="0.3">
      <c r="A8" t="s">
        <v>206</v>
      </c>
      <c r="C8" t="s">
        <v>1490</v>
      </c>
      <c r="D8" t="s">
        <v>81</v>
      </c>
      <c r="E8">
        <v>360</v>
      </c>
      <c r="H8">
        <v>6</v>
      </c>
      <c r="I8" t="s">
        <v>56</v>
      </c>
      <c r="J8">
        <v>6.0000000000000006E-4</v>
      </c>
      <c r="K8" t="s">
        <v>57</v>
      </c>
      <c r="O8">
        <v>0.1</v>
      </c>
      <c r="P8" t="s">
        <v>59</v>
      </c>
      <c r="S8">
        <v>2</v>
      </c>
      <c r="T8">
        <v>22</v>
      </c>
      <c r="V8">
        <v>50</v>
      </c>
      <c r="W8" t="s">
        <v>1491</v>
      </c>
      <c r="X8" t="s">
        <v>114</v>
      </c>
      <c r="Y8">
        <v>60</v>
      </c>
      <c r="Z8">
        <v>8</v>
      </c>
      <c r="AA8" t="s">
        <v>128</v>
      </c>
      <c r="AB8">
        <v>2</v>
      </c>
      <c r="AC8" t="s">
        <v>210</v>
      </c>
      <c r="AH8">
        <v>6.4</v>
      </c>
      <c r="AK8">
        <v>0.8</v>
      </c>
      <c r="AL8" t="s">
        <v>82</v>
      </c>
      <c r="AM8">
        <v>0.8</v>
      </c>
      <c r="AN8" t="s">
        <v>82</v>
      </c>
      <c r="AU8">
        <v>1.333333333333333</v>
      </c>
      <c r="AV8" t="s">
        <v>115</v>
      </c>
      <c r="AZ8">
        <v>0</v>
      </c>
      <c r="BA8">
        <v>6.4</v>
      </c>
    </row>
    <row r="9" spans="1:53" x14ac:dyDescent="0.3">
      <c r="A9" t="s">
        <v>206</v>
      </c>
      <c r="C9" t="s">
        <v>1490</v>
      </c>
      <c r="D9" t="s">
        <v>81</v>
      </c>
      <c r="E9">
        <v>360</v>
      </c>
      <c r="H9">
        <v>6</v>
      </c>
      <c r="I9" t="s">
        <v>56</v>
      </c>
      <c r="J9">
        <v>6.0000000000000006E-4</v>
      </c>
      <c r="K9" t="s">
        <v>57</v>
      </c>
      <c r="O9">
        <v>0.1</v>
      </c>
      <c r="P9" t="s">
        <v>59</v>
      </c>
      <c r="S9">
        <v>2</v>
      </c>
      <c r="T9">
        <v>22</v>
      </c>
      <c r="V9">
        <v>50</v>
      </c>
      <c r="W9" t="s">
        <v>1491</v>
      </c>
      <c r="X9" t="s">
        <v>114</v>
      </c>
      <c r="Y9">
        <v>0</v>
      </c>
      <c r="Z9">
        <v>8</v>
      </c>
      <c r="AB9">
        <v>6.27875360095282</v>
      </c>
      <c r="AC9" t="s">
        <v>210</v>
      </c>
      <c r="AH9">
        <v>6.3</v>
      </c>
      <c r="AK9">
        <v>0.8</v>
      </c>
      <c r="AL9" t="s">
        <v>82</v>
      </c>
      <c r="AM9">
        <v>0.8</v>
      </c>
      <c r="AN9" t="s">
        <v>82</v>
      </c>
      <c r="AU9">
        <v>1.333333333333333</v>
      </c>
      <c r="AV9" t="s">
        <v>115</v>
      </c>
      <c r="BA9">
        <v>6.3</v>
      </c>
    </row>
    <row r="10" spans="1:53" x14ac:dyDescent="0.3">
      <c r="A10" t="s">
        <v>206</v>
      </c>
      <c r="C10" t="s">
        <v>1490</v>
      </c>
      <c r="D10" t="s">
        <v>81</v>
      </c>
      <c r="E10">
        <v>360</v>
      </c>
      <c r="H10">
        <v>6</v>
      </c>
      <c r="I10" t="s">
        <v>56</v>
      </c>
      <c r="J10">
        <v>6.0000000000000006E-4</v>
      </c>
      <c r="K10" t="s">
        <v>57</v>
      </c>
      <c r="O10">
        <v>0.1</v>
      </c>
      <c r="P10" t="s">
        <v>59</v>
      </c>
      <c r="S10">
        <v>2</v>
      </c>
      <c r="T10">
        <v>22</v>
      </c>
      <c r="V10">
        <v>50</v>
      </c>
      <c r="W10" t="s">
        <v>1491</v>
      </c>
      <c r="X10" t="s">
        <v>114</v>
      </c>
      <c r="Y10">
        <v>0.25</v>
      </c>
      <c r="Z10">
        <v>4</v>
      </c>
      <c r="AB10">
        <v>4.6020599913279598</v>
      </c>
      <c r="AC10" t="s">
        <v>210</v>
      </c>
      <c r="AH10">
        <v>6.3</v>
      </c>
      <c r="AK10">
        <v>0.8</v>
      </c>
      <c r="AL10" t="s">
        <v>82</v>
      </c>
      <c r="AM10">
        <v>0.8</v>
      </c>
      <c r="AN10" t="s">
        <v>82</v>
      </c>
      <c r="AU10">
        <v>1.333333333333333</v>
      </c>
      <c r="AV10" t="s">
        <v>115</v>
      </c>
      <c r="BA10">
        <v>6.3</v>
      </c>
    </row>
    <row r="11" spans="1:53" x14ac:dyDescent="0.3">
      <c r="A11" t="s">
        <v>206</v>
      </c>
      <c r="C11" t="s">
        <v>1490</v>
      </c>
      <c r="D11" t="s">
        <v>81</v>
      </c>
      <c r="E11">
        <v>360</v>
      </c>
      <c r="H11">
        <v>6</v>
      </c>
      <c r="I11" t="s">
        <v>56</v>
      </c>
      <c r="J11">
        <v>6.0000000000000006E-4</v>
      </c>
      <c r="K11" t="s">
        <v>57</v>
      </c>
      <c r="O11">
        <v>0.1</v>
      </c>
      <c r="P11" t="s">
        <v>59</v>
      </c>
      <c r="S11">
        <v>2</v>
      </c>
      <c r="T11">
        <v>22</v>
      </c>
      <c r="V11">
        <v>50</v>
      </c>
      <c r="W11" t="s">
        <v>1491</v>
      </c>
      <c r="X11" t="s">
        <v>114</v>
      </c>
      <c r="Y11">
        <v>0.5</v>
      </c>
      <c r="Z11">
        <v>2</v>
      </c>
      <c r="AB11">
        <v>3.7242758696007798</v>
      </c>
      <c r="AC11" t="s">
        <v>210</v>
      </c>
      <c r="AH11">
        <v>6.3</v>
      </c>
      <c r="AK11">
        <v>0.8</v>
      </c>
      <c r="AL11" t="s">
        <v>82</v>
      </c>
      <c r="AM11">
        <v>0.8</v>
      </c>
      <c r="AN11" t="s">
        <v>82</v>
      </c>
      <c r="AU11">
        <v>1.333333333333333</v>
      </c>
      <c r="AV11" t="s">
        <v>115</v>
      </c>
      <c r="BA11">
        <v>6.3</v>
      </c>
    </row>
    <row r="12" spans="1:53" x14ac:dyDescent="0.3">
      <c r="A12" t="s">
        <v>206</v>
      </c>
      <c r="C12" t="s">
        <v>1490</v>
      </c>
      <c r="D12" t="s">
        <v>81</v>
      </c>
      <c r="E12">
        <v>360</v>
      </c>
      <c r="H12">
        <v>6</v>
      </c>
      <c r="I12" t="s">
        <v>56</v>
      </c>
      <c r="J12">
        <v>6.0000000000000006E-4</v>
      </c>
      <c r="K12" t="s">
        <v>57</v>
      </c>
      <c r="O12">
        <v>0.1</v>
      </c>
      <c r="P12" t="s">
        <v>59</v>
      </c>
      <c r="S12">
        <v>2</v>
      </c>
      <c r="T12">
        <v>22</v>
      </c>
      <c r="V12">
        <v>50</v>
      </c>
      <c r="W12" t="s">
        <v>1491</v>
      </c>
      <c r="X12" t="s">
        <v>114</v>
      </c>
      <c r="Y12">
        <v>1</v>
      </c>
      <c r="Z12">
        <v>2</v>
      </c>
      <c r="AB12">
        <v>3.4313637641589798</v>
      </c>
      <c r="AC12" t="s">
        <v>210</v>
      </c>
      <c r="AH12">
        <v>6.3</v>
      </c>
      <c r="AK12">
        <v>0.8</v>
      </c>
      <c r="AL12" t="s">
        <v>82</v>
      </c>
      <c r="AM12">
        <v>0.8</v>
      </c>
      <c r="AN12" t="s">
        <v>82</v>
      </c>
      <c r="AU12">
        <v>1.333333333333333</v>
      </c>
      <c r="AV12" t="s">
        <v>115</v>
      </c>
      <c r="BA12">
        <v>6.3</v>
      </c>
    </row>
    <row r="13" spans="1:53" x14ac:dyDescent="0.3">
      <c r="A13" t="s">
        <v>206</v>
      </c>
      <c r="C13" t="s">
        <v>1490</v>
      </c>
      <c r="D13" t="s">
        <v>81</v>
      </c>
      <c r="E13">
        <v>360</v>
      </c>
      <c r="H13">
        <v>6</v>
      </c>
      <c r="I13" t="s">
        <v>56</v>
      </c>
      <c r="J13">
        <v>6.0000000000000006E-4</v>
      </c>
      <c r="K13" t="s">
        <v>57</v>
      </c>
      <c r="O13">
        <v>0.1</v>
      </c>
      <c r="P13" t="s">
        <v>59</v>
      </c>
      <c r="S13">
        <v>2</v>
      </c>
      <c r="T13">
        <v>22</v>
      </c>
      <c r="V13">
        <v>50</v>
      </c>
      <c r="W13" t="s">
        <v>1491</v>
      </c>
      <c r="X13" t="s">
        <v>114</v>
      </c>
      <c r="Y13">
        <v>5</v>
      </c>
      <c r="Z13">
        <v>6</v>
      </c>
      <c r="AB13">
        <v>3.2552725051032998</v>
      </c>
      <c r="AC13" t="s">
        <v>210</v>
      </c>
      <c r="AH13">
        <v>6.3</v>
      </c>
      <c r="AK13">
        <v>0.8</v>
      </c>
      <c r="AL13" t="s">
        <v>82</v>
      </c>
      <c r="AM13">
        <v>0.8</v>
      </c>
      <c r="AN13" t="s">
        <v>82</v>
      </c>
      <c r="AU13">
        <v>1.333333333333333</v>
      </c>
      <c r="AV13" t="s">
        <v>115</v>
      </c>
      <c r="BA13">
        <v>6.3</v>
      </c>
    </row>
    <row r="14" spans="1:53" x14ac:dyDescent="0.3">
      <c r="A14" t="s">
        <v>206</v>
      </c>
      <c r="C14" t="s">
        <v>1490</v>
      </c>
      <c r="D14" t="s">
        <v>81</v>
      </c>
      <c r="E14">
        <v>360</v>
      </c>
      <c r="H14">
        <v>6</v>
      </c>
      <c r="I14" t="s">
        <v>56</v>
      </c>
      <c r="J14">
        <v>6.0000000000000006E-4</v>
      </c>
      <c r="K14" t="s">
        <v>57</v>
      </c>
      <c r="O14">
        <v>0.1</v>
      </c>
      <c r="P14" t="s">
        <v>59</v>
      </c>
      <c r="S14">
        <v>2</v>
      </c>
      <c r="T14">
        <v>22</v>
      </c>
      <c r="V14">
        <v>50</v>
      </c>
      <c r="W14" t="s">
        <v>1491</v>
      </c>
      <c r="X14" t="s">
        <v>114</v>
      </c>
      <c r="Y14">
        <v>10</v>
      </c>
      <c r="Z14">
        <v>3</v>
      </c>
      <c r="AB14">
        <v>3.27875360095282</v>
      </c>
      <c r="AC14" t="s">
        <v>210</v>
      </c>
      <c r="AH14">
        <v>6.3</v>
      </c>
      <c r="AK14">
        <v>0.8</v>
      </c>
      <c r="AL14" t="s">
        <v>82</v>
      </c>
      <c r="AM14">
        <v>0.8</v>
      </c>
      <c r="AN14" t="s">
        <v>82</v>
      </c>
      <c r="AU14">
        <v>1.333333333333333</v>
      </c>
      <c r="AV14" t="s">
        <v>115</v>
      </c>
      <c r="BA14">
        <v>6.3</v>
      </c>
    </row>
    <row r="15" spans="1:53" x14ac:dyDescent="0.3">
      <c r="A15" t="s">
        <v>206</v>
      </c>
      <c r="C15" t="s">
        <v>1490</v>
      </c>
      <c r="D15" t="s">
        <v>81</v>
      </c>
      <c r="E15">
        <v>360</v>
      </c>
      <c r="H15">
        <v>6</v>
      </c>
      <c r="I15" t="s">
        <v>56</v>
      </c>
      <c r="J15">
        <v>6.0000000000000006E-4</v>
      </c>
      <c r="K15" t="s">
        <v>57</v>
      </c>
      <c r="O15">
        <v>0.1</v>
      </c>
      <c r="P15" t="s">
        <v>59</v>
      </c>
      <c r="S15">
        <v>2</v>
      </c>
      <c r="T15">
        <v>22</v>
      </c>
      <c r="V15">
        <v>50</v>
      </c>
      <c r="W15" t="s">
        <v>1491</v>
      </c>
      <c r="X15" t="s">
        <v>114</v>
      </c>
      <c r="Y15">
        <v>20</v>
      </c>
      <c r="Z15">
        <v>3</v>
      </c>
      <c r="AA15" t="s">
        <v>128</v>
      </c>
      <c r="AB15">
        <v>2</v>
      </c>
      <c r="AC15" t="s">
        <v>210</v>
      </c>
      <c r="AH15">
        <v>6.3</v>
      </c>
      <c r="AK15">
        <v>0.8</v>
      </c>
      <c r="AL15" t="s">
        <v>82</v>
      </c>
      <c r="AM15">
        <v>0.8</v>
      </c>
      <c r="AN15" t="s">
        <v>82</v>
      </c>
      <c r="AU15">
        <v>1.333333333333333</v>
      </c>
      <c r="AV15" t="s">
        <v>115</v>
      </c>
      <c r="AZ15">
        <v>0</v>
      </c>
      <c r="BA15">
        <v>6.3</v>
      </c>
    </row>
    <row r="16" spans="1:53" x14ac:dyDescent="0.3">
      <c r="A16" t="s">
        <v>206</v>
      </c>
      <c r="C16" t="s">
        <v>1490</v>
      </c>
      <c r="D16" t="s">
        <v>81</v>
      </c>
      <c r="E16">
        <v>360</v>
      </c>
      <c r="H16">
        <v>6</v>
      </c>
      <c r="I16" t="s">
        <v>56</v>
      </c>
      <c r="J16">
        <v>6.0000000000000006E-4</v>
      </c>
      <c r="K16" t="s">
        <v>57</v>
      </c>
      <c r="O16">
        <v>0.1</v>
      </c>
      <c r="P16" t="s">
        <v>59</v>
      </c>
      <c r="S16">
        <v>2</v>
      </c>
      <c r="T16">
        <v>22</v>
      </c>
      <c r="V16">
        <v>50</v>
      </c>
      <c r="W16" t="s">
        <v>1491</v>
      </c>
      <c r="X16" t="s">
        <v>114</v>
      </c>
      <c r="Y16">
        <v>30</v>
      </c>
      <c r="Z16">
        <v>2</v>
      </c>
      <c r="AA16" t="s">
        <v>128</v>
      </c>
      <c r="AB16">
        <v>2</v>
      </c>
      <c r="AC16" t="s">
        <v>210</v>
      </c>
      <c r="AH16">
        <v>6.3</v>
      </c>
      <c r="AK16">
        <v>0.8</v>
      </c>
      <c r="AL16" t="s">
        <v>82</v>
      </c>
      <c r="AM16">
        <v>0.8</v>
      </c>
      <c r="AN16" t="s">
        <v>82</v>
      </c>
      <c r="AU16">
        <v>1.333333333333333</v>
      </c>
      <c r="AV16" t="s">
        <v>115</v>
      </c>
      <c r="AZ16">
        <v>0</v>
      </c>
      <c r="BA16">
        <v>6.3</v>
      </c>
    </row>
    <row r="17" spans="1:53" x14ac:dyDescent="0.3">
      <c r="A17" t="s">
        <v>206</v>
      </c>
      <c r="C17" t="s">
        <v>1490</v>
      </c>
      <c r="D17" t="s">
        <v>81</v>
      </c>
      <c r="E17">
        <v>360</v>
      </c>
      <c r="H17">
        <v>6</v>
      </c>
      <c r="I17" t="s">
        <v>56</v>
      </c>
      <c r="J17">
        <v>6.0000000000000006E-4</v>
      </c>
      <c r="K17" t="s">
        <v>57</v>
      </c>
      <c r="O17">
        <v>0.1</v>
      </c>
      <c r="P17" t="s">
        <v>59</v>
      </c>
      <c r="S17">
        <v>2</v>
      </c>
      <c r="T17">
        <v>22</v>
      </c>
      <c r="V17">
        <v>50</v>
      </c>
      <c r="W17" t="s">
        <v>1491</v>
      </c>
      <c r="X17" t="s">
        <v>114</v>
      </c>
      <c r="Y17">
        <v>60</v>
      </c>
      <c r="Z17">
        <v>1</v>
      </c>
      <c r="AA17" t="s">
        <v>128</v>
      </c>
      <c r="AB17">
        <v>2</v>
      </c>
      <c r="AC17" t="s">
        <v>210</v>
      </c>
      <c r="AH17">
        <v>6.3</v>
      </c>
      <c r="AK17">
        <v>0.8</v>
      </c>
      <c r="AL17" t="s">
        <v>82</v>
      </c>
      <c r="AM17">
        <v>0.8</v>
      </c>
      <c r="AN17" t="s">
        <v>82</v>
      </c>
      <c r="AU17">
        <v>1.333333333333333</v>
      </c>
      <c r="AV17" t="s">
        <v>115</v>
      </c>
      <c r="AZ17">
        <v>0</v>
      </c>
      <c r="BA17">
        <v>6.3</v>
      </c>
    </row>
    <row r="18" spans="1:53" x14ac:dyDescent="0.3">
      <c r="A18" t="s">
        <v>206</v>
      </c>
      <c r="C18" t="s">
        <v>1490</v>
      </c>
      <c r="D18" t="s">
        <v>81</v>
      </c>
      <c r="E18">
        <v>360</v>
      </c>
      <c r="H18">
        <v>6</v>
      </c>
      <c r="I18" t="s">
        <v>56</v>
      </c>
      <c r="J18">
        <v>6.0000000000000006E-4</v>
      </c>
      <c r="K18" t="s">
        <v>57</v>
      </c>
      <c r="O18">
        <v>0.5</v>
      </c>
      <c r="P18" t="s">
        <v>59</v>
      </c>
      <c r="S18">
        <v>2</v>
      </c>
      <c r="T18">
        <v>22</v>
      </c>
      <c r="V18">
        <v>50</v>
      </c>
      <c r="W18" t="s">
        <v>1491</v>
      </c>
      <c r="X18" t="s">
        <v>114</v>
      </c>
      <c r="Y18">
        <v>0</v>
      </c>
      <c r="Z18">
        <v>6</v>
      </c>
      <c r="AB18">
        <v>7.3222192947339098</v>
      </c>
      <c r="AC18" t="s">
        <v>210</v>
      </c>
      <c r="AH18">
        <v>7.3</v>
      </c>
      <c r="AK18">
        <v>0.8</v>
      </c>
      <c r="AL18" t="s">
        <v>82</v>
      </c>
      <c r="AM18">
        <v>0.8</v>
      </c>
      <c r="AN18" t="s">
        <v>82</v>
      </c>
      <c r="AU18">
        <v>1.333333333333333</v>
      </c>
      <c r="AV18" t="s">
        <v>115</v>
      </c>
      <c r="BA18">
        <v>7.3</v>
      </c>
    </row>
    <row r="19" spans="1:53" x14ac:dyDescent="0.3">
      <c r="A19" t="s">
        <v>206</v>
      </c>
      <c r="C19" t="s">
        <v>1490</v>
      </c>
      <c r="D19" t="s">
        <v>81</v>
      </c>
      <c r="E19">
        <v>360</v>
      </c>
      <c r="H19">
        <v>6</v>
      </c>
      <c r="I19" t="s">
        <v>56</v>
      </c>
      <c r="J19">
        <v>6.0000000000000006E-4</v>
      </c>
      <c r="K19" t="s">
        <v>57</v>
      </c>
      <c r="O19">
        <v>0.5</v>
      </c>
      <c r="P19" t="s">
        <v>59</v>
      </c>
      <c r="S19">
        <v>2</v>
      </c>
      <c r="T19">
        <v>22</v>
      </c>
      <c r="V19">
        <v>50</v>
      </c>
      <c r="W19" t="s">
        <v>1491</v>
      </c>
      <c r="X19" t="s">
        <v>114</v>
      </c>
      <c r="Y19">
        <v>1</v>
      </c>
      <c r="Z19">
        <v>3</v>
      </c>
      <c r="AB19">
        <v>4.9542425094393199</v>
      </c>
      <c r="AC19" t="s">
        <v>210</v>
      </c>
      <c r="AH19">
        <v>7.3</v>
      </c>
      <c r="AK19">
        <v>0.8</v>
      </c>
      <c r="AL19" t="s">
        <v>82</v>
      </c>
      <c r="AM19">
        <v>0.8</v>
      </c>
      <c r="AN19" t="s">
        <v>82</v>
      </c>
      <c r="AU19">
        <v>1.333333333333333</v>
      </c>
      <c r="AV19" t="s">
        <v>115</v>
      </c>
      <c r="BA19">
        <v>7.3</v>
      </c>
    </row>
    <row r="20" spans="1:53" x14ac:dyDescent="0.3">
      <c r="A20" t="s">
        <v>206</v>
      </c>
      <c r="C20" t="s">
        <v>1490</v>
      </c>
      <c r="D20" t="s">
        <v>81</v>
      </c>
      <c r="E20">
        <v>360</v>
      </c>
      <c r="H20">
        <v>6</v>
      </c>
      <c r="I20" t="s">
        <v>56</v>
      </c>
      <c r="J20">
        <v>6.0000000000000006E-4</v>
      </c>
      <c r="K20" t="s">
        <v>57</v>
      </c>
      <c r="O20">
        <v>0.5</v>
      </c>
      <c r="P20" t="s">
        <v>59</v>
      </c>
      <c r="S20">
        <v>2</v>
      </c>
      <c r="T20">
        <v>22</v>
      </c>
      <c r="V20">
        <v>50</v>
      </c>
      <c r="W20" t="s">
        <v>1491</v>
      </c>
      <c r="X20" t="s">
        <v>114</v>
      </c>
      <c r="Y20">
        <v>5</v>
      </c>
      <c r="Z20">
        <v>3</v>
      </c>
      <c r="AB20">
        <v>5.6020599913279598</v>
      </c>
      <c r="AC20" t="s">
        <v>210</v>
      </c>
      <c r="AH20">
        <v>7.3</v>
      </c>
      <c r="AK20">
        <v>0.8</v>
      </c>
      <c r="AL20" t="s">
        <v>82</v>
      </c>
      <c r="AM20">
        <v>0.8</v>
      </c>
      <c r="AN20" t="s">
        <v>82</v>
      </c>
      <c r="AU20">
        <v>1.333333333333333</v>
      </c>
      <c r="AV20" t="s">
        <v>115</v>
      </c>
      <c r="BA20">
        <v>7.3</v>
      </c>
    </row>
    <row r="21" spans="1:53" x14ac:dyDescent="0.3">
      <c r="A21" t="s">
        <v>206</v>
      </c>
      <c r="C21" t="s">
        <v>1490</v>
      </c>
      <c r="D21" t="s">
        <v>81</v>
      </c>
      <c r="E21">
        <v>300</v>
      </c>
      <c r="H21">
        <v>6</v>
      </c>
      <c r="I21" t="s">
        <v>56</v>
      </c>
      <c r="J21">
        <v>6.0000000000000006E-4</v>
      </c>
      <c r="K21" t="s">
        <v>57</v>
      </c>
      <c r="O21">
        <v>0.5</v>
      </c>
      <c r="P21" t="s">
        <v>59</v>
      </c>
      <c r="S21">
        <v>2</v>
      </c>
      <c r="T21">
        <v>22</v>
      </c>
      <c r="V21">
        <v>50</v>
      </c>
      <c r="W21" t="s">
        <v>1491</v>
      </c>
      <c r="X21" t="s">
        <v>114</v>
      </c>
      <c r="Y21">
        <v>10</v>
      </c>
      <c r="Z21">
        <v>2</v>
      </c>
      <c r="AB21">
        <v>2.5682017240669901</v>
      </c>
      <c r="AC21" t="s">
        <v>210</v>
      </c>
      <c r="AH21">
        <v>7.3</v>
      </c>
      <c r="AK21">
        <v>0.8</v>
      </c>
      <c r="AL21" t="s">
        <v>82</v>
      </c>
      <c r="AM21">
        <v>0.8</v>
      </c>
      <c r="AN21" t="s">
        <v>82</v>
      </c>
      <c r="AU21">
        <v>1.333333333333333</v>
      </c>
      <c r="AV21" t="s">
        <v>115</v>
      </c>
      <c r="BA21">
        <v>7.3</v>
      </c>
    </row>
    <row r="22" spans="1:53" x14ac:dyDescent="0.3">
      <c r="A22" t="s">
        <v>206</v>
      </c>
      <c r="C22" t="s">
        <v>1490</v>
      </c>
      <c r="D22" t="s">
        <v>81</v>
      </c>
      <c r="E22">
        <v>300</v>
      </c>
      <c r="H22">
        <v>6</v>
      </c>
      <c r="I22" t="s">
        <v>56</v>
      </c>
      <c r="J22">
        <v>6.0000000000000006E-4</v>
      </c>
      <c r="K22" t="s">
        <v>57</v>
      </c>
      <c r="O22">
        <v>0.5</v>
      </c>
      <c r="P22" t="s">
        <v>59</v>
      </c>
      <c r="S22">
        <v>2</v>
      </c>
      <c r="T22">
        <v>22</v>
      </c>
      <c r="V22">
        <v>50</v>
      </c>
      <c r="W22" t="s">
        <v>1491</v>
      </c>
      <c r="X22" t="s">
        <v>114</v>
      </c>
      <c r="Y22">
        <v>20</v>
      </c>
      <c r="Z22">
        <v>1</v>
      </c>
      <c r="AA22" t="s">
        <v>128</v>
      </c>
      <c r="AB22">
        <v>2</v>
      </c>
      <c r="AC22" t="s">
        <v>210</v>
      </c>
      <c r="AH22">
        <v>7.3</v>
      </c>
      <c r="AK22">
        <v>0.8</v>
      </c>
      <c r="AL22" t="s">
        <v>82</v>
      </c>
      <c r="AM22">
        <v>0.8</v>
      </c>
      <c r="AN22" t="s">
        <v>82</v>
      </c>
      <c r="AU22">
        <v>1.333333333333333</v>
      </c>
      <c r="AV22" t="s">
        <v>115</v>
      </c>
      <c r="AZ22">
        <v>0</v>
      </c>
      <c r="BA22">
        <v>7.3</v>
      </c>
    </row>
    <row r="23" spans="1:53" x14ac:dyDescent="0.3">
      <c r="A23" t="s">
        <v>206</v>
      </c>
      <c r="C23" t="s">
        <v>1490</v>
      </c>
      <c r="D23" t="s">
        <v>81</v>
      </c>
      <c r="E23">
        <v>300</v>
      </c>
      <c r="H23">
        <v>6</v>
      </c>
      <c r="I23" t="s">
        <v>56</v>
      </c>
      <c r="J23">
        <v>6.0000000000000006E-4</v>
      </c>
      <c r="K23" t="s">
        <v>57</v>
      </c>
      <c r="O23">
        <v>0.5</v>
      </c>
      <c r="P23" t="s">
        <v>59</v>
      </c>
      <c r="S23">
        <v>2</v>
      </c>
      <c r="T23">
        <v>22</v>
      </c>
      <c r="V23">
        <v>50</v>
      </c>
      <c r="W23" t="s">
        <v>1491</v>
      </c>
      <c r="X23" t="s">
        <v>114</v>
      </c>
      <c r="Y23">
        <v>30</v>
      </c>
      <c r="Z23">
        <v>6</v>
      </c>
      <c r="AA23" t="s">
        <v>128</v>
      </c>
      <c r="AB23">
        <v>2</v>
      </c>
      <c r="AC23" t="s">
        <v>210</v>
      </c>
      <c r="AH23">
        <v>7.3</v>
      </c>
      <c r="AK23">
        <v>0.8</v>
      </c>
      <c r="AL23" t="s">
        <v>82</v>
      </c>
      <c r="AM23">
        <v>0.8</v>
      </c>
      <c r="AN23" t="s">
        <v>82</v>
      </c>
      <c r="AU23">
        <v>1.333333333333333</v>
      </c>
      <c r="AV23" t="s">
        <v>115</v>
      </c>
      <c r="AZ23">
        <v>0</v>
      </c>
      <c r="BA23">
        <v>7.3</v>
      </c>
    </row>
    <row r="24" spans="1:53" x14ac:dyDescent="0.3">
      <c r="A24" t="s">
        <v>206</v>
      </c>
      <c r="C24" t="s">
        <v>1490</v>
      </c>
      <c r="D24" t="s">
        <v>81</v>
      </c>
      <c r="E24">
        <v>300</v>
      </c>
      <c r="H24">
        <v>6</v>
      </c>
      <c r="I24" t="s">
        <v>56</v>
      </c>
      <c r="J24">
        <v>6.0000000000000006E-4</v>
      </c>
      <c r="K24" t="s">
        <v>57</v>
      </c>
      <c r="O24">
        <v>0.5</v>
      </c>
      <c r="P24" t="s">
        <v>59</v>
      </c>
      <c r="S24">
        <v>2</v>
      </c>
      <c r="T24">
        <v>22</v>
      </c>
      <c r="V24">
        <v>50</v>
      </c>
      <c r="W24" t="s">
        <v>1491</v>
      </c>
      <c r="X24" t="s">
        <v>114</v>
      </c>
      <c r="Y24">
        <v>60</v>
      </c>
      <c r="Z24">
        <v>3</v>
      </c>
      <c r="AA24" t="s">
        <v>128</v>
      </c>
      <c r="AB24">
        <v>2</v>
      </c>
      <c r="AC24" t="s">
        <v>210</v>
      </c>
      <c r="AH24">
        <v>7.3</v>
      </c>
      <c r="AK24">
        <v>0.8</v>
      </c>
      <c r="AL24" t="s">
        <v>82</v>
      </c>
      <c r="AM24">
        <v>0.8</v>
      </c>
      <c r="AN24" t="s">
        <v>82</v>
      </c>
      <c r="AU24">
        <v>1.333333333333333</v>
      </c>
      <c r="AV24" t="s">
        <v>115</v>
      </c>
      <c r="AZ24">
        <v>0</v>
      </c>
      <c r="BA24">
        <v>7.3</v>
      </c>
    </row>
    <row r="25" spans="1:53" x14ac:dyDescent="0.3">
      <c r="A25" t="s">
        <v>206</v>
      </c>
      <c r="C25" t="s">
        <v>1490</v>
      </c>
      <c r="D25" t="s">
        <v>81</v>
      </c>
      <c r="E25">
        <v>300</v>
      </c>
      <c r="H25">
        <v>6</v>
      </c>
      <c r="I25" t="s">
        <v>56</v>
      </c>
      <c r="J25">
        <v>6.0000000000000006E-4</v>
      </c>
      <c r="K25" t="s">
        <v>57</v>
      </c>
      <c r="O25">
        <v>0.5</v>
      </c>
      <c r="P25" t="s">
        <v>59</v>
      </c>
      <c r="S25">
        <v>2</v>
      </c>
      <c r="T25">
        <v>22</v>
      </c>
      <c r="V25">
        <v>50</v>
      </c>
      <c r="W25" t="s">
        <v>1491</v>
      </c>
      <c r="X25" t="s">
        <v>114</v>
      </c>
      <c r="Y25">
        <v>0</v>
      </c>
      <c r="Z25">
        <v>3</v>
      </c>
      <c r="AB25">
        <v>6.7403626894942397</v>
      </c>
      <c r="AC25" t="s">
        <v>210</v>
      </c>
      <c r="AH25">
        <v>6.7</v>
      </c>
      <c r="AK25">
        <v>0.8</v>
      </c>
      <c r="AL25" t="s">
        <v>82</v>
      </c>
      <c r="AM25">
        <v>0.8</v>
      </c>
      <c r="AN25" t="s">
        <v>82</v>
      </c>
      <c r="AU25">
        <v>1.333333333333333</v>
      </c>
      <c r="AV25" t="s">
        <v>115</v>
      </c>
      <c r="BA25">
        <v>6.7</v>
      </c>
    </row>
    <row r="26" spans="1:53" x14ac:dyDescent="0.3">
      <c r="A26" t="s">
        <v>206</v>
      </c>
      <c r="C26" t="s">
        <v>1490</v>
      </c>
      <c r="D26" t="s">
        <v>81</v>
      </c>
      <c r="E26">
        <v>300</v>
      </c>
      <c r="H26">
        <v>6</v>
      </c>
      <c r="I26" t="s">
        <v>56</v>
      </c>
      <c r="J26">
        <v>6.0000000000000006E-4</v>
      </c>
      <c r="K26" t="s">
        <v>57</v>
      </c>
      <c r="O26">
        <v>0.5</v>
      </c>
      <c r="P26" t="s">
        <v>59</v>
      </c>
      <c r="S26">
        <v>2</v>
      </c>
      <c r="T26">
        <v>22</v>
      </c>
      <c r="V26">
        <v>50</v>
      </c>
      <c r="W26" t="s">
        <v>1491</v>
      </c>
      <c r="X26" t="s">
        <v>114</v>
      </c>
      <c r="Y26">
        <v>0.25</v>
      </c>
      <c r="Z26">
        <v>2</v>
      </c>
      <c r="AA26" t="s">
        <v>128</v>
      </c>
      <c r="AB26">
        <v>2</v>
      </c>
      <c r="AC26" t="s">
        <v>210</v>
      </c>
      <c r="AH26">
        <v>6.7</v>
      </c>
      <c r="AK26">
        <v>0.8</v>
      </c>
      <c r="AL26" t="s">
        <v>82</v>
      </c>
      <c r="AM26">
        <v>0.8</v>
      </c>
      <c r="AN26" t="s">
        <v>82</v>
      </c>
      <c r="AU26">
        <v>1.333333333333333</v>
      </c>
      <c r="AV26" t="s">
        <v>115</v>
      </c>
      <c r="AZ26">
        <v>0</v>
      </c>
      <c r="BA26">
        <v>6.7</v>
      </c>
    </row>
    <row r="27" spans="1:53" x14ac:dyDescent="0.3">
      <c r="A27" t="s">
        <v>206</v>
      </c>
      <c r="C27" t="s">
        <v>1490</v>
      </c>
      <c r="D27" t="s">
        <v>81</v>
      </c>
      <c r="E27">
        <v>300</v>
      </c>
      <c r="H27">
        <v>6</v>
      </c>
      <c r="I27" t="s">
        <v>56</v>
      </c>
      <c r="J27">
        <v>6.0000000000000006E-4</v>
      </c>
      <c r="K27" t="s">
        <v>57</v>
      </c>
      <c r="O27">
        <v>0.5</v>
      </c>
      <c r="P27" t="s">
        <v>59</v>
      </c>
      <c r="S27">
        <v>2</v>
      </c>
      <c r="T27">
        <v>22</v>
      </c>
      <c r="V27">
        <v>50</v>
      </c>
      <c r="W27" t="s">
        <v>1491</v>
      </c>
      <c r="X27" t="s">
        <v>114</v>
      </c>
      <c r="Y27">
        <v>0.5</v>
      </c>
      <c r="Z27">
        <v>1</v>
      </c>
      <c r="AA27" t="s">
        <v>128</v>
      </c>
      <c r="AB27">
        <v>2</v>
      </c>
      <c r="AC27" t="s">
        <v>210</v>
      </c>
      <c r="AH27">
        <v>6.7</v>
      </c>
      <c r="AK27">
        <v>0.8</v>
      </c>
      <c r="AL27" t="s">
        <v>82</v>
      </c>
      <c r="AM27">
        <v>0.8</v>
      </c>
      <c r="AN27" t="s">
        <v>82</v>
      </c>
      <c r="AU27">
        <v>1.333333333333333</v>
      </c>
      <c r="AV27" t="s">
        <v>115</v>
      </c>
      <c r="AZ27">
        <v>0</v>
      </c>
      <c r="BA27">
        <v>6.7</v>
      </c>
    </row>
    <row r="28" spans="1:53" x14ac:dyDescent="0.3">
      <c r="A28" t="s">
        <v>206</v>
      </c>
      <c r="C28" t="s">
        <v>1490</v>
      </c>
      <c r="D28" t="s">
        <v>81</v>
      </c>
      <c r="E28">
        <v>300</v>
      </c>
      <c r="H28">
        <v>6</v>
      </c>
      <c r="I28" t="s">
        <v>56</v>
      </c>
      <c r="J28">
        <v>6.0000000000000006E-4</v>
      </c>
      <c r="K28" t="s">
        <v>57</v>
      </c>
      <c r="O28">
        <v>0.5</v>
      </c>
      <c r="P28" t="s">
        <v>59</v>
      </c>
      <c r="S28">
        <v>2</v>
      </c>
      <c r="T28">
        <v>22</v>
      </c>
      <c r="V28">
        <v>50</v>
      </c>
      <c r="W28" t="s">
        <v>1491</v>
      </c>
      <c r="X28" t="s">
        <v>114</v>
      </c>
      <c r="Y28">
        <v>1</v>
      </c>
      <c r="Z28">
        <v>6</v>
      </c>
      <c r="AA28" t="s">
        <v>128</v>
      </c>
      <c r="AB28">
        <v>2</v>
      </c>
      <c r="AC28" t="s">
        <v>210</v>
      </c>
      <c r="AH28">
        <v>6.7</v>
      </c>
      <c r="AK28">
        <v>0.8</v>
      </c>
      <c r="AL28" t="s">
        <v>82</v>
      </c>
      <c r="AM28">
        <v>0.8</v>
      </c>
      <c r="AN28" t="s">
        <v>82</v>
      </c>
      <c r="AU28">
        <v>1.333333333333333</v>
      </c>
      <c r="AV28" t="s">
        <v>115</v>
      </c>
      <c r="AZ28">
        <v>0</v>
      </c>
      <c r="BA28">
        <v>6.7</v>
      </c>
    </row>
    <row r="29" spans="1:53" x14ac:dyDescent="0.3">
      <c r="A29" t="s">
        <v>206</v>
      </c>
      <c r="C29" t="s">
        <v>1490</v>
      </c>
      <c r="D29" t="s">
        <v>81</v>
      </c>
      <c r="E29">
        <v>300</v>
      </c>
      <c r="H29">
        <v>6</v>
      </c>
      <c r="I29" t="s">
        <v>56</v>
      </c>
      <c r="J29">
        <v>6.0000000000000006E-4</v>
      </c>
      <c r="K29" t="s">
        <v>57</v>
      </c>
      <c r="O29">
        <v>0.5</v>
      </c>
      <c r="P29" t="s">
        <v>59</v>
      </c>
      <c r="S29">
        <v>2</v>
      </c>
      <c r="T29">
        <v>22</v>
      </c>
      <c r="V29">
        <v>50</v>
      </c>
      <c r="W29" t="s">
        <v>1491</v>
      </c>
      <c r="X29" t="s">
        <v>114</v>
      </c>
      <c r="Y29">
        <v>5</v>
      </c>
      <c r="Z29">
        <v>3</v>
      </c>
      <c r="AA29" t="s">
        <v>128</v>
      </c>
      <c r="AB29">
        <v>2</v>
      </c>
      <c r="AC29" t="s">
        <v>210</v>
      </c>
      <c r="AH29">
        <v>6.7</v>
      </c>
      <c r="AK29">
        <v>0.8</v>
      </c>
      <c r="AL29" t="s">
        <v>82</v>
      </c>
      <c r="AM29">
        <v>0.8</v>
      </c>
      <c r="AN29" t="s">
        <v>82</v>
      </c>
      <c r="AU29">
        <v>1.333333333333333</v>
      </c>
      <c r="AV29" t="s">
        <v>115</v>
      </c>
      <c r="AZ29">
        <v>0</v>
      </c>
      <c r="BA29">
        <v>6.7</v>
      </c>
    </row>
    <row r="30" spans="1:53" x14ac:dyDescent="0.3">
      <c r="A30" t="s">
        <v>206</v>
      </c>
      <c r="C30" t="s">
        <v>1490</v>
      </c>
      <c r="D30" t="s">
        <v>81</v>
      </c>
      <c r="E30">
        <v>300</v>
      </c>
      <c r="H30">
        <v>6</v>
      </c>
      <c r="I30" t="s">
        <v>56</v>
      </c>
      <c r="J30">
        <v>6.0000000000000006E-4</v>
      </c>
      <c r="K30" t="s">
        <v>57</v>
      </c>
      <c r="O30">
        <v>0.5</v>
      </c>
      <c r="P30" t="s">
        <v>59</v>
      </c>
      <c r="S30">
        <v>2</v>
      </c>
      <c r="T30">
        <v>22</v>
      </c>
      <c r="V30">
        <v>50</v>
      </c>
      <c r="W30" t="s">
        <v>1491</v>
      </c>
      <c r="X30" t="s">
        <v>114</v>
      </c>
      <c r="Y30">
        <v>10</v>
      </c>
      <c r="Z30">
        <v>3</v>
      </c>
      <c r="AA30" t="s">
        <v>128</v>
      </c>
      <c r="AB30">
        <v>2</v>
      </c>
      <c r="AC30" t="s">
        <v>210</v>
      </c>
      <c r="AH30">
        <v>6.7</v>
      </c>
      <c r="AK30">
        <v>0.8</v>
      </c>
      <c r="AL30" t="s">
        <v>82</v>
      </c>
      <c r="AM30">
        <v>0.8</v>
      </c>
      <c r="AN30" t="s">
        <v>82</v>
      </c>
      <c r="AU30">
        <v>1.333333333333333</v>
      </c>
      <c r="AV30" t="s">
        <v>115</v>
      </c>
      <c r="AZ30">
        <v>0</v>
      </c>
      <c r="BA30">
        <v>6.7</v>
      </c>
    </row>
    <row r="31" spans="1:53" x14ac:dyDescent="0.3">
      <c r="A31" t="s">
        <v>206</v>
      </c>
      <c r="C31" t="s">
        <v>1490</v>
      </c>
      <c r="D31" t="s">
        <v>81</v>
      </c>
      <c r="E31">
        <v>300</v>
      </c>
      <c r="H31">
        <v>6</v>
      </c>
      <c r="I31" t="s">
        <v>56</v>
      </c>
      <c r="J31">
        <v>6.0000000000000006E-4</v>
      </c>
      <c r="K31" t="s">
        <v>57</v>
      </c>
      <c r="O31">
        <v>0.5</v>
      </c>
      <c r="P31" t="s">
        <v>59</v>
      </c>
      <c r="S31">
        <v>2</v>
      </c>
      <c r="T31">
        <v>22</v>
      </c>
      <c r="V31">
        <v>50</v>
      </c>
      <c r="W31" t="s">
        <v>1491</v>
      </c>
      <c r="X31" t="s">
        <v>114</v>
      </c>
      <c r="Y31">
        <v>20</v>
      </c>
      <c r="Z31">
        <v>2</v>
      </c>
      <c r="AA31" t="s">
        <v>128</v>
      </c>
      <c r="AB31">
        <v>2</v>
      </c>
      <c r="AC31" t="s">
        <v>210</v>
      </c>
      <c r="AH31">
        <v>6.7</v>
      </c>
      <c r="AK31">
        <v>0.8</v>
      </c>
      <c r="AL31" t="s">
        <v>82</v>
      </c>
      <c r="AM31">
        <v>0.8</v>
      </c>
      <c r="AN31" t="s">
        <v>82</v>
      </c>
      <c r="AU31">
        <v>1.333333333333333</v>
      </c>
      <c r="AV31" t="s">
        <v>115</v>
      </c>
      <c r="AZ31">
        <v>0</v>
      </c>
      <c r="BA31">
        <v>6.7</v>
      </c>
    </row>
    <row r="32" spans="1:53" x14ac:dyDescent="0.3">
      <c r="A32" t="s">
        <v>206</v>
      </c>
      <c r="C32" t="s">
        <v>1490</v>
      </c>
      <c r="D32" t="s">
        <v>81</v>
      </c>
      <c r="E32">
        <v>300</v>
      </c>
      <c r="H32">
        <v>6</v>
      </c>
      <c r="I32" t="s">
        <v>56</v>
      </c>
      <c r="J32">
        <v>6.0000000000000006E-4</v>
      </c>
      <c r="K32" t="s">
        <v>57</v>
      </c>
      <c r="O32">
        <v>0.5</v>
      </c>
      <c r="P32" t="s">
        <v>59</v>
      </c>
      <c r="S32">
        <v>2</v>
      </c>
      <c r="T32">
        <v>22</v>
      </c>
      <c r="V32">
        <v>50</v>
      </c>
      <c r="W32" t="s">
        <v>1491</v>
      </c>
      <c r="X32" t="s">
        <v>114</v>
      </c>
      <c r="Y32">
        <v>30</v>
      </c>
      <c r="Z32">
        <v>1</v>
      </c>
      <c r="AA32" t="s">
        <v>128</v>
      </c>
      <c r="AB32">
        <v>2</v>
      </c>
      <c r="AC32" t="s">
        <v>210</v>
      </c>
      <c r="AH32">
        <v>6.7</v>
      </c>
      <c r="AK32">
        <v>0.8</v>
      </c>
      <c r="AL32" t="s">
        <v>82</v>
      </c>
      <c r="AM32">
        <v>0.8</v>
      </c>
      <c r="AN32" t="s">
        <v>82</v>
      </c>
      <c r="AU32">
        <v>1.333333333333333</v>
      </c>
      <c r="AV32" t="s">
        <v>115</v>
      </c>
      <c r="AZ32">
        <v>0</v>
      </c>
      <c r="BA32">
        <v>6.7</v>
      </c>
    </row>
    <row r="33" spans="1:53" x14ac:dyDescent="0.3">
      <c r="A33" t="s">
        <v>206</v>
      </c>
      <c r="C33" t="s">
        <v>1490</v>
      </c>
      <c r="D33" t="s">
        <v>81</v>
      </c>
      <c r="E33">
        <v>300</v>
      </c>
      <c r="H33">
        <v>6</v>
      </c>
      <c r="I33" t="s">
        <v>56</v>
      </c>
      <c r="J33">
        <v>6.0000000000000006E-4</v>
      </c>
      <c r="K33" t="s">
        <v>57</v>
      </c>
      <c r="O33">
        <v>0.5</v>
      </c>
      <c r="P33" t="s">
        <v>59</v>
      </c>
      <c r="S33">
        <v>2</v>
      </c>
      <c r="T33">
        <v>22</v>
      </c>
      <c r="V33">
        <v>50</v>
      </c>
      <c r="W33" t="s">
        <v>1491</v>
      </c>
      <c r="X33" t="s">
        <v>114</v>
      </c>
      <c r="Y33">
        <v>60</v>
      </c>
      <c r="AA33" t="s">
        <v>128</v>
      </c>
      <c r="AB33">
        <v>2</v>
      </c>
      <c r="AC33" t="s">
        <v>210</v>
      </c>
      <c r="AH33">
        <v>6.7</v>
      </c>
      <c r="AK33">
        <v>0.8</v>
      </c>
      <c r="AL33" t="s">
        <v>82</v>
      </c>
      <c r="AM33">
        <v>0.8</v>
      </c>
      <c r="AN33" t="s">
        <v>82</v>
      </c>
      <c r="AU33">
        <v>1.333333333333333</v>
      </c>
      <c r="AV33" t="s">
        <v>115</v>
      </c>
      <c r="AZ33">
        <v>0</v>
      </c>
      <c r="BA33">
        <v>6.7</v>
      </c>
    </row>
    <row r="34" spans="1:53" x14ac:dyDescent="0.3">
      <c r="A34" t="s">
        <v>206</v>
      </c>
      <c r="C34" t="s">
        <v>1490</v>
      </c>
      <c r="D34" t="s">
        <v>81</v>
      </c>
      <c r="E34">
        <v>300</v>
      </c>
      <c r="H34">
        <v>6</v>
      </c>
      <c r="I34" t="s">
        <v>56</v>
      </c>
      <c r="J34">
        <v>6.0000000000000006E-4</v>
      </c>
      <c r="K34" t="s">
        <v>57</v>
      </c>
      <c r="O34">
        <v>0.1</v>
      </c>
      <c r="P34" t="s">
        <v>59</v>
      </c>
      <c r="S34">
        <v>2</v>
      </c>
      <c r="T34">
        <v>22</v>
      </c>
      <c r="V34">
        <v>50</v>
      </c>
      <c r="W34" t="s">
        <v>1492</v>
      </c>
      <c r="X34" t="s">
        <v>114</v>
      </c>
      <c r="Y34">
        <v>0</v>
      </c>
      <c r="AB34">
        <v>6.9030899869919402</v>
      </c>
      <c r="AC34" t="s">
        <v>210</v>
      </c>
      <c r="AH34">
        <v>6.9</v>
      </c>
      <c r="AK34">
        <v>0.8</v>
      </c>
      <c r="AL34" t="s">
        <v>82</v>
      </c>
      <c r="AM34">
        <v>0.8</v>
      </c>
      <c r="AN34" t="s">
        <v>82</v>
      </c>
      <c r="AT34" t="s">
        <v>203</v>
      </c>
      <c r="AU34">
        <v>1.333333333333333</v>
      </c>
      <c r="AV34" t="s">
        <v>115</v>
      </c>
      <c r="BA34">
        <v>6.9</v>
      </c>
    </row>
    <row r="35" spans="1:53" x14ac:dyDescent="0.3">
      <c r="A35" t="s">
        <v>206</v>
      </c>
      <c r="C35" t="s">
        <v>1490</v>
      </c>
      <c r="D35" t="s">
        <v>81</v>
      </c>
      <c r="E35">
        <v>300</v>
      </c>
      <c r="H35">
        <v>6</v>
      </c>
      <c r="I35" t="s">
        <v>56</v>
      </c>
      <c r="J35">
        <v>6.0000000000000006E-4</v>
      </c>
      <c r="K35" t="s">
        <v>57</v>
      </c>
      <c r="O35">
        <v>0.1</v>
      </c>
      <c r="P35" t="s">
        <v>59</v>
      </c>
      <c r="S35">
        <v>2</v>
      </c>
      <c r="T35">
        <v>22</v>
      </c>
      <c r="V35">
        <v>50</v>
      </c>
      <c r="W35" t="s">
        <v>1492</v>
      </c>
      <c r="X35" t="s">
        <v>114</v>
      </c>
      <c r="Y35">
        <v>1</v>
      </c>
      <c r="AB35">
        <v>4.7781512503836403</v>
      </c>
      <c r="AC35" t="s">
        <v>210</v>
      </c>
      <c r="AH35">
        <v>6.9</v>
      </c>
      <c r="AK35">
        <v>0.8</v>
      </c>
      <c r="AL35" t="s">
        <v>82</v>
      </c>
      <c r="AM35">
        <v>0.8</v>
      </c>
      <c r="AN35" t="s">
        <v>82</v>
      </c>
      <c r="AT35" t="s">
        <v>203</v>
      </c>
      <c r="AU35">
        <v>1.333333333333333</v>
      </c>
      <c r="AV35" t="s">
        <v>115</v>
      </c>
      <c r="BA35">
        <v>6.9</v>
      </c>
    </row>
    <row r="36" spans="1:53" x14ac:dyDescent="0.3">
      <c r="A36" t="s">
        <v>206</v>
      </c>
      <c r="C36" t="s">
        <v>1490</v>
      </c>
      <c r="D36" t="s">
        <v>81</v>
      </c>
      <c r="E36">
        <v>1000000</v>
      </c>
      <c r="H36">
        <v>6</v>
      </c>
      <c r="I36" t="s">
        <v>56</v>
      </c>
      <c r="J36">
        <v>6.0000000000000006E-4</v>
      </c>
      <c r="K36" t="s">
        <v>57</v>
      </c>
      <c r="O36">
        <v>0.1</v>
      </c>
      <c r="P36" t="s">
        <v>59</v>
      </c>
      <c r="S36">
        <v>2</v>
      </c>
      <c r="T36">
        <v>22</v>
      </c>
      <c r="V36">
        <v>50</v>
      </c>
      <c r="W36" t="s">
        <v>1492</v>
      </c>
      <c r="X36" t="s">
        <v>114</v>
      </c>
      <c r="Y36">
        <v>5</v>
      </c>
      <c r="AB36">
        <v>4.04139268515822</v>
      </c>
      <c r="AC36" t="s">
        <v>210</v>
      </c>
      <c r="AH36">
        <v>6.9</v>
      </c>
      <c r="AK36">
        <v>0.8</v>
      </c>
      <c r="AL36" t="s">
        <v>82</v>
      </c>
      <c r="AM36">
        <v>0.8</v>
      </c>
      <c r="AN36" t="s">
        <v>82</v>
      </c>
      <c r="AT36" t="s">
        <v>203</v>
      </c>
      <c r="AU36">
        <v>1.333333333333333</v>
      </c>
      <c r="AV36" t="s">
        <v>115</v>
      </c>
      <c r="BA36">
        <v>6.9</v>
      </c>
    </row>
    <row r="37" spans="1:53" x14ac:dyDescent="0.3">
      <c r="A37" t="s">
        <v>206</v>
      </c>
      <c r="C37" t="s">
        <v>1490</v>
      </c>
      <c r="D37" t="s">
        <v>81</v>
      </c>
      <c r="E37">
        <v>1000000</v>
      </c>
      <c r="H37">
        <v>6</v>
      </c>
      <c r="I37" t="s">
        <v>56</v>
      </c>
      <c r="J37">
        <v>6.0000000000000006E-4</v>
      </c>
      <c r="K37" t="s">
        <v>57</v>
      </c>
      <c r="O37">
        <v>0.1</v>
      </c>
      <c r="P37" t="s">
        <v>59</v>
      </c>
      <c r="S37">
        <v>2</v>
      </c>
      <c r="T37">
        <v>22</v>
      </c>
      <c r="V37">
        <v>50</v>
      </c>
      <c r="W37" t="s">
        <v>1492</v>
      </c>
      <c r="X37" t="s">
        <v>114</v>
      </c>
      <c r="Y37">
        <v>10</v>
      </c>
      <c r="AB37">
        <v>4</v>
      </c>
      <c r="AC37" t="s">
        <v>210</v>
      </c>
      <c r="AH37">
        <v>6.9</v>
      </c>
      <c r="AK37">
        <v>0.8</v>
      </c>
      <c r="AL37" t="s">
        <v>82</v>
      </c>
      <c r="AM37">
        <v>0.8</v>
      </c>
      <c r="AN37" t="s">
        <v>82</v>
      </c>
      <c r="AT37" t="s">
        <v>203</v>
      </c>
      <c r="AU37">
        <v>1.333333333333333</v>
      </c>
      <c r="AV37" t="s">
        <v>115</v>
      </c>
      <c r="BA37">
        <v>6.9</v>
      </c>
    </row>
    <row r="38" spans="1:53" x14ac:dyDescent="0.3">
      <c r="A38" t="s">
        <v>206</v>
      </c>
      <c r="C38" t="s">
        <v>1490</v>
      </c>
      <c r="D38" t="s">
        <v>81</v>
      </c>
      <c r="E38">
        <v>1000000</v>
      </c>
      <c r="H38">
        <v>6</v>
      </c>
      <c r="I38" t="s">
        <v>56</v>
      </c>
      <c r="J38">
        <v>6.0000000000000006E-4</v>
      </c>
      <c r="K38" t="s">
        <v>57</v>
      </c>
      <c r="O38">
        <v>0.1</v>
      </c>
      <c r="P38" t="s">
        <v>59</v>
      </c>
      <c r="S38">
        <v>2</v>
      </c>
      <c r="T38">
        <v>22</v>
      </c>
      <c r="V38">
        <v>50</v>
      </c>
      <c r="W38" t="s">
        <v>1492</v>
      </c>
      <c r="X38" t="s">
        <v>114</v>
      </c>
      <c r="Y38">
        <v>20</v>
      </c>
      <c r="AB38">
        <v>4.3222192947339098</v>
      </c>
      <c r="AC38" t="s">
        <v>210</v>
      </c>
      <c r="AH38">
        <v>6.9</v>
      </c>
      <c r="AK38">
        <v>0.8</v>
      </c>
      <c r="AL38" t="s">
        <v>82</v>
      </c>
      <c r="AM38">
        <v>0.8</v>
      </c>
      <c r="AN38" t="s">
        <v>82</v>
      </c>
      <c r="AT38" t="s">
        <v>203</v>
      </c>
      <c r="AU38">
        <v>1.333333333333333</v>
      </c>
      <c r="AV38" t="s">
        <v>115</v>
      </c>
      <c r="BA38">
        <v>6.9</v>
      </c>
    </row>
    <row r="39" spans="1:53" x14ac:dyDescent="0.3">
      <c r="A39" t="s">
        <v>206</v>
      </c>
      <c r="C39" t="s">
        <v>1490</v>
      </c>
      <c r="D39" t="s">
        <v>81</v>
      </c>
      <c r="E39">
        <v>1000000</v>
      </c>
      <c r="H39">
        <v>6</v>
      </c>
      <c r="I39" t="s">
        <v>56</v>
      </c>
      <c r="J39">
        <v>6.0000000000000006E-4</v>
      </c>
      <c r="K39" t="s">
        <v>57</v>
      </c>
      <c r="O39">
        <v>0.1</v>
      </c>
      <c r="P39" t="s">
        <v>59</v>
      </c>
      <c r="S39">
        <v>2</v>
      </c>
      <c r="T39">
        <v>22</v>
      </c>
      <c r="V39">
        <v>50</v>
      </c>
      <c r="W39" t="s">
        <v>1492</v>
      </c>
      <c r="X39" t="s">
        <v>114</v>
      </c>
      <c r="Y39">
        <v>30</v>
      </c>
      <c r="AB39">
        <v>5.3802112417116001</v>
      </c>
      <c r="AC39" t="s">
        <v>210</v>
      </c>
      <c r="AH39">
        <v>6.9</v>
      </c>
      <c r="AK39">
        <v>0.8</v>
      </c>
      <c r="AL39" t="s">
        <v>82</v>
      </c>
      <c r="AM39">
        <v>0.8</v>
      </c>
      <c r="AN39" t="s">
        <v>82</v>
      </c>
      <c r="AT39" t="s">
        <v>203</v>
      </c>
      <c r="AU39">
        <v>1.333333333333333</v>
      </c>
      <c r="AV39" t="s">
        <v>115</v>
      </c>
      <c r="BA39">
        <v>6.9</v>
      </c>
    </row>
    <row r="40" spans="1:53" x14ac:dyDescent="0.3">
      <c r="A40" t="s">
        <v>206</v>
      </c>
      <c r="C40" t="s">
        <v>1490</v>
      </c>
      <c r="D40" t="s">
        <v>81</v>
      </c>
      <c r="E40">
        <v>1000000</v>
      </c>
      <c r="H40">
        <v>6</v>
      </c>
      <c r="I40" t="s">
        <v>56</v>
      </c>
      <c r="J40">
        <v>6.0000000000000006E-4</v>
      </c>
      <c r="K40" t="s">
        <v>57</v>
      </c>
      <c r="O40">
        <v>0.1</v>
      </c>
      <c r="P40" t="s">
        <v>59</v>
      </c>
      <c r="S40">
        <v>2</v>
      </c>
      <c r="T40">
        <v>22</v>
      </c>
      <c r="V40">
        <v>50</v>
      </c>
      <c r="W40" t="s">
        <v>1492</v>
      </c>
      <c r="X40" t="s">
        <v>114</v>
      </c>
      <c r="Y40">
        <v>60</v>
      </c>
      <c r="AB40">
        <v>5</v>
      </c>
      <c r="AC40" t="s">
        <v>210</v>
      </c>
      <c r="AH40">
        <v>6.9</v>
      </c>
      <c r="AK40">
        <v>0.8</v>
      </c>
      <c r="AL40" t="s">
        <v>82</v>
      </c>
      <c r="AM40">
        <v>0.8</v>
      </c>
      <c r="AN40" t="s">
        <v>82</v>
      </c>
      <c r="AT40" t="s">
        <v>203</v>
      </c>
      <c r="AU40">
        <v>1.333333333333333</v>
      </c>
      <c r="AV40" t="s">
        <v>115</v>
      </c>
      <c r="BA40">
        <v>6.9</v>
      </c>
    </row>
    <row r="41" spans="1:53" x14ac:dyDescent="0.3">
      <c r="A41" t="s">
        <v>206</v>
      </c>
      <c r="C41" t="s">
        <v>1490</v>
      </c>
      <c r="D41" t="s">
        <v>81</v>
      </c>
      <c r="E41">
        <v>1000000</v>
      </c>
      <c r="H41">
        <v>6</v>
      </c>
      <c r="I41" t="s">
        <v>56</v>
      </c>
      <c r="J41">
        <v>6.0000000000000006E-4</v>
      </c>
      <c r="K41" t="s">
        <v>57</v>
      </c>
      <c r="O41">
        <v>0.1</v>
      </c>
      <c r="P41" t="s">
        <v>59</v>
      </c>
      <c r="S41">
        <v>2</v>
      </c>
      <c r="T41">
        <v>22</v>
      </c>
      <c r="V41">
        <v>50</v>
      </c>
      <c r="W41" t="s">
        <v>1492</v>
      </c>
      <c r="X41" t="s">
        <v>114</v>
      </c>
      <c r="Y41">
        <v>0</v>
      </c>
      <c r="AB41">
        <v>6.6127838567197301</v>
      </c>
      <c r="AC41" t="s">
        <v>210</v>
      </c>
      <c r="AH41">
        <v>6.6</v>
      </c>
      <c r="AK41">
        <v>0.8</v>
      </c>
      <c r="AL41" t="s">
        <v>82</v>
      </c>
      <c r="AM41">
        <v>0.8</v>
      </c>
      <c r="AN41" t="s">
        <v>82</v>
      </c>
      <c r="AT41" t="s">
        <v>203</v>
      </c>
      <c r="AU41">
        <v>1.333333333333333</v>
      </c>
      <c r="AV41" t="s">
        <v>115</v>
      </c>
      <c r="BA41">
        <v>6.6</v>
      </c>
    </row>
    <row r="42" spans="1:53" x14ac:dyDescent="0.3">
      <c r="A42" t="s">
        <v>206</v>
      </c>
      <c r="C42" t="s">
        <v>1490</v>
      </c>
      <c r="D42" t="s">
        <v>81</v>
      </c>
      <c r="E42">
        <v>1000000</v>
      </c>
      <c r="H42">
        <v>6</v>
      </c>
      <c r="I42" t="s">
        <v>56</v>
      </c>
      <c r="J42">
        <v>6.0000000000000006E-4</v>
      </c>
      <c r="K42" t="s">
        <v>57</v>
      </c>
      <c r="O42">
        <v>0.1</v>
      </c>
      <c r="P42" t="s">
        <v>59</v>
      </c>
      <c r="S42">
        <v>2</v>
      </c>
      <c r="T42">
        <v>22</v>
      </c>
      <c r="V42">
        <v>50</v>
      </c>
      <c r="W42" t="s">
        <v>1492</v>
      </c>
      <c r="X42" t="s">
        <v>114</v>
      </c>
      <c r="Y42">
        <v>1</v>
      </c>
      <c r="AB42">
        <v>4.3010299956639804</v>
      </c>
      <c r="AC42" t="s">
        <v>210</v>
      </c>
      <c r="AH42">
        <v>6.6</v>
      </c>
      <c r="AK42">
        <v>0.8</v>
      </c>
      <c r="AL42" t="s">
        <v>82</v>
      </c>
      <c r="AM42">
        <v>0.8</v>
      </c>
      <c r="AN42" t="s">
        <v>82</v>
      </c>
      <c r="AT42" t="s">
        <v>203</v>
      </c>
      <c r="AU42">
        <v>1.333333333333333</v>
      </c>
      <c r="AV42" t="s">
        <v>115</v>
      </c>
      <c r="BA42">
        <v>6.6</v>
      </c>
    </row>
    <row r="43" spans="1:53" x14ac:dyDescent="0.3">
      <c r="A43" t="s">
        <v>206</v>
      </c>
      <c r="C43" t="s">
        <v>1490</v>
      </c>
      <c r="D43" t="s">
        <v>81</v>
      </c>
      <c r="E43">
        <v>1000000</v>
      </c>
      <c r="H43">
        <v>6</v>
      </c>
      <c r="I43" t="s">
        <v>56</v>
      </c>
      <c r="J43">
        <v>6.0000000000000006E-4</v>
      </c>
      <c r="K43" t="s">
        <v>57</v>
      </c>
      <c r="O43">
        <v>0.1</v>
      </c>
      <c r="P43" t="s">
        <v>59</v>
      </c>
      <c r="S43">
        <v>2</v>
      </c>
      <c r="T43">
        <v>22</v>
      </c>
      <c r="V43">
        <v>50</v>
      </c>
      <c r="W43" t="s">
        <v>1492</v>
      </c>
      <c r="X43" t="s">
        <v>114</v>
      </c>
      <c r="Y43">
        <v>5</v>
      </c>
      <c r="AB43">
        <v>4.5440680443502703</v>
      </c>
      <c r="AC43" t="s">
        <v>210</v>
      </c>
      <c r="AH43">
        <v>6.6</v>
      </c>
      <c r="AK43">
        <v>0.8</v>
      </c>
      <c r="AL43" t="s">
        <v>82</v>
      </c>
      <c r="AM43">
        <v>0.8</v>
      </c>
      <c r="AN43" t="s">
        <v>82</v>
      </c>
      <c r="AT43" t="s">
        <v>203</v>
      </c>
      <c r="AU43">
        <v>1.333333333333333</v>
      </c>
      <c r="AV43" t="s">
        <v>115</v>
      </c>
      <c r="BA43">
        <v>6.6</v>
      </c>
    </row>
    <row r="44" spans="1:53" x14ac:dyDescent="0.3">
      <c r="A44" t="s">
        <v>206</v>
      </c>
      <c r="C44" t="s">
        <v>1490</v>
      </c>
      <c r="D44" t="s">
        <v>81</v>
      </c>
      <c r="E44">
        <v>1000000</v>
      </c>
      <c r="H44">
        <v>6</v>
      </c>
      <c r="I44" t="s">
        <v>56</v>
      </c>
      <c r="J44">
        <v>6.0000000000000006E-4</v>
      </c>
      <c r="K44" t="s">
        <v>57</v>
      </c>
      <c r="O44">
        <v>0.1</v>
      </c>
      <c r="P44" t="s">
        <v>59</v>
      </c>
      <c r="S44">
        <v>2</v>
      </c>
      <c r="T44">
        <v>22</v>
      </c>
      <c r="V44">
        <v>50</v>
      </c>
      <c r="W44" t="s">
        <v>1492</v>
      </c>
      <c r="X44" t="s">
        <v>114</v>
      </c>
      <c r="Y44">
        <v>10</v>
      </c>
      <c r="AB44">
        <v>2.17609125905568</v>
      </c>
      <c r="AC44" t="s">
        <v>210</v>
      </c>
      <c r="AH44">
        <v>6.6</v>
      </c>
      <c r="AK44">
        <v>0.8</v>
      </c>
      <c r="AL44" t="s">
        <v>82</v>
      </c>
      <c r="AM44">
        <v>0.8</v>
      </c>
      <c r="AN44" t="s">
        <v>82</v>
      </c>
      <c r="AT44" t="s">
        <v>203</v>
      </c>
      <c r="AU44">
        <v>1.333333333333333</v>
      </c>
      <c r="AV44" t="s">
        <v>115</v>
      </c>
      <c r="BA44">
        <v>6.6</v>
      </c>
    </row>
    <row r="45" spans="1:53" x14ac:dyDescent="0.3">
      <c r="A45" t="s">
        <v>206</v>
      </c>
      <c r="C45" t="s">
        <v>1490</v>
      </c>
      <c r="D45" t="s">
        <v>81</v>
      </c>
      <c r="E45">
        <v>1000000</v>
      </c>
      <c r="H45">
        <v>6</v>
      </c>
      <c r="I45" t="s">
        <v>56</v>
      </c>
      <c r="J45">
        <v>6.0000000000000006E-4</v>
      </c>
      <c r="K45" t="s">
        <v>57</v>
      </c>
      <c r="O45">
        <v>0.1</v>
      </c>
      <c r="P45" t="s">
        <v>59</v>
      </c>
      <c r="S45">
        <v>2</v>
      </c>
      <c r="T45">
        <v>22</v>
      </c>
      <c r="V45">
        <v>50</v>
      </c>
      <c r="W45" t="s">
        <v>1492</v>
      </c>
      <c r="X45" t="s">
        <v>114</v>
      </c>
      <c r="Y45">
        <v>20</v>
      </c>
      <c r="AB45">
        <v>2.3979400086720299</v>
      </c>
      <c r="AC45" t="s">
        <v>210</v>
      </c>
      <c r="AH45">
        <v>6.6</v>
      </c>
      <c r="AK45">
        <v>0.8</v>
      </c>
      <c r="AL45" t="s">
        <v>82</v>
      </c>
      <c r="AM45">
        <v>0.8</v>
      </c>
      <c r="AN45" t="s">
        <v>82</v>
      </c>
      <c r="AT45" t="s">
        <v>203</v>
      </c>
      <c r="AU45">
        <v>1.333333333333333</v>
      </c>
      <c r="AV45" t="s">
        <v>115</v>
      </c>
      <c r="BA45">
        <v>6.6</v>
      </c>
    </row>
    <row r="46" spans="1:53" x14ac:dyDescent="0.3">
      <c r="A46" t="s">
        <v>206</v>
      </c>
      <c r="C46" t="s">
        <v>1490</v>
      </c>
      <c r="D46" t="s">
        <v>81</v>
      </c>
      <c r="E46">
        <v>1000000</v>
      </c>
      <c r="H46">
        <v>6</v>
      </c>
      <c r="I46" t="s">
        <v>56</v>
      </c>
      <c r="J46">
        <v>6.0000000000000006E-4</v>
      </c>
      <c r="K46" t="s">
        <v>57</v>
      </c>
      <c r="O46">
        <v>0.1</v>
      </c>
      <c r="P46" t="s">
        <v>59</v>
      </c>
      <c r="S46">
        <v>2</v>
      </c>
      <c r="T46">
        <v>22</v>
      </c>
      <c r="V46">
        <v>50</v>
      </c>
      <c r="W46" t="s">
        <v>1492</v>
      </c>
      <c r="X46" t="s">
        <v>114</v>
      </c>
      <c r="Y46">
        <v>30</v>
      </c>
      <c r="AB46">
        <v>3.17609125905568</v>
      </c>
      <c r="AC46" t="s">
        <v>210</v>
      </c>
      <c r="AH46">
        <v>6.6</v>
      </c>
      <c r="AK46">
        <v>0.8</v>
      </c>
      <c r="AL46" t="s">
        <v>82</v>
      </c>
      <c r="AM46">
        <v>0.8</v>
      </c>
      <c r="AN46" t="s">
        <v>82</v>
      </c>
      <c r="AT46" t="s">
        <v>203</v>
      </c>
      <c r="AU46">
        <v>1.333333333333333</v>
      </c>
      <c r="AV46" t="s">
        <v>115</v>
      </c>
      <c r="BA46">
        <v>6.6</v>
      </c>
    </row>
    <row r="47" spans="1:53" x14ac:dyDescent="0.3">
      <c r="A47" t="s">
        <v>206</v>
      </c>
      <c r="C47" t="s">
        <v>1490</v>
      </c>
      <c r="D47" t="s">
        <v>81</v>
      </c>
      <c r="E47">
        <v>1000000</v>
      </c>
      <c r="H47">
        <v>6</v>
      </c>
      <c r="I47" t="s">
        <v>56</v>
      </c>
      <c r="J47">
        <v>6.0000000000000006E-4</v>
      </c>
      <c r="K47" t="s">
        <v>57</v>
      </c>
      <c r="O47">
        <v>0.1</v>
      </c>
      <c r="P47" t="s">
        <v>59</v>
      </c>
      <c r="S47">
        <v>2</v>
      </c>
      <c r="T47">
        <v>22</v>
      </c>
      <c r="V47">
        <v>50</v>
      </c>
      <c r="W47" t="s">
        <v>1492</v>
      </c>
      <c r="X47" t="s">
        <v>114</v>
      </c>
      <c r="Y47">
        <v>60</v>
      </c>
      <c r="AA47" t="s">
        <v>128</v>
      </c>
      <c r="AB47">
        <v>2</v>
      </c>
      <c r="AC47" t="s">
        <v>210</v>
      </c>
      <c r="AH47">
        <v>6.6</v>
      </c>
      <c r="AK47">
        <v>0.8</v>
      </c>
      <c r="AL47" t="s">
        <v>82</v>
      </c>
      <c r="AM47">
        <v>0.8</v>
      </c>
      <c r="AN47" t="s">
        <v>82</v>
      </c>
      <c r="AT47" t="s">
        <v>203</v>
      </c>
      <c r="AU47">
        <v>1.333333333333333</v>
      </c>
      <c r="AV47" t="s">
        <v>115</v>
      </c>
      <c r="AZ47">
        <v>0</v>
      </c>
      <c r="BA47">
        <v>6.6</v>
      </c>
    </row>
    <row r="48" spans="1:53" x14ac:dyDescent="0.3">
      <c r="A48" t="s">
        <v>206</v>
      </c>
      <c r="C48" t="s">
        <v>1490</v>
      </c>
      <c r="D48" t="s">
        <v>81</v>
      </c>
      <c r="E48">
        <v>1000000</v>
      </c>
      <c r="H48">
        <v>6</v>
      </c>
      <c r="I48" t="s">
        <v>56</v>
      </c>
      <c r="J48">
        <v>6.0000000000000006E-4</v>
      </c>
      <c r="K48" t="s">
        <v>57</v>
      </c>
      <c r="O48">
        <v>0.5</v>
      </c>
      <c r="P48" t="s">
        <v>59</v>
      </c>
      <c r="S48">
        <v>2</v>
      </c>
      <c r="T48">
        <v>22</v>
      </c>
      <c r="V48">
        <v>50</v>
      </c>
      <c r="W48" t="s">
        <v>1492</v>
      </c>
      <c r="X48" t="s">
        <v>114</v>
      </c>
      <c r="Y48">
        <v>0</v>
      </c>
      <c r="AB48">
        <v>6.04139268515822</v>
      </c>
      <c r="AC48" t="s">
        <v>210</v>
      </c>
      <c r="AH48">
        <v>6</v>
      </c>
      <c r="AK48">
        <v>0.8</v>
      </c>
      <c r="AL48" t="s">
        <v>82</v>
      </c>
      <c r="AM48">
        <v>0.8</v>
      </c>
      <c r="AN48" t="s">
        <v>82</v>
      </c>
      <c r="AT48" t="s">
        <v>203</v>
      </c>
      <c r="AU48">
        <v>1.333333333333333</v>
      </c>
      <c r="AV48" t="s">
        <v>115</v>
      </c>
      <c r="BA48">
        <v>6</v>
      </c>
    </row>
    <row r="49" spans="1:53" x14ac:dyDescent="0.3">
      <c r="A49" t="s">
        <v>206</v>
      </c>
      <c r="C49" t="s">
        <v>1490</v>
      </c>
      <c r="D49" t="s">
        <v>81</v>
      </c>
      <c r="E49">
        <v>1000000</v>
      </c>
      <c r="H49">
        <v>6</v>
      </c>
      <c r="I49" t="s">
        <v>56</v>
      </c>
      <c r="J49">
        <v>6.0000000000000006E-4</v>
      </c>
      <c r="K49" t="s">
        <v>57</v>
      </c>
      <c r="O49">
        <v>0.5</v>
      </c>
      <c r="P49" t="s">
        <v>59</v>
      </c>
      <c r="S49">
        <v>2</v>
      </c>
      <c r="T49">
        <v>22</v>
      </c>
      <c r="V49">
        <v>50</v>
      </c>
      <c r="W49" t="s">
        <v>1492</v>
      </c>
      <c r="X49" t="s">
        <v>114</v>
      </c>
      <c r="Y49">
        <v>1</v>
      </c>
      <c r="AB49">
        <v>3.3424226808222</v>
      </c>
      <c r="AC49" t="s">
        <v>210</v>
      </c>
      <c r="AH49">
        <v>6</v>
      </c>
      <c r="AK49">
        <v>0.8</v>
      </c>
      <c r="AL49" t="s">
        <v>82</v>
      </c>
      <c r="AM49">
        <v>0.8</v>
      </c>
      <c r="AN49" t="s">
        <v>82</v>
      </c>
      <c r="AT49" t="s">
        <v>203</v>
      </c>
      <c r="AU49">
        <v>1.333333333333333</v>
      </c>
      <c r="AV49" t="s">
        <v>115</v>
      </c>
      <c r="BA49">
        <v>6</v>
      </c>
    </row>
    <row r="50" spans="1:53" x14ac:dyDescent="0.3">
      <c r="A50" t="s">
        <v>206</v>
      </c>
      <c r="C50" t="s">
        <v>1490</v>
      </c>
      <c r="D50" t="s">
        <v>81</v>
      </c>
      <c r="E50">
        <v>1000000</v>
      </c>
      <c r="H50">
        <v>6</v>
      </c>
      <c r="I50" t="s">
        <v>56</v>
      </c>
      <c r="J50">
        <v>6.0000000000000006E-4</v>
      </c>
      <c r="K50" t="s">
        <v>57</v>
      </c>
      <c r="O50">
        <v>0.5</v>
      </c>
      <c r="P50" t="s">
        <v>59</v>
      </c>
      <c r="S50">
        <v>2</v>
      </c>
      <c r="T50">
        <v>22</v>
      </c>
      <c r="V50">
        <v>50</v>
      </c>
      <c r="W50" t="s">
        <v>1492</v>
      </c>
      <c r="X50" t="s">
        <v>114</v>
      </c>
      <c r="Y50">
        <v>5</v>
      </c>
      <c r="AB50">
        <v>2.7634279935629298</v>
      </c>
      <c r="AC50" t="s">
        <v>210</v>
      </c>
      <c r="AH50">
        <v>6</v>
      </c>
      <c r="AK50">
        <v>0.8</v>
      </c>
      <c r="AL50" t="s">
        <v>82</v>
      </c>
      <c r="AM50">
        <v>0.8</v>
      </c>
      <c r="AN50" t="s">
        <v>82</v>
      </c>
      <c r="AT50" t="s">
        <v>203</v>
      </c>
      <c r="AU50">
        <v>1.333333333333333</v>
      </c>
      <c r="AV50" t="s">
        <v>115</v>
      </c>
      <c r="BA50">
        <v>6</v>
      </c>
    </row>
    <row r="51" spans="1:53" x14ac:dyDescent="0.3">
      <c r="A51" t="s">
        <v>206</v>
      </c>
      <c r="C51" t="s">
        <v>1490</v>
      </c>
      <c r="D51" t="s">
        <v>81</v>
      </c>
      <c r="E51">
        <v>1000000</v>
      </c>
      <c r="H51">
        <v>6</v>
      </c>
      <c r="I51" t="s">
        <v>56</v>
      </c>
      <c r="J51">
        <v>6.0000000000000006E-4</v>
      </c>
      <c r="K51" t="s">
        <v>57</v>
      </c>
      <c r="O51">
        <v>0.5</v>
      </c>
      <c r="P51" t="s">
        <v>59</v>
      </c>
      <c r="S51">
        <v>2</v>
      </c>
      <c r="T51">
        <v>22</v>
      </c>
      <c r="V51">
        <v>50</v>
      </c>
      <c r="W51" t="s">
        <v>1492</v>
      </c>
      <c r="X51" t="s">
        <v>114</v>
      </c>
      <c r="Y51">
        <v>10</v>
      </c>
      <c r="AB51">
        <v>3.3222192947339102</v>
      </c>
      <c r="AC51" t="s">
        <v>210</v>
      </c>
      <c r="AH51">
        <v>6</v>
      </c>
      <c r="AK51">
        <v>0.8</v>
      </c>
      <c r="AL51" t="s">
        <v>82</v>
      </c>
      <c r="AM51">
        <v>0.8</v>
      </c>
      <c r="AN51" t="s">
        <v>82</v>
      </c>
      <c r="AT51" t="s">
        <v>203</v>
      </c>
      <c r="AU51">
        <v>1.333333333333333</v>
      </c>
      <c r="AV51" t="s">
        <v>115</v>
      </c>
      <c r="BA51">
        <v>6</v>
      </c>
    </row>
    <row r="52" spans="1:53" x14ac:dyDescent="0.3">
      <c r="A52" t="s">
        <v>206</v>
      </c>
      <c r="C52" t="s">
        <v>1490</v>
      </c>
      <c r="D52" t="s">
        <v>81</v>
      </c>
      <c r="E52">
        <v>1000000</v>
      </c>
      <c r="H52">
        <v>6</v>
      </c>
      <c r="I52" t="s">
        <v>56</v>
      </c>
      <c r="J52">
        <v>6.0000000000000006E-4</v>
      </c>
      <c r="K52" t="s">
        <v>57</v>
      </c>
      <c r="O52">
        <v>0.5</v>
      </c>
      <c r="P52" t="s">
        <v>59</v>
      </c>
      <c r="S52">
        <v>2</v>
      </c>
      <c r="T52">
        <v>22</v>
      </c>
      <c r="V52">
        <v>50</v>
      </c>
      <c r="W52" t="s">
        <v>1492</v>
      </c>
      <c r="X52" t="s">
        <v>114</v>
      </c>
      <c r="Y52">
        <v>20</v>
      </c>
      <c r="AA52" t="s">
        <v>128</v>
      </c>
      <c r="AB52">
        <v>2</v>
      </c>
      <c r="AC52" t="s">
        <v>210</v>
      </c>
      <c r="AH52">
        <v>6</v>
      </c>
      <c r="AK52">
        <v>0.8</v>
      </c>
      <c r="AL52" t="s">
        <v>82</v>
      </c>
      <c r="AM52">
        <v>0.8</v>
      </c>
      <c r="AN52" t="s">
        <v>82</v>
      </c>
      <c r="AT52" t="s">
        <v>203</v>
      </c>
      <c r="AU52">
        <v>1.333333333333333</v>
      </c>
      <c r="AV52" t="s">
        <v>115</v>
      </c>
      <c r="AZ52">
        <v>0</v>
      </c>
      <c r="BA52">
        <v>6</v>
      </c>
    </row>
    <row r="53" spans="1:53" x14ac:dyDescent="0.3">
      <c r="A53" t="s">
        <v>206</v>
      </c>
      <c r="C53" t="s">
        <v>1490</v>
      </c>
      <c r="D53" t="s">
        <v>81</v>
      </c>
      <c r="E53">
        <v>100000</v>
      </c>
      <c r="H53">
        <v>6</v>
      </c>
      <c r="I53" t="s">
        <v>56</v>
      </c>
      <c r="J53">
        <v>6.0000000000000006E-4</v>
      </c>
      <c r="K53" t="s">
        <v>57</v>
      </c>
      <c r="O53">
        <v>0.5</v>
      </c>
      <c r="P53" t="s">
        <v>59</v>
      </c>
      <c r="S53">
        <v>2</v>
      </c>
      <c r="T53">
        <v>22</v>
      </c>
      <c r="V53">
        <v>50</v>
      </c>
      <c r="W53" t="s">
        <v>1492</v>
      </c>
      <c r="X53" t="s">
        <v>114</v>
      </c>
      <c r="Y53">
        <v>30</v>
      </c>
      <c r="AA53" t="s">
        <v>128</v>
      </c>
      <c r="AB53">
        <v>2</v>
      </c>
      <c r="AC53" t="s">
        <v>210</v>
      </c>
      <c r="AH53">
        <v>6</v>
      </c>
      <c r="AK53">
        <v>0.8</v>
      </c>
      <c r="AL53" t="s">
        <v>82</v>
      </c>
      <c r="AM53">
        <v>0.8</v>
      </c>
      <c r="AN53" t="s">
        <v>82</v>
      </c>
      <c r="AT53" t="s">
        <v>203</v>
      </c>
      <c r="AU53">
        <v>1.333333333333333</v>
      </c>
      <c r="AV53" t="s">
        <v>115</v>
      </c>
      <c r="AZ53">
        <v>0</v>
      </c>
      <c r="BA53">
        <v>6</v>
      </c>
    </row>
    <row r="54" spans="1:53" x14ac:dyDescent="0.3">
      <c r="A54" t="s">
        <v>206</v>
      </c>
      <c r="C54" t="s">
        <v>1490</v>
      </c>
      <c r="D54" t="s">
        <v>81</v>
      </c>
      <c r="E54">
        <v>100000</v>
      </c>
      <c r="H54">
        <v>6</v>
      </c>
      <c r="I54" t="s">
        <v>56</v>
      </c>
      <c r="J54">
        <v>6.0000000000000006E-4</v>
      </c>
      <c r="K54" t="s">
        <v>57</v>
      </c>
      <c r="O54">
        <v>0.5</v>
      </c>
      <c r="P54" t="s">
        <v>59</v>
      </c>
      <c r="S54">
        <v>2</v>
      </c>
      <c r="T54">
        <v>22</v>
      </c>
      <c r="V54">
        <v>50</v>
      </c>
      <c r="W54" t="s">
        <v>1492</v>
      </c>
      <c r="X54" t="s">
        <v>114</v>
      </c>
      <c r="Y54">
        <v>60</v>
      </c>
      <c r="AA54" t="s">
        <v>128</v>
      </c>
      <c r="AB54">
        <v>2</v>
      </c>
      <c r="AC54" t="s">
        <v>210</v>
      </c>
      <c r="AH54">
        <v>6</v>
      </c>
      <c r="AK54">
        <v>0.8</v>
      </c>
      <c r="AL54" t="s">
        <v>82</v>
      </c>
      <c r="AM54">
        <v>0.8</v>
      </c>
      <c r="AN54" t="s">
        <v>82</v>
      </c>
      <c r="AT54" t="s">
        <v>203</v>
      </c>
      <c r="AU54">
        <v>1.333333333333333</v>
      </c>
      <c r="AV54" t="s">
        <v>115</v>
      </c>
      <c r="AZ54">
        <v>0</v>
      </c>
      <c r="BA54">
        <v>6</v>
      </c>
    </row>
    <row r="55" spans="1:53" x14ac:dyDescent="0.3">
      <c r="A55" t="s">
        <v>206</v>
      </c>
      <c r="C55" t="s">
        <v>1490</v>
      </c>
      <c r="D55" t="s">
        <v>81</v>
      </c>
      <c r="E55">
        <v>100000</v>
      </c>
      <c r="H55">
        <v>6</v>
      </c>
      <c r="I55" t="s">
        <v>56</v>
      </c>
      <c r="J55">
        <v>6.0000000000000006E-4</v>
      </c>
      <c r="K55" t="s">
        <v>57</v>
      </c>
      <c r="O55">
        <v>0.5</v>
      </c>
      <c r="P55" t="s">
        <v>59</v>
      </c>
      <c r="S55">
        <v>2</v>
      </c>
      <c r="T55">
        <v>22</v>
      </c>
      <c r="V55">
        <v>50</v>
      </c>
      <c r="W55" t="s">
        <v>1492</v>
      </c>
      <c r="X55" t="s">
        <v>114</v>
      </c>
      <c r="Y55">
        <v>0</v>
      </c>
      <c r="AB55">
        <v>6.27875360095282</v>
      </c>
      <c r="AC55" t="s">
        <v>210</v>
      </c>
      <c r="AH55">
        <v>6.3</v>
      </c>
      <c r="AK55">
        <v>0.8</v>
      </c>
      <c r="AL55" t="s">
        <v>82</v>
      </c>
      <c r="AM55">
        <v>0.8</v>
      </c>
      <c r="AN55" t="s">
        <v>82</v>
      </c>
      <c r="AT55" t="s">
        <v>203</v>
      </c>
      <c r="AU55">
        <v>1.333333333333333</v>
      </c>
      <c r="AV55" t="s">
        <v>115</v>
      </c>
      <c r="BA55">
        <v>6.3</v>
      </c>
    </row>
    <row r="56" spans="1:53" x14ac:dyDescent="0.3">
      <c r="A56" t="s">
        <v>206</v>
      </c>
      <c r="C56" t="s">
        <v>1490</v>
      </c>
      <c r="D56" t="s">
        <v>81</v>
      </c>
      <c r="E56">
        <v>100000</v>
      </c>
      <c r="H56">
        <v>6</v>
      </c>
      <c r="I56" t="s">
        <v>56</v>
      </c>
      <c r="J56">
        <v>6.0000000000000006E-4</v>
      </c>
      <c r="K56" t="s">
        <v>57</v>
      </c>
      <c r="O56">
        <v>0.5</v>
      </c>
      <c r="P56" t="s">
        <v>59</v>
      </c>
      <c r="S56">
        <v>2</v>
      </c>
      <c r="T56">
        <v>22</v>
      </c>
      <c r="V56">
        <v>50</v>
      </c>
      <c r="W56" t="s">
        <v>1492</v>
      </c>
      <c r="X56" t="s">
        <v>114</v>
      </c>
      <c r="Y56">
        <v>0.25</v>
      </c>
      <c r="AA56" t="s">
        <v>128</v>
      </c>
      <c r="AB56">
        <v>2</v>
      </c>
      <c r="AC56" t="s">
        <v>210</v>
      </c>
      <c r="AH56">
        <v>6.3</v>
      </c>
      <c r="AK56">
        <v>0.8</v>
      </c>
      <c r="AL56" t="s">
        <v>82</v>
      </c>
      <c r="AM56">
        <v>0.8</v>
      </c>
      <c r="AN56" t="s">
        <v>82</v>
      </c>
      <c r="AT56" t="s">
        <v>203</v>
      </c>
      <c r="AU56">
        <v>1.333333333333333</v>
      </c>
      <c r="AV56" t="s">
        <v>115</v>
      </c>
      <c r="AZ56">
        <v>0</v>
      </c>
      <c r="BA56">
        <v>6.3</v>
      </c>
    </row>
    <row r="57" spans="1:53" x14ac:dyDescent="0.3">
      <c r="A57" t="s">
        <v>206</v>
      </c>
      <c r="C57" t="s">
        <v>1490</v>
      </c>
      <c r="D57" t="s">
        <v>81</v>
      </c>
      <c r="E57">
        <v>100000</v>
      </c>
      <c r="H57">
        <v>6</v>
      </c>
      <c r="I57" t="s">
        <v>56</v>
      </c>
      <c r="J57">
        <v>6.0000000000000006E-4</v>
      </c>
      <c r="K57" t="s">
        <v>57</v>
      </c>
      <c r="O57">
        <v>0.5</v>
      </c>
      <c r="P57" t="s">
        <v>59</v>
      </c>
      <c r="S57">
        <v>2</v>
      </c>
      <c r="T57">
        <v>22</v>
      </c>
      <c r="V57">
        <v>50</v>
      </c>
      <c r="W57" t="s">
        <v>1492</v>
      </c>
      <c r="X57" t="s">
        <v>114</v>
      </c>
      <c r="Y57">
        <v>0.5</v>
      </c>
      <c r="AA57" t="s">
        <v>128</v>
      </c>
      <c r="AB57">
        <v>2</v>
      </c>
      <c r="AC57" t="s">
        <v>210</v>
      </c>
      <c r="AH57">
        <v>6.3</v>
      </c>
      <c r="AK57">
        <v>0.8</v>
      </c>
      <c r="AL57" t="s">
        <v>82</v>
      </c>
      <c r="AM57">
        <v>0.8</v>
      </c>
      <c r="AN57" t="s">
        <v>82</v>
      </c>
      <c r="AT57" t="s">
        <v>203</v>
      </c>
      <c r="AU57">
        <v>1.333333333333333</v>
      </c>
      <c r="AV57" t="s">
        <v>115</v>
      </c>
      <c r="AZ57">
        <v>0</v>
      </c>
      <c r="BA57">
        <v>6.3</v>
      </c>
    </row>
    <row r="58" spans="1:53" x14ac:dyDescent="0.3">
      <c r="A58" t="s">
        <v>206</v>
      </c>
      <c r="C58" t="s">
        <v>1490</v>
      </c>
      <c r="D58" t="s">
        <v>81</v>
      </c>
      <c r="E58">
        <v>100000</v>
      </c>
      <c r="H58">
        <v>6</v>
      </c>
      <c r="I58" t="s">
        <v>56</v>
      </c>
      <c r="J58">
        <v>6.0000000000000006E-4</v>
      </c>
      <c r="K58" t="s">
        <v>57</v>
      </c>
      <c r="O58">
        <v>0.5</v>
      </c>
      <c r="P58" t="s">
        <v>59</v>
      </c>
      <c r="S58">
        <v>2</v>
      </c>
      <c r="T58">
        <v>22</v>
      </c>
      <c r="V58">
        <v>50</v>
      </c>
      <c r="W58" t="s">
        <v>1492</v>
      </c>
      <c r="X58" t="s">
        <v>114</v>
      </c>
      <c r="Y58">
        <v>1</v>
      </c>
      <c r="AA58" t="s">
        <v>128</v>
      </c>
      <c r="AB58">
        <v>2</v>
      </c>
      <c r="AC58" t="s">
        <v>210</v>
      </c>
      <c r="AH58">
        <v>6.3</v>
      </c>
      <c r="AK58">
        <v>0.8</v>
      </c>
      <c r="AL58" t="s">
        <v>82</v>
      </c>
      <c r="AM58">
        <v>0.8</v>
      </c>
      <c r="AN58" t="s">
        <v>82</v>
      </c>
      <c r="AT58" t="s">
        <v>203</v>
      </c>
      <c r="AU58">
        <v>1.333333333333333</v>
      </c>
      <c r="AV58" t="s">
        <v>115</v>
      </c>
      <c r="AZ58">
        <v>0</v>
      </c>
      <c r="BA58">
        <v>6.3</v>
      </c>
    </row>
    <row r="59" spans="1:53" x14ac:dyDescent="0.3">
      <c r="A59" t="s">
        <v>206</v>
      </c>
      <c r="C59" t="s">
        <v>1490</v>
      </c>
      <c r="D59" t="s">
        <v>81</v>
      </c>
      <c r="E59">
        <v>100000</v>
      </c>
      <c r="H59">
        <v>6</v>
      </c>
      <c r="I59" t="s">
        <v>56</v>
      </c>
      <c r="J59">
        <v>6.0000000000000006E-4</v>
      </c>
      <c r="K59" t="s">
        <v>57</v>
      </c>
      <c r="O59">
        <v>0.5</v>
      </c>
      <c r="P59" t="s">
        <v>59</v>
      </c>
      <c r="S59">
        <v>2</v>
      </c>
      <c r="T59">
        <v>22</v>
      </c>
      <c r="V59">
        <v>50</v>
      </c>
      <c r="W59" t="s">
        <v>1492</v>
      </c>
      <c r="X59" t="s">
        <v>114</v>
      </c>
      <c r="Y59">
        <v>5</v>
      </c>
      <c r="AA59" t="s">
        <v>128</v>
      </c>
      <c r="AB59">
        <v>2</v>
      </c>
      <c r="AC59" t="s">
        <v>210</v>
      </c>
      <c r="AH59">
        <v>6.3</v>
      </c>
      <c r="AK59">
        <v>0.8</v>
      </c>
      <c r="AL59" t="s">
        <v>82</v>
      </c>
      <c r="AM59">
        <v>0.8</v>
      </c>
      <c r="AN59" t="s">
        <v>82</v>
      </c>
      <c r="AT59" t="s">
        <v>203</v>
      </c>
      <c r="AU59">
        <v>1.333333333333333</v>
      </c>
      <c r="AV59" t="s">
        <v>115</v>
      </c>
      <c r="AZ59">
        <v>0</v>
      </c>
      <c r="BA59">
        <v>6.3</v>
      </c>
    </row>
    <row r="60" spans="1:53" x14ac:dyDescent="0.3">
      <c r="A60" t="s">
        <v>206</v>
      </c>
      <c r="C60" t="s">
        <v>1490</v>
      </c>
      <c r="D60" t="s">
        <v>81</v>
      </c>
      <c r="E60">
        <v>100000</v>
      </c>
      <c r="H60">
        <v>6</v>
      </c>
      <c r="I60" t="s">
        <v>56</v>
      </c>
      <c r="J60">
        <v>6.0000000000000006E-4</v>
      </c>
      <c r="K60" t="s">
        <v>57</v>
      </c>
      <c r="O60">
        <v>0.1</v>
      </c>
      <c r="P60" t="s">
        <v>59</v>
      </c>
      <c r="S60">
        <v>2</v>
      </c>
      <c r="T60">
        <v>22</v>
      </c>
      <c r="V60">
        <v>50</v>
      </c>
      <c r="W60" t="s">
        <v>208</v>
      </c>
      <c r="X60" t="s">
        <v>114</v>
      </c>
      <c r="Y60">
        <v>0</v>
      </c>
      <c r="AB60">
        <v>7.2041199826559197</v>
      </c>
      <c r="AC60" t="s">
        <v>210</v>
      </c>
      <c r="AH60">
        <v>7.2</v>
      </c>
      <c r="AK60">
        <v>0.8</v>
      </c>
      <c r="AL60" t="s">
        <v>82</v>
      </c>
      <c r="AM60">
        <v>0.8</v>
      </c>
      <c r="AN60" t="s">
        <v>82</v>
      </c>
      <c r="AU60">
        <v>1.333333333333333</v>
      </c>
      <c r="AV60" t="s">
        <v>115</v>
      </c>
      <c r="BA60">
        <v>7.2</v>
      </c>
    </row>
    <row r="61" spans="1:53" x14ac:dyDescent="0.3">
      <c r="A61" t="s">
        <v>206</v>
      </c>
      <c r="C61" t="s">
        <v>1490</v>
      </c>
      <c r="D61" t="s">
        <v>81</v>
      </c>
      <c r="E61">
        <v>100000</v>
      </c>
      <c r="H61">
        <v>6</v>
      </c>
      <c r="I61" t="s">
        <v>56</v>
      </c>
      <c r="J61">
        <v>6.0000000000000006E-4</v>
      </c>
      <c r="K61" t="s">
        <v>57</v>
      </c>
      <c r="O61">
        <v>0.1</v>
      </c>
      <c r="P61" t="s">
        <v>59</v>
      </c>
      <c r="S61">
        <v>2</v>
      </c>
      <c r="T61">
        <v>22</v>
      </c>
      <c r="V61">
        <v>50</v>
      </c>
      <c r="W61" t="s">
        <v>208</v>
      </c>
      <c r="X61" t="s">
        <v>114</v>
      </c>
      <c r="Y61">
        <v>10</v>
      </c>
      <c r="AB61">
        <v>6.2552725051033002</v>
      </c>
      <c r="AC61" t="s">
        <v>210</v>
      </c>
      <c r="AH61">
        <v>7.2</v>
      </c>
      <c r="AK61">
        <v>0.8</v>
      </c>
      <c r="AL61" t="s">
        <v>82</v>
      </c>
      <c r="AM61">
        <v>0.8</v>
      </c>
      <c r="AN61" t="s">
        <v>82</v>
      </c>
      <c r="AU61">
        <v>1.333333333333333</v>
      </c>
      <c r="AV61" t="s">
        <v>115</v>
      </c>
      <c r="BA61">
        <v>7.2</v>
      </c>
    </row>
    <row r="62" spans="1:53" x14ac:dyDescent="0.3">
      <c r="A62" t="s">
        <v>206</v>
      </c>
      <c r="C62" t="s">
        <v>1490</v>
      </c>
      <c r="D62" t="s">
        <v>81</v>
      </c>
      <c r="E62">
        <v>100000</v>
      </c>
      <c r="H62">
        <v>6</v>
      </c>
      <c r="I62" t="s">
        <v>56</v>
      </c>
      <c r="J62">
        <v>6.0000000000000006E-4</v>
      </c>
      <c r="K62" t="s">
        <v>57</v>
      </c>
      <c r="O62">
        <v>0.1</v>
      </c>
      <c r="P62" t="s">
        <v>59</v>
      </c>
      <c r="S62">
        <v>2</v>
      </c>
      <c r="T62">
        <v>22</v>
      </c>
      <c r="V62">
        <v>50</v>
      </c>
      <c r="W62" t="s">
        <v>208</v>
      </c>
      <c r="X62" t="s">
        <v>114</v>
      </c>
      <c r="Y62">
        <v>20</v>
      </c>
      <c r="AB62">
        <v>6.3010299956639804</v>
      </c>
      <c r="AC62" t="s">
        <v>210</v>
      </c>
      <c r="AH62">
        <v>7.2</v>
      </c>
      <c r="AK62">
        <v>0.8</v>
      </c>
      <c r="AL62" t="s">
        <v>82</v>
      </c>
      <c r="AM62">
        <v>0.8</v>
      </c>
      <c r="AN62" t="s">
        <v>82</v>
      </c>
      <c r="AU62">
        <v>1.333333333333333</v>
      </c>
      <c r="AV62" t="s">
        <v>115</v>
      </c>
      <c r="BA62">
        <v>7.2</v>
      </c>
    </row>
    <row r="63" spans="1:53" x14ac:dyDescent="0.3">
      <c r="A63" t="s">
        <v>206</v>
      </c>
      <c r="C63" t="s">
        <v>1490</v>
      </c>
      <c r="D63" t="s">
        <v>81</v>
      </c>
      <c r="E63">
        <v>100000</v>
      </c>
      <c r="H63">
        <v>6</v>
      </c>
      <c r="I63" t="s">
        <v>56</v>
      </c>
      <c r="J63">
        <v>6.0000000000000006E-4</v>
      </c>
      <c r="K63" t="s">
        <v>57</v>
      </c>
      <c r="O63">
        <v>0.1</v>
      </c>
      <c r="P63" t="s">
        <v>59</v>
      </c>
      <c r="S63">
        <v>2</v>
      </c>
      <c r="T63">
        <v>22</v>
      </c>
      <c r="V63">
        <v>50</v>
      </c>
      <c r="W63" t="s">
        <v>208</v>
      </c>
      <c r="X63" t="s">
        <v>114</v>
      </c>
      <c r="Y63">
        <v>30</v>
      </c>
      <c r="AB63">
        <v>6.4149733479708102</v>
      </c>
      <c r="AC63" t="s">
        <v>210</v>
      </c>
      <c r="AH63">
        <v>7.2</v>
      </c>
      <c r="AK63">
        <v>0.8</v>
      </c>
      <c r="AL63" t="s">
        <v>82</v>
      </c>
      <c r="AM63">
        <v>0.8</v>
      </c>
      <c r="AN63" t="s">
        <v>82</v>
      </c>
      <c r="AU63">
        <v>1.333333333333333</v>
      </c>
      <c r="AV63" t="s">
        <v>115</v>
      </c>
      <c r="BA63">
        <v>7.2</v>
      </c>
    </row>
    <row r="64" spans="1:53" x14ac:dyDescent="0.3">
      <c r="A64" t="s">
        <v>206</v>
      </c>
      <c r="C64" t="s">
        <v>1490</v>
      </c>
      <c r="D64" t="s">
        <v>81</v>
      </c>
      <c r="E64">
        <v>100000</v>
      </c>
      <c r="H64">
        <v>6</v>
      </c>
      <c r="I64" t="s">
        <v>56</v>
      </c>
      <c r="J64">
        <v>6.0000000000000006E-4</v>
      </c>
      <c r="K64" t="s">
        <v>57</v>
      </c>
      <c r="O64">
        <v>0.1</v>
      </c>
      <c r="P64" t="s">
        <v>59</v>
      </c>
      <c r="S64">
        <v>2</v>
      </c>
      <c r="T64">
        <v>22</v>
      </c>
      <c r="V64">
        <v>50</v>
      </c>
      <c r="W64" t="s">
        <v>208</v>
      </c>
      <c r="X64" t="s">
        <v>114</v>
      </c>
      <c r="Y64">
        <v>60</v>
      </c>
      <c r="AB64">
        <v>6.3010299956639804</v>
      </c>
      <c r="AC64" t="s">
        <v>210</v>
      </c>
      <c r="AH64">
        <v>7.2</v>
      </c>
      <c r="AK64">
        <v>0.8</v>
      </c>
      <c r="AL64" t="s">
        <v>82</v>
      </c>
      <c r="AM64">
        <v>0.8</v>
      </c>
      <c r="AN64" t="s">
        <v>82</v>
      </c>
      <c r="AU64">
        <v>1.333333333333333</v>
      </c>
      <c r="AV64" t="s">
        <v>115</v>
      </c>
      <c r="BA64">
        <v>7.2</v>
      </c>
    </row>
    <row r="65" spans="1:53" x14ac:dyDescent="0.3">
      <c r="A65" t="s">
        <v>206</v>
      </c>
      <c r="C65" t="s">
        <v>1490</v>
      </c>
      <c r="D65" t="s">
        <v>81</v>
      </c>
      <c r="E65">
        <v>100000</v>
      </c>
      <c r="H65">
        <v>6</v>
      </c>
      <c r="I65" t="s">
        <v>56</v>
      </c>
      <c r="J65">
        <v>6.0000000000000006E-4</v>
      </c>
      <c r="K65" t="s">
        <v>57</v>
      </c>
      <c r="O65">
        <v>0.1</v>
      </c>
      <c r="P65" t="s">
        <v>59</v>
      </c>
      <c r="S65">
        <v>2</v>
      </c>
      <c r="T65">
        <v>22</v>
      </c>
      <c r="V65">
        <v>50</v>
      </c>
      <c r="W65" t="s">
        <v>208</v>
      </c>
      <c r="X65" t="s">
        <v>114</v>
      </c>
      <c r="Y65">
        <v>0</v>
      </c>
      <c r="AB65">
        <v>6.4913616938342704</v>
      </c>
      <c r="AC65" t="s">
        <v>210</v>
      </c>
      <c r="AH65">
        <v>6.5</v>
      </c>
      <c r="AK65">
        <v>0.8</v>
      </c>
      <c r="AL65" t="s">
        <v>82</v>
      </c>
      <c r="AM65">
        <v>0.8</v>
      </c>
      <c r="AN65" t="s">
        <v>82</v>
      </c>
      <c r="AU65">
        <v>1.333333333333333</v>
      </c>
      <c r="AV65" t="s">
        <v>115</v>
      </c>
      <c r="BA65">
        <v>6.5</v>
      </c>
    </row>
    <row r="66" spans="1:53" x14ac:dyDescent="0.3">
      <c r="A66" t="s">
        <v>206</v>
      </c>
      <c r="C66" t="s">
        <v>1490</v>
      </c>
      <c r="D66" t="s">
        <v>81</v>
      </c>
      <c r="E66">
        <v>100000</v>
      </c>
      <c r="H66">
        <v>6</v>
      </c>
      <c r="I66" t="s">
        <v>56</v>
      </c>
      <c r="J66">
        <v>6.0000000000000006E-4</v>
      </c>
      <c r="K66" t="s">
        <v>57</v>
      </c>
      <c r="O66">
        <v>0.1</v>
      </c>
      <c r="P66" t="s">
        <v>59</v>
      </c>
      <c r="S66">
        <v>2</v>
      </c>
      <c r="T66">
        <v>22</v>
      </c>
      <c r="V66">
        <v>50</v>
      </c>
      <c r="W66" t="s">
        <v>208</v>
      </c>
      <c r="X66" t="s">
        <v>114</v>
      </c>
      <c r="Y66">
        <v>10</v>
      </c>
      <c r="AB66">
        <v>6.2552725051033002</v>
      </c>
      <c r="AC66" t="s">
        <v>210</v>
      </c>
      <c r="AH66">
        <v>6.5</v>
      </c>
      <c r="AK66">
        <v>0.8</v>
      </c>
      <c r="AL66" t="s">
        <v>82</v>
      </c>
      <c r="AM66">
        <v>0.8</v>
      </c>
      <c r="AN66" t="s">
        <v>82</v>
      </c>
      <c r="AU66">
        <v>1.333333333333333</v>
      </c>
      <c r="AV66" t="s">
        <v>115</v>
      </c>
      <c r="BA66">
        <v>6.5</v>
      </c>
    </row>
    <row r="67" spans="1:53" x14ac:dyDescent="0.3">
      <c r="A67" t="s">
        <v>206</v>
      </c>
      <c r="C67" t="s">
        <v>1490</v>
      </c>
      <c r="D67" t="s">
        <v>81</v>
      </c>
      <c r="E67">
        <v>100000</v>
      </c>
      <c r="H67">
        <v>6</v>
      </c>
      <c r="I67" t="s">
        <v>56</v>
      </c>
      <c r="J67">
        <v>6.0000000000000006E-4</v>
      </c>
      <c r="K67" t="s">
        <v>57</v>
      </c>
      <c r="O67">
        <v>0.1</v>
      </c>
      <c r="P67" t="s">
        <v>59</v>
      </c>
      <c r="S67">
        <v>2</v>
      </c>
      <c r="T67">
        <v>22</v>
      </c>
      <c r="V67">
        <v>50</v>
      </c>
      <c r="W67" t="s">
        <v>208</v>
      </c>
      <c r="X67" t="s">
        <v>114</v>
      </c>
      <c r="Y67">
        <v>20</v>
      </c>
      <c r="AB67">
        <v>6.3010299956639804</v>
      </c>
      <c r="AC67" t="s">
        <v>210</v>
      </c>
      <c r="AH67">
        <v>6.5</v>
      </c>
      <c r="AK67">
        <v>0.8</v>
      </c>
      <c r="AL67" t="s">
        <v>82</v>
      </c>
      <c r="AM67">
        <v>0.8</v>
      </c>
      <c r="AN67" t="s">
        <v>82</v>
      </c>
      <c r="AU67">
        <v>1.333333333333333</v>
      </c>
      <c r="AV67" t="s">
        <v>115</v>
      </c>
      <c r="BA67">
        <v>6.5</v>
      </c>
    </row>
    <row r="68" spans="1:53" x14ac:dyDescent="0.3">
      <c r="A68" t="s">
        <v>206</v>
      </c>
      <c r="C68" t="s">
        <v>1490</v>
      </c>
      <c r="D68" t="s">
        <v>81</v>
      </c>
      <c r="E68">
        <v>100000</v>
      </c>
      <c r="H68">
        <v>6</v>
      </c>
      <c r="I68" t="s">
        <v>56</v>
      </c>
      <c r="J68">
        <v>6.0000000000000006E-4</v>
      </c>
      <c r="K68" t="s">
        <v>57</v>
      </c>
      <c r="O68">
        <v>0.1</v>
      </c>
      <c r="P68" t="s">
        <v>59</v>
      </c>
      <c r="S68">
        <v>2</v>
      </c>
      <c r="T68">
        <v>22</v>
      </c>
      <c r="V68">
        <v>50</v>
      </c>
      <c r="W68" t="s">
        <v>208</v>
      </c>
      <c r="X68" t="s">
        <v>114</v>
      </c>
      <c r="Y68">
        <v>30</v>
      </c>
      <c r="AB68">
        <v>6.27875360095282</v>
      </c>
      <c r="AC68" t="s">
        <v>210</v>
      </c>
      <c r="AH68">
        <v>6.5</v>
      </c>
      <c r="AK68">
        <v>0.8</v>
      </c>
      <c r="AL68" t="s">
        <v>82</v>
      </c>
      <c r="AM68">
        <v>0.8</v>
      </c>
      <c r="AN68" t="s">
        <v>82</v>
      </c>
      <c r="AU68">
        <v>1.333333333333333</v>
      </c>
      <c r="AV68" t="s">
        <v>115</v>
      </c>
      <c r="BA68">
        <v>6.5</v>
      </c>
    </row>
    <row r="69" spans="1:53" x14ac:dyDescent="0.3">
      <c r="A69" t="s">
        <v>206</v>
      </c>
      <c r="C69" t="s">
        <v>1490</v>
      </c>
      <c r="D69" t="s">
        <v>81</v>
      </c>
      <c r="E69">
        <v>100000</v>
      </c>
      <c r="H69">
        <v>6</v>
      </c>
      <c r="I69" t="s">
        <v>56</v>
      </c>
      <c r="J69">
        <v>6.0000000000000006E-4</v>
      </c>
      <c r="K69" t="s">
        <v>57</v>
      </c>
      <c r="O69">
        <v>0.1</v>
      </c>
      <c r="P69" t="s">
        <v>59</v>
      </c>
      <c r="S69">
        <v>2</v>
      </c>
      <c r="T69">
        <v>22</v>
      </c>
      <c r="V69">
        <v>50</v>
      </c>
      <c r="W69" t="s">
        <v>208</v>
      </c>
      <c r="X69" t="s">
        <v>114</v>
      </c>
      <c r="Y69">
        <v>60</v>
      </c>
      <c r="AB69">
        <v>6.2041199826559197</v>
      </c>
      <c r="AC69" t="s">
        <v>210</v>
      </c>
      <c r="AH69">
        <v>6.5</v>
      </c>
      <c r="AK69">
        <v>0.8</v>
      </c>
      <c r="AL69" t="s">
        <v>82</v>
      </c>
      <c r="AM69">
        <v>0.8</v>
      </c>
      <c r="AN69" t="s">
        <v>82</v>
      </c>
      <c r="AU69">
        <v>1.333333333333333</v>
      </c>
      <c r="AV69" t="s">
        <v>115</v>
      </c>
      <c r="BA69">
        <v>6.5</v>
      </c>
    </row>
    <row r="70" spans="1:53" x14ac:dyDescent="0.3">
      <c r="A70" t="s">
        <v>206</v>
      </c>
      <c r="C70" t="s">
        <v>1490</v>
      </c>
      <c r="D70" t="s">
        <v>81</v>
      </c>
      <c r="E70">
        <v>100000</v>
      </c>
      <c r="H70">
        <v>6</v>
      </c>
      <c r="I70" t="s">
        <v>56</v>
      </c>
      <c r="J70">
        <v>6.0000000000000006E-4</v>
      </c>
      <c r="K70" t="s">
        <v>57</v>
      </c>
      <c r="O70">
        <v>0.5</v>
      </c>
      <c r="P70" t="s">
        <v>59</v>
      </c>
      <c r="S70">
        <v>2</v>
      </c>
      <c r="T70">
        <v>22</v>
      </c>
      <c r="V70">
        <v>50</v>
      </c>
      <c r="W70" t="s">
        <v>208</v>
      </c>
      <c r="X70" t="s">
        <v>114</v>
      </c>
      <c r="Y70">
        <v>0</v>
      </c>
      <c r="AB70">
        <v>6.2304489213782697</v>
      </c>
      <c r="AC70" t="s">
        <v>210</v>
      </c>
      <c r="AH70">
        <v>6.2</v>
      </c>
      <c r="AK70">
        <v>0.8</v>
      </c>
      <c r="AL70" t="s">
        <v>82</v>
      </c>
      <c r="AM70">
        <v>0.8</v>
      </c>
      <c r="AN70" t="s">
        <v>82</v>
      </c>
      <c r="AU70">
        <v>1.333333333333333</v>
      </c>
      <c r="AV70" t="s">
        <v>115</v>
      </c>
      <c r="BA70">
        <v>6.2</v>
      </c>
    </row>
    <row r="71" spans="1:53" x14ac:dyDescent="0.3">
      <c r="A71" t="s">
        <v>206</v>
      </c>
      <c r="C71" t="s">
        <v>1490</v>
      </c>
      <c r="D71" t="s">
        <v>81</v>
      </c>
      <c r="E71">
        <v>100000</v>
      </c>
      <c r="H71">
        <v>6</v>
      </c>
      <c r="I71" t="s">
        <v>56</v>
      </c>
      <c r="J71">
        <v>6.0000000000000006E-4</v>
      </c>
      <c r="K71" t="s">
        <v>57</v>
      </c>
      <c r="O71">
        <v>0.5</v>
      </c>
      <c r="P71" t="s">
        <v>59</v>
      </c>
      <c r="S71">
        <v>2</v>
      </c>
      <c r="T71">
        <v>22</v>
      </c>
      <c r="V71">
        <v>50</v>
      </c>
      <c r="W71" t="s">
        <v>208</v>
      </c>
      <c r="X71" t="s">
        <v>114</v>
      </c>
      <c r="Y71">
        <v>10</v>
      </c>
      <c r="AB71">
        <v>6</v>
      </c>
      <c r="AC71" t="s">
        <v>210</v>
      </c>
      <c r="AH71">
        <v>6.2</v>
      </c>
      <c r="AK71">
        <v>0.8</v>
      </c>
      <c r="AL71" t="s">
        <v>82</v>
      </c>
      <c r="AM71">
        <v>0.8</v>
      </c>
      <c r="AN71" t="s">
        <v>82</v>
      </c>
      <c r="AU71">
        <v>1.333333333333333</v>
      </c>
      <c r="AV71" t="s">
        <v>115</v>
      </c>
      <c r="BA71">
        <v>6.2</v>
      </c>
    </row>
    <row r="72" spans="1:53" x14ac:dyDescent="0.3">
      <c r="A72" t="s">
        <v>206</v>
      </c>
      <c r="C72" t="s">
        <v>1490</v>
      </c>
      <c r="D72" t="s">
        <v>81</v>
      </c>
      <c r="E72">
        <v>100000</v>
      </c>
      <c r="H72">
        <v>6</v>
      </c>
      <c r="I72" t="s">
        <v>56</v>
      </c>
      <c r="J72">
        <v>6.0000000000000006E-4</v>
      </c>
      <c r="K72" t="s">
        <v>57</v>
      </c>
      <c r="O72">
        <v>0.5</v>
      </c>
      <c r="P72" t="s">
        <v>59</v>
      </c>
      <c r="S72">
        <v>2</v>
      </c>
      <c r="T72">
        <v>22</v>
      </c>
      <c r="V72">
        <v>50</v>
      </c>
      <c r="W72" t="s">
        <v>208</v>
      </c>
      <c r="X72" t="s">
        <v>114</v>
      </c>
      <c r="Y72">
        <v>20</v>
      </c>
      <c r="AB72">
        <v>4.6020599913279598</v>
      </c>
      <c r="AC72" t="s">
        <v>210</v>
      </c>
      <c r="AH72">
        <v>6.2</v>
      </c>
      <c r="AK72">
        <v>0.8</v>
      </c>
      <c r="AL72" t="s">
        <v>82</v>
      </c>
      <c r="AM72">
        <v>0.8</v>
      </c>
      <c r="AN72" t="s">
        <v>82</v>
      </c>
      <c r="AU72">
        <v>1.333333333333333</v>
      </c>
      <c r="AV72" t="s">
        <v>115</v>
      </c>
      <c r="BA72">
        <v>6.2</v>
      </c>
    </row>
    <row r="73" spans="1:53" x14ac:dyDescent="0.3">
      <c r="A73" t="s">
        <v>206</v>
      </c>
      <c r="C73" t="s">
        <v>1490</v>
      </c>
      <c r="D73" t="s">
        <v>81</v>
      </c>
      <c r="E73">
        <v>1000000</v>
      </c>
      <c r="H73">
        <v>6</v>
      </c>
      <c r="I73" t="s">
        <v>56</v>
      </c>
      <c r="J73">
        <v>6.0000000000000006E-4</v>
      </c>
      <c r="K73" t="s">
        <v>57</v>
      </c>
      <c r="O73">
        <v>0.5</v>
      </c>
      <c r="P73" t="s">
        <v>59</v>
      </c>
      <c r="S73">
        <v>2</v>
      </c>
      <c r="T73">
        <v>22</v>
      </c>
      <c r="V73">
        <v>50</v>
      </c>
      <c r="W73" t="s">
        <v>208</v>
      </c>
      <c r="X73" t="s">
        <v>114</v>
      </c>
      <c r="Y73">
        <v>30</v>
      </c>
      <c r="AB73">
        <v>6.1461280356782302</v>
      </c>
      <c r="AC73" t="s">
        <v>210</v>
      </c>
      <c r="AH73">
        <v>6.2</v>
      </c>
      <c r="AK73">
        <v>0.8</v>
      </c>
      <c r="AL73" t="s">
        <v>82</v>
      </c>
      <c r="AM73">
        <v>0.8</v>
      </c>
      <c r="AN73" t="s">
        <v>82</v>
      </c>
      <c r="AU73">
        <v>1.333333333333333</v>
      </c>
      <c r="AV73" t="s">
        <v>115</v>
      </c>
      <c r="BA73">
        <v>6.2</v>
      </c>
    </row>
    <row r="74" spans="1:53" x14ac:dyDescent="0.3">
      <c r="A74" t="s">
        <v>206</v>
      </c>
      <c r="C74" t="s">
        <v>1490</v>
      </c>
      <c r="D74" t="s">
        <v>81</v>
      </c>
      <c r="E74">
        <v>1000000</v>
      </c>
      <c r="H74">
        <v>6</v>
      </c>
      <c r="I74" t="s">
        <v>56</v>
      </c>
      <c r="J74">
        <v>6.0000000000000006E-4</v>
      </c>
      <c r="K74" t="s">
        <v>57</v>
      </c>
      <c r="O74">
        <v>0.5</v>
      </c>
      <c r="P74" t="s">
        <v>59</v>
      </c>
      <c r="S74">
        <v>2</v>
      </c>
      <c r="T74">
        <v>22</v>
      </c>
      <c r="V74">
        <v>50</v>
      </c>
      <c r="W74" t="s">
        <v>208</v>
      </c>
      <c r="X74" t="s">
        <v>114</v>
      </c>
      <c r="Y74">
        <v>60</v>
      </c>
      <c r="AB74">
        <v>6.04139268515822</v>
      </c>
      <c r="AC74" t="s">
        <v>210</v>
      </c>
      <c r="AH74">
        <v>6.2</v>
      </c>
      <c r="AK74">
        <v>0.8</v>
      </c>
      <c r="AL74" t="s">
        <v>82</v>
      </c>
      <c r="AM74">
        <v>0.8</v>
      </c>
      <c r="AN74" t="s">
        <v>82</v>
      </c>
      <c r="AU74">
        <v>1.333333333333333</v>
      </c>
      <c r="AV74" t="s">
        <v>115</v>
      </c>
      <c r="BA74">
        <v>6.2</v>
      </c>
    </row>
    <row r="75" spans="1:53" x14ac:dyDescent="0.3">
      <c r="A75" t="s">
        <v>206</v>
      </c>
      <c r="C75" t="s">
        <v>1490</v>
      </c>
      <c r="D75" t="s">
        <v>81</v>
      </c>
      <c r="E75">
        <v>1000000</v>
      </c>
      <c r="H75">
        <v>6</v>
      </c>
      <c r="I75" t="s">
        <v>56</v>
      </c>
      <c r="J75">
        <v>6.0000000000000006E-4</v>
      </c>
      <c r="K75" t="s">
        <v>57</v>
      </c>
      <c r="O75">
        <v>0.5</v>
      </c>
      <c r="P75" t="s">
        <v>59</v>
      </c>
      <c r="S75">
        <v>2</v>
      </c>
      <c r="T75">
        <v>22</v>
      </c>
      <c r="V75">
        <v>50</v>
      </c>
      <c r="W75" t="s">
        <v>208</v>
      </c>
      <c r="X75" t="s">
        <v>114</v>
      </c>
      <c r="Y75">
        <v>0</v>
      </c>
      <c r="AB75">
        <v>7.1139433523068298</v>
      </c>
      <c r="AC75" t="s">
        <v>210</v>
      </c>
      <c r="AH75">
        <v>7.1</v>
      </c>
      <c r="AK75">
        <v>0.8</v>
      </c>
      <c r="AL75" t="s">
        <v>82</v>
      </c>
      <c r="AM75">
        <v>0.8</v>
      </c>
      <c r="AN75" t="s">
        <v>82</v>
      </c>
      <c r="AU75">
        <v>1.333333333333333</v>
      </c>
      <c r="AV75" t="s">
        <v>115</v>
      </c>
      <c r="BA75">
        <v>7.1</v>
      </c>
    </row>
    <row r="76" spans="1:53" x14ac:dyDescent="0.3">
      <c r="A76" t="s">
        <v>206</v>
      </c>
      <c r="C76" t="s">
        <v>1490</v>
      </c>
      <c r="D76" t="s">
        <v>81</v>
      </c>
      <c r="E76">
        <v>1000000</v>
      </c>
      <c r="H76">
        <v>6</v>
      </c>
      <c r="I76" t="s">
        <v>56</v>
      </c>
      <c r="J76">
        <v>6.0000000000000006E-4</v>
      </c>
      <c r="K76" t="s">
        <v>57</v>
      </c>
      <c r="O76">
        <v>0.5</v>
      </c>
      <c r="P76" t="s">
        <v>59</v>
      </c>
      <c r="S76">
        <v>2</v>
      </c>
      <c r="T76">
        <v>22</v>
      </c>
      <c r="V76">
        <v>50</v>
      </c>
      <c r="W76" t="s">
        <v>208</v>
      </c>
      <c r="X76" t="s">
        <v>114</v>
      </c>
      <c r="Y76">
        <v>10</v>
      </c>
      <c r="AB76">
        <v>6.3802112417116001</v>
      </c>
      <c r="AC76" t="s">
        <v>210</v>
      </c>
      <c r="AH76">
        <v>7.1</v>
      </c>
      <c r="AK76">
        <v>0.8</v>
      </c>
      <c r="AL76" t="s">
        <v>82</v>
      </c>
      <c r="AM76">
        <v>0.8</v>
      </c>
      <c r="AN76" t="s">
        <v>82</v>
      </c>
      <c r="AU76">
        <v>1.333333333333333</v>
      </c>
      <c r="AV76" t="s">
        <v>115</v>
      </c>
      <c r="BA76">
        <v>7.1</v>
      </c>
    </row>
    <row r="77" spans="1:53" x14ac:dyDescent="0.3">
      <c r="A77" t="s">
        <v>206</v>
      </c>
      <c r="C77" t="s">
        <v>1490</v>
      </c>
      <c r="D77" t="s">
        <v>81</v>
      </c>
      <c r="E77">
        <v>1000000</v>
      </c>
      <c r="H77">
        <v>6</v>
      </c>
      <c r="I77" t="s">
        <v>56</v>
      </c>
      <c r="J77">
        <v>6.0000000000000006E-4</v>
      </c>
      <c r="K77" t="s">
        <v>57</v>
      </c>
      <c r="O77">
        <v>0.5</v>
      </c>
      <c r="P77" t="s">
        <v>59</v>
      </c>
      <c r="S77">
        <v>2</v>
      </c>
      <c r="T77">
        <v>22</v>
      </c>
      <c r="V77">
        <v>50</v>
      </c>
      <c r="W77" t="s">
        <v>208</v>
      </c>
      <c r="X77" t="s">
        <v>114</v>
      </c>
      <c r="Y77">
        <v>20</v>
      </c>
      <c r="AB77">
        <v>6.04139268515822</v>
      </c>
      <c r="AC77" t="s">
        <v>210</v>
      </c>
      <c r="AH77">
        <v>7.1</v>
      </c>
      <c r="AK77">
        <v>0.8</v>
      </c>
      <c r="AL77" t="s">
        <v>82</v>
      </c>
      <c r="AM77">
        <v>0.8</v>
      </c>
      <c r="AN77" t="s">
        <v>82</v>
      </c>
      <c r="AU77">
        <v>1.333333333333333</v>
      </c>
      <c r="AV77" t="s">
        <v>115</v>
      </c>
      <c r="BA77">
        <v>7.1</v>
      </c>
    </row>
    <row r="78" spans="1:53" x14ac:dyDescent="0.3">
      <c r="A78" t="s">
        <v>206</v>
      </c>
      <c r="C78" t="s">
        <v>1490</v>
      </c>
      <c r="D78" t="s">
        <v>81</v>
      </c>
      <c r="E78">
        <v>1000000</v>
      </c>
      <c r="H78">
        <v>6</v>
      </c>
      <c r="I78" t="s">
        <v>56</v>
      </c>
      <c r="J78">
        <v>6.0000000000000006E-4</v>
      </c>
      <c r="K78" t="s">
        <v>57</v>
      </c>
      <c r="O78">
        <v>0.5</v>
      </c>
      <c r="P78" t="s">
        <v>59</v>
      </c>
      <c r="S78">
        <v>2</v>
      </c>
      <c r="T78">
        <v>22</v>
      </c>
      <c r="V78">
        <v>50</v>
      </c>
      <c r="W78" t="s">
        <v>208</v>
      </c>
      <c r="X78" t="s">
        <v>114</v>
      </c>
      <c r="Y78">
        <v>30</v>
      </c>
      <c r="AB78">
        <v>6.9444826721501602</v>
      </c>
      <c r="AC78" t="s">
        <v>210</v>
      </c>
      <c r="AH78">
        <v>7.1</v>
      </c>
      <c r="AK78">
        <v>0.8</v>
      </c>
      <c r="AL78" t="s">
        <v>82</v>
      </c>
      <c r="AM78">
        <v>0.8</v>
      </c>
      <c r="AN78" t="s">
        <v>82</v>
      </c>
      <c r="AU78">
        <v>1.333333333333333</v>
      </c>
      <c r="AV78" t="s">
        <v>115</v>
      </c>
      <c r="BA78">
        <v>7.1</v>
      </c>
    </row>
    <row r="79" spans="1:53" x14ac:dyDescent="0.3">
      <c r="A79" t="s">
        <v>206</v>
      </c>
      <c r="C79" t="s">
        <v>1490</v>
      </c>
      <c r="D79" t="s">
        <v>81</v>
      </c>
      <c r="E79">
        <v>1000000</v>
      </c>
      <c r="H79">
        <v>6</v>
      </c>
      <c r="I79" t="s">
        <v>56</v>
      </c>
      <c r="J79">
        <v>6.0000000000000006E-4</v>
      </c>
      <c r="K79" t="s">
        <v>57</v>
      </c>
      <c r="O79">
        <v>0.5</v>
      </c>
      <c r="P79" t="s">
        <v>59</v>
      </c>
      <c r="S79">
        <v>2</v>
      </c>
      <c r="T79">
        <v>22</v>
      </c>
      <c r="V79">
        <v>50</v>
      </c>
      <c r="W79" t="s">
        <v>208</v>
      </c>
      <c r="X79" t="s">
        <v>114</v>
      </c>
      <c r="Y79">
        <v>60</v>
      </c>
      <c r="AB79">
        <v>6.5797835966168101</v>
      </c>
      <c r="AC79" t="s">
        <v>210</v>
      </c>
      <c r="AH79">
        <v>7.1</v>
      </c>
      <c r="AK79">
        <v>0.8</v>
      </c>
      <c r="AL79" t="s">
        <v>82</v>
      </c>
      <c r="AM79">
        <v>0.8</v>
      </c>
      <c r="AN79" t="s">
        <v>82</v>
      </c>
      <c r="AU79">
        <v>1.333333333333333</v>
      </c>
      <c r="AV79" t="s">
        <v>115</v>
      </c>
      <c r="BA79">
        <v>7.1</v>
      </c>
    </row>
    <row r="80" spans="1:53" x14ac:dyDescent="0.3">
      <c r="A80" t="s">
        <v>206</v>
      </c>
      <c r="C80" t="s">
        <v>1490</v>
      </c>
      <c r="D80" t="s">
        <v>81</v>
      </c>
      <c r="E80">
        <v>1000000</v>
      </c>
      <c r="H80">
        <v>6</v>
      </c>
      <c r="I80" t="s">
        <v>56</v>
      </c>
      <c r="J80">
        <v>6.0000000000000006E-4</v>
      </c>
      <c r="K80" t="s">
        <v>57</v>
      </c>
      <c r="O80">
        <v>0.1</v>
      </c>
      <c r="P80" t="s">
        <v>59</v>
      </c>
      <c r="S80">
        <v>2</v>
      </c>
      <c r="T80">
        <v>22</v>
      </c>
      <c r="V80">
        <v>50</v>
      </c>
      <c r="W80" t="s">
        <v>211</v>
      </c>
      <c r="X80" t="s">
        <v>114</v>
      </c>
      <c r="Y80">
        <v>0</v>
      </c>
      <c r="AB80">
        <v>6.1760912590556796</v>
      </c>
      <c r="AC80" t="s">
        <v>210</v>
      </c>
      <c r="AH80">
        <v>6.2</v>
      </c>
      <c r="AK80">
        <v>0.8</v>
      </c>
      <c r="AL80" t="s">
        <v>82</v>
      </c>
      <c r="AM80">
        <v>0.8</v>
      </c>
      <c r="AN80" t="s">
        <v>82</v>
      </c>
      <c r="AT80" t="s">
        <v>212</v>
      </c>
      <c r="AU80">
        <v>1.333333333333333</v>
      </c>
      <c r="AV80" t="s">
        <v>115</v>
      </c>
      <c r="BA80">
        <v>6.2</v>
      </c>
    </row>
    <row r="81" spans="1:53" x14ac:dyDescent="0.3">
      <c r="A81" t="s">
        <v>206</v>
      </c>
      <c r="C81" t="s">
        <v>1490</v>
      </c>
      <c r="D81" t="s">
        <v>81</v>
      </c>
      <c r="E81">
        <v>1000000</v>
      </c>
      <c r="H81">
        <v>6</v>
      </c>
      <c r="I81" t="s">
        <v>56</v>
      </c>
      <c r="J81">
        <v>6.0000000000000006E-4</v>
      </c>
      <c r="K81" t="s">
        <v>57</v>
      </c>
      <c r="O81">
        <v>0.1</v>
      </c>
      <c r="P81" t="s">
        <v>59</v>
      </c>
      <c r="S81">
        <v>2</v>
      </c>
      <c r="T81">
        <v>22</v>
      </c>
      <c r="V81">
        <v>50</v>
      </c>
      <c r="W81" t="s">
        <v>211</v>
      </c>
      <c r="X81" t="s">
        <v>114</v>
      </c>
      <c r="Y81">
        <v>10</v>
      </c>
      <c r="AB81">
        <v>6.53147891704225</v>
      </c>
      <c r="AC81" t="s">
        <v>210</v>
      </c>
      <c r="AH81">
        <v>6.2</v>
      </c>
      <c r="AK81">
        <v>0.8</v>
      </c>
      <c r="AL81" t="s">
        <v>82</v>
      </c>
      <c r="AM81">
        <v>0.8</v>
      </c>
      <c r="AN81" t="s">
        <v>82</v>
      </c>
      <c r="AT81" t="s">
        <v>212</v>
      </c>
      <c r="AU81">
        <v>1.333333333333333</v>
      </c>
      <c r="AV81" t="s">
        <v>115</v>
      </c>
      <c r="BA81">
        <v>6.2</v>
      </c>
    </row>
    <row r="82" spans="1:53" x14ac:dyDescent="0.3">
      <c r="A82" t="s">
        <v>206</v>
      </c>
      <c r="C82" t="s">
        <v>1490</v>
      </c>
      <c r="D82" t="s">
        <v>81</v>
      </c>
      <c r="E82">
        <v>1000000</v>
      </c>
      <c r="H82">
        <v>6</v>
      </c>
      <c r="I82" t="s">
        <v>56</v>
      </c>
      <c r="J82">
        <v>6.0000000000000006E-4</v>
      </c>
      <c r="K82" t="s">
        <v>57</v>
      </c>
      <c r="O82">
        <v>0.1</v>
      </c>
      <c r="P82" t="s">
        <v>59</v>
      </c>
      <c r="S82">
        <v>2</v>
      </c>
      <c r="T82">
        <v>22</v>
      </c>
      <c r="V82">
        <v>50</v>
      </c>
      <c r="W82" t="s">
        <v>211</v>
      </c>
      <c r="X82" t="s">
        <v>114</v>
      </c>
      <c r="Y82">
        <v>20</v>
      </c>
      <c r="AB82">
        <v>6.3424226808222004</v>
      </c>
      <c r="AC82" t="s">
        <v>210</v>
      </c>
      <c r="AH82">
        <v>6.2</v>
      </c>
      <c r="AK82">
        <v>0.8</v>
      </c>
      <c r="AL82" t="s">
        <v>82</v>
      </c>
      <c r="AM82">
        <v>0.8</v>
      </c>
      <c r="AN82" t="s">
        <v>82</v>
      </c>
      <c r="AT82" t="s">
        <v>212</v>
      </c>
      <c r="AU82">
        <v>1.333333333333333</v>
      </c>
      <c r="AV82" t="s">
        <v>115</v>
      </c>
      <c r="BA82">
        <v>6.2</v>
      </c>
    </row>
    <row r="83" spans="1:53" x14ac:dyDescent="0.3">
      <c r="A83" t="s">
        <v>206</v>
      </c>
      <c r="C83" t="s">
        <v>1490</v>
      </c>
      <c r="D83" t="s">
        <v>81</v>
      </c>
      <c r="E83">
        <v>1000000</v>
      </c>
      <c r="H83">
        <v>6</v>
      </c>
      <c r="I83" t="s">
        <v>56</v>
      </c>
      <c r="J83">
        <v>6.0000000000000006E-4</v>
      </c>
      <c r="K83" t="s">
        <v>57</v>
      </c>
      <c r="O83">
        <v>0.1</v>
      </c>
      <c r="P83" t="s">
        <v>59</v>
      </c>
      <c r="S83">
        <v>2</v>
      </c>
      <c r="T83">
        <v>22</v>
      </c>
      <c r="V83">
        <v>50</v>
      </c>
      <c r="W83" t="s">
        <v>211</v>
      </c>
      <c r="X83" t="s">
        <v>114</v>
      </c>
      <c r="Y83">
        <v>30</v>
      </c>
      <c r="AB83">
        <v>6.3222192947339098</v>
      </c>
      <c r="AC83" t="s">
        <v>210</v>
      </c>
      <c r="AH83">
        <v>6.2</v>
      </c>
      <c r="AK83">
        <v>0.8</v>
      </c>
      <c r="AL83" t="s">
        <v>82</v>
      </c>
      <c r="AM83">
        <v>0.8</v>
      </c>
      <c r="AN83" t="s">
        <v>82</v>
      </c>
      <c r="AT83" t="s">
        <v>212</v>
      </c>
      <c r="AU83">
        <v>1.333333333333333</v>
      </c>
      <c r="AV83" t="s">
        <v>115</v>
      </c>
      <c r="BA83">
        <v>6.2</v>
      </c>
    </row>
    <row r="84" spans="1:53" x14ac:dyDescent="0.3">
      <c r="A84" t="s">
        <v>206</v>
      </c>
      <c r="C84" t="s">
        <v>1490</v>
      </c>
      <c r="D84" t="s">
        <v>81</v>
      </c>
      <c r="E84">
        <v>1000000</v>
      </c>
      <c r="H84">
        <v>6</v>
      </c>
      <c r="I84" t="s">
        <v>56</v>
      </c>
      <c r="J84">
        <v>6.0000000000000006E-4</v>
      </c>
      <c r="K84" t="s">
        <v>57</v>
      </c>
      <c r="O84">
        <v>0.1</v>
      </c>
      <c r="P84" t="s">
        <v>59</v>
      </c>
      <c r="S84">
        <v>2</v>
      </c>
      <c r="T84">
        <v>22</v>
      </c>
      <c r="V84">
        <v>50</v>
      </c>
      <c r="W84" t="s">
        <v>211</v>
      </c>
      <c r="X84" t="s">
        <v>114</v>
      </c>
      <c r="Y84">
        <v>60</v>
      </c>
      <c r="AB84">
        <v>6.04139268515822</v>
      </c>
      <c r="AC84" t="s">
        <v>210</v>
      </c>
      <c r="AH84">
        <v>6.2</v>
      </c>
      <c r="AK84">
        <v>0.8</v>
      </c>
      <c r="AL84" t="s">
        <v>82</v>
      </c>
      <c r="AM84">
        <v>0.8</v>
      </c>
      <c r="AN84" t="s">
        <v>82</v>
      </c>
      <c r="AT84" t="s">
        <v>212</v>
      </c>
      <c r="AU84">
        <v>1.333333333333333</v>
      </c>
      <c r="AV84" t="s">
        <v>115</v>
      </c>
      <c r="BA84">
        <v>6.2</v>
      </c>
    </row>
    <row r="85" spans="1:53" x14ac:dyDescent="0.3">
      <c r="A85" t="s">
        <v>206</v>
      </c>
      <c r="C85" t="s">
        <v>1490</v>
      </c>
      <c r="D85" t="s">
        <v>81</v>
      </c>
      <c r="E85">
        <v>1000000</v>
      </c>
      <c r="H85">
        <v>6</v>
      </c>
      <c r="I85" t="s">
        <v>56</v>
      </c>
      <c r="J85">
        <v>6.0000000000000006E-4</v>
      </c>
      <c r="K85" t="s">
        <v>57</v>
      </c>
      <c r="O85">
        <v>0.1</v>
      </c>
      <c r="P85" t="s">
        <v>59</v>
      </c>
      <c r="S85">
        <v>2</v>
      </c>
      <c r="T85">
        <v>22</v>
      </c>
      <c r="V85">
        <v>50</v>
      </c>
      <c r="W85" t="s">
        <v>211</v>
      </c>
      <c r="X85" t="s">
        <v>114</v>
      </c>
      <c r="Y85">
        <v>0</v>
      </c>
      <c r="AB85">
        <v>6.3424226808222004</v>
      </c>
      <c r="AC85" t="s">
        <v>210</v>
      </c>
      <c r="AH85">
        <v>6.3</v>
      </c>
      <c r="AK85">
        <v>0.8</v>
      </c>
      <c r="AL85" t="s">
        <v>82</v>
      </c>
      <c r="AM85">
        <v>0.8</v>
      </c>
      <c r="AN85" t="s">
        <v>82</v>
      </c>
      <c r="AT85" t="s">
        <v>212</v>
      </c>
      <c r="AU85">
        <v>1.333333333333333</v>
      </c>
      <c r="AV85" t="s">
        <v>115</v>
      </c>
      <c r="BA85">
        <v>6.3</v>
      </c>
    </row>
    <row r="86" spans="1:53" x14ac:dyDescent="0.3">
      <c r="A86" t="s">
        <v>206</v>
      </c>
      <c r="C86" t="s">
        <v>1490</v>
      </c>
      <c r="D86" t="s">
        <v>81</v>
      </c>
      <c r="E86">
        <v>1000000</v>
      </c>
      <c r="H86">
        <v>6</v>
      </c>
      <c r="I86" t="s">
        <v>56</v>
      </c>
      <c r="J86">
        <v>6.0000000000000006E-4</v>
      </c>
      <c r="K86" t="s">
        <v>57</v>
      </c>
      <c r="O86">
        <v>0.1</v>
      </c>
      <c r="P86" t="s">
        <v>59</v>
      </c>
      <c r="S86">
        <v>2</v>
      </c>
      <c r="T86">
        <v>22</v>
      </c>
      <c r="V86">
        <v>50</v>
      </c>
      <c r="W86" t="s">
        <v>211</v>
      </c>
      <c r="X86" t="s">
        <v>114</v>
      </c>
      <c r="Y86">
        <v>10</v>
      </c>
      <c r="AB86">
        <v>6.2041199826559197</v>
      </c>
      <c r="AC86" t="s">
        <v>210</v>
      </c>
      <c r="AH86">
        <v>6.3</v>
      </c>
      <c r="AK86">
        <v>0.8</v>
      </c>
      <c r="AL86" t="s">
        <v>82</v>
      </c>
      <c r="AM86">
        <v>0.8</v>
      </c>
      <c r="AN86" t="s">
        <v>82</v>
      </c>
      <c r="AT86" t="s">
        <v>212</v>
      </c>
      <c r="AU86">
        <v>1.333333333333333</v>
      </c>
      <c r="AV86" t="s">
        <v>115</v>
      </c>
      <c r="BA86">
        <v>6.3</v>
      </c>
    </row>
    <row r="87" spans="1:53" x14ac:dyDescent="0.3">
      <c r="A87" t="s">
        <v>206</v>
      </c>
      <c r="C87" t="s">
        <v>1490</v>
      </c>
      <c r="D87" t="s">
        <v>81</v>
      </c>
      <c r="E87">
        <v>1000000</v>
      </c>
      <c r="H87">
        <v>6</v>
      </c>
      <c r="I87" t="s">
        <v>56</v>
      </c>
      <c r="J87">
        <v>6.0000000000000006E-4</v>
      </c>
      <c r="K87" t="s">
        <v>57</v>
      </c>
      <c r="O87">
        <v>0.1</v>
      </c>
      <c r="P87" t="s">
        <v>59</v>
      </c>
      <c r="S87">
        <v>2</v>
      </c>
      <c r="T87">
        <v>22</v>
      </c>
      <c r="V87">
        <v>50</v>
      </c>
      <c r="W87" t="s">
        <v>211</v>
      </c>
      <c r="X87" t="s">
        <v>114</v>
      </c>
      <c r="Y87">
        <v>20</v>
      </c>
      <c r="AB87">
        <v>6.1760912590556796</v>
      </c>
      <c r="AC87" t="s">
        <v>210</v>
      </c>
      <c r="AH87">
        <v>6.3</v>
      </c>
      <c r="AK87">
        <v>0.8</v>
      </c>
      <c r="AL87" t="s">
        <v>82</v>
      </c>
      <c r="AM87">
        <v>0.8</v>
      </c>
      <c r="AN87" t="s">
        <v>82</v>
      </c>
      <c r="AT87" t="s">
        <v>212</v>
      </c>
      <c r="AU87">
        <v>1.333333333333333</v>
      </c>
      <c r="AV87" t="s">
        <v>115</v>
      </c>
      <c r="BA87">
        <v>6.3</v>
      </c>
    </row>
    <row r="88" spans="1:53" x14ac:dyDescent="0.3">
      <c r="A88" t="s">
        <v>206</v>
      </c>
      <c r="C88" t="s">
        <v>1490</v>
      </c>
      <c r="D88" t="s">
        <v>81</v>
      </c>
      <c r="E88">
        <v>1000000</v>
      </c>
      <c r="H88">
        <v>6</v>
      </c>
      <c r="I88" t="s">
        <v>56</v>
      </c>
      <c r="J88">
        <v>6.0000000000000006E-4</v>
      </c>
      <c r="K88" t="s">
        <v>57</v>
      </c>
      <c r="O88">
        <v>0.1</v>
      </c>
      <c r="P88" t="s">
        <v>59</v>
      </c>
      <c r="S88">
        <v>2</v>
      </c>
      <c r="T88">
        <v>22</v>
      </c>
      <c r="V88">
        <v>50</v>
      </c>
      <c r="W88" t="s">
        <v>211</v>
      </c>
      <c r="X88" t="s">
        <v>114</v>
      </c>
      <c r="Y88">
        <v>30</v>
      </c>
      <c r="AB88">
        <v>6.1760912590556796</v>
      </c>
      <c r="AC88" t="s">
        <v>210</v>
      </c>
      <c r="AH88">
        <v>6.3</v>
      </c>
      <c r="AK88">
        <v>0.8</v>
      </c>
      <c r="AL88" t="s">
        <v>82</v>
      </c>
      <c r="AM88">
        <v>0.8</v>
      </c>
      <c r="AN88" t="s">
        <v>82</v>
      </c>
      <c r="AT88" t="s">
        <v>212</v>
      </c>
      <c r="AU88">
        <v>1.333333333333333</v>
      </c>
      <c r="AV88" t="s">
        <v>115</v>
      </c>
      <c r="BA88">
        <v>6.3</v>
      </c>
    </row>
    <row r="89" spans="1:53" x14ac:dyDescent="0.3">
      <c r="A89" t="s">
        <v>206</v>
      </c>
      <c r="C89" t="s">
        <v>1490</v>
      </c>
      <c r="D89" t="s">
        <v>81</v>
      </c>
      <c r="E89">
        <v>100000000</v>
      </c>
      <c r="H89">
        <v>6</v>
      </c>
      <c r="I89" t="s">
        <v>56</v>
      </c>
      <c r="J89">
        <v>6.0000000000000006E-4</v>
      </c>
      <c r="K89" t="s">
        <v>57</v>
      </c>
      <c r="O89">
        <v>0.1</v>
      </c>
      <c r="P89" t="s">
        <v>59</v>
      </c>
      <c r="S89">
        <v>2</v>
      </c>
      <c r="T89">
        <v>22</v>
      </c>
      <c r="V89">
        <v>50</v>
      </c>
      <c r="W89" t="s">
        <v>211</v>
      </c>
      <c r="X89" t="s">
        <v>114</v>
      </c>
      <c r="Y89">
        <v>60</v>
      </c>
      <c r="AB89">
        <v>5.8129133566428504</v>
      </c>
      <c r="AC89" t="s">
        <v>210</v>
      </c>
      <c r="AH89">
        <v>6.3</v>
      </c>
      <c r="AK89">
        <v>0.8</v>
      </c>
      <c r="AL89" t="s">
        <v>82</v>
      </c>
      <c r="AM89">
        <v>0.8</v>
      </c>
      <c r="AN89" t="s">
        <v>82</v>
      </c>
      <c r="AT89" t="s">
        <v>212</v>
      </c>
      <c r="AU89">
        <v>1.333333333333333</v>
      </c>
      <c r="AV89" t="s">
        <v>115</v>
      </c>
      <c r="BA89">
        <v>6.3</v>
      </c>
    </row>
    <row r="90" spans="1:53" x14ac:dyDescent="0.3">
      <c r="A90" t="s">
        <v>206</v>
      </c>
      <c r="C90" t="s">
        <v>1490</v>
      </c>
      <c r="D90" t="s">
        <v>81</v>
      </c>
      <c r="E90">
        <v>100000000</v>
      </c>
      <c r="H90">
        <v>6</v>
      </c>
      <c r="I90" t="s">
        <v>56</v>
      </c>
      <c r="J90">
        <v>6.0000000000000006E-4</v>
      </c>
      <c r="K90" t="s">
        <v>57</v>
      </c>
      <c r="O90">
        <v>0.5</v>
      </c>
      <c r="P90" t="s">
        <v>59</v>
      </c>
      <c r="S90">
        <v>2</v>
      </c>
      <c r="T90">
        <v>22</v>
      </c>
      <c r="V90">
        <v>50</v>
      </c>
      <c r="W90" t="s">
        <v>211</v>
      </c>
      <c r="X90" t="s">
        <v>114</v>
      </c>
      <c r="Y90">
        <v>0</v>
      </c>
      <c r="AB90">
        <v>6.2304489213782697</v>
      </c>
      <c r="AC90" t="s">
        <v>210</v>
      </c>
      <c r="AH90">
        <v>6.2</v>
      </c>
      <c r="AK90">
        <v>0.8</v>
      </c>
      <c r="AL90" t="s">
        <v>82</v>
      </c>
      <c r="AM90">
        <v>0.8</v>
      </c>
      <c r="AN90" t="s">
        <v>82</v>
      </c>
      <c r="AT90" t="s">
        <v>212</v>
      </c>
      <c r="AU90">
        <v>1.333333333333333</v>
      </c>
      <c r="AV90" t="s">
        <v>115</v>
      </c>
      <c r="BA90">
        <v>6.2</v>
      </c>
    </row>
    <row r="91" spans="1:53" x14ac:dyDescent="0.3">
      <c r="A91" t="s">
        <v>206</v>
      </c>
      <c r="C91" t="s">
        <v>1490</v>
      </c>
      <c r="D91" t="s">
        <v>81</v>
      </c>
      <c r="E91">
        <v>100000000</v>
      </c>
      <c r="H91">
        <v>6</v>
      </c>
      <c r="I91" t="s">
        <v>56</v>
      </c>
      <c r="J91">
        <v>6.0000000000000006E-4</v>
      </c>
      <c r="K91" t="s">
        <v>57</v>
      </c>
      <c r="O91">
        <v>0.5</v>
      </c>
      <c r="P91" t="s">
        <v>59</v>
      </c>
      <c r="S91">
        <v>2</v>
      </c>
      <c r="T91">
        <v>22</v>
      </c>
      <c r="V91">
        <v>50</v>
      </c>
      <c r="W91" t="s">
        <v>211</v>
      </c>
      <c r="X91" t="s">
        <v>114</v>
      </c>
      <c r="Y91">
        <v>10</v>
      </c>
      <c r="AB91">
        <v>6.1461280356782302</v>
      </c>
      <c r="AC91" t="s">
        <v>210</v>
      </c>
      <c r="AH91">
        <v>6.2</v>
      </c>
      <c r="AK91">
        <v>0.8</v>
      </c>
      <c r="AL91" t="s">
        <v>82</v>
      </c>
      <c r="AM91">
        <v>0.8</v>
      </c>
      <c r="AN91" t="s">
        <v>82</v>
      </c>
      <c r="AT91" t="s">
        <v>212</v>
      </c>
      <c r="AU91">
        <v>1.333333333333333</v>
      </c>
      <c r="AV91" t="s">
        <v>115</v>
      </c>
      <c r="BA91">
        <v>6.2</v>
      </c>
    </row>
    <row r="92" spans="1:53" x14ac:dyDescent="0.3">
      <c r="A92" t="s">
        <v>206</v>
      </c>
      <c r="C92" t="s">
        <v>1490</v>
      </c>
      <c r="D92" t="s">
        <v>81</v>
      </c>
      <c r="E92">
        <v>100000000</v>
      </c>
      <c r="H92">
        <v>6</v>
      </c>
      <c r="I92" t="s">
        <v>56</v>
      </c>
      <c r="J92">
        <v>6.0000000000000006E-4</v>
      </c>
      <c r="K92" t="s">
        <v>57</v>
      </c>
      <c r="O92">
        <v>0.5</v>
      </c>
      <c r="P92" t="s">
        <v>59</v>
      </c>
      <c r="S92">
        <v>2</v>
      </c>
      <c r="T92">
        <v>22</v>
      </c>
      <c r="V92">
        <v>50</v>
      </c>
      <c r="W92" t="s">
        <v>211</v>
      </c>
      <c r="X92" t="s">
        <v>114</v>
      </c>
      <c r="Y92">
        <v>20</v>
      </c>
      <c r="AB92">
        <v>6.0791812460476198</v>
      </c>
      <c r="AC92" t="s">
        <v>210</v>
      </c>
      <c r="AH92">
        <v>6.2</v>
      </c>
      <c r="AK92">
        <v>0.8</v>
      </c>
      <c r="AL92" t="s">
        <v>82</v>
      </c>
      <c r="AM92">
        <v>0.8</v>
      </c>
      <c r="AN92" t="s">
        <v>82</v>
      </c>
      <c r="AT92" t="s">
        <v>212</v>
      </c>
      <c r="AU92">
        <v>1.333333333333333</v>
      </c>
      <c r="AV92" t="s">
        <v>115</v>
      </c>
      <c r="BA92">
        <v>6.2</v>
      </c>
    </row>
    <row r="93" spans="1:53" x14ac:dyDescent="0.3">
      <c r="A93" t="s">
        <v>206</v>
      </c>
      <c r="C93" t="s">
        <v>1490</v>
      </c>
      <c r="D93" t="s">
        <v>81</v>
      </c>
      <c r="E93">
        <v>100000000</v>
      </c>
      <c r="H93">
        <v>6</v>
      </c>
      <c r="I93" t="s">
        <v>56</v>
      </c>
      <c r="J93">
        <v>6.0000000000000006E-4</v>
      </c>
      <c r="K93" t="s">
        <v>57</v>
      </c>
      <c r="O93">
        <v>0.5</v>
      </c>
      <c r="P93" t="s">
        <v>59</v>
      </c>
      <c r="S93">
        <v>2</v>
      </c>
      <c r="T93">
        <v>22</v>
      </c>
      <c r="V93">
        <v>50</v>
      </c>
      <c r="W93" t="s">
        <v>211</v>
      </c>
      <c r="X93" t="s">
        <v>114</v>
      </c>
      <c r="Y93">
        <v>30</v>
      </c>
      <c r="AB93">
        <v>5.9242792860618803</v>
      </c>
      <c r="AC93" t="s">
        <v>210</v>
      </c>
      <c r="AH93">
        <v>6.2</v>
      </c>
      <c r="AK93">
        <v>0.8</v>
      </c>
      <c r="AL93" t="s">
        <v>82</v>
      </c>
      <c r="AM93">
        <v>0.8</v>
      </c>
      <c r="AN93" t="s">
        <v>82</v>
      </c>
      <c r="AT93" t="s">
        <v>212</v>
      </c>
      <c r="AU93">
        <v>1.333333333333333</v>
      </c>
      <c r="AV93" t="s">
        <v>115</v>
      </c>
      <c r="BA93">
        <v>6.2</v>
      </c>
    </row>
    <row r="94" spans="1:53" x14ac:dyDescent="0.3">
      <c r="A94" t="s">
        <v>206</v>
      </c>
      <c r="C94" t="s">
        <v>1490</v>
      </c>
      <c r="D94" t="s">
        <v>81</v>
      </c>
      <c r="E94">
        <v>100000000</v>
      </c>
      <c r="H94">
        <v>6</v>
      </c>
      <c r="I94" t="s">
        <v>56</v>
      </c>
      <c r="J94">
        <v>6.0000000000000006E-4</v>
      </c>
      <c r="K94" t="s">
        <v>57</v>
      </c>
      <c r="O94">
        <v>0.5</v>
      </c>
      <c r="P94" t="s">
        <v>59</v>
      </c>
      <c r="S94">
        <v>2</v>
      </c>
      <c r="T94">
        <v>22</v>
      </c>
      <c r="V94">
        <v>50</v>
      </c>
      <c r="W94" t="s">
        <v>211</v>
      </c>
      <c r="X94" t="s">
        <v>114</v>
      </c>
      <c r="Y94">
        <v>60</v>
      </c>
      <c r="AB94">
        <v>6.1461280356782302</v>
      </c>
      <c r="AC94" t="s">
        <v>210</v>
      </c>
      <c r="AH94">
        <v>6.2</v>
      </c>
      <c r="AK94">
        <v>0.8</v>
      </c>
      <c r="AL94" t="s">
        <v>82</v>
      </c>
      <c r="AM94">
        <v>0.8</v>
      </c>
      <c r="AN94" t="s">
        <v>82</v>
      </c>
      <c r="AT94" t="s">
        <v>212</v>
      </c>
      <c r="AU94">
        <v>1.333333333333333</v>
      </c>
      <c r="AV94" t="s">
        <v>115</v>
      </c>
      <c r="BA94">
        <v>6.2</v>
      </c>
    </row>
    <row r="95" spans="1:53" x14ac:dyDescent="0.3">
      <c r="A95" t="s">
        <v>206</v>
      </c>
      <c r="C95" t="s">
        <v>1490</v>
      </c>
      <c r="D95" t="s">
        <v>81</v>
      </c>
      <c r="E95">
        <v>100000000</v>
      </c>
      <c r="H95">
        <v>6</v>
      </c>
      <c r="I95" t="s">
        <v>56</v>
      </c>
      <c r="J95">
        <v>6.0000000000000006E-4</v>
      </c>
      <c r="K95" t="s">
        <v>57</v>
      </c>
      <c r="O95">
        <v>0.5</v>
      </c>
      <c r="P95" t="s">
        <v>59</v>
      </c>
      <c r="S95">
        <v>2</v>
      </c>
      <c r="T95">
        <v>22</v>
      </c>
      <c r="V95">
        <v>50</v>
      </c>
      <c r="W95" t="s">
        <v>211</v>
      </c>
      <c r="X95" t="s">
        <v>114</v>
      </c>
      <c r="Y95">
        <v>0</v>
      </c>
      <c r="AB95">
        <v>6.3979400086720304</v>
      </c>
      <c r="AC95" t="s">
        <v>210</v>
      </c>
      <c r="AH95">
        <v>6.4</v>
      </c>
      <c r="AK95">
        <v>0.8</v>
      </c>
      <c r="AL95" t="s">
        <v>82</v>
      </c>
      <c r="AM95">
        <v>0.8</v>
      </c>
      <c r="AN95" t="s">
        <v>82</v>
      </c>
      <c r="AT95" t="s">
        <v>212</v>
      </c>
      <c r="AU95">
        <v>1.333333333333333</v>
      </c>
      <c r="AV95" t="s">
        <v>115</v>
      </c>
      <c r="BA95">
        <v>6.4</v>
      </c>
    </row>
    <row r="96" spans="1:53" x14ac:dyDescent="0.3">
      <c r="A96" t="s">
        <v>206</v>
      </c>
      <c r="C96" t="s">
        <v>1490</v>
      </c>
      <c r="D96" t="s">
        <v>81</v>
      </c>
      <c r="E96">
        <v>100000000</v>
      </c>
      <c r="H96">
        <v>6</v>
      </c>
      <c r="I96" t="s">
        <v>56</v>
      </c>
      <c r="J96">
        <v>6.0000000000000006E-4</v>
      </c>
      <c r="K96" t="s">
        <v>57</v>
      </c>
      <c r="O96">
        <v>0.5</v>
      </c>
      <c r="P96" t="s">
        <v>59</v>
      </c>
      <c r="S96">
        <v>2</v>
      </c>
      <c r="T96">
        <v>22</v>
      </c>
      <c r="V96">
        <v>50</v>
      </c>
      <c r="W96" t="s">
        <v>211</v>
      </c>
      <c r="X96" t="s">
        <v>114</v>
      </c>
      <c r="Y96">
        <v>10</v>
      </c>
      <c r="AB96">
        <v>5.4771212547196599</v>
      </c>
      <c r="AC96" t="s">
        <v>210</v>
      </c>
      <c r="AH96">
        <v>6.4</v>
      </c>
      <c r="AK96">
        <v>0.8</v>
      </c>
      <c r="AL96" t="s">
        <v>82</v>
      </c>
      <c r="AM96">
        <v>0.8</v>
      </c>
      <c r="AN96" t="s">
        <v>82</v>
      </c>
      <c r="AT96" t="s">
        <v>212</v>
      </c>
      <c r="AU96">
        <v>1.333333333333333</v>
      </c>
      <c r="AV96" t="s">
        <v>115</v>
      </c>
      <c r="BA96">
        <v>6.4</v>
      </c>
    </row>
    <row r="97" spans="1:53" x14ac:dyDescent="0.3">
      <c r="A97" t="s">
        <v>206</v>
      </c>
      <c r="C97" t="s">
        <v>1490</v>
      </c>
      <c r="D97" t="s">
        <v>81</v>
      </c>
      <c r="E97">
        <v>100000000</v>
      </c>
      <c r="H97">
        <v>6</v>
      </c>
      <c r="I97" t="s">
        <v>56</v>
      </c>
      <c r="J97">
        <v>6.0000000000000006E-4</v>
      </c>
      <c r="K97" t="s">
        <v>57</v>
      </c>
      <c r="O97">
        <v>0.5</v>
      </c>
      <c r="P97" t="s">
        <v>59</v>
      </c>
      <c r="S97">
        <v>2</v>
      </c>
      <c r="T97">
        <v>22</v>
      </c>
      <c r="V97">
        <v>50</v>
      </c>
      <c r="W97" t="s">
        <v>211</v>
      </c>
      <c r="X97" t="s">
        <v>114</v>
      </c>
      <c r="Y97">
        <v>20</v>
      </c>
      <c r="AB97">
        <v>5.3010299956639804</v>
      </c>
      <c r="AC97" t="s">
        <v>210</v>
      </c>
      <c r="AH97">
        <v>6.4</v>
      </c>
      <c r="AK97">
        <v>0.8</v>
      </c>
      <c r="AL97" t="s">
        <v>82</v>
      </c>
      <c r="AM97">
        <v>0.8</v>
      </c>
      <c r="AN97" t="s">
        <v>82</v>
      </c>
      <c r="AT97" t="s">
        <v>212</v>
      </c>
      <c r="AU97">
        <v>1.333333333333333</v>
      </c>
      <c r="AV97" t="s">
        <v>115</v>
      </c>
      <c r="BA97">
        <v>6.4</v>
      </c>
    </row>
    <row r="98" spans="1:53" x14ac:dyDescent="0.3">
      <c r="A98" t="s">
        <v>206</v>
      </c>
      <c r="C98" t="s">
        <v>1490</v>
      </c>
      <c r="D98" t="s">
        <v>81</v>
      </c>
      <c r="E98">
        <v>100000000</v>
      </c>
      <c r="H98">
        <v>6</v>
      </c>
      <c r="I98" t="s">
        <v>56</v>
      </c>
      <c r="J98">
        <v>6.0000000000000006E-4</v>
      </c>
      <c r="K98" t="s">
        <v>57</v>
      </c>
      <c r="O98">
        <v>0.5</v>
      </c>
      <c r="P98" t="s">
        <v>59</v>
      </c>
      <c r="S98">
        <v>2</v>
      </c>
      <c r="T98">
        <v>22</v>
      </c>
      <c r="V98">
        <v>50</v>
      </c>
      <c r="W98" t="s">
        <v>211</v>
      </c>
      <c r="X98" t="s">
        <v>114</v>
      </c>
      <c r="Y98">
        <v>30</v>
      </c>
      <c r="AB98">
        <v>5.4771212547196599</v>
      </c>
      <c r="AC98" t="s">
        <v>210</v>
      </c>
      <c r="AH98">
        <v>6.4</v>
      </c>
      <c r="AK98">
        <v>0.8</v>
      </c>
      <c r="AL98" t="s">
        <v>82</v>
      </c>
      <c r="AM98">
        <v>0.8</v>
      </c>
      <c r="AN98" t="s">
        <v>82</v>
      </c>
      <c r="AT98" t="s">
        <v>212</v>
      </c>
      <c r="AU98">
        <v>1.333333333333333</v>
      </c>
      <c r="AV98" t="s">
        <v>115</v>
      </c>
      <c r="BA98">
        <v>6.4</v>
      </c>
    </row>
    <row r="99" spans="1:53" x14ac:dyDescent="0.3">
      <c r="A99" t="s">
        <v>206</v>
      </c>
      <c r="C99" t="s">
        <v>1490</v>
      </c>
      <c r="D99" t="s">
        <v>81</v>
      </c>
      <c r="E99">
        <v>1000000</v>
      </c>
      <c r="H99">
        <v>6</v>
      </c>
      <c r="I99" t="s">
        <v>56</v>
      </c>
      <c r="J99">
        <v>6.0000000000000006E-4</v>
      </c>
      <c r="K99" t="s">
        <v>57</v>
      </c>
      <c r="O99">
        <v>0.5</v>
      </c>
      <c r="P99" t="s">
        <v>59</v>
      </c>
      <c r="S99">
        <v>2</v>
      </c>
      <c r="T99">
        <v>22</v>
      </c>
      <c r="V99">
        <v>50</v>
      </c>
      <c r="W99" t="s">
        <v>211</v>
      </c>
      <c r="X99" t="s">
        <v>114</v>
      </c>
      <c r="Y99">
        <v>60</v>
      </c>
      <c r="AB99">
        <v>5.3802112417116001</v>
      </c>
      <c r="AC99" t="s">
        <v>210</v>
      </c>
      <c r="AH99">
        <v>6.4</v>
      </c>
      <c r="AK99">
        <v>0.8</v>
      </c>
      <c r="AL99" t="s">
        <v>82</v>
      </c>
      <c r="AM99">
        <v>0.8</v>
      </c>
      <c r="AN99" t="s">
        <v>82</v>
      </c>
      <c r="AT99" t="s">
        <v>212</v>
      </c>
      <c r="AU99">
        <v>1.333333333333333</v>
      </c>
      <c r="AV99" t="s">
        <v>115</v>
      </c>
      <c r="BA99">
        <v>6.4</v>
      </c>
    </row>
    <row r="100" spans="1:53" x14ac:dyDescent="0.3">
      <c r="A100" t="s">
        <v>206</v>
      </c>
      <c r="C100" t="s">
        <v>1490</v>
      </c>
      <c r="D100" t="s">
        <v>81</v>
      </c>
      <c r="E100">
        <v>1000000</v>
      </c>
      <c r="H100">
        <v>6</v>
      </c>
      <c r="I100" t="s">
        <v>56</v>
      </c>
      <c r="J100">
        <v>6.0000000000000006E-4</v>
      </c>
      <c r="K100" t="s">
        <v>57</v>
      </c>
      <c r="O100">
        <v>0.5</v>
      </c>
      <c r="P100" t="s">
        <v>59</v>
      </c>
      <c r="S100">
        <v>2</v>
      </c>
      <c r="T100">
        <v>10</v>
      </c>
      <c r="V100">
        <v>50</v>
      </c>
      <c r="W100" t="s">
        <v>1491</v>
      </c>
      <c r="X100" t="s">
        <v>114</v>
      </c>
      <c r="Y100">
        <v>0</v>
      </c>
      <c r="AB100">
        <v>6.78532983501076</v>
      </c>
      <c r="AC100" t="s">
        <v>210</v>
      </c>
      <c r="AH100">
        <v>6.8</v>
      </c>
      <c r="AK100">
        <v>0.8</v>
      </c>
      <c r="AL100" t="s">
        <v>82</v>
      </c>
      <c r="AM100">
        <v>0.8</v>
      </c>
      <c r="AN100" t="s">
        <v>82</v>
      </c>
      <c r="AU100">
        <v>1.333333333333333</v>
      </c>
      <c r="AV100" t="s">
        <v>115</v>
      </c>
      <c r="BA100">
        <v>6.8</v>
      </c>
    </row>
    <row r="101" spans="1:53" x14ac:dyDescent="0.3">
      <c r="A101" t="s">
        <v>206</v>
      </c>
      <c r="C101" t="s">
        <v>1490</v>
      </c>
      <c r="D101" t="s">
        <v>81</v>
      </c>
      <c r="E101">
        <v>1000000</v>
      </c>
      <c r="H101">
        <v>6</v>
      </c>
      <c r="I101" t="s">
        <v>56</v>
      </c>
      <c r="J101">
        <v>6.0000000000000006E-4</v>
      </c>
      <c r="K101" t="s">
        <v>57</v>
      </c>
      <c r="O101">
        <v>0.5</v>
      </c>
      <c r="P101" t="s">
        <v>59</v>
      </c>
      <c r="S101">
        <v>2</v>
      </c>
      <c r="T101">
        <v>10</v>
      </c>
      <c r="V101">
        <v>50</v>
      </c>
      <c r="W101" t="s">
        <v>1491</v>
      </c>
      <c r="X101" t="s">
        <v>114</v>
      </c>
      <c r="Y101">
        <v>5</v>
      </c>
      <c r="AB101">
        <v>5.3010299956639804</v>
      </c>
      <c r="AC101" t="s">
        <v>210</v>
      </c>
      <c r="AH101">
        <v>6.8</v>
      </c>
      <c r="AK101">
        <v>0.8</v>
      </c>
      <c r="AL101" t="s">
        <v>82</v>
      </c>
      <c r="AM101">
        <v>0.8</v>
      </c>
      <c r="AN101" t="s">
        <v>82</v>
      </c>
      <c r="AU101">
        <v>1.333333333333333</v>
      </c>
      <c r="AV101" t="s">
        <v>115</v>
      </c>
      <c r="BA101">
        <v>6.8</v>
      </c>
    </row>
    <row r="102" spans="1:53" x14ac:dyDescent="0.3">
      <c r="A102" t="s">
        <v>206</v>
      </c>
      <c r="C102" t="s">
        <v>1490</v>
      </c>
      <c r="D102" t="s">
        <v>81</v>
      </c>
      <c r="E102">
        <v>1000000</v>
      </c>
      <c r="H102">
        <v>6</v>
      </c>
      <c r="I102" t="s">
        <v>56</v>
      </c>
      <c r="J102">
        <v>6.0000000000000006E-4</v>
      </c>
      <c r="K102" t="s">
        <v>57</v>
      </c>
      <c r="O102">
        <v>0.5</v>
      </c>
      <c r="P102" t="s">
        <v>59</v>
      </c>
      <c r="S102">
        <v>2</v>
      </c>
      <c r="T102">
        <v>10</v>
      </c>
      <c r="V102">
        <v>50</v>
      </c>
      <c r="W102" t="s">
        <v>1491</v>
      </c>
      <c r="X102" t="s">
        <v>114</v>
      </c>
      <c r="Y102">
        <v>10</v>
      </c>
      <c r="AB102">
        <v>4.9294189257142902</v>
      </c>
      <c r="AC102" t="s">
        <v>210</v>
      </c>
      <c r="AH102">
        <v>6.8</v>
      </c>
      <c r="AK102">
        <v>0.8</v>
      </c>
      <c r="AL102" t="s">
        <v>82</v>
      </c>
      <c r="AM102">
        <v>0.8</v>
      </c>
      <c r="AN102" t="s">
        <v>82</v>
      </c>
      <c r="AU102">
        <v>1.333333333333333</v>
      </c>
      <c r="AV102" t="s">
        <v>115</v>
      </c>
      <c r="BA102">
        <v>6.8</v>
      </c>
    </row>
    <row r="103" spans="1:53" x14ac:dyDescent="0.3">
      <c r="A103" t="s">
        <v>206</v>
      </c>
      <c r="C103" t="s">
        <v>1490</v>
      </c>
      <c r="D103" t="s">
        <v>81</v>
      </c>
      <c r="E103">
        <v>1000000</v>
      </c>
      <c r="H103">
        <v>6</v>
      </c>
      <c r="I103" t="s">
        <v>56</v>
      </c>
      <c r="J103">
        <v>6.0000000000000006E-4</v>
      </c>
      <c r="K103" t="s">
        <v>57</v>
      </c>
      <c r="O103">
        <v>0.5</v>
      </c>
      <c r="P103" t="s">
        <v>59</v>
      </c>
      <c r="S103">
        <v>2</v>
      </c>
      <c r="T103">
        <v>10</v>
      </c>
      <c r="V103">
        <v>50</v>
      </c>
      <c r="W103" t="s">
        <v>1491</v>
      </c>
      <c r="X103" t="s">
        <v>114</v>
      </c>
      <c r="Y103">
        <v>20</v>
      </c>
      <c r="AB103">
        <v>4.3979400086720304</v>
      </c>
      <c r="AC103" t="s">
        <v>210</v>
      </c>
      <c r="AH103">
        <v>6.8</v>
      </c>
      <c r="AK103">
        <v>0.8</v>
      </c>
      <c r="AL103" t="s">
        <v>82</v>
      </c>
      <c r="AM103">
        <v>0.8</v>
      </c>
      <c r="AN103" t="s">
        <v>82</v>
      </c>
      <c r="AU103">
        <v>1.333333333333333</v>
      </c>
      <c r="AV103" t="s">
        <v>115</v>
      </c>
      <c r="BA103">
        <v>6.8</v>
      </c>
    </row>
    <row r="104" spans="1:53" x14ac:dyDescent="0.3">
      <c r="A104" t="s">
        <v>206</v>
      </c>
      <c r="C104" t="s">
        <v>1490</v>
      </c>
      <c r="D104" t="s">
        <v>81</v>
      </c>
      <c r="E104">
        <v>1000000</v>
      </c>
      <c r="H104">
        <v>6</v>
      </c>
      <c r="I104" t="s">
        <v>56</v>
      </c>
      <c r="J104">
        <v>6.0000000000000006E-4</v>
      </c>
      <c r="K104" t="s">
        <v>57</v>
      </c>
      <c r="O104">
        <v>0.5</v>
      </c>
      <c r="P104" t="s">
        <v>59</v>
      </c>
      <c r="S104">
        <v>2</v>
      </c>
      <c r="T104">
        <v>10</v>
      </c>
      <c r="V104">
        <v>50</v>
      </c>
      <c r="W104" t="s">
        <v>1491</v>
      </c>
      <c r="X104" t="s">
        <v>114</v>
      </c>
      <c r="Y104">
        <v>30</v>
      </c>
      <c r="AB104">
        <v>3.6989700043360099</v>
      </c>
      <c r="AC104" t="s">
        <v>210</v>
      </c>
      <c r="AH104">
        <v>6.8</v>
      </c>
      <c r="AK104">
        <v>0.8</v>
      </c>
      <c r="AL104" t="s">
        <v>82</v>
      </c>
      <c r="AM104">
        <v>0.8</v>
      </c>
      <c r="AN104" t="s">
        <v>82</v>
      </c>
      <c r="AU104">
        <v>1.333333333333333</v>
      </c>
      <c r="AV104" t="s">
        <v>115</v>
      </c>
      <c r="BA104">
        <v>6.8</v>
      </c>
    </row>
    <row r="105" spans="1:53" x14ac:dyDescent="0.3">
      <c r="A105" t="s">
        <v>206</v>
      </c>
      <c r="C105" t="s">
        <v>1490</v>
      </c>
      <c r="D105" t="s">
        <v>81</v>
      </c>
      <c r="E105">
        <v>1000000</v>
      </c>
      <c r="H105">
        <v>6</v>
      </c>
      <c r="I105" t="s">
        <v>56</v>
      </c>
      <c r="J105">
        <v>6.0000000000000006E-4</v>
      </c>
      <c r="K105" t="s">
        <v>57</v>
      </c>
      <c r="O105">
        <v>0.5</v>
      </c>
      <c r="P105" t="s">
        <v>59</v>
      </c>
      <c r="S105">
        <v>2</v>
      </c>
      <c r="T105">
        <v>10</v>
      </c>
      <c r="V105">
        <v>50</v>
      </c>
      <c r="W105" t="s">
        <v>1491</v>
      </c>
      <c r="X105" t="s">
        <v>114</v>
      </c>
      <c r="Y105">
        <v>60</v>
      </c>
      <c r="AA105" t="s">
        <v>128</v>
      </c>
      <c r="AB105">
        <v>2</v>
      </c>
      <c r="AC105" t="s">
        <v>210</v>
      </c>
      <c r="AH105">
        <v>6.8</v>
      </c>
      <c r="AK105">
        <v>0.8</v>
      </c>
      <c r="AL105" t="s">
        <v>82</v>
      </c>
      <c r="AM105">
        <v>0.8</v>
      </c>
      <c r="AN105" t="s">
        <v>82</v>
      </c>
      <c r="AU105">
        <v>1.333333333333333</v>
      </c>
      <c r="AV105" t="s">
        <v>115</v>
      </c>
      <c r="AZ105">
        <v>0</v>
      </c>
      <c r="BA105">
        <v>6.8</v>
      </c>
    </row>
    <row r="106" spans="1:53" x14ac:dyDescent="0.3">
      <c r="A106" t="s">
        <v>206</v>
      </c>
      <c r="C106" t="s">
        <v>1490</v>
      </c>
      <c r="D106" t="s">
        <v>81</v>
      </c>
      <c r="E106">
        <v>1000000</v>
      </c>
      <c r="H106">
        <v>6</v>
      </c>
      <c r="I106" t="s">
        <v>56</v>
      </c>
      <c r="J106">
        <v>6.0000000000000006E-4</v>
      </c>
      <c r="K106" t="s">
        <v>57</v>
      </c>
      <c r="O106">
        <v>10</v>
      </c>
      <c r="P106" t="s">
        <v>59</v>
      </c>
      <c r="S106">
        <v>2</v>
      </c>
      <c r="T106">
        <v>10</v>
      </c>
      <c r="V106">
        <v>50</v>
      </c>
      <c r="W106" t="s">
        <v>1491</v>
      </c>
      <c r="X106" t="s">
        <v>114</v>
      </c>
      <c r="Y106">
        <v>0</v>
      </c>
      <c r="AB106">
        <v>6.78532983501076</v>
      </c>
      <c r="AC106" t="s">
        <v>210</v>
      </c>
      <c r="AH106">
        <v>6.8</v>
      </c>
      <c r="AK106">
        <v>0.8</v>
      </c>
      <c r="AL106" t="s">
        <v>82</v>
      </c>
      <c r="AM106">
        <v>0.8</v>
      </c>
      <c r="AN106" t="s">
        <v>82</v>
      </c>
      <c r="AU106">
        <v>1.333333333333333</v>
      </c>
      <c r="AV106" t="s">
        <v>115</v>
      </c>
      <c r="BA106">
        <v>6.8</v>
      </c>
    </row>
    <row r="107" spans="1:53" x14ac:dyDescent="0.3">
      <c r="A107" t="s">
        <v>206</v>
      </c>
      <c r="C107" t="s">
        <v>1490</v>
      </c>
      <c r="D107" t="s">
        <v>81</v>
      </c>
      <c r="E107">
        <v>100000</v>
      </c>
      <c r="H107">
        <v>6</v>
      </c>
      <c r="I107" t="s">
        <v>56</v>
      </c>
      <c r="J107">
        <v>6.0000000000000006E-4</v>
      </c>
      <c r="K107" t="s">
        <v>57</v>
      </c>
      <c r="O107">
        <v>10</v>
      </c>
      <c r="P107" t="s">
        <v>59</v>
      </c>
      <c r="S107">
        <v>2</v>
      </c>
      <c r="T107">
        <v>10</v>
      </c>
      <c r="V107">
        <v>50</v>
      </c>
      <c r="W107" t="s">
        <v>1491</v>
      </c>
      <c r="X107" t="s">
        <v>114</v>
      </c>
      <c r="Y107">
        <v>30</v>
      </c>
      <c r="AB107">
        <v>6.7160033436347897</v>
      </c>
      <c r="AC107" t="s">
        <v>210</v>
      </c>
      <c r="AH107">
        <v>6.8</v>
      </c>
      <c r="AK107">
        <v>0.8</v>
      </c>
      <c r="AL107" t="s">
        <v>82</v>
      </c>
      <c r="AM107">
        <v>0.8</v>
      </c>
      <c r="AN107" t="s">
        <v>82</v>
      </c>
      <c r="AU107">
        <v>1.333333333333333</v>
      </c>
      <c r="AV107" t="s">
        <v>115</v>
      </c>
      <c r="BA107">
        <v>6.8</v>
      </c>
    </row>
    <row r="108" spans="1:53" x14ac:dyDescent="0.3">
      <c r="A108" t="s">
        <v>206</v>
      </c>
      <c r="C108" t="s">
        <v>1490</v>
      </c>
      <c r="D108" t="s">
        <v>81</v>
      </c>
      <c r="E108">
        <v>100000</v>
      </c>
      <c r="H108">
        <v>6</v>
      </c>
      <c r="I108" t="s">
        <v>56</v>
      </c>
      <c r="J108">
        <v>6.0000000000000006E-4</v>
      </c>
      <c r="K108" t="s">
        <v>57</v>
      </c>
      <c r="O108">
        <v>10</v>
      </c>
      <c r="P108" t="s">
        <v>59</v>
      </c>
      <c r="S108">
        <v>2</v>
      </c>
      <c r="T108">
        <v>10</v>
      </c>
      <c r="V108">
        <v>50</v>
      </c>
      <c r="W108" t="s">
        <v>1491</v>
      </c>
      <c r="X108" t="s">
        <v>114</v>
      </c>
      <c r="Y108">
        <v>60</v>
      </c>
      <c r="AB108">
        <v>6.7160033436347897</v>
      </c>
      <c r="AC108" t="s">
        <v>210</v>
      </c>
      <c r="AH108">
        <v>6.8</v>
      </c>
      <c r="AK108">
        <v>0.8</v>
      </c>
      <c r="AL108" t="s">
        <v>82</v>
      </c>
      <c r="AM108">
        <v>0.8</v>
      </c>
      <c r="AN108" t="s">
        <v>82</v>
      </c>
      <c r="AU108">
        <v>1.333333333333333</v>
      </c>
      <c r="AV108" t="s">
        <v>115</v>
      </c>
      <c r="BA108">
        <v>6.8</v>
      </c>
    </row>
    <row r="109" spans="1:53" x14ac:dyDescent="0.3">
      <c r="A109" t="s">
        <v>206</v>
      </c>
      <c r="C109" t="s">
        <v>1490</v>
      </c>
      <c r="D109" t="s">
        <v>81</v>
      </c>
      <c r="E109">
        <v>100000</v>
      </c>
      <c r="H109">
        <v>6</v>
      </c>
      <c r="I109" t="s">
        <v>56</v>
      </c>
      <c r="J109">
        <v>6.0000000000000006E-4</v>
      </c>
      <c r="K109" t="s">
        <v>57</v>
      </c>
      <c r="O109">
        <v>0.5</v>
      </c>
      <c r="P109" t="s">
        <v>59</v>
      </c>
      <c r="S109">
        <v>2</v>
      </c>
      <c r="T109">
        <v>10</v>
      </c>
      <c r="V109">
        <v>50</v>
      </c>
      <c r="W109" t="s">
        <v>1491</v>
      </c>
      <c r="X109" t="s">
        <v>114</v>
      </c>
      <c r="Y109">
        <v>0</v>
      </c>
      <c r="AB109">
        <v>6.78532983501076</v>
      </c>
      <c r="AC109" t="s">
        <v>210</v>
      </c>
      <c r="AH109">
        <v>6.8</v>
      </c>
      <c r="AK109">
        <v>0.8</v>
      </c>
      <c r="AL109" t="s">
        <v>82</v>
      </c>
      <c r="AM109">
        <v>0.8</v>
      </c>
      <c r="AN109" t="s">
        <v>82</v>
      </c>
      <c r="AU109">
        <v>1.333333333333333</v>
      </c>
      <c r="AV109" t="s">
        <v>115</v>
      </c>
      <c r="BA109">
        <v>6.8</v>
      </c>
    </row>
    <row r="110" spans="1:53" x14ac:dyDescent="0.3">
      <c r="A110" t="s">
        <v>206</v>
      </c>
      <c r="C110" t="s">
        <v>1490</v>
      </c>
      <c r="D110" t="s">
        <v>81</v>
      </c>
      <c r="E110">
        <v>100000</v>
      </c>
      <c r="H110">
        <v>6</v>
      </c>
      <c r="I110" t="s">
        <v>56</v>
      </c>
      <c r="J110">
        <v>6.0000000000000006E-4</v>
      </c>
      <c r="K110" t="s">
        <v>57</v>
      </c>
      <c r="O110">
        <v>0.5</v>
      </c>
      <c r="P110" t="s">
        <v>59</v>
      </c>
      <c r="S110">
        <v>2</v>
      </c>
      <c r="T110">
        <v>10</v>
      </c>
      <c r="V110">
        <v>50</v>
      </c>
      <c r="W110" t="s">
        <v>1491</v>
      </c>
      <c r="X110" t="s">
        <v>114</v>
      </c>
      <c r="Y110">
        <v>0.25</v>
      </c>
      <c r="AB110">
        <v>2.9294189257142902</v>
      </c>
      <c r="AC110" t="s">
        <v>210</v>
      </c>
      <c r="AH110">
        <v>6.8</v>
      </c>
      <c r="AK110">
        <v>0.8</v>
      </c>
      <c r="AL110" t="s">
        <v>82</v>
      </c>
      <c r="AM110">
        <v>0.8</v>
      </c>
      <c r="AN110" t="s">
        <v>82</v>
      </c>
      <c r="AU110">
        <v>1.333333333333333</v>
      </c>
      <c r="AV110" t="s">
        <v>115</v>
      </c>
      <c r="BA110">
        <v>6.8</v>
      </c>
    </row>
    <row r="111" spans="1:53" x14ac:dyDescent="0.3">
      <c r="A111" t="s">
        <v>206</v>
      </c>
      <c r="C111" t="s">
        <v>1490</v>
      </c>
      <c r="D111" t="s">
        <v>81</v>
      </c>
      <c r="E111">
        <v>100000</v>
      </c>
      <c r="H111">
        <v>6</v>
      </c>
      <c r="I111" t="s">
        <v>56</v>
      </c>
      <c r="J111">
        <v>6.0000000000000006E-4</v>
      </c>
      <c r="K111" t="s">
        <v>57</v>
      </c>
      <c r="O111">
        <v>0.5</v>
      </c>
      <c r="P111" t="s">
        <v>59</v>
      </c>
      <c r="S111">
        <v>2</v>
      </c>
      <c r="T111">
        <v>10</v>
      </c>
      <c r="V111">
        <v>50</v>
      </c>
      <c r="W111" t="s">
        <v>1491</v>
      </c>
      <c r="X111" t="s">
        <v>114</v>
      </c>
      <c r="Y111">
        <v>0.5</v>
      </c>
      <c r="AB111">
        <v>2.7781512503836399</v>
      </c>
      <c r="AC111" t="s">
        <v>210</v>
      </c>
      <c r="AH111">
        <v>6.8</v>
      </c>
      <c r="AK111">
        <v>0.8</v>
      </c>
      <c r="AL111" t="s">
        <v>82</v>
      </c>
      <c r="AM111">
        <v>0.8</v>
      </c>
      <c r="AN111" t="s">
        <v>82</v>
      </c>
      <c r="AU111">
        <v>1.333333333333333</v>
      </c>
      <c r="AV111" t="s">
        <v>115</v>
      </c>
      <c r="BA111">
        <v>6.8</v>
      </c>
    </row>
    <row r="112" spans="1:53" x14ac:dyDescent="0.3">
      <c r="A112" t="s">
        <v>206</v>
      </c>
      <c r="C112" t="s">
        <v>1490</v>
      </c>
      <c r="D112" t="s">
        <v>81</v>
      </c>
      <c r="E112">
        <v>100000</v>
      </c>
      <c r="H112">
        <v>6</v>
      </c>
      <c r="I112" t="s">
        <v>56</v>
      </c>
      <c r="J112">
        <v>6.0000000000000006E-4</v>
      </c>
      <c r="K112" t="s">
        <v>57</v>
      </c>
      <c r="O112">
        <v>0.5</v>
      </c>
      <c r="P112" t="s">
        <v>59</v>
      </c>
      <c r="S112">
        <v>2</v>
      </c>
      <c r="T112">
        <v>10</v>
      </c>
      <c r="V112">
        <v>50</v>
      </c>
      <c r="W112" t="s">
        <v>1491</v>
      </c>
      <c r="X112" t="s">
        <v>114</v>
      </c>
      <c r="Y112">
        <v>1</v>
      </c>
      <c r="AA112" t="s">
        <v>128</v>
      </c>
      <c r="AB112">
        <v>2</v>
      </c>
      <c r="AC112" t="s">
        <v>210</v>
      </c>
      <c r="AH112">
        <v>6.8</v>
      </c>
      <c r="AK112">
        <v>0.8</v>
      </c>
      <c r="AL112" t="s">
        <v>82</v>
      </c>
      <c r="AM112">
        <v>0.8</v>
      </c>
      <c r="AN112" t="s">
        <v>82</v>
      </c>
      <c r="AU112">
        <v>1.333333333333333</v>
      </c>
      <c r="AV112" t="s">
        <v>115</v>
      </c>
      <c r="AZ112">
        <v>0</v>
      </c>
      <c r="BA112">
        <v>6.8</v>
      </c>
    </row>
    <row r="113" spans="1:53" x14ac:dyDescent="0.3">
      <c r="A113" t="s">
        <v>206</v>
      </c>
      <c r="C113" t="s">
        <v>1490</v>
      </c>
      <c r="D113" t="s">
        <v>81</v>
      </c>
      <c r="E113">
        <v>310000</v>
      </c>
      <c r="H113">
        <v>6</v>
      </c>
      <c r="I113" t="s">
        <v>56</v>
      </c>
      <c r="J113">
        <v>6.0000000000000006E-4</v>
      </c>
      <c r="K113" t="s">
        <v>57</v>
      </c>
      <c r="O113">
        <v>0.5</v>
      </c>
      <c r="P113" t="s">
        <v>59</v>
      </c>
      <c r="S113">
        <v>2</v>
      </c>
      <c r="T113">
        <v>10</v>
      </c>
      <c r="V113">
        <v>50</v>
      </c>
      <c r="W113" t="s">
        <v>1491</v>
      </c>
      <c r="X113" t="s">
        <v>114</v>
      </c>
      <c r="Y113">
        <v>5</v>
      </c>
      <c r="AA113" t="s">
        <v>128</v>
      </c>
      <c r="AB113">
        <v>2</v>
      </c>
      <c r="AC113" t="s">
        <v>210</v>
      </c>
      <c r="AH113">
        <v>6.8</v>
      </c>
      <c r="AK113">
        <v>0.8</v>
      </c>
      <c r="AL113" t="s">
        <v>82</v>
      </c>
      <c r="AM113">
        <v>0.8</v>
      </c>
      <c r="AN113" t="s">
        <v>82</v>
      </c>
      <c r="AU113">
        <v>1.333333333333333</v>
      </c>
      <c r="AV113" t="s">
        <v>115</v>
      </c>
      <c r="AZ113">
        <v>0</v>
      </c>
      <c r="BA113">
        <v>6.8</v>
      </c>
    </row>
    <row r="114" spans="1:53" x14ac:dyDescent="0.3">
      <c r="A114" t="s">
        <v>206</v>
      </c>
      <c r="C114" t="s">
        <v>1490</v>
      </c>
      <c r="D114" t="s">
        <v>81</v>
      </c>
      <c r="E114">
        <v>310000</v>
      </c>
      <c r="H114">
        <v>6</v>
      </c>
      <c r="I114" t="s">
        <v>56</v>
      </c>
      <c r="J114">
        <v>6.0000000000000006E-4</v>
      </c>
      <c r="K114" t="s">
        <v>57</v>
      </c>
      <c r="O114">
        <v>0.5</v>
      </c>
      <c r="P114" t="s">
        <v>59</v>
      </c>
      <c r="S114">
        <v>2</v>
      </c>
      <c r="T114">
        <v>10</v>
      </c>
      <c r="V114">
        <v>50</v>
      </c>
      <c r="W114" t="s">
        <v>1491</v>
      </c>
      <c r="X114" t="s">
        <v>114</v>
      </c>
      <c r="Y114">
        <v>10</v>
      </c>
      <c r="AA114" t="s">
        <v>128</v>
      </c>
      <c r="AB114">
        <v>2</v>
      </c>
      <c r="AC114" t="s">
        <v>210</v>
      </c>
      <c r="AH114">
        <v>6.8</v>
      </c>
      <c r="AK114">
        <v>0.8</v>
      </c>
      <c r="AL114" t="s">
        <v>82</v>
      </c>
      <c r="AM114">
        <v>0.8</v>
      </c>
      <c r="AN114" t="s">
        <v>82</v>
      </c>
      <c r="AU114">
        <v>1.333333333333333</v>
      </c>
      <c r="AV114" t="s">
        <v>115</v>
      </c>
      <c r="AZ114">
        <v>0</v>
      </c>
      <c r="BA114">
        <v>6.8</v>
      </c>
    </row>
    <row r="115" spans="1:53" x14ac:dyDescent="0.3">
      <c r="A115" t="s">
        <v>206</v>
      </c>
      <c r="C115" t="s">
        <v>1490</v>
      </c>
      <c r="D115" t="s">
        <v>81</v>
      </c>
      <c r="E115">
        <v>310000</v>
      </c>
      <c r="H115">
        <v>6</v>
      </c>
      <c r="I115" t="s">
        <v>56</v>
      </c>
      <c r="J115">
        <v>6.0000000000000006E-4</v>
      </c>
      <c r="K115" t="s">
        <v>57</v>
      </c>
      <c r="O115">
        <v>0.5</v>
      </c>
      <c r="P115" t="s">
        <v>59</v>
      </c>
      <c r="S115">
        <v>2</v>
      </c>
      <c r="T115">
        <v>10</v>
      </c>
      <c r="V115">
        <v>50</v>
      </c>
      <c r="W115" t="s">
        <v>1491</v>
      </c>
      <c r="X115" t="s">
        <v>114</v>
      </c>
      <c r="Y115">
        <v>20</v>
      </c>
      <c r="AA115" t="s">
        <v>128</v>
      </c>
      <c r="AB115">
        <v>2</v>
      </c>
      <c r="AC115" t="s">
        <v>210</v>
      </c>
      <c r="AH115">
        <v>6.8</v>
      </c>
      <c r="AK115">
        <v>0.8</v>
      </c>
      <c r="AL115" t="s">
        <v>82</v>
      </c>
      <c r="AM115">
        <v>0.8</v>
      </c>
      <c r="AN115" t="s">
        <v>82</v>
      </c>
      <c r="AU115">
        <v>1.333333333333333</v>
      </c>
      <c r="AV115" t="s">
        <v>115</v>
      </c>
      <c r="AZ115">
        <v>0</v>
      </c>
      <c r="BA115">
        <v>6.8</v>
      </c>
    </row>
    <row r="116" spans="1:53" x14ac:dyDescent="0.3">
      <c r="A116" t="s">
        <v>206</v>
      </c>
      <c r="C116" t="s">
        <v>1490</v>
      </c>
      <c r="D116" t="s">
        <v>81</v>
      </c>
      <c r="E116">
        <v>310000</v>
      </c>
      <c r="H116">
        <v>6</v>
      </c>
      <c r="I116" t="s">
        <v>56</v>
      </c>
      <c r="J116">
        <v>6.0000000000000006E-4</v>
      </c>
      <c r="K116" t="s">
        <v>57</v>
      </c>
      <c r="O116">
        <v>0.5</v>
      </c>
      <c r="P116" t="s">
        <v>59</v>
      </c>
      <c r="S116">
        <v>2</v>
      </c>
      <c r="T116">
        <v>10</v>
      </c>
      <c r="V116">
        <v>50</v>
      </c>
      <c r="W116" t="s">
        <v>1491</v>
      </c>
      <c r="X116" t="s">
        <v>114</v>
      </c>
      <c r="Y116">
        <v>30</v>
      </c>
      <c r="AA116" t="s">
        <v>128</v>
      </c>
      <c r="AB116">
        <v>2</v>
      </c>
      <c r="AC116" t="s">
        <v>210</v>
      </c>
      <c r="AH116">
        <v>6.8</v>
      </c>
      <c r="AK116">
        <v>0.8</v>
      </c>
      <c r="AL116" t="s">
        <v>82</v>
      </c>
      <c r="AM116">
        <v>0.8</v>
      </c>
      <c r="AN116" t="s">
        <v>82</v>
      </c>
      <c r="AU116">
        <v>1.333333333333333</v>
      </c>
      <c r="AV116" t="s">
        <v>115</v>
      </c>
      <c r="AZ116">
        <v>0</v>
      </c>
      <c r="BA116">
        <v>6.8</v>
      </c>
    </row>
    <row r="117" spans="1:53" x14ac:dyDescent="0.3">
      <c r="A117" t="s">
        <v>206</v>
      </c>
      <c r="C117" t="s">
        <v>1490</v>
      </c>
      <c r="D117" t="s">
        <v>81</v>
      </c>
      <c r="E117">
        <v>310000</v>
      </c>
      <c r="H117">
        <v>6</v>
      </c>
      <c r="I117" t="s">
        <v>56</v>
      </c>
      <c r="J117">
        <v>6.0000000000000006E-4</v>
      </c>
      <c r="K117" t="s">
        <v>57</v>
      </c>
      <c r="O117">
        <v>0.5</v>
      </c>
      <c r="P117" t="s">
        <v>59</v>
      </c>
      <c r="S117">
        <v>2</v>
      </c>
      <c r="T117">
        <v>10</v>
      </c>
      <c r="V117">
        <v>50</v>
      </c>
      <c r="W117" t="s">
        <v>1491</v>
      </c>
      <c r="X117" t="s">
        <v>114</v>
      </c>
      <c r="Y117">
        <v>60</v>
      </c>
      <c r="AA117" t="s">
        <v>128</v>
      </c>
      <c r="AB117">
        <v>2</v>
      </c>
      <c r="AC117" t="s">
        <v>210</v>
      </c>
      <c r="AH117">
        <v>6.8</v>
      </c>
      <c r="AK117">
        <v>0.8</v>
      </c>
      <c r="AL117" t="s">
        <v>82</v>
      </c>
      <c r="AM117">
        <v>0.8</v>
      </c>
      <c r="AN117" t="s">
        <v>82</v>
      </c>
      <c r="AU117">
        <v>1.333333333333333</v>
      </c>
      <c r="AV117" t="s">
        <v>115</v>
      </c>
      <c r="AZ117">
        <v>0</v>
      </c>
      <c r="BA117">
        <v>6.8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9"/>
  <sheetViews>
    <sheetView workbookViewId="0">
      <selection activeCell="C17" sqref="C17:F17"/>
    </sheetView>
  </sheetViews>
  <sheetFormatPr defaultRowHeight="14.4" x14ac:dyDescent="0.3"/>
  <cols>
    <col min="1" max="1" width="32.109375" bestFit="1" customWidth="1"/>
    <col min="2" max="2" width="7.5546875" bestFit="1" customWidth="1"/>
    <col min="3" max="3" width="8.6640625" bestFit="1" customWidth="1"/>
    <col min="4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COUNTA(LiquidSoakedGauzeWipeMaster[Ref])</f>
        <v>116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COUNTA(LiquidSoakedGauzeWipeMaster[GrimeDirt])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COUNTA(LiquidSoakedGauzeWipeMaster[Rinsate])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SoakedGauzeWipeMaster[ConvertedCoupAreaUn]),COUNTIF(LiquidSoakedGauzeWipeMaster[ConvertedCoupAreaUn],INDEX(LiquidSoakedGauzeWipeMaster[ConvertedCoupAreaUn],MATCH(TRUE,LiquidSoakedGauzeWipeMaster[ConvertedCoupAreaUn]&lt;&gt;"",0)))=COUNTIF(LiquidSoakedGauzeWipeMaster[ConvertedCoupAreaUn],"&lt;&gt;"),""),INDEX(LiquidSoakedGauzeWipeMaster[ConvertedCoupAreaUn],MATCH(TRUE,LiquidSoakedGauzeWipeMaster[ConvertedCoupAreaUn]&lt;&gt;"",0)), "multiple units given"),"NA")</f>
        <v>m^2</v>
      </c>
      <c r="C11" s="3">
        <f>IF(AND(ISNUMBER(E11),ISNUMBER(F11)),MIN(LiquidSoakedGauzeWipeMaster[ConvertedCoupArea]),"NA")</f>
        <v>6.0000000000000006E-4</v>
      </c>
      <c r="D11" s="3">
        <f>IF(AND(ISNUMBER(E11),ISNUMBER(F11)),MAX(LiquidSoakedGauzeWipeMaster[ConvertedCoupArea]),"NA")</f>
        <v>6.0000000000000006E-4</v>
      </c>
      <c r="E11" s="3">
        <f>IFERROR(AVERAGE(LiquidSoakedGauzeWipeMaster[ConvertedCoupArea]),"NA")</f>
        <v>6.0000000000000179E-4</v>
      </c>
      <c r="F11" s="3">
        <f>IFERROR(STDEV(LiquidSoakedGauzeWipeMaster[ConvertedCoupArea]),"NA")</f>
        <v>1.7422494266101399E-18</v>
      </c>
    </row>
    <row r="12" spans="1:6" x14ac:dyDescent="0.3">
      <c r="A12" s="3" t="s">
        <v>1591</v>
      </c>
      <c r="B12" s="3" t="str" cm="1">
        <f t="array" ref="B12">IFERROR(IF(IF(COUNTA(LiquidSoakedGauzeWipeMaster[LoadingUn]),COUNTIF(LiquidSoakedGauzeWipeMaster[LoadingUn],INDEX(LiquidSoakedGauzeWipeMaster[LoadingUn],MATCH(TRUE,LiquidSoakedGauzeWipeMaster[LoadingUn]&lt;&gt;"",0)))=COUNTIF(LiquidSoakedGauzeWipeMaster[LoadingUn],"&lt;&gt;"),""),INDEX(LiquidSoakedGauzeWipeMaster[LoadingUn],MATCH(TRUE,LiquidSoakedGauzeWipeMaster[LoadingUn]&lt;&gt;"",0)), "multiple units given"),"NA")</f>
        <v>CFU</v>
      </c>
      <c r="C12" s="3">
        <f>IF(AND(ISNUMBER(E12),ISNUMBER(F12)),MIN(LiquidSoakedGauzeWipeMaster[LoadingNum]),"NA")</f>
        <v>300</v>
      </c>
      <c r="D12" s="3">
        <f>IF(AND(ISNUMBER(E12),ISNUMBER(F12)),MAX(LiquidSoakedGauzeWipeMaster[LoadingNum]),"NA")</f>
        <v>100000000</v>
      </c>
      <c r="E12" s="3">
        <f>IFERROR(AVERAGE(LiquidSoakedGauzeWipeMaster[LoadingNum]),"NA")</f>
        <v>12458275</v>
      </c>
      <c r="F12" s="3">
        <f>IFERROR(STDEV(LiquidSoakedGauzeWipeMaster[LoadingNum]),"NA")</f>
        <v>32576003.578270484</v>
      </c>
    </row>
    <row r="13" spans="1:6" x14ac:dyDescent="0.3">
      <c r="A13" s="3" t="s">
        <v>1592</v>
      </c>
      <c r="B13" s="3" t="str">
        <f>IF(E13 = "NA", "NA", "#")</f>
        <v>#</v>
      </c>
      <c r="C13" s="3">
        <f>IF(AND(ISNUMBER(E13),ISNUMBER(F13)),MIN(LiquidSoakedGauzeWipeMaster[TotalApp]),"NA")</f>
        <v>1</v>
      </c>
      <c r="D13" s="3">
        <f>IF(AND(ISNUMBER(E13),ISNUMBER(F13)),MAX(LiquidSoakedGauzeWipeMaster[TotalApp]),"NA")</f>
        <v>8</v>
      </c>
      <c r="E13" s="3">
        <f>IFERROR(AVERAGE(LiquidSoakedGauzeWipeMaster[TotalApp]),"NA")</f>
        <v>3.6</v>
      </c>
      <c r="F13" s="3">
        <f>IFERROR(STDEV(LiquidSoakedGauzeWipeMaster[TotalApp]),"NA")</f>
        <v>2.2833731853221617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IF(AND(ISNUMBER(E14),ISNUMBER(F14)),MIN(LiquidSoakedGauzeWipeMaster[TempNum]),"NA")</f>
        <v>10</v>
      </c>
      <c r="D14" s="3">
        <f>IF(AND(ISNUMBER(E14),ISNUMBER(F14)),MAX(LiquidSoakedGauzeWipeMaster[TempNum]),"NA")</f>
        <v>22</v>
      </c>
      <c r="E14" s="3">
        <f>IFERROR(AVERAGE(LiquidSoakedGauzeWipeMaster[TempNum]),"NA")</f>
        <v>20.137931034482758</v>
      </c>
      <c r="F14" s="3">
        <f>IFERROR(STDEV(LiquidSoakedGauzeWipeMaster[TempNum]),"NA")</f>
        <v>4.3636772520913807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IF(AND(ISNUMBER(E15),ISNUMBER(F15)),MIN(LiquidSoakedGauzeWipeMaster[RHNum]),"NA")</f>
        <v>50</v>
      </c>
      <c r="D15" s="3">
        <f>IF(AND(ISNUMBER(E15),ISNUMBER(F15)),MAX(LiquidSoakedGauzeWipeMaster[RHNum]),"NA")</f>
        <v>50</v>
      </c>
      <c r="E15" s="3">
        <f>IFERROR(AVERAGE(LiquidSoakedGauzeWipeMaster[RHNum]),"NA")</f>
        <v>50</v>
      </c>
      <c r="F15" s="3">
        <f>IFERROR(STDEV(LiquidSoakedGauzeWipeMaster[RHNum]),"NA")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IF(AND(ISNUMBER(E16),ISNUMBER(F16)),MIN(LiquidSoakedGauzeWipeMaster[ContTimeNumMin]),"NA")</f>
        <v>0</v>
      </c>
      <c r="D16" s="3">
        <f>IF(AND(ISNUMBER(E16),ISNUMBER(F16)),MAX(LiquidSoakedGauzeWipeMaster[ContTimeNumMin]),"NA")</f>
        <v>60</v>
      </c>
      <c r="E16" s="3">
        <f>IFERROR(AVERAGE(LiquidSoakedGauzeWipeMaster[ContTimeNumMin]),"NA")</f>
        <v>18.896551724137932</v>
      </c>
      <c r="F16" s="3">
        <f>IFERROR(STDEV(LiquidSoakedGauzeWipeMaster[ContTimeNumMin]),"NA")</f>
        <v>20.502175625950073</v>
      </c>
    </row>
    <row r="17" spans="1:6" x14ac:dyDescent="0.3">
      <c r="A17" s="3" t="s">
        <v>1598</v>
      </c>
      <c r="B17" s="3" t="str" cm="1">
        <f t="array" ref="B17">IFERROR(IF(IF(COUNTA(LiquidSoakedGauzeWipeMaster[ConcDoseUn]),COUNTIF(LiquidSoakedGauzeWipeMaster[ConcDoseUn],INDEX(LiquidSoakedGauzeWipeMaster[ConcDoseUn],MATCH(TRUE,LiquidSoakedGauzeWipeMaster[ConcDoseUn]&lt;&gt;"",0)))=COUNTIF(LiquidSoakedGauzeWipeMaster[ConcDoseUn],"&lt;&gt;"),""),INDEX(LiquidSoakedGauzeWipeMaster[ConcDoseUn],MATCH(TRUE,LiquidSoakedGauzeWipeMaster[ConcDoseUn]&lt;&gt;"",0)), "multiple units given"),"NA")</f>
        <v>wt%</v>
      </c>
      <c r="C17" s="3">
        <f>IF(AND(ISNUMBER(E17),ISNUMBER(F17)),MIN(LiquidSoakedGauzeWipeMaster[ConcDoseNum]),"NA")</f>
        <v>0.1</v>
      </c>
      <c r="D17" s="3">
        <f>IF(AND(ISNUMBER(E17),ISNUMBER(F17)),MAX(LiquidSoakedGauzeWipeMaster[ConcDoseNum]),"NA")</f>
        <v>10</v>
      </c>
      <c r="E17" s="3">
        <f>IFERROR(AVERAGE(LiquidSoakedGauzeWipeMaster[ConcDoseNum]),"NA")</f>
        <v>0.57327586206896575</v>
      </c>
      <c r="F17" s="3">
        <f>IFERROR(STDEV(LiquidSoakedGauzeWipeMaster[ConcDoseNum]),"NA")</f>
        <v>1.5551517615651698</v>
      </c>
    </row>
    <row r="18" spans="1:6" x14ac:dyDescent="0.3">
      <c r="A18" s="3" t="s">
        <v>1599</v>
      </c>
      <c r="B18" s="3" t="str" cm="1">
        <f t="array" ref="B18">IFERROR(IF(IF(COUNTA(LiquidSoakedGauzeWipeMaster[EffMeas]),COUNTIF(LiquidSoakedGauzeWipeMaster[EffMeas],INDEX(LiquidSoakedGauzeWipeMaster[EffMeas],MATCH(TRUE,LiquidSoakedGauzeWipeMaster[EffMeas]&lt;&gt;"",0)))=COUNTIF(LiquidSoakedGauzeWipeMaster[EffMeas],"&lt;&gt;"),""),INDEX(LiquidSoakedGauzeWipeMaster[EffMeas],MATCH(TRUE,LiquidSoakedGauzeWipeMaster[EffMeas]&lt;&gt;"",0)), "multiple units given"),"NA")</f>
        <v>LSurv</v>
      </c>
      <c r="C18" s="3">
        <f>IF(AND(ISNUMBER(E18),ISNUMBER(F18)),MIN(LiquidSoakedGauzeWipeMaster[Eff]),"NA")</f>
        <v>2</v>
      </c>
      <c r="D18" s="3">
        <f>IF(AND(ISNUMBER(E18),ISNUMBER(F18)),MAX(LiquidSoakedGauzeWipeMaster[Eff]),"NA")</f>
        <v>7.3222192947339098</v>
      </c>
      <c r="E18" s="3">
        <f>IFERROR(AVERAGE(LiquidSoakedGauzeWipeMaster[Eff]),"NA")</f>
        <v>4.46371378540052</v>
      </c>
      <c r="F18" s="3">
        <f>IFERROR(STDEV(LiquidSoakedGauzeWipeMaster[Eff]),"NA")</f>
        <v>1.8994516544409519</v>
      </c>
    </row>
    <row r="19" spans="1:6" x14ac:dyDescent="0.3">
      <c r="A19" s="3" t="s">
        <v>1600</v>
      </c>
      <c r="B19" s="3" t="str" cm="1">
        <f t="array" ref="B19">IFERROR(IF(IF(COUNTA(LiquidSoakedGauzeWipeMaster[ConvertedVolAppUn]),COUNTIF(LiquidSoakedGauzeWipeMaster[ConvertedVolAppUn],INDEX(LiquidSoakedGauzeWipeMaster[ConvertedVolAppUn],MATCH(TRUE,LiquidSoakedGauzeWipeMaster[ConvertedVolAppUn]&lt;&gt;"",0)))=COUNTIF(LiquidSoakedGauzeWipeMaster[ConvertedVolAppUn],"&lt;&gt;"),""),INDEX(LiquidSoakedGauzeWipeMaster[ConvertedVolAppUn],MATCH(TRUE,LiquidSoakedGauzeWipeMaster[ConvertedVolAppUn]&lt;&gt;"",0)), "multiple units given"),"NA")</f>
        <v>mL</v>
      </c>
      <c r="C19" s="3">
        <f>IF(AND(ISNUMBER(E19),ISNUMBER(F19)),MIN(LiquidSoakedGauzeWipeMaster[ConvertedVolApp]),"NA")</f>
        <v>0.8</v>
      </c>
      <c r="D19" s="3">
        <f>IF(AND(ISNUMBER(E19),ISNUMBER(F19)),MAX(LiquidSoakedGauzeWipeMaster[ConvertedVolApp]),"NA")</f>
        <v>0.8</v>
      </c>
      <c r="E19" s="3">
        <f>IFERROR(AVERAGE(LiquidSoakedGauzeWipeMaster[ConvertedVolApp]),"NA")</f>
        <v>0.79999999999999827</v>
      </c>
      <c r="F19" s="3">
        <f>IFERROR(STDEV(LiquidSoakedGauzeWipeMaster[ConvertedVolApp]),"NA")</f>
        <v>1.7840634128487832E-15</v>
      </c>
    </row>
  </sheetData>
  <conditionalFormatting sqref="B11:B19">
    <cfRule type="cellIs" dxfId="48" priority="1" operator="equal">
      <formula>"multiple units given"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A10"/>
  <sheetViews>
    <sheetView topLeftCell="AF1" workbookViewId="0">
      <selection activeCell="AN10" sqref="AN10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1296</v>
      </c>
      <c r="B2" t="s">
        <v>1297</v>
      </c>
      <c r="C2" t="s">
        <v>1479</v>
      </c>
      <c r="D2" t="s">
        <v>81</v>
      </c>
      <c r="E2">
        <v>10000000</v>
      </c>
      <c r="H2">
        <v>0.78500000000000003</v>
      </c>
      <c r="I2" t="s">
        <v>56</v>
      </c>
      <c r="J2">
        <v>7.8500000000000011E-5</v>
      </c>
      <c r="K2" t="s">
        <v>57</v>
      </c>
      <c r="L2" t="s">
        <v>112</v>
      </c>
      <c r="O2">
        <v>4.5</v>
      </c>
      <c r="P2" t="s">
        <v>927</v>
      </c>
      <c r="S2">
        <v>2</v>
      </c>
      <c r="T2">
        <v>20</v>
      </c>
      <c r="V2">
        <v>50</v>
      </c>
      <c r="W2" t="s">
        <v>388</v>
      </c>
      <c r="X2" t="s">
        <v>1298</v>
      </c>
      <c r="Y2">
        <v>1</v>
      </c>
      <c r="AB2">
        <v>0.29875518672199203</v>
      </c>
      <c r="AC2" t="s">
        <v>85</v>
      </c>
      <c r="AI2">
        <v>5</v>
      </c>
      <c r="AK2">
        <v>50</v>
      </c>
      <c r="AL2" t="s">
        <v>220</v>
      </c>
      <c r="AM2">
        <v>0.05</v>
      </c>
      <c r="AN2" t="s">
        <v>82</v>
      </c>
      <c r="AT2" t="s">
        <v>65</v>
      </c>
      <c r="AU2">
        <v>0.63694267515923564</v>
      </c>
      <c r="AV2" t="s">
        <v>1262</v>
      </c>
    </row>
    <row r="3" spans="1:53" x14ac:dyDescent="0.3">
      <c r="A3" t="s">
        <v>1296</v>
      </c>
      <c r="B3" t="s">
        <v>1297</v>
      </c>
      <c r="C3" t="s">
        <v>1479</v>
      </c>
      <c r="D3" t="s">
        <v>81</v>
      </c>
      <c r="E3">
        <v>10000000</v>
      </c>
      <c r="H3">
        <v>0.78500000000000003</v>
      </c>
      <c r="I3" t="s">
        <v>56</v>
      </c>
      <c r="J3">
        <v>7.8500000000000011E-5</v>
      </c>
      <c r="K3" t="s">
        <v>57</v>
      </c>
      <c r="L3" t="s">
        <v>112</v>
      </c>
      <c r="O3">
        <v>4.5</v>
      </c>
      <c r="P3" t="s">
        <v>927</v>
      </c>
      <c r="S3">
        <v>2</v>
      </c>
      <c r="T3">
        <v>20</v>
      </c>
      <c r="V3">
        <v>50</v>
      </c>
      <c r="W3" t="s">
        <v>388</v>
      </c>
      <c r="X3" t="s">
        <v>1298</v>
      </c>
      <c r="Y3">
        <v>5</v>
      </c>
      <c r="AB3">
        <v>0.49792531120331901</v>
      </c>
      <c r="AC3" t="s">
        <v>85</v>
      </c>
      <c r="AI3">
        <v>5</v>
      </c>
      <c r="AK3">
        <v>50</v>
      </c>
      <c r="AL3" t="s">
        <v>220</v>
      </c>
      <c r="AM3">
        <v>0.05</v>
      </c>
      <c r="AN3" t="s">
        <v>82</v>
      </c>
      <c r="AT3" t="s">
        <v>65</v>
      </c>
      <c r="AU3">
        <v>0.63694267515923564</v>
      </c>
      <c r="AV3" t="s">
        <v>1262</v>
      </c>
    </row>
    <row r="4" spans="1:53" x14ac:dyDescent="0.3">
      <c r="A4" t="s">
        <v>1296</v>
      </c>
      <c r="B4" t="s">
        <v>1297</v>
      </c>
      <c r="C4" t="s">
        <v>1479</v>
      </c>
      <c r="D4" t="s">
        <v>81</v>
      </c>
      <c r="E4">
        <v>10000000</v>
      </c>
      <c r="H4">
        <v>0.78500000000000003</v>
      </c>
      <c r="I4" t="s">
        <v>56</v>
      </c>
      <c r="J4">
        <v>7.8500000000000011E-5</v>
      </c>
      <c r="K4" t="s">
        <v>57</v>
      </c>
      <c r="L4" t="s">
        <v>112</v>
      </c>
      <c r="O4">
        <v>4.5</v>
      </c>
      <c r="P4" t="s">
        <v>927</v>
      </c>
      <c r="S4">
        <v>2</v>
      </c>
      <c r="T4">
        <v>20</v>
      </c>
      <c r="V4">
        <v>50</v>
      </c>
      <c r="W4" t="s">
        <v>388</v>
      </c>
      <c r="X4" t="s">
        <v>1298</v>
      </c>
      <c r="Y4">
        <v>10</v>
      </c>
      <c r="AB4">
        <v>5.94190871369294</v>
      </c>
      <c r="AC4" t="s">
        <v>85</v>
      </c>
      <c r="AI4">
        <v>5</v>
      </c>
      <c r="AK4">
        <v>50</v>
      </c>
      <c r="AL4" t="s">
        <v>220</v>
      </c>
      <c r="AM4">
        <v>0.05</v>
      </c>
      <c r="AN4" t="s">
        <v>82</v>
      </c>
      <c r="AT4" t="s">
        <v>65</v>
      </c>
      <c r="AU4">
        <v>0.63694267515923564</v>
      </c>
      <c r="AV4" t="s">
        <v>1262</v>
      </c>
    </row>
    <row r="5" spans="1:53" x14ac:dyDescent="0.3">
      <c r="A5" t="s">
        <v>1480</v>
      </c>
      <c r="C5" t="s">
        <v>1479</v>
      </c>
      <c r="D5" t="s">
        <v>81</v>
      </c>
      <c r="E5">
        <v>10000000</v>
      </c>
      <c r="H5">
        <v>14.25</v>
      </c>
      <c r="I5" t="s">
        <v>56</v>
      </c>
      <c r="J5">
        <v>1.4250000000000001E-3</v>
      </c>
      <c r="K5" t="s">
        <v>57</v>
      </c>
      <c r="O5">
        <v>0</v>
      </c>
      <c r="T5">
        <v>21</v>
      </c>
      <c r="V5">
        <v>45</v>
      </c>
      <c r="W5" t="s">
        <v>1481</v>
      </c>
      <c r="X5" t="s">
        <v>135</v>
      </c>
      <c r="Y5">
        <v>5</v>
      </c>
      <c r="AB5">
        <v>4.3</v>
      </c>
      <c r="AC5" t="s">
        <v>85</v>
      </c>
      <c r="AD5" t="s">
        <v>1482</v>
      </c>
      <c r="AE5" t="s">
        <v>63</v>
      </c>
      <c r="AI5">
        <v>3</v>
      </c>
      <c r="AJ5" t="s">
        <v>201</v>
      </c>
      <c r="AK5">
        <v>2</v>
      </c>
      <c r="AL5" t="s">
        <v>82</v>
      </c>
      <c r="AM5">
        <v>2</v>
      </c>
      <c r="AN5" t="s">
        <v>82</v>
      </c>
      <c r="AU5">
        <v>1.403508771929824</v>
      </c>
      <c r="AV5" t="s">
        <v>115</v>
      </c>
    </row>
    <row r="6" spans="1:53" x14ac:dyDescent="0.3">
      <c r="A6" t="s">
        <v>1480</v>
      </c>
      <c r="C6" t="s">
        <v>1479</v>
      </c>
      <c r="D6" t="s">
        <v>81</v>
      </c>
      <c r="E6">
        <v>10000000</v>
      </c>
      <c r="H6">
        <v>14.25</v>
      </c>
      <c r="I6" t="s">
        <v>56</v>
      </c>
      <c r="J6">
        <v>1.4250000000000001E-3</v>
      </c>
      <c r="K6" t="s">
        <v>57</v>
      </c>
      <c r="O6">
        <v>0</v>
      </c>
      <c r="T6">
        <v>21</v>
      </c>
      <c r="V6">
        <v>45</v>
      </c>
      <c r="W6" t="s">
        <v>1481</v>
      </c>
      <c r="X6" t="s">
        <v>135</v>
      </c>
      <c r="Y6">
        <v>30</v>
      </c>
      <c r="AA6" t="s">
        <v>94</v>
      </c>
      <c r="AB6">
        <v>7.6</v>
      </c>
      <c r="AC6" t="s">
        <v>85</v>
      </c>
      <c r="AI6">
        <v>3</v>
      </c>
      <c r="AJ6" t="s">
        <v>201</v>
      </c>
      <c r="AK6">
        <v>2</v>
      </c>
      <c r="AL6" t="s">
        <v>82</v>
      </c>
      <c r="AM6">
        <v>2</v>
      </c>
      <c r="AN6" t="s">
        <v>82</v>
      </c>
      <c r="AU6">
        <v>1.403508771929824</v>
      </c>
      <c r="AV6" t="s">
        <v>115</v>
      </c>
      <c r="AZ6">
        <v>0</v>
      </c>
      <c r="BA6">
        <v>7.6</v>
      </c>
    </row>
    <row r="7" spans="1:53" x14ac:dyDescent="0.3">
      <c r="A7" t="s">
        <v>1480</v>
      </c>
      <c r="C7" t="s">
        <v>1479</v>
      </c>
      <c r="D7" t="s">
        <v>81</v>
      </c>
      <c r="E7">
        <v>10000000</v>
      </c>
      <c r="H7">
        <v>14.25</v>
      </c>
      <c r="I7" t="s">
        <v>56</v>
      </c>
      <c r="J7">
        <v>1.4250000000000001E-3</v>
      </c>
      <c r="K7" t="s">
        <v>57</v>
      </c>
      <c r="O7">
        <v>0</v>
      </c>
      <c r="T7">
        <v>21</v>
      </c>
      <c r="V7">
        <v>45</v>
      </c>
      <c r="W7" t="s">
        <v>1481</v>
      </c>
      <c r="X7" t="s">
        <v>135</v>
      </c>
      <c r="Y7">
        <v>5</v>
      </c>
      <c r="AB7">
        <v>2.2000000000000002</v>
      </c>
      <c r="AC7" t="s">
        <v>85</v>
      </c>
      <c r="AD7" t="s">
        <v>1483</v>
      </c>
      <c r="AE7" t="s">
        <v>63</v>
      </c>
      <c r="AI7">
        <v>3</v>
      </c>
      <c r="AJ7" t="s">
        <v>201</v>
      </c>
      <c r="AK7">
        <v>2</v>
      </c>
      <c r="AL7" t="s">
        <v>82</v>
      </c>
      <c r="AM7">
        <v>2</v>
      </c>
      <c r="AN7" t="s">
        <v>82</v>
      </c>
      <c r="AU7">
        <v>1.403508771929824</v>
      </c>
      <c r="AV7" t="s">
        <v>115</v>
      </c>
    </row>
    <row r="8" spans="1:53" x14ac:dyDescent="0.3">
      <c r="A8" t="s">
        <v>1480</v>
      </c>
      <c r="C8" t="s">
        <v>1479</v>
      </c>
      <c r="D8" t="s">
        <v>81</v>
      </c>
      <c r="E8">
        <v>10000000</v>
      </c>
      <c r="H8">
        <v>14.25</v>
      </c>
      <c r="I8" t="s">
        <v>56</v>
      </c>
      <c r="J8">
        <v>1.4250000000000001E-3</v>
      </c>
      <c r="K8" t="s">
        <v>57</v>
      </c>
      <c r="O8">
        <v>0</v>
      </c>
      <c r="T8">
        <v>21</v>
      </c>
      <c r="V8">
        <v>45</v>
      </c>
      <c r="W8" t="s">
        <v>1481</v>
      </c>
      <c r="X8" t="s">
        <v>135</v>
      </c>
      <c r="Y8">
        <v>30</v>
      </c>
      <c r="AB8">
        <v>4.5999999999999996</v>
      </c>
      <c r="AC8" t="s">
        <v>85</v>
      </c>
      <c r="AD8" t="s">
        <v>1484</v>
      </c>
      <c r="AE8" t="s">
        <v>63</v>
      </c>
      <c r="AI8">
        <v>3</v>
      </c>
      <c r="AJ8" t="s">
        <v>201</v>
      </c>
      <c r="AK8">
        <v>2</v>
      </c>
      <c r="AL8" t="s">
        <v>82</v>
      </c>
      <c r="AM8">
        <v>2</v>
      </c>
      <c r="AN8" t="s">
        <v>82</v>
      </c>
      <c r="AU8">
        <v>1.403508771929824</v>
      </c>
      <c r="AV8" t="s">
        <v>115</v>
      </c>
    </row>
    <row r="9" spans="1:53" x14ac:dyDescent="0.3">
      <c r="A9" t="s">
        <v>1480</v>
      </c>
      <c r="C9" t="s">
        <v>1479</v>
      </c>
      <c r="D9" t="s">
        <v>81</v>
      </c>
      <c r="E9">
        <v>10000000</v>
      </c>
      <c r="H9">
        <v>14.25</v>
      </c>
      <c r="I9" t="s">
        <v>56</v>
      </c>
      <c r="J9">
        <v>1.4250000000000001E-3</v>
      </c>
      <c r="K9" t="s">
        <v>57</v>
      </c>
      <c r="O9">
        <v>0</v>
      </c>
      <c r="T9">
        <v>21</v>
      </c>
      <c r="V9">
        <v>45</v>
      </c>
      <c r="W9" t="s">
        <v>1481</v>
      </c>
      <c r="X9" t="s">
        <v>135</v>
      </c>
      <c r="Y9">
        <v>5</v>
      </c>
      <c r="AB9">
        <v>4.5</v>
      </c>
      <c r="AC9" t="s">
        <v>85</v>
      </c>
      <c r="AD9" t="s">
        <v>1485</v>
      </c>
      <c r="AE9" t="s">
        <v>63</v>
      </c>
      <c r="AI9">
        <v>3</v>
      </c>
      <c r="AJ9" t="s">
        <v>201</v>
      </c>
      <c r="AK9">
        <v>2</v>
      </c>
      <c r="AL9" t="s">
        <v>82</v>
      </c>
      <c r="AM9">
        <v>2</v>
      </c>
      <c r="AN9" t="s">
        <v>82</v>
      </c>
      <c r="AU9">
        <v>1.403508771929824</v>
      </c>
      <c r="AV9" t="s">
        <v>115</v>
      </c>
    </row>
    <row r="10" spans="1:53" x14ac:dyDescent="0.3">
      <c r="A10" t="s">
        <v>1480</v>
      </c>
      <c r="C10" t="s">
        <v>1479</v>
      </c>
      <c r="D10" t="s">
        <v>81</v>
      </c>
      <c r="E10">
        <v>10000000</v>
      </c>
      <c r="H10">
        <v>14.25</v>
      </c>
      <c r="I10" t="s">
        <v>56</v>
      </c>
      <c r="J10">
        <v>1.4250000000000001E-3</v>
      </c>
      <c r="K10" t="s">
        <v>57</v>
      </c>
      <c r="O10">
        <v>0</v>
      </c>
      <c r="T10">
        <v>21</v>
      </c>
      <c r="V10">
        <v>45</v>
      </c>
      <c r="W10" t="s">
        <v>1481</v>
      </c>
      <c r="X10" t="s">
        <v>135</v>
      </c>
      <c r="Y10">
        <v>30</v>
      </c>
      <c r="AB10">
        <v>4.9000000000000004</v>
      </c>
      <c r="AC10" t="s">
        <v>85</v>
      </c>
      <c r="AD10" t="s">
        <v>1486</v>
      </c>
      <c r="AE10" t="s">
        <v>63</v>
      </c>
      <c r="AI10">
        <v>3</v>
      </c>
      <c r="AJ10" t="s">
        <v>201</v>
      </c>
      <c r="AK10">
        <v>2</v>
      </c>
      <c r="AL10" t="s">
        <v>82</v>
      </c>
      <c r="AM10">
        <v>2</v>
      </c>
      <c r="AN10" t="s">
        <v>82</v>
      </c>
      <c r="AU10">
        <v>1.403508771929824</v>
      </c>
      <c r="AV10" t="s">
        <v>115</v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9"/>
  <sheetViews>
    <sheetView workbookViewId="0">
      <selection activeCell="C18" sqref="C18:F18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12" bestFit="1" customWidth="1"/>
    <col min="4" max="4" width="9.109375" bestFit="1" customWidth="1"/>
    <col min="5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COUNTA(GelMaster[Ref])</f>
        <v>9</v>
      </c>
      <c r="C2" s="3"/>
      <c r="D2" s="3"/>
      <c r="E2" s="3"/>
      <c r="F2" s="3"/>
    </row>
    <row r="3" spans="1:6" x14ac:dyDescent="0.3">
      <c r="A3" s="3" t="s">
        <v>1583</v>
      </c>
      <c r="B3" s="3">
        <f>COUNTA(GelMaster[GrimeDirt])</f>
        <v>3</v>
      </c>
      <c r="C3" s="3"/>
      <c r="D3" s="3"/>
      <c r="E3" s="3"/>
      <c r="F3" s="3"/>
    </row>
    <row r="4" spans="1:6" x14ac:dyDescent="0.3">
      <c r="A4" s="3" t="s">
        <v>1584</v>
      </c>
      <c r="B4" s="3">
        <f>COUNTA(GelMaster[Rinsate])</f>
        <v>3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GelMaster[ConvertedCoupAreaUn]),COUNTIF(GelMaster[ConvertedCoupAreaUn],INDEX(GelMaster[ConvertedCoupAreaUn],MATCH(TRUE,GelMaster[ConvertedCoupAreaUn]&lt;&gt;"",0)))=COUNTIF(GelMaster[ConvertedCoupAreaUn],"&lt;&gt;"),""),INDEX(GelMaster[ConvertedCoupAreaUn],MATCH(TRUE,GelMaster[ConvertedCoupAreaUn]&lt;&gt;"",0)), "multiple units given"),"NA")</f>
        <v>m^2</v>
      </c>
      <c r="C11" s="3">
        <f>IF(AND(ISNUMBER(E11),ISNUMBER(F11)),MIN(GelMaster[ConvertedCoupArea]),"NA")</f>
        <v>7.8500000000000011E-5</v>
      </c>
      <c r="D11" s="3">
        <f>IF(AND(ISNUMBER(E11),ISNUMBER(F11)),MAX(GelMaster[ConvertedCoupArea]),"NA")</f>
        <v>1.4250000000000001E-3</v>
      </c>
      <c r="E11" s="3">
        <f>IFERROR(AVERAGE(GelMaster[ConvertedCoupArea]),"NA")</f>
        <v>9.7616666666666685E-4</v>
      </c>
      <c r="F11" s="3">
        <f>IFERROR(STDEV(GelMaster[ConvertedCoupArea]),"NA")</f>
        <v>6.7325000000000002E-4</v>
      </c>
    </row>
    <row r="12" spans="1:6" x14ac:dyDescent="0.3">
      <c r="A12" s="3" t="s">
        <v>1591</v>
      </c>
      <c r="B12" s="3" t="str" cm="1">
        <f t="array" ref="B12">IFERROR(IF(IF(COUNTA(GelMaster[LoadingUn]),COUNTIF(GelMaster[LoadingUn],INDEX(GelMaster[LoadingUn],MATCH(TRUE,GelMaster[LoadingUn]&lt;&gt;"",0)))=COUNTIF(GelMaster[LoadingUn],"&lt;&gt;"),""),INDEX(GelMaster[LoadingUn],MATCH(TRUE,GelMaster[LoadingUn]&lt;&gt;"",0)), "multiple units given"),"NA")</f>
        <v>CFU</v>
      </c>
      <c r="C12" s="3">
        <f>IF(AND(ISNUMBER(E12),ISNUMBER(F12)),MIN(GelMaster[LoadingNum]),"NA")</f>
        <v>10000000</v>
      </c>
      <c r="D12" s="3">
        <f>IF(AND(ISNUMBER(E12),ISNUMBER(F12)),MAX(GelMaster[LoadingNum]),"NA")</f>
        <v>10000000</v>
      </c>
      <c r="E12" s="3">
        <f>IFERROR(AVERAGE(GelMaster[LoadingNum]),"NA")</f>
        <v>10000000</v>
      </c>
      <c r="F12" s="3">
        <f>IFERROR(STDEV(GelMaster[LoadingNum]),"NA")</f>
        <v>0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IF(AND(ISNUMBER(E13),ISNUMBER(F13)),MIN(GelMaster[TotalApp]),"NA")</f>
        <v>NA</v>
      </c>
      <c r="D13" s="3" t="str">
        <f>IF(AND(ISNUMBER(E13),ISNUMBER(F13)),MAX(GelMaster[TotalApp]),"NA")</f>
        <v>NA</v>
      </c>
      <c r="E13" s="3" t="str">
        <f>IFERROR(AVERAGE(GelMaster[TotalApp]),"NA")</f>
        <v>NA</v>
      </c>
      <c r="F13" s="3" t="str">
        <f>IFERROR(STDEV(GelMaster[TotalApp]),"NA")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IF(AND(ISNUMBER(E14),ISNUMBER(F14)),MIN(GelMaster[TempNum]),"NA")</f>
        <v>20</v>
      </c>
      <c r="D14" s="3">
        <f>IF(AND(ISNUMBER(E14),ISNUMBER(F14)),MAX(GelMaster[TempNum]),"NA")</f>
        <v>21</v>
      </c>
      <c r="E14" s="3">
        <f>IFERROR(AVERAGE(GelMaster[TempNum]),"NA")</f>
        <v>20.666666666666668</v>
      </c>
      <c r="F14" s="3">
        <f>IFERROR(STDEV(GelMaster[TempNum]),"NA")</f>
        <v>0.5</v>
      </c>
    </row>
    <row r="15" spans="1:6" x14ac:dyDescent="0.3">
      <c r="A15" s="3" t="s">
        <v>1595</v>
      </c>
      <c r="B15" s="3" t="s">
        <v>1527</v>
      </c>
      <c r="C15" s="3">
        <f>IF(AND(ISNUMBER(E15),ISNUMBER(F15)),MIN(GelMaster[RHNum]),"NA")</f>
        <v>45</v>
      </c>
      <c r="D15" s="3">
        <f>IF(AND(ISNUMBER(E15),ISNUMBER(F15)),MAX(GelMaster[RHNum]),"NA")</f>
        <v>50</v>
      </c>
      <c r="E15" s="3">
        <f>IFERROR(AVERAGE(GelMaster[RHNum]),"NA")</f>
        <v>46.666666666666664</v>
      </c>
      <c r="F15" s="3">
        <f>IFERROR(STDEV(GelMaster[RHNum]),"NA")</f>
        <v>2.5</v>
      </c>
    </row>
    <row r="16" spans="1:6" x14ac:dyDescent="0.3">
      <c r="A16" s="3" t="s">
        <v>1596</v>
      </c>
      <c r="B16" s="3" t="s">
        <v>1597</v>
      </c>
      <c r="C16" s="3">
        <f>IF(AND(ISNUMBER(E16),ISNUMBER(F16)),MIN(GelMaster[ContTimeNumMin]),"NA")</f>
        <v>1</v>
      </c>
      <c r="D16" s="3">
        <f>IF(AND(ISNUMBER(E16),ISNUMBER(F16)),MAX(GelMaster[ContTimeNumMin]),"NA")</f>
        <v>30</v>
      </c>
      <c r="E16" s="3">
        <f>IFERROR(AVERAGE(GelMaster[ContTimeNumMin]),"NA")</f>
        <v>13.444444444444445</v>
      </c>
      <c r="F16" s="3">
        <f>IFERROR(STDEV(GelMaster[ContTimeNumMin]),"NA")</f>
        <v>12.6205300117617</v>
      </c>
    </row>
    <row r="17" spans="1:6" x14ac:dyDescent="0.3">
      <c r="A17" s="3" t="s">
        <v>1598</v>
      </c>
      <c r="B17" s="3" t="str" cm="1">
        <f t="array" ref="B17">IFERROR(IF(IF(COUNTA(GelMaster[ConcDoseUn]),COUNTIF(GelMaster[ConcDoseUn],INDEX(GelMaster[ConcDoseUn],MATCH(TRUE,GelMaster[ConcDoseUn]&lt;&gt;"",0)))=COUNTIF(GelMaster[ConcDoseUn],"&lt;&gt;"),""),INDEX(GelMaster[ConcDoseUn],MATCH(TRUE,GelMaster[ConcDoseUn]&lt;&gt;"",0)), "multiple units given"),"NA")</f>
        <v>% ambiguous</v>
      </c>
      <c r="C17" s="3">
        <f>IF(AND(ISNUMBER(E17),ISNUMBER(F17)),MIN(GelMaster[ConcDoseNum]),"NA")</f>
        <v>0</v>
      </c>
      <c r="D17" s="3">
        <f>IF(AND(ISNUMBER(E17),ISNUMBER(F17)),MAX(GelMaster[ConcDoseNum]),"NA")</f>
        <v>4.5</v>
      </c>
      <c r="E17" s="3">
        <f>IFERROR(AVERAGE(GelMaster[ConcDoseNum]),"NA")</f>
        <v>1.5</v>
      </c>
      <c r="F17" s="3">
        <f>IFERROR(STDEV(GelMaster[ConcDoseNum]),"NA")</f>
        <v>2.25</v>
      </c>
    </row>
    <row r="18" spans="1:6" x14ac:dyDescent="0.3">
      <c r="A18" s="3" t="s">
        <v>1599</v>
      </c>
      <c r="B18" s="3" t="str" cm="1">
        <f t="array" ref="B18">IFERROR(IF(IF(COUNTA(GelMaster[EffMeas]),COUNTIF(GelMaster[EffMeas],INDEX(GelMaster[EffMeas],MATCH(TRUE,GelMaster[EffMeas]&lt;&gt;"",0)))=COUNTIF(GelMaster[EffMeas],"&lt;&gt;"),""),INDEX(GelMaster[EffMeas],MATCH(TRUE,GelMaster[EffMeas]&lt;&gt;"",0)), "multiple units given"),"NA")</f>
        <v>LR</v>
      </c>
      <c r="C18" s="3">
        <f>IF(AND(ISNUMBER(E18),ISNUMBER(F18)),MIN(GelMaster[Eff]),"NA")</f>
        <v>0.29875518672199203</v>
      </c>
      <c r="D18" s="3">
        <f>IF(AND(ISNUMBER(E18),ISNUMBER(F18)),MAX(GelMaster[Eff]),"NA")</f>
        <v>7.6</v>
      </c>
      <c r="E18" s="3">
        <f>IFERROR(AVERAGE(GelMaster[Eff]),"NA")</f>
        <v>3.8709543568464722</v>
      </c>
      <c r="F18" s="3">
        <f>IFERROR(STDEV(GelMaster[Eff]),"NA")</f>
        <v>2.4314315419082884</v>
      </c>
    </row>
    <row r="19" spans="1:6" x14ac:dyDescent="0.3">
      <c r="A19" s="3" t="s">
        <v>1600</v>
      </c>
      <c r="B19" s="3" t="str" cm="1">
        <f t="array" ref="B19">IFERROR(IF(IF(COUNTA(GelMaster[ConvertedVolAppUn]),COUNTIF(GelMaster[ConvertedVolAppUn],INDEX(GelMaster[ConvertedVolAppUn],MATCH(TRUE,GelMaster[ConvertedVolAppUn]&lt;&gt;"",0)))=COUNTIF(GelMaster[ConvertedVolAppUn],"&lt;&gt;"),""),INDEX(GelMaster[ConvertedVolAppUn],MATCH(TRUE,GelMaster[ConvertedVolAppUn]&lt;&gt;"",0)), "multiple units given"),"NA")</f>
        <v>mL</v>
      </c>
      <c r="C19" s="3">
        <f>IF(AND(ISNUMBER(E19),ISNUMBER(F19)),MIN(GelMaster[ConvertedVolApp]),"NA")</f>
        <v>0.05</v>
      </c>
      <c r="D19" s="3">
        <f>IF(AND(ISNUMBER(E19),ISNUMBER(F19)),MAX(GelMaster[ConvertedVolApp]),"NA")</f>
        <v>2</v>
      </c>
      <c r="E19" s="3">
        <f>IFERROR(AVERAGE(GelMaster[ConvertedVolApp]),"NA")</f>
        <v>1.35</v>
      </c>
      <c r="F19" s="3">
        <f>IFERROR(STDEV(GelMaster[ConvertedVolApp]),"NA")</f>
        <v>0.97499999999999998</v>
      </c>
    </row>
  </sheetData>
  <conditionalFormatting sqref="B11:B19">
    <cfRule type="cellIs" dxfId="44" priority="1" operator="equal">
      <formula>"multiple units given"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13"/>
  <sheetViews>
    <sheetView topLeftCell="AB1" workbookViewId="0">
      <selection activeCell="D18" sqref="D18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195</v>
      </c>
      <c r="B2" t="s">
        <v>196</v>
      </c>
      <c r="C2" t="s">
        <v>197</v>
      </c>
      <c r="D2" t="s">
        <v>81</v>
      </c>
      <c r="E2">
        <v>10000000</v>
      </c>
      <c r="H2">
        <v>0.78500000000000003</v>
      </c>
      <c r="I2" t="s">
        <v>56</v>
      </c>
      <c r="J2">
        <v>7.8500000000000011E-5</v>
      </c>
      <c r="K2" t="s">
        <v>57</v>
      </c>
      <c r="O2">
        <v>5.6000000000000001E-2</v>
      </c>
      <c r="P2" t="s">
        <v>59</v>
      </c>
      <c r="T2">
        <v>20</v>
      </c>
      <c r="V2">
        <v>50</v>
      </c>
      <c r="W2" t="s">
        <v>198</v>
      </c>
      <c r="X2" t="s">
        <v>199</v>
      </c>
      <c r="Y2">
        <v>10</v>
      </c>
      <c r="AB2">
        <v>3.3</v>
      </c>
      <c r="AC2" t="s">
        <v>85</v>
      </c>
      <c r="AD2">
        <v>12.14</v>
      </c>
      <c r="AE2" t="s">
        <v>200</v>
      </c>
      <c r="AI2">
        <v>4</v>
      </c>
      <c r="AJ2" t="s">
        <v>201</v>
      </c>
      <c r="AV2" t="s">
        <v>88</v>
      </c>
    </row>
    <row r="3" spans="1:53" x14ac:dyDescent="0.3">
      <c r="A3" t="s">
        <v>195</v>
      </c>
      <c r="B3" t="s">
        <v>196</v>
      </c>
      <c r="C3" t="s">
        <v>197</v>
      </c>
      <c r="D3" t="s">
        <v>81</v>
      </c>
      <c r="E3">
        <v>10000000</v>
      </c>
      <c r="H3">
        <v>0.78500000000000003</v>
      </c>
      <c r="I3" t="s">
        <v>56</v>
      </c>
      <c r="J3">
        <v>7.8500000000000011E-5</v>
      </c>
      <c r="K3" t="s">
        <v>57</v>
      </c>
      <c r="O3">
        <v>5.6000000000000001E-2</v>
      </c>
      <c r="P3" t="s">
        <v>59</v>
      </c>
      <c r="T3">
        <v>20</v>
      </c>
      <c r="V3">
        <v>50</v>
      </c>
      <c r="W3" t="s">
        <v>202</v>
      </c>
      <c r="X3" t="s">
        <v>199</v>
      </c>
      <c r="Y3">
        <v>10</v>
      </c>
      <c r="AB3">
        <v>2.85</v>
      </c>
      <c r="AC3" t="s">
        <v>85</v>
      </c>
      <c r="AD3">
        <v>8.34</v>
      </c>
      <c r="AE3" t="s">
        <v>200</v>
      </c>
      <c r="AI3">
        <v>4</v>
      </c>
      <c r="AJ3" t="s">
        <v>201</v>
      </c>
      <c r="AT3" t="s">
        <v>203</v>
      </c>
      <c r="AV3" t="s">
        <v>88</v>
      </c>
    </row>
    <row r="4" spans="1:53" x14ac:dyDescent="0.3">
      <c r="A4" t="s">
        <v>195</v>
      </c>
      <c r="B4" t="s">
        <v>196</v>
      </c>
      <c r="C4" t="s">
        <v>197</v>
      </c>
      <c r="D4" t="s">
        <v>81</v>
      </c>
      <c r="E4">
        <v>10000000</v>
      </c>
      <c r="H4">
        <v>0.78500000000000003</v>
      </c>
      <c r="I4" t="s">
        <v>56</v>
      </c>
      <c r="J4">
        <v>7.8500000000000011E-5</v>
      </c>
      <c r="K4" t="s">
        <v>57</v>
      </c>
      <c r="O4">
        <v>5.6000000000000001E-2</v>
      </c>
      <c r="P4" t="s">
        <v>59</v>
      </c>
      <c r="T4">
        <v>20</v>
      </c>
      <c r="V4">
        <v>50</v>
      </c>
      <c r="W4" t="s">
        <v>204</v>
      </c>
      <c r="X4" t="s">
        <v>199</v>
      </c>
      <c r="Y4">
        <v>10</v>
      </c>
      <c r="AB4">
        <v>2.42</v>
      </c>
      <c r="AC4" t="s">
        <v>85</v>
      </c>
      <c r="AD4">
        <v>5.01</v>
      </c>
      <c r="AE4" t="s">
        <v>200</v>
      </c>
      <c r="AI4">
        <v>4</v>
      </c>
      <c r="AJ4" t="s">
        <v>201</v>
      </c>
      <c r="AV4" t="s">
        <v>88</v>
      </c>
    </row>
    <row r="5" spans="1:53" x14ac:dyDescent="0.3">
      <c r="A5" t="s">
        <v>195</v>
      </c>
      <c r="B5" t="s">
        <v>196</v>
      </c>
      <c r="C5" t="s">
        <v>197</v>
      </c>
      <c r="D5" t="s">
        <v>81</v>
      </c>
      <c r="E5">
        <v>10000000</v>
      </c>
      <c r="H5">
        <v>0.78500000000000003</v>
      </c>
      <c r="I5" t="s">
        <v>56</v>
      </c>
      <c r="J5">
        <v>7.8500000000000011E-5</v>
      </c>
      <c r="K5" t="s">
        <v>57</v>
      </c>
      <c r="O5">
        <v>5.6000000000000001E-2</v>
      </c>
      <c r="P5" t="s">
        <v>59</v>
      </c>
      <c r="T5">
        <v>20</v>
      </c>
      <c r="V5">
        <v>50</v>
      </c>
      <c r="W5" t="s">
        <v>134</v>
      </c>
      <c r="X5" t="s">
        <v>199</v>
      </c>
      <c r="Y5">
        <v>10</v>
      </c>
      <c r="AB5">
        <v>3.04</v>
      </c>
      <c r="AC5" t="s">
        <v>85</v>
      </c>
      <c r="AD5">
        <v>5.71</v>
      </c>
      <c r="AE5" t="s">
        <v>200</v>
      </c>
      <c r="AI5">
        <v>4</v>
      </c>
      <c r="AJ5" t="s">
        <v>201</v>
      </c>
      <c r="AT5" t="s">
        <v>65</v>
      </c>
      <c r="AV5" t="s">
        <v>88</v>
      </c>
    </row>
    <row r="6" spans="1:53" x14ac:dyDescent="0.3">
      <c r="A6" t="s">
        <v>195</v>
      </c>
      <c r="B6" t="s">
        <v>205</v>
      </c>
      <c r="C6" t="s">
        <v>197</v>
      </c>
      <c r="D6" t="s">
        <v>81</v>
      </c>
      <c r="E6">
        <v>10000000</v>
      </c>
      <c r="H6">
        <v>0.78500000000000003</v>
      </c>
      <c r="I6" t="s">
        <v>56</v>
      </c>
      <c r="J6">
        <v>7.8500000000000011E-5</v>
      </c>
      <c r="K6" t="s">
        <v>57</v>
      </c>
      <c r="O6">
        <v>5.6000000000000001E-2</v>
      </c>
      <c r="P6" t="s">
        <v>59</v>
      </c>
      <c r="T6">
        <v>20</v>
      </c>
      <c r="V6">
        <v>50</v>
      </c>
      <c r="W6" t="s">
        <v>198</v>
      </c>
      <c r="X6" t="s">
        <v>199</v>
      </c>
      <c r="Y6">
        <v>10</v>
      </c>
      <c r="AB6">
        <v>2.67</v>
      </c>
      <c r="AC6" t="s">
        <v>85</v>
      </c>
      <c r="AD6">
        <v>2.06</v>
      </c>
      <c r="AE6" t="s">
        <v>200</v>
      </c>
      <c r="AI6">
        <v>4</v>
      </c>
      <c r="AJ6" t="s">
        <v>201</v>
      </c>
      <c r="AV6" t="s">
        <v>88</v>
      </c>
    </row>
    <row r="7" spans="1:53" x14ac:dyDescent="0.3">
      <c r="A7" t="s">
        <v>195</v>
      </c>
      <c r="B7" t="s">
        <v>205</v>
      </c>
      <c r="C7" t="s">
        <v>197</v>
      </c>
      <c r="D7" t="s">
        <v>81</v>
      </c>
      <c r="E7">
        <v>10000000</v>
      </c>
      <c r="H7">
        <v>0.78500000000000003</v>
      </c>
      <c r="I7" t="s">
        <v>56</v>
      </c>
      <c r="J7">
        <v>7.8500000000000011E-5</v>
      </c>
      <c r="K7" t="s">
        <v>57</v>
      </c>
      <c r="O7">
        <v>5.6000000000000001E-2</v>
      </c>
      <c r="P7" t="s">
        <v>59</v>
      </c>
      <c r="T7">
        <v>20</v>
      </c>
      <c r="V7">
        <v>50</v>
      </c>
      <c r="W7" t="s">
        <v>202</v>
      </c>
      <c r="X7" t="s">
        <v>199</v>
      </c>
      <c r="Y7">
        <v>10</v>
      </c>
      <c r="AB7">
        <v>2.65</v>
      </c>
      <c r="AC7" t="s">
        <v>85</v>
      </c>
      <c r="AD7">
        <v>10.46</v>
      </c>
      <c r="AE7" t="s">
        <v>200</v>
      </c>
      <c r="AI7">
        <v>4</v>
      </c>
      <c r="AJ7" t="s">
        <v>201</v>
      </c>
      <c r="AT7" t="s">
        <v>203</v>
      </c>
      <c r="AV7" t="s">
        <v>88</v>
      </c>
    </row>
    <row r="8" spans="1:53" x14ac:dyDescent="0.3">
      <c r="A8" t="s">
        <v>195</v>
      </c>
      <c r="B8" t="s">
        <v>205</v>
      </c>
      <c r="C8" t="s">
        <v>197</v>
      </c>
      <c r="D8" t="s">
        <v>81</v>
      </c>
      <c r="E8">
        <v>10000000</v>
      </c>
      <c r="H8">
        <v>0.78500000000000003</v>
      </c>
      <c r="I8" t="s">
        <v>56</v>
      </c>
      <c r="J8">
        <v>7.8500000000000011E-5</v>
      </c>
      <c r="K8" t="s">
        <v>57</v>
      </c>
      <c r="O8">
        <v>5.6000000000000001E-2</v>
      </c>
      <c r="P8" t="s">
        <v>59</v>
      </c>
      <c r="T8">
        <v>20</v>
      </c>
      <c r="V8">
        <v>50</v>
      </c>
      <c r="W8" t="s">
        <v>204</v>
      </c>
      <c r="X8" t="s">
        <v>199</v>
      </c>
      <c r="Y8">
        <v>10</v>
      </c>
      <c r="AB8">
        <v>2.16</v>
      </c>
      <c r="AC8" t="s">
        <v>85</v>
      </c>
      <c r="AD8">
        <v>0.8</v>
      </c>
      <c r="AE8" t="s">
        <v>200</v>
      </c>
      <c r="AI8">
        <v>4</v>
      </c>
      <c r="AJ8" t="s">
        <v>201</v>
      </c>
      <c r="AV8" t="s">
        <v>88</v>
      </c>
    </row>
    <row r="9" spans="1:53" x14ac:dyDescent="0.3">
      <c r="A9" t="s">
        <v>195</v>
      </c>
      <c r="B9" t="s">
        <v>205</v>
      </c>
      <c r="C9" t="s">
        <v>197</v>
      </c>
      <c r="D9" t="s">
        <v>81</v>
      </c>
      <c r="E9">
        <v>10000000</v>
      </c>
      <c r="H9">
        <v>0.78500000000000003</v>
      </c>
      <c r="I9" t="s">
        <v>56</v>
      </c>
      <c r="J9">
        <v>7.8500000000000011E-5</v>
      </c>
      <c r="K9" t="s">
        <v>57</v>
      </c>
      <c r="O9">
        <v>5.6000000000000001E-2</v>
      </c>
      <c r="P9" t="s">
        <v>59</v>
      </c>
      <c r="T9">
        <v>20</v>
      </c>
      <c r="V9">
        <v>50</v>
      </c>
      <c r="W9" t="s">
        <v>134</v>
      </c>
      <c r="X9" t="s">
        <v>199</v>
      </c>
      <c r="Y9">
        <v>10</v>
      </c>
      <c r="AB9">
        <v>2.73</v>
      </c>
      <c r="AC9" t="s">
        <v>85</v>
      </c>
      <c r="AD9">
        <v>2.91</v>
      </c>
      <c r="AE9" t="s">
        <v>200</v>
      </c>
      <c r="AI9">
        <v>4</v>
      </c>
      <c r="AJ9" t="s">
        <v>201</v>
      </c>
      <c r="AT9" t="s">
        <v>65</v>
      </c>
      <c r="AV9" t="s">
        <v>88</v>
      </c>
    </row>
    <row r="10" spans="1:53" x14ac:dyDescent="0.3">
      <c r="A10" t="s">
        <v>195</v>
      </c>
      <c r="B10" t="s">
        <v>196</v>
      </c>
      <c r="C10" t="s">
        <v>197</v>
      </c>
      <c r="D10" t="s">
        <v>81</v>
      </c>
      <c r="E10">
        <v>10000000</v>
      </c>
      <c r="H10">
        <v>0.78500000000000003</v>
      </c>
      <c r="I10" t="s">
        <v>56</v>
      </c>
      <c r="J10">
        <v>7.8500000000000011E-5</v>
      </c>
      <c r="K10" t="s">
        <v>57</v>
      </c>
      <c r="O10">
        <v>5.6000000000000001E-2</v>
      </c>
      <c r="P10" t="s">
        <v>59</v>
      </c>
      <c r="T10">
        <v>20</v>
      </c>
      <c r="V10">
        <v>50</v>
      </c>
      <c r="W10" t="s">
        <v>198</v>
      </c>
      <c r="X10" t="s">
        <v>199</v>
      </c>
      <c r="Y10">
        <v>10</v>
      </c>
      <c r="AB10">
        <v>2.48</v>
      </c>
      <c r="AC10" t="s">
        <v>85</v>
      </c>
      <c r="AD10">
        <v>18.86</v>
      </c>
      <c r="AE10" t="s">
        <v>200</v>
      </c>
      <c r="AI10">
        <v>4</v>
      </c>
      <c r="AJ10" t="s">
        <v>201</v>
      </c>
      <c r="AV10" t="s">
        <v>88</v>
      </c>
    </row>
    <row r="11" spans="1:53" x14ac:dyDescent="0.3">
      <c r="A11" t="s">
        <v>195</v>
      </c>
      <c r="B11" t="s">
        <v>196</v>
      </c>
      <c r="C11" t="s">
        <v>197</v>
      </c>
      <c r="D11" t="s">
        <v>81</v>
      </c>
      <c r="E11">
        <v>10000000</v>
      </c>
      <c r="H11">
        <v>0.78500000000000003</v>
      </c>
      <c r="I11" t="s">
        <v>56</v>
      </c>
      <c r="J11">
        <v>7.8500000000000011E-5</v>
      </c>
      <c r="K11" t="s">
        <v>57</v>
      </c>
      <c r="O11">
        <v>5.6000000000000001E-2</v>
      </c>
      <c r="P11" t="s">
        <v>59</v>
      </c>
      <c r="T11">
        <v>20</v>
      </c>
      <c r="V11">
        <v>50</v>
      </c>
      <c r="W11" t="s">
        <v>202</v>
      </c>
      <c r="X11" t="s">
        <v>199</v>
      </c>
      <c r="Y11">
        <v>10</v>
      </c>
      <c r="AB11">
        <v>3.43</v>
      </c>
      <c r="AC11" t="s">
        <v>85</v>
      </c>
      <c r="AD11">
        <v>0</v>
      </c>
      <c r="AE11" t="s">
        <v>200</v>
      </c>
      <c r="AI11">
        <v>4</v>
      </c>
      <c r="AJ11" t="s">
        <v>201</v>
      </c>
      <c r="AT11" t="s">
        <v>203</v>
      </c>
      <c r="AV11" t="s">
        <v>88</v>
      </c>
    </row>
    <row r="12" spans="1:53" x14ac:dyDescent="0.3">
      <c r="A12" t="s">
        <v>195</v>
      </c>
      <c r="B12" t="s">
        <v>196</v>
      </c>
      <c r="C12" t="s">
        <v>197</v>
      </c>
      <c r="D12" t="s">
        <v>81</v>
      </c>
      <c r="E12">
        <v>10000000</v>
      </c>
      <c r="H12">
        <v>0.78500000000000003</v>
      </c>
      <c r="I12" t="s">
        <v>56</v>
      </c>
      <c r="J12">
        <v>7.8500000000000011E-5</v>
      </c>
      <c r="K12" t="s">
        <v>57</v>
      </c>
      <c r="O12">
        <v>5.6000000000000001E-2</v>
      </c>
      <c r="P12" t="s">
        <v>59</v>
      </c>
      <c r="T12">
        <v>20</v>
      </c>
      <c r="V12">
        <v>50</v>
      </c>
      <c r="W12" t="s">
        <v>204</v>
      </c>
      <c r="X12" t="s">
        <v>199</v>
      </c>
      <c r="Y12">
        <v>10</v>
      </c>
      <c r="AB12">
        <v>2.97</v>
      </c>
      <c r="AC12" t="s">
        <v>85</v>
      </c>
      <c r="AD12">
        <v>8.16</v>
      </c>
      <c r="AE12" t="s">
        <v>200</v>
      </c>
      <c r="AI12">
        <v>4</v>
      </c>
      <c r="AJ12" t="s">
        <v>201</v>
      </c>
      <c r="AV12" t="s">
        <v>88</v>
      </c>
    </row>
    <row r="13" spans="1:53" x14ac:dyDescent="0.3">
      <c r="A13" t="s">
        <v>195</v>
      </c>
      <c r="B13" t="s">
        <v>196</v>
      </c>
      <c r="C13" t="s">
        <v>197</v>
      </c>
      <c r="D13" t="s">
        <v>81</v>
      </c>
      <c r="E13">
        <v>10000000</v>
      </c>
      <c r="H13">
        <v>0.78500000000000003</v>
      </c>
      <c r="I13" t="s">
        <v>56</v>
      </c>
      <c r="J13">
        <v>7.8500000000000011E-5</v>
      </c>
      <c r="K13" t="s">
        <v>57</v>
      </c>
      <c r="O13">
        <v>5.6000000000000001E-2</v>
      </c>
      <c r="P13" t="s">
        <v>59</v>
      </c>
      <c r="T13">
        <v>20</v>
      </c>
      <c r="V13">
        <v>50</v>
      </c>
      <c r="W13" t="s">
        <v>134</v>
      </c>
      <c r="X13" t="s">
        <v>199</v>
      </c>
      <c r="Y13">
        <v>10</v>
      </c>
      <c r="AB13">
        <v>3.56</v>
      </c>
      <c r="AC13" t="s">
        <v>85</v>
      </c>
      <c r="AD13">
        <v>5.31</v>
      </c>
      <c r="AE13" t="s">
        <v>200</v>
      </c>
      <c r="AI13">
        <v>4</v>
      </c>
      <c r="AJ13" t="s">
        <v>201</v>
      </c>
      <c r="AT13" t="s">
        <v>65</v>
      </c>
      <c r="AV13" t="s">
        <v>88</v>
      </c>
    </row>
  </sheetData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workbookViewId="0">
      <selection activeCell="C18" sqref="C18:F18"/>
    </sheetView>
  </sheetViews>
  <sheetFormatPr defaultRowHeight="14.4" x14ac:dyDescent="0.3"/>
  <cols>
    <col min="1" max="1" width="32.109375" bestFit="1" customWidth="1"/>
    <col min="2" max="2" width="7.5546875" bestFit="1" customWidth="1"/>
    <col min="3" max="4" width="10" bestFit="1" customWidth="1"/>
    <col min="5" max="5" width="11.21875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COUNTA(ImmersionMaster[Ref])</f>
        <v>12</v>
      </c>
      <c r="C2" s="3"/>
      <c r="D2" s="3"/>
      <c r="E2" s="3"/>
      <c r="F2" s="3"/>
    </row>
    <row r="3" spans="1:6" x14ac:dyDescent="0.3">
      <c r="A3" s="3" t="s">
        <v>1583</v>
      </c>
      <c r="B3" s="3">
        <f>COUNTA(ImmersionMaster[GrimeDirt])</f>
        <v>12</v>
      </c>
      <c r="C3" s="3"/>
      <c r="D3" s="3"/>
      <c r="E3" s="3"/>
      <c r="F3" s="3"/>
    </row>
    <row r="4" spans="1:6" x14ac:dyDescent="0.3">
      <c r="A4" s="3" t="s">
        <v>1584</v>
      </c>
      <c r="B4" s="3">
        <f>COUNTA(ImmersionMaster[Rinsate])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ImmersionMaster[ConvertedCoupAreaUn]),COUNTIF(ImmersionMaster[ConvertedCoupAreaUn],INDEX(ImmersionMaster[ConvertedCoupAreaUn],MATCH(TRUE,ImmersionMaster[ConvertedCoupAreaUn]&lt;&gt;"",0)))=COUNTIF(ImmersionMaster[ConvertedCoupAreaUn],"&lt;&gt;"),""),INDEX(ImmersionMaster[ConvertedCoupAreaUn],MATCH(TRUE,ImmersionMaster[ConvertedCoupAreaUn]&lt;&gt;"",0)), "multiple units given"),"NA")</f>
        <v>m^2</v>
      </c>
      <c r="C11" s="3">
        <f>IF(AND(ISNUMBER(E11),ISNUMBER(F11)),MIN(ImmersionMaster[ConvertedCoupArea]),"NA")</f>
        <v>7.8500000000000011E-5</v>
      </c>
      <c r="D11" s="3">
        <f>IF(AND(ISNUMBER(E11),ISNUMBER(F11)),MAX(ImmersionMaster[ConvertedCoupArea]),"NA")</f>
        <v>7.8500000000000011E-5</v>
      </c>
      <c r="E11" s="3">
        <f>IFERROR(AVERAGE(ImmersionMaster[ConvertedCoupArea]),"NA")</f>
        <v>7.8500000000000011E-5</v>
      </c>
      <c r="F11" s="3">
        <f>IFERROR(STDEV(ImmersionMaster[ConvertedCoupArea]),"NA")</f>
        <v>0</v>
      </c>
    </row>
    <row r="12" spans="1:6" x14ac:dyDescent="0.3">
      <c r="A12" s="3" t="s">
        <v>1591</v>
      </c>
      <c r="B12" s="3" t="str" cm="1">
        <f t="array" ref="B12">IFERROR(IF(IF(COUNTA(ImmersionMaster[LoadingUn]),COUNTIF(ImmersionMaster[LoadingUn],INDEX(ImmersionMaster[LoadingUn],MATCH(TRUE,ImmersionMaster[LoadingUn]&lt;&gt;"",0)))=COUNTIF(ImmersionMaster[LoadingUn],"&lt;&gt;"),""),INDEX(ImmersionMaster[LoadingUn],MATCH(TRUE,ImmersionMaster[LoadingUn]&lt;&gt;"",0)), "multiple units given"),"NA")</f>
        <v>CFU</v>
      </c>
      <c r="C12" s="3">
        <f>IF(AND(ISNUMBER(E12),ISNUMBER(F12)),MIN(ImmersionMaster[LoadingNum]),"NA")</f>
        <v>10000000</v>
      </c>
      <c r="D12" s="3">
        <f>IF(AND(ISNUMBER(E12),ISNUMBER(F12)),MAX(ImmersionMaster[LoadingNum]),"NA")</f>
        <v>10000000</v>
      </c>
      <c r="E12" s="3">
        <f>IFERROR(AVERAGE(ImmersionMaster[LoadingNum]),"NA")</f>
        <v>10000000</v>
      </c>
      <c r="F12" s="3">
        <f>IFERROR(STDEV(ImmersionMaster[LoadingNum]),"NA")</f>
        <v>0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IF(AND(ISNUMBER(E13),ISNUMBER(F13)),MIN(ImmersionMaster[TotalApp]),"NA")</f>
        <v>NA</v>
      </c>
      <c r="D13" s="3" t="str">
        <f>IF(AND(ISNUMBER(E13),ISNUMBER(F13)),MAX(ImmersionMaster[TotalApp]),"NA")</f>
        <v>NA</v>
      </c>
      <c r="E13" s="3" t="str">
        <f>IFERROR(AVERAGE(ImmersionMaster[TotalApp]),"NA")</f>
        <v>NA</v>
      </c>
      <c r="F13" s="3" t="str">
        <f>IFERROR(STDEV(ImmersionMaster[TotalApp]),"NA")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IF(AND(ISNUMBER(E14),ISNUMBER(F14)),MIN(ImmersionMaster[TempNum]),"NA")</f>
        <v>20</v>
      </c>
      <c r="D14" s="3">
        <f>IF(AND(ISNUMBER(E14),ISNUMBER(F14)),MAX(ImmersionMaster[TempNum]),"NA")</f>
        <v>20</v>
      </c>
      <c r="E14" s="3">
        <f>IFERROR(AVERAGE(ImmersionMaster[TempNum]),"NA")</f>
        <v>20</v>
      </c>
      <c r="F14" s="3">
        <f>IFERROR(STDEV(ImmersionMaster[TempNum]),"NA")</f>
        <v>0</v>
      </c>
    </row>
    <row r="15" spans="1:6" x14ac:dyDescent="0.3">
      <c r="A15" s="3" t="s">
        <v>1595</v>
      </c>
      <c r="B15" s="3" t="s">
        <v>1527</v>
      </c>
      <c r="C15" s="3">
        <f>IF(AND(ISNUMBER(E15),ISNUMBER(F15)),MIN(ImmersionMaster[RHNum]),"NA")</f>
        <v>50</v>
      </c>
      <c r="D15" s="3">
        <f>IF(AND(ISNUMBER(E15),ISNUMBER(F15)),MAX(ImmersionMaster[RHNum]),"NA")</f>
        <v>50</v>
      </c>
      <c r="E15" s="3">
        <f>IFERROR(AVERAGE(ImmersionMaster[RHNum]),"NA")</f>
        <v>50</v>
      </c>
      <c r="F15" s="3">
        <f>IFERROR(STDEV(ImmersionMaster[RHNum]),"NA")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IF(AND(ISNUMBER(E16),ISNUMBER(F16)),MIN(ImmersionMaster[ContTimeNumMin]),"NA")</f>
        <v>10</v>
      </c>
      <c r="D16" s="3">
        <f>IF(AND(ISNUMBER(E16),ISNUMBER(F16)),MAX(ImmersionMaster[ContTimeNumMin]),"NA")</f>
        <v>10</v>
      </c>
      <c r="E16" s="3">
        <f>IFERROR(AVERAGE(ImmersionMaster[ContTimeNumMin]),"NA")</f>
        <v>10</v>
      </c>
      <c r="F16" s="3">
        <f>IFERROR(STDEV(ImmersionMaster[ContTimeNumMin]),"NA")</f>
        <v>0</v>
      </c>
    </row>
    <row r="17" spans="1:6" x14ac:dyDescent="0.3">
      <c r="A17" s="3" t="s">
        <v>1598</v>
      </c>
      <c r="B17" s="3" t="str" cm="1">
        <f t="array" ref="B17">IFERROR(IF(IF(COUNTA(ImmersionMaster[ConcDoseUn]),COUNTIF(ImmersionMaster[ConcDoseUn],INDEX(ImmersionMaster[ConcDoseUn],MATCH(TRUE,ImmersionMaster[ConcDoseUn]&lt;&gt;"",0)))=COUNTIF(ImmersionMaster[ConcDoseUn],"&lt;&gt;"),""),INDEX(ImmersionMaster[ConcDoseUn],MATCH(TRUE,ImmersionMaster[ConcDoseUn]&lt;&gt;"",0)), "multiple units given"),"NA")</f>
        <v>wt%</v>
      </c>
      <c r="C17" s="3">
        <f>IF(AND(ISNUMBER(E17),ISNUMBER(F17)),MIN(ImmersionMaster[ConcDoseNum]),"NA")</f>
        <v>5.6000000000000001E-2</v>
      </c>
      <c r="D17" s="3">
        <f>IF(AND(ISNUMBER(E17),ISNUMBER(F17)),MAX(ImmersionMaster[ConcDoseNum]),"NA")</f>
        <v>5.6000000000000001E-2</v>
      </c>
      <c r="E17" s="3">
        <f>IFERROR(AVERAGE(ImmersionMaster[ConcDoseNum]),"NA")</f>
        <v>5.6000000000000015E-2</v>
      </c>
      <c r="F17" s="3">
        <f>IFERROR(STDEV(ImmersionMaster[ConcDoseNum]),"NA")</f>
        <v>1.4494876628609418E-17</v>
      </c>
    </row>
    <row r="18" spans="1:6" x14ac:dyDescent="0.3">
      <c r="A18" s="3" t="s">
        <v>1599</v>
      </c>
      <c r="B18" s="3" t="str" cm="1">
        <f t="array" ref="B18">IFERROR(IF(IF(COUNTA(ImmersionMaster[EffMeas]),COUNTIF(ImmersionMaster[EffMeas],INDEX(ImmersionMaster[EffMeas],MATCH(TRUE,ImmersionMaster[EffMeas]&lt;&gt;"",0)))=COUNTIF(ImmersionMaster[EffMeas],"&lt;&gt;"),""),INDEX(ImmersionMaster[EffMeas],MATCH(TRUE,ImmersionMaster[EffMeas]&lt;&gt;"",0)), "multiple units given"),"NA")</f>
        <v>LR</v>
      </c>
      <c r="C18" s="3">
        <f>IF(AND(ISNUMBER(E18),ISNUMBER(F18)),MIN(ImmersionMaster[Eff]),"NA")</f>
        <v>2.16</v>
      </c>
      <c r="D18" s="3">
        <f>IF(AND(ISNUMBER(E18),ISNUMBER(F18)),MAX(ImmersionMaster[Eff]),"NA")</f>
        <v>3.56</v>
      </c>
      <c r="E18" s="3">
        <f>IFERROR(AVERAGE(ImmersionMaster[Eff]),"NA")</f>
        <v>2.855</v>
      </c>
      <c r="F18" s="3">
        <f>IFERROR(STDEV(ImmersionMaster[Eff]),"NA")</f>
        <v>0.42403902050293835</v>
      </c>
    </row>
    <row r="19" spans="1:6" x14ac:dyDescent="0.3">
      <c r="A19" s="3" t="s">
        <v>1600</v>
      </c>
      <c r="B19" s="3" t="str" cm="1">
        <f t="array" ref="B19">IFERROR(IF(IF(COUNTA(ImmersionMaster[ConvertedVolAppUn]),COUNTIF(ImmersionMaster[ConvertedVolAppUn],INDEX(ImmersionMaster[ConvertedVolAppUn],MATCH(TRUE,ImmersionMaster[ConvertedVolAppUn]&lt;&gt;"",0)))=COUNTIF(ImmersionMaster[ConvertedVolAppUn],"&lt;&gt;"),""),INDEX(ImmersionMaster[ConvertedVolAppUn],MATCH(TRUE,ImmersionMaster[ConvertedVolAppUn]&lt;&gt;"",0)), "multiple units given"),"NA")</f>
        <v>NA</v>
      </c>
      <c r="C19" s="3" t="str">
        <f>IF(AND(ISNUMBER(E19),ISNUMBER(F19)),MIN(ImmersionMaster[ConvertedVolApp]),"NA")</f>
        <v>NA</v>
      </c>
      <c r="D19" s="3" t="str">
        <f>IF(AND(ISNUMBER(E19),ISNUMBER(F19)),MAX(ImmersionMaster[ConvertedVolApp]),"NA")</f>
        <v>NA</v>
      </c>
      <c r="E19" s="3" t="str">
        <f>IFERROR(AVERAGE(ImmersionMaster[ConvertedVolApp]),"NA")</f>
        <v>NA</v>
      </c>
      <c r="F19" s="3" t="str">
        <f>IFERROR(STDEV(ImmersionMaster[ConvertedVolApp]),"NA")</f>
        <v>NA</v>
      </c>
    </row>
  </sheetData>
  <conditionalFormatting sqref="B11:B19">
    <cfRule type="cellIs" dxfId="40" priority="1" operator="equal">
      <formula>"multiple units given"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A161"/>
  <sheetViews>
    <sheetView workbookViewId="0">
      <selection activeCell="F21" sqref="F21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1261</v>
      </c>
      <c r="C2" t="s">
        <v>1196</v>
      </c>
      <c r="D2" t="s">
        <v>470</v>
      </c>
      <c r="E2">
        <v>10000000</v>
      </c>
      <c r="O2">
        <v>60</v>
      </c>
      <c r="P2" t="s">
        <v>262</v>
      </c>
      <c r="W2" t="s">
        <v>1057</v>
      </c>
      <c r="X2" t="s">
        <v>114</v>
      </c>
      <c r="Y2">
        <v>1</v>
      </c>
      <c r="AB2">
        <v>0.22</v>
      </c>
      <c r="AC2" t="s">
        <v>85</v>
      </c>
      <c r="AE2" t="s">
        <v>1072</v>
      </c>
      <c r="AI2">
        <v>3</v>
      </c>
    </row>
    <row r="3" spans="1:53" x14ac:dyDescent="0.3">
      <c r="A3" t="s">
        <v>1261</v>
      </c>
      <c r="C3" t="s">
        <v>1196</v>
      </c>
      <c r="D3" t="s">
        <v>470</v>
      </c>
      <c r="E3">
        <v>10000000</v>
      </c>
      <c r="O3">
        <v>60</v>
      </c>
      <c r="P3" t="s">
        <v>262</v>
      </c>
      <c r="W3" t="s">
        <v>1057</v>
      </c>
      <c r="X3" t="s">
        <v>114</v>
      </c>
      <c r="Y3">
        <v>2</v>
      </c>
      <c r="AB3">
        <v>1.1299999999999999</v>
      </c>
      <c r="AC3" t="s">
        <v>85</v>
      </c>
      <c r="AE3" t="s">
        <v>1072</v>
      </c>
      <c r="AI3">
        <v>3</v>
      </c>
    </row>
    <row r="4" spans="1:53" x14ac:dyDescent="0.3">
      <c r="A4" t="s">
        <v>1261</v>
      </c>
      <c r="C4" t="s">
        <v>1196</v>
      </c>
      <c r="D4" t="s">
        <v>470</v>
      </c>
      <c r="E4">
        <v>10000000</v>
      </c>
      <c r="O4">
        <v>60</v>
      </c>
      <c r="P4" t="s">
        <v>262</v>
      </c>
      <c r="W4" t="s">
        <v>1057</v>
      </c>
      <c r="X4" t="s">
        <v>114</v>
      </c>
      <c r="Y4">
        <v>3</v>
      </c>
      <c r="AB4">
        <v>2.2599999999999998</v>
      </c>
      <c r="AC4" t="s">
        <v>85</v>
      </c>
      <c r="AE4" t="s">
        <v>1072</v>
      </c>
      <c r="AI4">
        <v>3</v>
      </c>
    </row>
    <row r="5" spans="1:53" x14ac:dyDescent="0.3">
      <c r="A5" t="s">
        <v>1261</v>
      </c>
      <c r="C5" t="s">
        <v>1196</v>
      </c>
      <c r="D5" t="s">
        <v>470</v>
      </c>
      <c r="E5">
        <v>10000000</v>
      </c>
      <c r="O5">
        <v>60</v>
      </c>
      <c r="P5" t="s">
        <v>262</v>
      </c>
      <c r="W5" t="s">
        <v>1057</v>
      </c>
      <c r="X5" t="s">
        <v>114</v>
      </c>
      <c r="Y5">
        <v>4</v>
      </c>
      <c r="AB5">
        <v>4.1900000000000004</v>
      </c>
      <c r="AC5" t="s">
        <v>85</v>
      </c>
      <c r="AE5" t="s">
        <v>1072</v>
      </c>
      <c r="AI5">
        <v>3</v>
      </c>
    </row>
    <row r="6" spans="1:53" x14ac:dyDescent="0.3">
      <c r="A6" t="s">
        <v>1261</v>
      </c>
      <c r="C6" t="s">
        <v>1196</v>
      </c>
      <c r="D6" t="s">
        <v>470</v>
      </c>
      <c r="E6">
        <v>10000000</v>
      </c>
      <c r="O6">
        <v>60</v>
      </c>
      <c r="P6" t="s">
        <v>262</v>
      </c>
      <c r="W6" t="s">
        <v>1057</v>
      </c>
      <c r="X6" t="s">
        <v>114</v>
      </c>
      <c r="Y6">
        <v>5</v>
      </c>
      <c r="AB6">
        <v>4.9400000000000004</v>
      </c>
      <c r="AC6" t="s">
        <v>85</v>
      </c>
      <c r="AE6" t="s">
        <v>1072</v>
      </c>
      <c r="AI6">
        <v>3</v>
      </c>
    </row>
    <row r="7" spans="1:53" x14ac:dyDescent="0.3">
      <c r="A7" t="s">
        <v>1261</v>
      </c>
      <c r="C7" t="s">
        <v>1196</v>
      </c>
      <c r="D7" t="s">
        <v>470</v>
      </c>
      <c r="E7">
        <v>10000000</v>
      </c>
      <c r="O7">
        <v>60</v>
      </c>
      <c r="P7" t="s">
        <v>262</v>
      </c>
      <c r="W7" t="s">
        <v>1057</v>
      </c>
      <c r="X7" t="s">
        <v>114</v>
      </c>
      <c r="Y7">
        <v>6</v>
      </c>
      <c r="AB7">
        <v>6.72</v>
      </c>
      <c r="AC7" t="s">
        <v>85</v>
      </c>
      <c r="AE7" t="s">
        <v>1072</v>
      </c>
      <c r="AI7">
        <v>3</v>
      </c>
    </row>
    <row r="8" spans="1:53" x14ac:dyDescent="0.3">
      <c r="A8" t="s">
        <v>1261</v>
      </c>
      <c r="C8" t="s">
        <v>1196</v>
      </c>
      <c r="D8" t="s">
        <v>470</v>
      </c>
      <c r="E8">
        <v>10000000</v>
      </c>
      <c r="O8">
        <v>60</v>
      </c>
      <c r="P8" t="s">
        <v>262</v>
      </c>
      <c r="W8" t="s">
        <v>1057</v>
      </c>
      <c r="X8" t="s">
        <v>114</v>
      </c>
      <c r="Y8">
        <v>1</v>
      </c>
      <c r="AB8">
        <v>0.32</v>
      </c>
      <c r="AC8" t="s">
        <v>85</v>
      </c>
      <c r="AE8" t="s">
        <v>1072</v>
      </c>
      <c r="AI8">
        <v>3</v>
      </c>
    </row>
    <row r="9" spans="1:53" x14ac:dyDescent="0.3">
      <c r="A9" t="s">
        <v>1261</v>
      </c>
      <c r="C9" t="s">
        <v>1196</v>
      </c>
      <c r="D9" t="s">
        <v>470</v>
      </c>
      <c r="E9">
        <v>10000000</v>
      </c>
      <c r="O9">
        <v>60</v>
      </c>
      <c r="P9" t="s">
        <v>262</v>
      </c>
      <c r="W9" t="s">
        <v>1057</v>
      </c>
      <c r="X9" t="s">
        <v>114</v>
      </c>
      <c r="Y9">
        <v>2</v>
      </c>
      <c r="AB9">
        <v>1.91</v>
      </c>
      <c r="AC9" t="s">
        <v>85</v>
      </c>
      <c r="AE9" t="s">
        <v>1072</v>
      </c>
      <c r="AI9">
        <v>3</v>
      </c>
    </row>
    <row r="10" spans="1:53" x14ac:dyDescent="0.3">
      <c r="A10" t="s">
        <v>1261</v>
      </c>
      <c r="C10" t="s">
        <v>1196</v>
      </c>
      <c r="D10" t="s">
        <v>470</v>
      </c>
      <c r="E10">
        <v>10000000</v>
      </c>
      <c r="O10">
        <v>60</v>
      </c>
      <c r="P10" t="s">
        <v>262</v>
      </c>
      <c r="W10" t="s">
        <v>1057</v>
      </c>
      <c r="X10" t="s">
        <v>114</v>
      </c>
      <c r="Y10">
        <v>3</v>
      </c>
      <c r="AB10">
        <v>3.61</v>
      </c>
      <c r="AC10" t="s">
        <v>85</v>
      </c>
      <c r="AE10" t="s">
        <v>1072</v>
      </c>
      <c r="AI10">
        <v>3</v>
      </c>
    </row>
    <row r="11" spans="1:53" x14ac:dyDescent="0.3">
      <c r="A11" t="s">
        <v>1261</v>
      </c>
      <c r="C11" t="s">
        <v>1196</v>
      </c>
      <c r="D11" t="s">
        <v>470</v>
      </c>
      <c r="E11">
        <v>10000000</v>
      </c>
      <c r="O11">
        <v>60</v>
      </c>
      <c r="P11" t="s">
        <v>262</v>
      </c>
      <c r="W11" t="s">
        <v>1057</v>
      </c>
      <c r="X11" t="s">
        <v>114</v>
      </c>
      <c r="Y11">
        <v>4</v>
      </c>
      <c r="AB11">
        <v>4.9800000000000004</v>
      </c>
      <c r="AC11" t="s">
        <v>85</v>
      </c>
      <c r="AE11" t="s">
        <v>1072</v>
      </c>
      <c r="AI11">
        <v>3</v>
      </c>
    </row>
    <row r="12" spans="1:53" x14ac:dyDescent="0.3">
      <c r="A12" t="s">
        <v>1261</v>
      </c>
      <c r="C12" t="s">
        <v>1196</v>
      </c>
      <c r="D12" t="s">
        <v>470</v>
      </c>
      <c r="E12">
        <v>10000000</v>
      </c>
      <c r="O12">
        <v>60</v>
      </c>
      <c r="P12" t="s">
        <v>262</v>
      </c>
      <c r="W12" t="s">
        <v>1057</v>
      </c>
      <c r="X12" t="s">
        <v>114</v>
      </c>
      <c r="Y12">
        <v>5</v>
      </c>
      <c r="AB12">
        <v>6.22</v>
      </c>
      <c r="AC12" t="s">
        <v>85</v>
      </c>
      <c r="AE12" t="s">
        <v>1072</v>
      </c>
      <c r="AI12">
        <v>3</v>
      </c>
    </row>
    <row r="13" spans="1:53" x14ac:dyDescent="0.3">
      <c r="A13" t="s">
        <v>1261</v>
      </c>
      <c r="C13" t="s">
        <v>1196</v>
      </c>
      <c r="D13" t="s">
        <v>470</v>
      </c>
      <c r="E13">
        <v>10000000</v>
      </c>
      <c r="O13">
        <v>60</v>
      </c>
      <c r="P13" t="s">
        <v>262</v>
      </c>
      <c r="W13" t="s">
        <v>1057</v>
      </c>
      <c r="X13" t="s">
        <v>114</v>
      </c>
      <c r="Y13">
        <v>6</v>
      </c>
      <c r="AB13">
        <v>6.72</v>
      </c>
      <c r="AC13" t="s">
        <v>85</v>
      </c>
      <c r="AE13" t="s">
        <v>1072</v>
      </c>
      <c r="AI13">
        <v>3</v>
      </c>
    </row>
    <row r="14" spans="1:53" x14ac:dyDescent="0.3">
      <c r="A14" t="s">
        <v>1261</v>
      </c>
      <c r="C14" t="s">
        <v>1196</v>
      </c>
      <c r="D14" t="s">
        <v>470</v>
      </c>
      <c r="E14">
        <v>10000000</v>
      </c>
      <c r="O14">
        <v>60</v>
      </c>
      <c r="P14" t="s">
        <v>262</v>
      </c>
      <c r="W14" t="s">
        <v>1057</v>
      </c>
      <c r="X14" t="s">
        <v>114</v>
      </c>
      <c r="Y14">
        <v>1</v>
      </c>
      <c r="AB14">
        <v>2.2000000000000002</v>
      </c>
      <c r="AC14" t="s">
        <v>85</v>
      </c>
      <c r="AE14" t="s">
        <v>1072</v>
      </c>
      <c r="AI14">
        <v>3</v>
      </c>
    </row>
    <row r="15" spans="1:53" x14ac:dyDescent="0.3">
      <c r="A15" t="s">
        <v>1261</v>
      </c>
      <c r="C15" t="s">
        <v>1196</v>
      </c>
      <c r="D15" t="s">
        <v>470</v>
      </c>
      <c r="E15">
        <v>10000000</v>
      </c>
      <c r="O15">
        <v>60</v>
      </c>
      <c r="P15" t="s">
        <v>262</v>
      </c>
      <c r="W15" t="s">
        <v>1057</v>
      </c>
      <c r="X15" t="s">
        <v>114</v>
      </c>
      <c r="Y15">
        <v>2</v>
      </c>
      <c r="AB15">
        <v>2.9</v>
      </c>
      <c r="AC15" t="s">
        <v>85</v>
      </c>
      <c r="AE15" t="s">
        <v>1072</v>
      </c>
      <c r="AI15">
        <v>3</v>
      </c>
    </row>
    <row r="16" spans="1:53" x14ac:dyDescent="0.3">
      <c r="A16" t="s">
        <v>1261</v>
      </c>
      <c r="C16" t="s">
        <v>1196</v>
      </c>
      <c r="D16" t="s">
        <v>470</v>
      </c>
      <c r="E16">
        <v>10000000</v>
      </c>
      <c r="O16">
        <v>60</v>
      </c>
      <c r="P16" t="s">
        <v>262</v>
      </c>
      <c r="W16" t="s">
        <v>1057</v>
      </c>
      <c r="X16" t="s">
        <v>114</v>
      </c>
      <c r="Y16">
        <v>3</v>
      </c>
      <c r="AB16">
        <v>4.75</v>
      </c>
      <c r="AC16" t="s">
        <v>85</v>
      </c>
      <c r="AE16" t="s">
        <v>1072</v>
      </c>
      <c r="AI16">
        <v>3</v>
      </c>
    </row>
    <row r="17" spans="1:35" x14ac:dyDescent="0.3">
      <c r="A17" t="s">
        <v>1261</v>
      </c>
      <c r="C17" t="s">
        <v>1196</v>
      </c>
      <c r="D17" t="s">
        <v>470</v>
      </c>
      <c r="E17">
        <v>10000000</v>
      </c>
      <c r="O17">
        <v>60</v>
      </c>
      <c r="P17" t="s">
        <v>262</v>
      </c>
      <c r="W17" t="s">
        <v>1057</v>
      </c>
      <c r="X17" t="s">
        <v>114</v>
      </c>
      <c r="Y17">
        <v>4</v>
      </c>
      <c r="AB17">
        <v>5.05</v>
      </c>
      <c r="AC17" t="s">
        <v>85</v>
      </c>
      <c r="AE17" t="s">
        <v>1072</v>
      </c>
      <c r="AI17">
        <v>3</v>
      </c>
    </row>
    <row r="18" spans="1:35" x14ac:dyDescent="0.3">
      <c r="A18" t="s">
        <v>1261</v>
      </c>
      <c r="C18" t="s">
        <v>1196</v>
      </c>
      <c r="D18" t="s">
        <v>470</v>
      </c>
      <c r="E18">
        <v>10000000</v>
      </c>
      <c r="O18">
        <v>60</v>
      </c>
      <c r="P18" t="s">
        <v>262</v>
      </c>
      <c r="W18" t="s">
        <v>1057</v>
      </c>
      <c r="X18" t="s">
        <v>114</v>
      </c>
      <c r="Y18">
        <v>5</v>
      </c>
      <c r="AB18">
        <v>5.9</v>
      </c>
      <c r="AC18" t="s">
        <v>85</v>
      </c>
      <c r="AE18" t="s">
        <v>1072</v>
      </c>
      <c r="AI18">
        <v>3</v>
      </c>
    </row>
    <row r="19" spans="1:35" x14ac:dyDescent="0.3">
      <c r="A19" t="s">
        <v>1261</v>
      </c>
      <c r="C19" t="s">
        <v>1196</v>
      </c>
      <c r="D19" t="s">
        <v>470</v>
      </c>
      <c r="E19">
        <v>10000000</v>
      </c>
      <c r="O19">
        <v>60</v>
      </c>
      <c r="P19" t="s">
        <v>262</v>
      </c>
      <c r="W19" t="s">
        <v>1057</v>
      </c>
      <c r="X19" t="s">
        <v>114</v>
      </c>
      <c r="Y19">
        <v>6</v>
      </c>
      <c r="AB19">
        <v>6.4</v>
      </c>
      <c r="AC19" t="s">
        <v>85</v>
      </c>
      <c r="AE19" t="s">
        <v>1072</v>
      </c>
      <c r="AI19">
        <v>3</v>
      </c>
    </row>
    <row r="20" spans="1:35" x14ac:dyDescent="0.3">
      <c r="A20" t="s">
        <v>1261</v>
      </c>
      <c r="C20" t="s">
        <v>1196</v>
      </c>
      <c r="D20" t="s">
        <v>470</v>
      </c>
      <c r="E20">
        <v>10000000</v>
      </c>
      <c r="O20">
        <v>60</v>
      </c>
      <c r="P20" t="s">
        <v>262</v>
      </c>
      <c r="W20" t="s">
        <v>1057</v>
      </c>
      <c r="X20" t="s">
        <v>114</v>
      </c>
      <c r="Y20">
        <v>1</v>
      </c>
      <c r="AB20">
        <v>2.2000000000000002</v>
      </c>
      <c r="AC20" t="s">
        <v>85</v>
      </c>
      <c r="AE20" t="s">
        <v>1072</v>
      </c>
      <c r="AI20">
        <v>3</v>
      </c>
    </row>
    <row r="21" spans="1:35" x14ac:dyDescent="0.3">
      <c r="A21" t="s">
        <v>1261</v>
      </c>
      <c r="C21" t="s">
        <v>1196</v>
      </c>
      <c r="D21" t="s">
        <v>470</v>
      </c>
      <c r="E21">
        <v>10000000</v>
      </c>
      <c r="O21">
        <v>60</v>
      </c>
      <c r="P21" t="s">
        <v>262</v>
      </c>
      <c r="W21" t="s">
        <v>1057</v>
      </c>
      <c r="X21" t="s">
        <v>114</v>
      </c>
      <c r="Y21">
        <v>2</v>
      </c>
      <c r="AB21">
        <v>2.9</v>
      </c>
      <c r="AC21" t="s">
        <v>85</v>
      </c>
      <c r="AE21" t="s">
        <v>1072</v>
      </c>
      <c r="AI21">
        <v>3</v>
      </c>
    </row>
    <row r="22" spans="1:35" x14ac:dyDescent="0.3">
      <c r="A22" t="s">
        <v>1261</v>
      </c>
      <c r="C22" t="s">
        <v>1196</v>
      </c>
      <c r="D22" t="s">
        <v>470</v>
      </c>
      <c r="E22">
        <v>10000000</v>
      </c>
      <c r="O22">
        <v>60</v>
      </c>
      <c r="P22" t="s">
        <v>262</v>
      </c>
      <c r="W22" t="s">
        <v>1057</v>
      </c>
      <c r="X22" t="s">
        <v>114</v>
      </c>
      <c r="Y22">
        <v>3</v>
      </c>
      <c r="AB22">
        <v>4.75</v>
      </c>
      <c r="AC22" t="s">
        <v>85</v>
      </c>
      <c r="AE22" t="s">
        <v>1072</v>
      </c>
      <c r="AI22">
        <v>3</v>
      </c>
    </row>
    <row r="23" spans="1:35" x14ac:dyDescent="0.3">
      <c r="A23" t="s">
        <v>1261</v>
      </c>
      <c r="C23" t="s">
        <v>1196</v>
      </c>
      <c r="D23" t="s">
        <v>470</v>
      </c>
      <c r="E23">
        <v>10000000</v>
      </c>
      <c r="O23">
        <v>60</v>
      </c>
      <c r="P23" t="s">
        <v>262</v>
      </c>
      <c r="W23" t="s">
        <v>1057</v>
      </c>
      <c r="X23" t="s">
        <v>114</v>
      </c>
      <c r="Y23">
        <v>4</v>
      </c>
      <c r="AB23">
        <v>5.05</v>
      </c>
      <c r="AC23" t="s">
        <v>85</v>
      </c>
      <c r="AE23" t="s">
        <v>1072</v>
      </c>
      <c r="AI23">
        <v>3</v>
      </c>
    </row>
    <row r="24" spans="1:35" x14ac:dyDescent="0.3">
      <c r="A24" t="s">
        <v>1261</v>
      </c>
      <c r="C24" t="s">
        <v>1196</v>
      </c>
      <c r="D24" t="s">
        <v>470</v>
      </c>
      <c r="E24">
        <v>10000000</v>
      </c>
      <c r="O24">
        <v>60</v>
      </c>
      <c r="P24" t="s">
        <v>262</v>
      </c>
      <c r="W24" t="s">
        <v>1057</v>
      </c>
      <c r="X24" t="s">
        <v>114</v>
      </c>
      <c r="Y24">
        <v>5</v>
      </c>
      <c r="AB24">
        <v>5.9</v>
      </c>
      <c r="AC24" t="s">
        <v>85</v>
      </c>
      <c r="AE24" t="s">
        <v>1072</v>
      </c>
      <c r="AI24">
        <v>3</v>
      </c>
    </row>
    <row r="25" spans="1:35" x14ac:dyDescent="0.3">
      <c r="A25" t="s">
        <v>1261</v>
      </c>
      <c r="C25" t="s">
        <v>1196</v>
      </c>
      <c r="D25" t="s">
        <v>470</v>
      </c>
      <c r="E25">
        <v>10000000</v>
      </c>
      <c r="O25">
        <v>60</v>
      </c>
      <c r="P25" t="s">
        <v>262</v>
      </c>
      <c r="W25" t="s">
        <v>1057</v>
      </c>
      <c r="X25" t="s">
        <v>114</v>
      </c>
      <c r="Y25">
        <v>6</v>
      </c>
      <c r="AB25">
        <v>5.9</v>
      </c>
      <c r="AC25" t="s">
        <v>85</v>
      </c>
      <c r="AE25" t="s">
        <v>1072</v>
      </c>
      <c r="AI25">
        <v>3</v>
      </c>
    </row>
    <row r="26" spans="1:35" x14ac:dyDescent="0.3">
      <c r="A26" t="s">
        <v>1261</v>
      </c>
      <c r="C26" t="s">
        <v>1196</v>
      </c>
      <c r="D26" t="s">
        <v>470</v>
      </c>
      <c r="E26">
        <v>10000000</v>
      </c>
      <c r="O26">
        <v>40</v>
      </c>
      <c r="P26" t="s">
        <v>262</v>
      </c>
      <c r="W26" t="s">
        <v>1057</v>
      </c>
      <c r="X26" t="s">
        <v>114</v>
      </c>
      <c r="Y26">
        <v>2</v>
      </c>
      <c r="AB26">
        <v>0.4</v>
      </c>
      <c r="AC26" t="s">
        <v>85</v>
      </c>
      <c r="AE26" t="s">
        <v>1072</v>
      </c>
      <c r="AI26">
        <v>3</v>
      </c>
    </row>
    <row r="27" spans="1:35" x14ac:dyDescent="0.3">
      <c r="A27" t="s">
        <v>1261</v>
      </c>
      <c r="C27" t="s">
        <v>1196</v>
      </c>
      <c r="D27" t="s">
        <v>470</v>
      </c>
      <c r="E27">
        <v>10000000</v>
      </c>
      <c r="O27">
        <v>60</v>
      </c>
      <c r="P27" t="s">
        <v>262</v>
      </c>
      <c r="W27" t="s">
        <v>1057</v>
      </c>
      <c r="X27" t="s">
        <v>114</v>
      </c>
      <c r="Y27">
        <v>2</v>
      </c>
      <c r="AB27">
        <v>1.5</v>
      </c>
      <c r="AC27" t="s">
        <v>85</v>
      </c>
      <c r="AE27" t="s">
        <v>1072</v>
      </c>
      <c r="AI27">
        <v>3</v>
      </c>
    </row>
    <row r="28" spans="1:35" x14ac:dyDescent="0.3">
      <c r="A28" t="s">
        <v>1261</v>
      </c>
      <c r="C28" t="s">
        <v>1196</v>
      </c>
      <c r="D28" t="s">
        <v>470</v>
      </c>
      <c r="E28">
        <v>10000000</v>
      </c>
      <c r="O28">
        <v>80</v>
      </c>
      <c r="P28" t="s">
        <v>262</v>
      </c>
      <c r="W28" t="s">
        <v>1057</v>
      </c>
      <c r="X28" t="s">
        <v>114</v>
      </c>
      <c r="Y28">
        <v>2</v>
      </c>
      <c r="AB28">
        <v>2.2999999999999998</v>
      </c>
      <c r="AC28" t="s">
        <v>85</v>
      </c>
      <c r="AE28" t="s">
        <v>1072</v>
      </c>
      <c r="AI28">
        <v>3</v>
      </c>
    </row>
    <row r="29" spans="1:35" x14ac:dyDescent="0.3">
      <c r="A29" t="s">
        <v>1261</v>
      </c>
      <c r="C29" t="s">
        <v>1196</v>
      </c>
      <c r="D29" t="s">
        <v>470</v>
      </c>
      <c r="E29">
        <v>10000000</v>
      </c>
      <c r="O29">
        <v>100</v>
      </c>
      <c r="P29" t="s">
        <v>262</v>
      </c>
      <c r="W29" t="s">
        <v>1057</v>
      </c>
      <c r="X29" t="s">
        <v>114</v>
      </c>
      <c r="Y29">
        <v>2</v>
      </c>
      <c r="AB29">
        <v>3.9</v>
      </c>
      <c r="AC29" t="s">
        <v>85</v>
      </c>
      <c r="AE29" t="s">
        <v>1072</v>
      </c>
      <c r="AI29">
        <v>3</v>
      </c>
    </row>
    <row r="30" spans="1:35" x14ac:dyDescent="0.3">
      <c r="A30" t="s">
        <v>1261</v>
      </c>
      <c r="C30" t="s">
        <v>1196</v>
      </c>
      <c r="D30" t="s">
        <v>470</v>
      </c>
      <c r="E30">
        <v>10000000</v>
      </c>
      <c r="O30">
        <v>120</v>
      </c>
      <c r="P30" t="s">
        <v>262</v>
      </c>
      <c r="W30" t="s">
        <v>1057</v>
      </c>
      <c r="X30" t="s">
        <v>114</v>
      </c>
      <c r="Y30">
        <v>2</v>
      </c>
      <c r="AB30">
        <v>4.5</v>
      </c>
      <c r="AC30" t="s">
        <v>85</v>
      </c>
      <c r="AE30" t="s">
        <v>1072</v>
      </c>
      <c r="AI30">
        <v>3</v>
      </c>
    </row>
    <row r="31" spans="1:35" x14ac:dyDescent="0.3">
      <c r="A31" t="s">
        <v>1261</v>
      </c>
      <c r="C31" t="s">
        <v>1196</v>
      </c>
      <c r="D31" t="s">
        <v>470</v>
      </c>
      <c r="E31">
        <v>10000000</v>
      </c>
      <c r="O31">
        <v>40</v>
      </c>
      <c r="P31" t="s">
        <v>262</v>
      </c>
      <c r="W31" t="s">
        <v>1057</v>
      </c>
      <c r="X31" t="s">
        <v>114</v>
      </c>
      <c r="Y31">
        <v>2</v>
      </c>
      <c r="AB31">
        <v>1.6</v>
      </c>
      <c r="AC31" t="s">
        <v>85</v>
      </c>
      <c r="AE31" t="s">
        <v>1072</v>
      </c>
      <c r="AI31">
        <v>3</v>
      </c>
    </row>
    <row r="32" spans="1:35" x14ac:dyDescent="0.3">
      <c r="A32" t="s">
        <v>1261</v>
      </c>
      <c r="C32" t="s">
        <v>1196</v>
      </c>
      <c r="D32" t="s">
        <v>470</v>
      </c>
      <c r="E32">
        <v>10000000</v>
      </c>
      <c r="O32">
        <v>60</v>
      </c>
      <c r="P32" t="s">
        <v>262</v>
      </c>
      <c r="W32" t="s">
        <v>1057</v>
      </c>
      <c r="X32" t="s">
        <v>114</v>
      </c>
      <c r="Y32">
        <v>2</v>
      </c>
      <c r="AB32">
        <v>2.2000000000000002</v>
      </c>
      <c r="AC32" t="s">
        <v>85</v>
      </c>
      <c r="AE32" t="s">
        <v>1072</v>
      </c>
      <c r="AI32">
        <v>3</v>
      </c>
    </row>
    <row r="33" spans="1:48" x14ac:dyDescent="0.3">
      <c r="A33" t="s">
        <v>1261</v>
      </c>
      <c r="C33" t="s">
        <v>1196</v>
      </c>
      <c r="D33" t="s">
        <v>470</v>
      </c>
      <c r="E33">
        <v>10000000</v>
      </c>
      <c r="O33">
        <v>80</v>
      </c>
      <c r="P33" t="s">
        <v>262</v>
      </c>
      <c r="W33" t="s">
        <v>1057</v>
      </c>
      <c r="X33" t="s">
        <v>114</v>
      </c>
      <c r="Y33">
        <v>2</v>
      </c>
      <c r="AB33">
        <v>3.8</v>
      </c>
      <c r="AC33" t="s">
        <v>85</v>
      </c>
      <c r="AE33" t="s">
        <v>1072</v>
      </c>
      <c r="AI33">
        <v>3</v>
      </c>
    </row>
    <row r="34" spans="1:48" x14ac:dyDescent="0.3">
      <c r="A34" t="s">
        <v>1261</v>
      </c>
      <c r="C34" t="s">
        <v>1196</v>
      </c>
      <c r="D34" t="s">
        <v>470</v>
      </c>
      <c r="E34">
        <v>10000000</v>
      </c>
      <c r="O34">
        <v>100</v>
      </c>
      <c r="P34" t="s">
        <v>262</v>
      </c>
      <c r="W34" t="s">
        <v>1057</v>
      </c>
      <c r="X34" t="s">
        <v>114</v>
      </c>
      <c r="Y34">
        <v>2</v>
      </c>
      <c r="AB34">
        <v>4.8</v>
      </c>
      <c r="AC34" t="s">
        <v>85</v>
      </c>
      <c r="AE34" t="s">
        <v>1072</v>
      </c>
      <c r="AI34">
        <v>3</v>
      </c>
    </row>
    <row r="35" spans="1:48" x14ac:dyDescent="0.3">
      <c r="A35" t="s">
        <v>1261</v>
      </c>
      <c r="C35" t="s">
        <v>1196</v>
      </c>
      <c r="D35" t="s">
        <v>470</v>
      </c>
      <c r="E35">
        <v>10000000</v>
      </c>
      <c r="O35">
        <v>120</v>
      </c>
      <c r="P35" t="s">
        <v>262</v>
      </c>
      <c r="W35" t="s">
        <v>1057</v>
      </c>
      <c r="X35" t="s">
        <v>114</v>
      </c>
      <c r="Y35">
        <v>2</v>
      </c>
      <c r="AB35">
        <v>6.9</v>
      </c>
      <c r="AC35" t="s">
        <v>85</v>
      </c>
      <c r="AE35" t="s">
        <v>1072</v>
      </c>
      <c r="AI35">
        <v>3</v>
      </c>
    </row>
    <row r="36" spans="1:48" x14ac:dyDescent="0.3">
      <c r="A36" t="s">
        <v>1261</v>
      </c>
      <c r="C36" t="s">
        <v>1196</v>
      </c>
      <c r="D36" t="s">
        <v>470</v>
      </c>
      <c r="E36">
        <v>10000000</v>
      </c>
      <c r="O36">
        <v>40</v>
      </c>
      <c r="P36" t="s">
        <v>262</v>
      </c>
      <c r="W36" t="s">
        <v>1057</v>
      </c>
      <c r="X36" t="s">
        <v>114</v>
      </c>
      <c r="Y36">
        <v>2</v>
      </c>
      <c r="AB36">
        <v>2.4</v>
      </c>
      <c r="AC36" t="s">
        <v>85</v>
      </c>
      <c r="AE36" t="s">
        <v>1072</v>
      </c>
      <c r="AI36">
        <v>3</v>
      </c>
    </row>
    <row r="37" spans="1:48" x14ac:dyDescent="0.3">
      <c r="A37" t="s">
        <v>1261</v>
      </c>
      <c r="C37" t="s">
        <v>1196</v>
      </c>
      <c r="D37" t="s">
        <v>470</v>
      </c>
      <c r="E37">
        <v>10000000</v>
      </c>
      <c r="O37">
        <v>60</v>
      </c>
      <c r="P37" t="s">
        <v>262</v>
      </c>
      <c r="W37" t="s">
        <v>1057</v>
      </c>
      <c r="X37" t="s">
        <v>114</v>
      </c>
      <c r="Y37">
        <v>2</v>
      </c>
      <c r="AB37">
        <v>3.7</v>
      </c>
      <c r="AC37" t="s">
        <v>85</v>
      </c>
      <c r="AE37" t="s">
        <v>1072</v>
      </c>
      <c r="AI37">
        <v>3</v>
      </c>
    </row>
    <row r="38" spans="1:48" x14ac:dyDescent="0.3">
      <c r="A38" t="s">
        <v>1261</v>
      </c>
      <c r="C38" t="s">
        <v>1196</v>
      </c>
      <c r="D38" t="s">
        <v>470</v>
      </c>
      <c r="E38">
        <v>10000000</v>
      </c>
      <c r="O38">
        <v>80</v>
      </c>
      <c r="P38" t="s">
        <v>262</v>
      </c>
      <c r="W38" t="s">
        <v>1057</v>
      </c>
      <c r="X38" t="s">
        <v>114</v>
      </c>
      <c r="Y38">
        <v>2</v>
      </c>
      <c r="AB38">
        <v>4.5999999999999996</v>
      </c>
      <c r="AC38" t="s">
        <v>85</v>
      </c>
      <c r="AE38" t="s">
        <v>1072</v>
      </c>
      <c r="AI38">
        <v>3</v>
      </c>
    </row>
    <row r="39" spans="1:48" x14ac:dyDescent="0.3">
      <c r="A39" t="s">
        <v>1261</v>
      </c>
      <c r="C39" t="s">
        <v>1196</v>
      </c>
      <c r="D39" t="s">
        <v>470</v>
      </c>
      <c r="E39">
        <v>10000000</v>
      </c>
      <c r="O39">
        <v>100</v>
      </c>
      <c r="P39" t="s">
        <v>262</v>
      </c>
      <c r="W39" t="s">
        <v>1057</v>
      </c>
      <c r="X39" t="s">
        <v>114</v>
      </c>
      <c r="Y39">
        <v>2</v>
      </c>
      <c r="AB39">
        <v>4.9000000000000004</v>
      </c>
      <c r="AC39" t="s">
        <v>85</v>
      </c>
      <c r="AE39" t="s">
        <v>1072</v>
      </c>
      <c r="AI39">
        <v>3</v>
      </c>
    </row>
    <row r="40" spans="1:48" x14ac:dyDescent="0.3">
      <c r="A40" t="s">
        <v>1261</v>
      </c>
      <c r="C40" t="s">
        <v>1196</v>
      </c>
      <c r="D40" t="s">
        <v>470</v>
      </c>
      <c r="E40">
        <v>10000000</v>
      </c>
      <c r="O40">
        <v>120</v>
      </c>
      <c r="P40" t="s">
        <v>262</v>
      </c>
      <c r="W40" t="s">
        <v>1057</v>
      </c>
      <c r="X40" t="s">
        <v>114</v>
      </c>
      <c r="Y40">
        <v>2</v>
      </c>
      <c r="AB40">
        <v>6.5</v>
      </c>
      <c r="AC40" t="s">
        <v>85</v>
      </c>
      <c r="AE40" t="s">
        <v>1072</v>
      </c>
      <c r="AI40">
        <v>3</v>
      </c>
    </row>
    <row r="41" spans="1:48" x14ac:dyDescent="0.3">
      <c r="A41" t="s">
        <v>1261</v>
      </c>
      <c r="C41" t="s">
        <v>1196</v>
      </c>
      <c r="D41" t="s">
        <v>470</v>
      </c>
      <c r="E41">
        <v>10000000</v>
      </c>
      <c r="O41">
        <v>40</v>
      </c>
      <c r="P41" t="s">
        <v>262</v>
      </c>
      <c r="W41" t="s">
        <v>1057</v>
      </c>
      <c r="X41" t="s">
        <v>114</v>
      </c>
      <c r="Y41">
        <v>2</v>
      </c>
      <c r="AB41">
        <v>2.2000000000000002</v>
      </c>
      <c r="AC41" t="s">
        <v>85</v>
      </c>
      <c r="AE41" t="s">
        <v>1072</v>
      </c>
      <c r="AI41">
        <v>3</v>
      </c>
    </row>
    <row r="42" spans="1:48" x14ac:dyDescent="0.3">
      <c r="A42" t="s">
        <v>1261</v>
      </c>
      <c r="C42" t="s">
        <v>1196</v>
      </c>
      <c r="D42" t="s">
        <v>470</v>
      </c>
      <c r="E42">
        <v>10000000</v>
      </c>
      <c r="O42">
        <v>60</v>
      </c>
      <c r="P42" t="s">
        <v>262</v>
      </c>
      <c r="W42" t="s">
        <v>1057</v>
      </c>
      <c r="X42" t="s">
        <v>114</v>
      </c>
      <c r="Y42">
        <v>2</v>
      </c>
      <c r="AB42">
        <v>3.2</v>
      </c>
      <c r="AC42" t="s">
        <v>85</v>
      </c>
      <c r="AE42" t="s">
        <v>1072</v>
      </c>
      <c r="AI42">
        <v>3</v>
      </c>
    </row>
    <row r="43" spans="1:48" x14ac:dyDescent="0.3">
      <c r="A43" t="s">
        <v>1261</v>
      </c>
      <c r="C43" t="s">
        <v>1196</v>
      </c>
      <c r="D43" t="s">
        <v>470</v>
      </c>
      <c r="E43">
        <v>10000000</v>
      </c>
      <c r="O43">
        <v>80</v>
      </c>
      <c r="P43" t="s">
        <v>262</v>
      </c>
      <c r="W43" t="s">
        <v>1057</v>
      </c>
      <c r="X43" t="s">
        <v>114</v>
      </c>
      <c r="Y43">
        <v>2</v>
      </c>
      <c r="AB43">
        <v>4.0999999999999996</v>
      </c>
      <c r="AC43" t="s">
        <v>85</v>
      </c>
      <c r="AE43" t="s">
        <v>1072</v>
      </c>
      <c r="AI43">
        <v>3</v>
      </c>
    </row>
    <row r="44" spans="1:48" x14ac:dyDescent="0.3">
      <c r="A44" t="s">
        <v>1261</v>
      </c>
      <c r="C44" t="s">
        <v>1196</v>
      </c>
      <c r="D44" t="s">
        <v>470</v>
      </c>
      <c r="E44">
        <v>10000000</v>
      </c>
      <c r="O44">
        <v>100</v>
      </c>
      <c r="P44" t="s">
        <v>262</v>
      </c>
      <c r="W44" t="s">
        <v>1057</v>
      </c>
      <c r="X44" t="s">
        <v>114</v>
      </c>
      <c r="Y44">
        <v>2</v>
      </c>
      <c r="AB44">
        <v>5</v>
      </c>
      <c r="AC44" t="s">
        <v>85</v>
      </c>
      <c r="AE44" t="s">
        <v>1072</v>
      </c>
      <c r="AI44">
        <v>3</v>
      </c>
    </row>
    <row r="45" spans="1:48" x14ac:dyDescent="0.3">
      <c r="A45" t="s">
        <v>1261</v>
      </c>
      <c r="C45" t="s">
        <v>1196</v>
      </c>
      <c r="D45" t="s">
        <v>470</v>
      </c>
      <c r="E45">
        <v>10000000</v>
      </c>
      <c r="O45">
        <v>120</v>
      </c>
      <c r="P45" t="s">
        <v>262</v>
      </c>
      <c r="W45" t="s">
        <v>1057</v>
      </c>
      <c r="X45" t="s">
        <v>114</v>
      </c>
      <c r="Y45">
        <v>2</v>
      </c>
      <c r="AB45">
        <v>6.5</v>
      </c>
      <c r="AC45" t="s">
        <v>85</v>
      </c>
      <c r="AE45" t="s">
        <v>1072</v>
      </c>
      <c r="AI45">
        <v>3</v>
      </c>
    </row>
    <row r="46" spans="1:48" x14ac:dyDescent="0.3">
      <c r="A46" t="s">
        <v>1261</v>
      </c>
      <c r="C46" t="s">
        <v>1196</v>
      </c>
      <c r="D46" t="s">
        <v>81</v>
      </c>
      <c r="E46">
        <v>10000000</v>
      </c>
      <c r="H46">
        <v>3.61</v>
      </c>
      <c r="I46" t="s">
        <v>56</v>
      </c>
      <c r="J46">
        <v>3.6099999999999999E-4</v>
      </c>
      <c r="K46" t="s">
        <v>57</v>
      </c>
      <c r="O46">
        <v>60</v>
      </c>
      <c r="P46" t="s">
        <v>121</v>
      </c>
      <c r="T46">
        <v>25</v>
      </c>
      <c r="V46">
        <v>50</v>
      </c>
      <c r="W46" t="s">
        <v>388</v>
      </c>
      <c r="X46" t="s">
        <v>114</v>
      </c>
      <c r="Y46">
        <v>1</v>
      </c>
      <c r="AB46">
        <v>0.4</v>
      </c>
      <c r="AC46" t="s">
        <v>85</v>
      </c>
      <c r="AD46" t="s">
        <v>232</v>
      </c>
      <c r="AE46" t="s">
        <v>1072</v>
      </c>
      <c r="AI46">
        <v>3</v>
      </c>
      <c r="AK46">
        <v>100</v>
      </c>
      <c r="AL46" t="s">
        <v>220</v>
      </c>
      <c r="AM46">
        <v>0.1</v>
      </c>
      <c r="AN46" t="s">
        <v>82</v>
      </c>
      <c r="AT46" t="s">
        <v>65</v>
      </c>
      <c r="AU46">
        <v>0.2770083102493075</v>
      </c>
      <c r="AV46" t="s">
        <v>1262</v>
      </c>
    </row>
    <row r="47" spans="1:48" x14ac:dyDescent="0.3">
      <c r="A47" t="s">
        <v>1261</v>
      </c>
      <c r="C47" t="s">
        <v>1196</v>
      </c>
      <c r="D47" t="s">
        <v>81</v>
      </c>
      <c r="E47">
        <v>10000000</v>
      </c>
      <c r="H47">
        <v>3.61</v>
      </c>
      <c r="I47" t="s">
        <v>56</v>
      </c>
      <c r="J47">
        <v>3.6099999999999999E-4</v>
      </c>
      <c r="K47" t="s">
        <v>57</v>
      </c>
      <c r="O47">
        <v>80</v>
      </c>
      <c r="P47" t="s">
        <v>121</v>
      </c>
      <c r="T47">
        <v>25</v>
      </c>
      <c r="V47">
        <v>50</v>
      </c>
      <c r="W47" t="s">
        <v>388</v>
      </c>
      <c r="X47" t="s">
        <v>114</v>
      </c>
      <c r="Y47">
        <v>1</v>
      </c>
      <c r="AB47">
        <v>0.88</v>
      </c>
      <c r="AC47" t="s">
        <v>85</v>
      </c>
      <c r="AD47" t="s">
        <v>227</v>
      </c>
      <c r="AE47" t="s">
        <v>1072</v>
      </c>
      <c r="AI47">
        <v>3</v>
      </c>
      <c r="AK47">
        <v>100</v>
      </c>
      <c r="AL47" t="s">
        <v>220</v>
      </c>
      <c r="AM47">
        <v>0.1</v>
      </c>
      <c r="AN47" t="s">
        <v>82</v>
      </c>
      <c r="AT47" t="s">
        <v>65</v>
      </c>
      <c r="AU47">
        <v>0.2770083102493075</v>
      </c>
      <c r="AV47" t="s">
        <v>1262</v>
      </c>
    </row>
    <row r="48" spans="1:48" x14ac:dyDescent="0.3">
      <c r="A48" t="s">
        <v>1261</v>
      </c>
      <c r="C48" t="s">
        <v>1196</v>
      </c>
      <c r="D48" t="s">
        <v>81</v>
      </c>
      <c r="E48">
        <v>10000000</v>
      </c>
      <c r="H48">
        <v>3.61</v>
      </c>
      <c r="I48" t="s">
        <v>56</v>
      </c>
      <c r="J48">
        <v>3.6099999999999999E-4</v>
      </c>
      <c r="K48" t="s">
        <v>57</v>
      </c>
      <c r="O48">
        <v>100</v>
      </c>
      <c r="P48" t="s">
        <v>121</v>
      </c>
      <c r="T48">
        <v>25</v>
      </c>
      <c r="V48">
        <v>50</v>
      </c>
      <c r="W48" t="s">
        <v>388</v>
      </c>
      <c r="X48" t="s">
        <v>114</v>
      </c>
      <c r="Y48">
        <v>1</v>
      </c>
      <c r="AB48">
        <v>1.7</v>
      </c>
      <c r="AC48" t="s">
        <v>85</v>
      </c>
      <c r="AD48" t="s">
        <v>645</v>
      </c>
      <c r="AE48" t="s">
        <v>1072</v>
      </c>
      <c r="AI48">
        <v>3</v>
      </c>
      <c r="AK48">
        <v>100</v>
      </c>
      <c r="AL48" t="s">
        <v>220</v>
      </c>
      <c r="AM48">
        <v>0.1</v>
      </c>
      <c r="AN48" t="s">
        <v>82</v>
      </c>
      <c r="AT48" t="s">
        <v>65</v>
      </c>
      <c r="AU48">
        <v>0.2770083102493075</v>
      </c>
      <c r="AV48" t="s">
        <v>1262</v>
      </c>
    </row>
    <row r="49" spans="1:48" x14ac:dyDescent="0.3">
      <c r="A49" t="s">
        <v>1261</v>
      </c>
      <c r="C49" t="s">
        <v>1196</v>
      </c>
      <c r="D49" t="s">
        <v>81</v>
      </c>
      <c r="E49">
        <v>10000000</v>
      </c>
      <c r="H49">
        <v>3.61</v>
      </c>
      <c r="I49" t="s">
        <v>56</v>
      </c>
      <c r="J49">
        <v>3.6099999999999999E-4</v>
      </c>
      <c r="K49" t="s">
        <v>57</v>
      </c>
      <c r="O49">
        <v>120</v>
      </c>
      <c r="P49" t="s">
        <v>121</v>
      </c>
      <c r="T49">
        <v>25</v>
      </c>
      <c r="V49">
        <v>50</v>
      </c>
      <c r="W49" t="s">
        <v>388</v>
      </c>
      <c r="X49" t="s">
        <v>114</v>
      </c>
      <c r="Y49">
        <v>1</v>
      </c>
      <c r="AB49">
        <v>2.94</v>
      </c>
      <c r="AC49" t="s">
        <v>85</v>
      </c>
      <c r="AD49" t="s">
        <v>219</v>
      </c>
      <c r="AE49" t="s">
        <v>1072</v>
      </c>
      <c r="AI49">
        <v>3</v>
      </c>
      <c r="AK49">
        <v>100</v>
      </c>
      <c r="AL49" t="s">
        <v>220</v>
      </c>
      <c r="AM49">
        <v>0.1</v>
      </c>
      <c r="AN49" t="s">
        <v>82</v>
      </c>
      <c r="AT49" t="s">
        <v>65</v>
      </c>
      <c r="AU49">
        <v>0.2770083102493075</v>
      </c>
      <c r="AV49" t="s">
        <v>1262</v>
      </c>
    </row>
    <row r="50" spans="1:48" x14ac:dyDescent="0.3">
      <c r="A50" t="s">
        <v>1261</v>
      </c>
      <c r="C50" t="s">
        <v>1196</v>
      </c>
      <c r="D50" t="s">
        <v>81</v>
      </c>
      <c r="E50">
        <v>10000000</v>
      </c>
      <c r="H50">
        <v>3.61</v>
      </c>
      <c r="I50" t="s">
        <v>56</v>
      </c>
      <c r="J50">
        <v>3.6099999999999999E-4</v>
      </c>
      <c r="K50" t="s">
        <v>57</v>
      </c>
      <c r="O50">
        <v>60</v>
      </c>
      <c r="P50" t="s">
        <v>121</v>
      </c>
      <c r="T50">
        <v>25</v>
      </c>
      <c r="V50">
        <v>50</v>
      </c>
      <c r="W50" t="s">
        <v>388</v>
      </c>
      <c r="X50" t="s">
        <v>114</v>
      </c>
      <c r="Y50">
        <v>1</v>
      </c>
      <c r="AB50">
        <v>0.56999999999999895</v>
      </c>
      <c r="AC50" t="s">
        <v>85</v>
      </c>
      <c r="AD50" t="s">
        <v>525</v>
      </c>
      <c r="AE50" t="s">
        <v>1072</v>
      </c>
      <c r="AI50">
        <v>3</v>
      </c>
      <c r="AT50" t="s">
        <v>65</v>
      </c>
      <c r="AV50" t="s">
        <v>88</v>
      </c>
    </row>
    <row r="51" spans="1:48" x14ac:dyDescent="0.3">
      <c r="A51" t="s">
        <v>1261</v>
      </c>
      <c r="C51" t="s">
        <v>1196</v>
      </c>
      <c r="D51" t="s">
        <v>81</v>
      </c>
      <c r="E51">
        <v>10000000</v>
      </c>
      <c r="H51">
        <v>3.61</v>
      </c>
      <c r="I51" t="s">
        <v>56</v>
      </c>
      <c r="J51">
        <v>3.6099999999999999E-4</v>
      </c>
      <c r="K51" t="s">
        <v>57</v>
      </c>
      <c r="O51">
        <v>80</v>
      </c>
      <c r="P51" t="s">
        <v>121</v>
      </c>
      <c r="T51">
        <v>25</v>
      </c>
      <c r="V51">
        <v>50</v>
      </c>
      <c r="W51" t="s">
        <v>388</v>
      </c>
      <c r="X51" t="s">
        <v>114</v>
      </c>
      <c r="Y51">
        <v>1</v>
      </c>
      <c r="AB51">
        <v>1.05</v>
      </c>
      <c r="AC51" t="s">
        <v>85</v>
      </c>
      <c r="AD51" t="s">
        <v>494</v>
      </c>
      <c r="AE51" t="s">
        <v>1072</v>
      </c>
      <c r="AI51">
        <v>3</v>
      </c>
      <c r="AT51" t="s">
        <v>65</v>
      </c>
      <c r="AV51" t="s">
        <v>88</v>
      </c>
    </row>
    <row r="52" spans="1:48" x14ac:dyDescent="0.3">
      <c r="A52" t="s">
        <v>1261</v>
      </c>
      <c r="C52" t="s">
        <v>1196</v>
      </c>
      <c r="D52" t="s">
        <v>81</v>
      </c>
      <c r="E52">
        <v>10000000</v>
      </c>
      <c r="H52">
        <v>3.61</v>
      </c>
      <c r="I52" t="s">
        <v>56</v>
      </c>
      <c r="J52">
        <v>3.6099999999999999E-4</v>
      </c>
      <c r="K52" t="s">
        <v>57</v>
      </c>
      <c r="O52">
        <v>100</v>
      </c>
      <c r="P52" t="s">
        <v>121</v>
      </c>
      <c r="T52">
        <v>25</v>
      </c>
      <c r="V52">
        <v>50</v>
      </c>
      <c r="W52" t="s">
        <v>388</v>
      </c>
      <c r="X52" t="s">
        <v>114</v>
      </c>
      <c r="Y52">
        <v>1</v>
      </c>
      <c r="AB52">
        <v>2.1800000000000002</v>
      </c>
      <c r="AC52" t="s">
        <v>85</v>
      </c>
      <c r="AD52" t="s">
        <v>525</v>
      </c>
      <c r="AE52" t="s">
        <v>1072</v>
      </c>
      <c r="AI52">
        <v>3</v>
      </c>
      <c r="AT52" t="s">
        <v>65</v>
      </c>
      <c r="AV52" t="s">
        <v>88</v>
      </c>
    </row>
    <row r="53" spans="1:48" x14ac:dyDescent="0.3">
      <c r="A53" t="s">
        <v>1261</v>
      </c>
      <c r="C53" t="s">
        <v>1196</v>
      </c>
      <c r="D53" t="s">
        <v>81</v>
      </c>
      <c r="E53">
        <v>10000000</v>
      </c>
      <c r="H53">
        <v>3.61</v>
      </c>
      <c r="I53" t="s">
        <v>56</v>
      </c>
      <c r="J53">
        <v>3.6099999999999999E-4</v>
      </c>
      <c r="K53" t="s">
        <v>57</v>
      </c>
      <c r="O53">
        <v>120</v>
      </c>
      <c r="P53" t="s">
        <v>121</v>
      </c>
      <c r="T53">
        <v>25</v>
      </c>
      <c r="V53">
        <v>50</v>
      </c>
      <c r="W53" t="s">
        <v>388</v>
      </c>
      <c r="X53" t="s">
        <v>114</v>
      </c>
      <c r="Y53">
        <v>1</v>
      </c>
      <c r="AB53">
        <v>3.17</v>
      </c>
      <c r="AC53" t="s">
        <v>85</v>
      </c>
      <c r="AD53" t="s">
        <v>505</v>
      </c>
      <c r="AE53" t="s">
        <v>1072</v>
      </c>
      <c r="AI53">
        <v>3</v>
      </c>
      <c r="AT53" t="s">
        <v>65</v>
      </c>
      <c r="AV53" t="s">
        <v>88</v>
      </c>
    </row>
    <row r="54" spans="1:48" x14ac:dyDescent="0.3">
      <c r="A54" t="s">
        <v>1261</v>
      </c>
      <c r="C54" t="s">
        <v>1196</v>
      </c>
      <c r="D54" t="s">
        <v>81</v>
      </c>
      <c r="E54">
        <v>10000000</v>
      </c>
      <c r="H54">
        <v>3.61</v>
      </c>
      <c r="I54" t="s">
        <v>56</v>
      </c>
      <c r="J54">
        <v>3.6099999999999999E-4</v>
      </c>
      <c r="K54" t="s">
        <v>57</v>
      </c>
      <c r="O54">
        <v>60</v>
      </c>
      <c r="P54" t="s">
        <v>121</v>
      </c>
      <c r="T54">
        <v>25</v>
      </c>
      <c r="V54">
        <v>50</v>
      </c>
      <c r="W54" t="s">
        <v>388</v>
      </c>
      <c r="X54" t="s">
        <v>114</v>
      </c>
      <c r="Y54">
        <v>2</v>
      </c>
      <c r="AB54">
        <v>1.48</v>
      </c>
      <c r="AC54" t="s">
        <v>85</v>
      </c>
      <c r="AD54" t="s">
        <v>227</v>
      </c>
      <c r="AE54" t="s">
        <v>1072</v>
      </c>
      <c r="AI54">
        <v>3</v>
      </c>
      <c r="AK54">
        <v>100</v>
      </c>
      <c r="AL54" t="s">
        <v>220</v>
      </c>
      <c r="AM54">
        <v>0.1</v>
      </c>
      <c r="AN54" t="s">
        <v>82</v>
      </c>
      <c r="AT54" t="s">
        <v>65</v>
      </c>
      <c r="AU54">
        <v>0.2770083102493075</v>
      </c>
      <c r="AV54" t="s">
        <v>1262</v>
      </c>
    </row>
    <row r="55" spans="1:48" x14ac:dyDescent="0.3">
      <c r="A55" t="s">
        <v>1261</v>
      </c>
      <c r="C55" t="s">
        <v>1196</v>
      </c>
      <c r="D55" t="s">
        <v>81</v>
      </c>
      <c r="E55">
        <v>10000000</v>
      </c>
      <c r="H55">
        <v>3.61</v>
      </c>
      <c r="I55" t="s">
        <v>56</v>
      </c>
      <c r="J55">
        <v>3.6099999999999999E-4</v>
      </c>
      <c r="K55" t="s">
        <v>57</v>
      </c>
      <c r="O55">
        <v>80</v>
      </c>
      <c r="P55" t="s">
        <v>121</v>
      </c>
      <c r="T55">
        <v>25</v>
      </c>
      <c r="V55">
        <v>50</v>
      </c>
      <c r="W55" t="s">
        <v>388</v>
      </c>
      <c r="X55" t="s">
        <v>114</v>
      </c>
      <c r="Y55">
        <v>2</v>
      </c>
      <c r="AB55">
        <v>4.04</v>
      </c>
      <c r="AC55" t="s">
        <v>85</v>
      </c>
      <c r="AD55" t="s">
        <v>239</v>
      </c>
      <c r="AE55" t="s">
        <v>1072</v>
      </c>
      <c r="AI55">
        <v>3</v>
      </c>
      <c r="AK55">
        <v>100</v>
      </c>
      <c r="AL55" t="s">
        <v>220</v>
      </c>
      <c r="AM55">
        <v>0.1</v>
      </c>
      <c r="AN55" t="s">
        <v>82</v>
      </c>
      <c r="AT55" t="s">
        <v>65</v>
      </c>
      <c r="AU55">
        <v>0.2770083102493075</v>
      </c>
      <c r="AV55" t="s">
        <v>1262</v>
      </c>
    </row>
    <row r="56" spans="1:48" x14ac:dyDescent="0.3">
      <c r="A56" t="s">
        <v>1261</v>
      </c>
      <c r="C56" t="s">
        <v>1196</v>
      </c>
      <c r="D56" t="s">
        <v>81</v>
      </c>
      <c r="E56">
        <v>10000000</v>
      </c>
      <c r="H56">
        <v>3.61</v>
      </c>
      <c r="I56" t="s">
        <v>56</v>
      </c>
      <c r="J56">
        <v>3.6099999999999999E-4</v>
      </c>
      <c r="K56" t="s">
        <v>57</v>
      </c>
      <c r="O56">
        <v>100</v>
      </c>
      <c r="P56" t="s">
        <v>121</v>
      </c>
      <c r="T56">
        <v>25</v>
      </c>
      <c r="V56">
        <v>50</v>
      </c>
      <c r="W56" t="s">
        <v>388</v>
      </c>
      <c r="X56" t="s">
        <v>114</v>
      </c>
      <c r="Y56">
        <v>2</v>
      </c>
      <c r="AB56">
        <v>4.17</v>
      </c>
      <c r="AC56" t="s">
        <v>85</v>
      </c>
      <c r="AD56" t="s">
        <v>103</v>
      </c>
      <c r="AE56" t="s">
        <v>1072</v>
      </c>
      <c r="AI56">
        <v>3</v>
      </c>
      <c r="AK56">
        <v>100</v>
      </c>
      <c r="AL56" t="s">
        <v>220</v>
      </c>
      <c r="AM56">
        <v>0.1</v>
      </c>
      <c r="AN56" t="s">
        <v>82</v>
      </c>
      <c r="AT56" t="s">
        <v>65</v>
      </c>
      <c r="AU56">
        <v>0.2770083102493075</v>
      </c>
      <c r="AV56" t="s">
        <v>1262</v>
      </c>
    </row>
    <row r="57" spans="1:48" x14ac:dyDescent="0.3">
      <c r="A57" t="s">
        <v>1261</v>
      </c>
      <c r="C57" t="s">
        <v>1196</v>
      </c>
      <c r="D57" t="s">
        <v>81</v>
      </c>
      <c r="E57">
        <v>10000000</v>
      </c>
      <c r="H57">
        <v>3.61</v>
      </c>
      <c r="I57" t="s">
        <v>56</v>
      </c>
      <c r="J57">
        <v>3.6099999999999999E-4</v>
      </c>
      <c r="K57" t="s">
        <v>57</v>
      </c>
      <c r="O57">
        <v>120</v>
      </c>
      <c r="P57" t="s">
        <v>121</v>
      </c>
      <c r="T57">
        <v>25</v>
      </c>
      <c r="V57">
        <v>50</v>
      </c>
      <c r="W57" t="s">
        <v>388</v>
      </c>
      <c r="X57" t="s">
        <v>114</v>
      </c>
      <c r="Y57">
        <v>2</v>
      </c>
      <c r="AB57">
        <v>4.17</v>
      </c>
      <c r="AC57" t="s">
        <v>85</v>
      </c>
      <c r="AD57" t="s">
        <v>103</v>
      </c>
      <c r="AE57" t="s">
        <v>1072</v>
      </c>
      <c r="AI57">
        <v>3</v>
      </c>
      <c r="AK57">
        <v>100</v>
      </c>
      <c r="AL57" t="s">
        <v>220</v>
      </c>
      <c r="AM57">
        <v>0.1</v>
      </c>
      <c r="AN57" t="s">
        <v>82</v>
      </c>
      <c r="AT57" t="s">
        <v>65</v>
      </c>
      <c r="AU57">
        <v>0.2770083102493075</v>
      </c>
      <c r="AV57" t="s">
        <v>1262</v>
      </c>
    </row>
    <row r="58" spans="1:48" x14ac:dyDescent="0.3">
      <c r="A58" t="s">
        <v>1261</v>
      </c>
      <c r="C58" t="s">
        <v>1196</v>
      </c>
      <c r="D58" t="s">
        <v>81</v>
      </c>
      <c r="E58">
        <v>10000000</v>
      </c>
      <c r="H58">
        <v>3.61</v>
      </c>
      <c r="I58" t="s">
        <v>56</v>
      </c>
      <c r="J58">
        <v>3.6099999999999999E-4</v>
      </c>
      <c r="K58" t="s">
        <v>57</v>
      </c>
      <c r="O58">
        <v>60</v>
      </c>
      <c r="P58" t="s">
        <v>121</v>
      </c>
      <c r="T58">
        <v>25</v>
      </c>
      <c r="V58">
        <v>50</v>
      </c>
      <c r="W58" t="s">
        <v>388</v>
      </c>
      <c r="X58" t="s">
        <v>114</v>
      </c>
      <c r="Y58">
        <v>2</v>
      </c>
      <c r="AB58">
        <v>2.31</v>
      </c>
      <c r="AC58" t="s">
        <v>85</v>
      </c>
      <c r="AD58" t="s">
        <v>553</v>
      </c>
      <c r="AE58" t="s">
        <v>1072</v>
      </c>
      <c r="AI58">
        <v>3</v>
      </c>
      <c r="AT58" t="s">
        <v>65</v>
      </c>
      <c r="AV58" t="s">
        <v>88</v>
      </c>
    </row>
    <row r="59" spans="1:48" x14ac:dyDescent="0.3">
      <c r="A59" t="s">
        <v>1261</v>
      </c>
      <c r="C59" t="s">
        <v>1196</v>
      </c>
      <c r="D59" t="s">
        <v>81</v>
      </c>
      <c r="E59">
        <v>10000000</v>
      </c>
      <c r="H59">
        <v>3.61</v>
      </c>
      <c r="I59" t="s">
        <v>56</v>
      </c>
      <c r="J59">
        <v>3.6099999999999999E-4</v>
      </c>
      <c r="K59" t="s">
        <v>57</v>
      </c>
      <c r="O59">
        <v>80</v>
      </c>
      <c r="P59" t="s">
        <v>121</v>
      </c>
      <c r="T59">
        <v>25</v>
      </c>
      <c r="V59">
        <v>50</v>
      </c>
      <c r="W59" t="s">
        <v>388</v>
      </c>
      <c r="X59" t="s">
        <v>114</v>
      </c>
      <c r="Y59">
        <v>2</v>
      </c>
      <c r="AB59">
        <v>3.94</v>
      </c>
      <c r="AC59" t="s">
        <v>85</v>
      </c>
      <c r="AD59" t="s">
        <v>106</v>
      </c>
      <c r="AE59" t="s">
        <v>1072</v>
      </c>
      <c r="AI59">
        <v>3</v>
      </c>
      <c r="AT59" t="s">
        <v>65</v>
      </c>
      <c r="AV59" t="s">
        <v>88</v>
      </c>
    </row>
    <row r="60" spans="1:48" x14ac:dyDescent="0.3">
      <c r="A60" t="s">
        <v>1261</v>
      </c>
      <c r="C60" t="s">
        <v>1196</v>
      </c>
      <c r="D60" t="s">
        <v>81</v>
      </c>
      <c r="E60">
        <v>10000000</v>
      </c>
      <c r="H60">
        <v>3.61</v>
      </c>
      <c r="I60" t="s">
        <v>56</v>
      </c>
      <c r="J60">
        <v>3.6099999999999999E-4</v>
      </c>
      <c r="K60" t="s">
        <v>57</v>
      </c>
      <c r="O60">
        <v>100</v>
      </c>
      <c r="P60" t="s">
        <v>121</v>
      </c>
      <c r="T60">
        <v>25</v>
      </c>
      <c r="V60">
        <v>50</v>
      </c>
      <c r="W60" t="s">
        <v>388</v>
      </c>
      <c r="X60" t="s">
        <v>114</v>
      </c>
      <c r="Y60">
        <v>2</v>
      </c>
      <c r="AB60">
        <v>4.17</v>
      </c>
      <c r="AC60" t="s">
        <v>85</v>
      </c>
      <c r="AD60" t="s">
        <v>238</v>
      </c>
      <c r="AE60" t="s">
        <v>1072</v>
      </c>
      <c r="AI60">
        <v>3</v>
      </c>
      <c r="AT60" t="s">
        <v>65</v>
      </c>
      <c r="AV60" t="s">
        <v>88</v>
      </c>
    </row>
    <row r="61" spans="1:48" x14ac:dyDescent="0.3">
      <c r="A61" t="s">
        <v>1261</v>
      </c>
      <c r="C61" t="s">
        <v>1196</v>
      </c>
      <c r="D61" t="s">
        <v>81</v>
      </c>
      <c r="E61">
        <v>10000000</v>
      </c>
      <c r="H61">
        <v>3.61</v>
      </c>
      <c r="I61" t="s">
        <v>56</v>
      </c>
      <c r="J61">
        <v>3.6099999999999999E-4</v>
      </c>
      <c r="K61" t="s">
        <v>57</v>
      </c>
      <c r="O61">
        <v>120</v>
      </c>
      <c r="P61" t="s">
        <v>121</v>
      </c>
      <c r="T61">
        <v>25</v>
      </c>
      <c r="V61">
        <v>50</v>
      </c>
      <c r="W61" t="s">
        <v>388</v>
      </c>
      <c r="X61" t="s">
        <v>114</v>
      </c>
      <c r="Y61">
        <v>2</v>
      </c>
      <c r="AB61">
        <v>4.17</v>
      </c>
      <c r="AC61" t="s">
        <v>85</v>
      </c>
      <c r="AD61" t="s">
        <v>238</v>
      </c>
      <c r="AE61" t="s">
        <v>1072</v>
      </c>
      <c r="AI61">
        <v>3</v>
      </c>
      <c r="AT61" t="s">
        <v>65</v>
      </c>
      <c r="AV61" t="s">
        <v>88</v>
      </c>
    </row>
    <row r="62" spans="1:48" x14ac:dyDescent="0.3">
      <c r="A62" t="s">
        <v>1261</v>
      </c>
      <c r="C62" t="s">
        <v>1196</v>
      </c>
      <c r="D62" t="s">
        <v>81</v>
      </c>
      <c r="E62">
        <v>10000000</v>
      </c>
      <c r="H62">
        <v>3.61</v>
      </c>
      <c r="I62" t="s">
        <v>56</v>
      </c>
      <c r="J62">
        <v>3.6099999999999999E-4</v>
      </c>
      <c r="K62" t="s">
        <v>57</v>
      </c>
      <c r="O62">
        <v>60</v>
      </c>
      <c r="P62" t="s">
        <v>121</v>
      </c>
      <c r="T62">
        <v>25</v>
      </c>
      <c r="V62">
        <v>50</v>
      </c>
      <c r="W62" t="s">
        <v>388</v>
      </c>
      <c r="X62" t="s">
        <v>114</v>
      </c>
      <c r="Y62">
        <v>3</v>
      </c>
      <c r="AB62">
        <v>3.38</v>
      </c>
      <c r="AC62" t="s">
        <v>85</v>
      </c>
      <c r="AD62" t="s">
        <v>325</v>
      </c>
      <c r="AE62" t="s">
        <v>1072</v>
      </c>
      <c r="AI62">
        <v>3</v>
      </c>
      <c r="AK62">
        <v>100</v>
      </c>
      <c r="AL62" t="s">
        <v>220</v>
      </c>
      <c r="AM62">
        <v>0.1</v>
      </c>
      <c r="AN62" t="s">
        <v>82</v>
      </c>
      <c r="AT62" t="s">
        <v>65</v>
      </c>
      <c r="AU62">
        <v>0.2770083102493075</v>
      </c>
      <c r="AV62" t="s">
        <v>1262</v>
      </c>
    </row>
    <row r="63" spans="1:48" x14ac:dyDescent="0.3">
      <c r="A63" t="s">
        <v>1261</v>
      </c>
      <c r="C63" t="s">
        <v>1196</v>
      </c>
      <c r="D63" t="s">
        <v>81</v>
      </c>
      <c r="E63">
        <v>10000000</v>
      </c>
      <c r="H63">
        <v>3.61</v>
      </c>
      <c r="I63" t="s">
        <v>56</v>
      </c>
      <c r="J63">
        <v>3.6099999999999999E-4</v>
      </c>
      <c r="K63" t="s">
        <v>57</v>
      </c>
      <c r="O63">
        <v>80</v>
      </c>
      <c r="P63" t="s">
        <v>121</v>
      </c>
      <c r="T63">
        <v>25</v>
      </c>
      <c r="V63">
        <v>50</v>
      </c>
      <c r="W63" t="s">
        <v>388</v>
      </c>
      <c r="X63" t="s">
        <v>114</v>
      </c>
      <c r="Y63">
        <v>3</v>
      </c>
      <c r="AB63">
        <v>4.17</v>
      </c>
      <c r="AC63" t="s">
        <v>85</v>
      </c>
      <c r="AD63" t="s">
        <v>103</v>
      </c>
      <c r="AE63" t="s">
        <v>1072</v>
      </c>
      <c r="AI63">
        <v>3</v>
      </c>
      <c r="AK63">
        <v>100</v>
      </c>
      <c r="AL63" t="s">
        <v>220</v>
      </c>
      <c r="AM63">
        <v>0.1</v>
      </c>
      <c r="AN63" t="s">
        <v>82</v>
      </c>
      <c r="AT63" t="s">
        <v>65</v>
      </c>
      <c r="AU63">
        <v>0.2770083102493075</v>
      </c>
      <c r="AV63" t="s">
        <v>1262</v>
      </c>
    </row>
    <row r="64" spans="1:48" x14ac:dyDescent="0.3">
      <c r="A64" t="s">
        <v>1261</v>
      </c>
      <c r="C64" t="s">
        <v>1196</v>
      </c>
      <c r="D64" t="s">
        <v>81</v>
      </c>
      <c r="E64">
        <v>10000000</v>
      </c>
      <c r="H64">
        <v>3.61</v>
      </c>
      <c r="I64" t="s">
        <v>56</v>
      </c>
      <c r="J64">
        <v>3.6099999999999999E-4</v>
      </c>
      <c r="K64" t="s">
        <v>57</v>
      </c>
      <c r="O64">
        <v>100</v>
      </c>
      <c r="P64" t="s">
        <v>121</v>
      </c>
      <c r="T64">
        <v>25</v>
      </c>
      <c r="V64">
        <v>50</v>
      </c>
      <c r="W64" t="s">
        <v>388</v>
      </c>
      <c r="X64" t="s">
        <v>114</v>
      </c>
      <c r="Y64">
        <v>3</v>
      </c>
      <c r="AB64">
        <v>4.17</v>
      </c>
      <c r="AC64" t="s">
        <v>85</v>
      </c>
      <c r="AD64" t="s">
        <v>103</v>
      </c>
      <c r="AE64" t="s">
        <v>1072</v>
      </c>
      <c r="AI64">
        <v>3</v>
      </c>
      <c r="AK64">
        <v>100</v>
      </c>
      <c r="AL64" t="s">
        <v>220</v>
      </c>
      <c r="AM64">
        <v>0.1</v>
      </c>
      <c r="AN64" t="s">
        <v>82</v>
      </c>
      <c r="AT64" t="s">
        <v>65</v>
      </c>
      <c r="AU64">
        <v>0.2770083102493075</v>
      </c>
      <c r="AV64" t="s">
        <v>1262</v>
      </c>
    </row>
    <row r="65" spans="1:48" x14ac:dyDescent="0.3">
      <c r="A65" t="s">
        <v>1261</v>
      </c>
      <c r="C65" t="s">
        <v>1196</v>
      </c>
      <c r="D65" t="s">
        <v>81</v>
      </c>
      <c r="E65">
        <v>10000000</v>
      </c>
      <c r="H65">
        <v>3.61</v>
      </c>
      <c r="I65" t="s">
        <v>56</v>
      </c>
      <c r="J65">
        <v>3.6099999999999999E-4</v>
      </c>
      <c r="K65" t="s">
        <v>57</v>
      </c>
      <c r="O65">
        <v>120</v>
      </c>
      <c r="P65" t="s">
        <v>121</v>
      </c>
      <c r="T65">
        <v>25</v>
      </c>
      <c r="V65">
        <v>50</v>
      </c>
      <c r="W65" t="s">
        <v>388</v>
      </c>
      <c r="X65" t="s">
        <v>114</v>
      </c>
      <c r="Y65">
        <v>3</v>
      </c>
      <c r="AB65">
        <v>4.17</v>
      </c>
      <c r="AC65" t="s">
        <v>85</v>
      </c>
      <c r="AD65" t="s">
        <v>103</v>
      </c>
      <c r="AE65" t="s">
        <v>1072</v>
      </c>
      <c r="AI65">
        <v>3</v>
      </c>
      <c r="AK65">
        <v>100</v>
      </c>
      <c r="AL65" t="s">
        <v>220</v>
      </c>
      <c r="AM65">
        <v>0.1</v>
      </c>
      <c r="AN65" t="s">
        <v>82</v>
      </c>
      <c r="AT65" t="s">
        <v>65</v>
      </c>
      <c r="AU65">
        <v>0.2770083102493075</v>
      </c>
      <c r="AV65" t="s">
        <v>1262</v>
      </c>
    </row>
    <row r="66" spans="1:48" x14ac:dyDescent="0.3">
      <c r="A66" t="s">
        <v>1261</v>
      </c>
      <c r="C66" t="s">
        <v>1196</v>
      </c>
      <c r="D66" t="s">
        <v>81</v>
      </c>
      <c r="E66">
        <v>10000000</v>
      </c>
      <c r="H66">
        <v>3.61</v>
      </c>
      <c r="I66" t="s">
        <v>56</v>
      </c>
      <c r="J66">
        <v>3.6099999999999999E-4</v>
      </c>
      <c r="K66" t="s">
        <v>57</v>
      </c>
      <c r="O66">
        <v>60</v>
      </c>
      <c r="P66" t="s">
        <v>121</v>
      </c>
      <c r="T66">
        <v>25</v>
      </c>
      <c r="V66">
        <v>50</v>
      </c>
      <c r="W66" t="s">
        <v>388</v>
      </c>
      <c r="X66" t="s">
        <v>114</v>
      </c>
      <c r="Y66">
        <v>3</v>
      </c>
      <c r="AB66">
        <v>3.83</v>
      </c>
      <c r="AC66" t="s">
        <v>85</v>
      </c>
      <c r="AD66" t="s">
        <v>525</v>
      </c>
      <c r="AE66" t="s">
        <v>1072</v>
      </c>
      <c r="AI66">
        <v>3</v>
      </c>
      <c r="AT66" t="s">
        <v>65</v>
      </c>
      <c r="AV66" t="s">
        <v>88</v>
      </c>
    </row>
    <row r="67" spans="1:48" x14ac:dyDescent="0.3">
      <c r="A67" t="s">
        <v>1261</v>
      </c>
      <c r="C67" t="s">
        <v>1196</v>
      </c>
      <c r="D67" t="s">
        <v>81</v>
      </c>
      <c r="E67">
        <v>10000000</v>
      </c>
      <c r="H67">
        <v>3.61</v>
      </c>
      <c r="I67" t="s">
        <v>56</v>
      </c>
      <c r="J67">
        <v>3.6099999999999999E-4</v>
      </c>
      <c r="K67" t="s">
        <v>57</v>
      </c>
      <c r="O67">
        <v>80</v>
      </c>
      <c r="P67" t="s">
        <v>121</v>
      </c>
      <c r="T67">
        <v>25</v>
      </c>
      <c r="V67">
        <v>50</v>
      </c>
      <c r="W67" t="s">
        <v>388</v>
      </c>
      <c r="X67" t="s">
        <v>114</v>
      </c>
      <c r="Y67">
        <v>3</v>
      </c>
      <c r="AB67">
        <v>4.17</v>
      </c>
      <c r="AC67" t="s">
        <v>85</v>
      </c>
      <c r="AD67" t="s">
        <v>238</v>
      </c>
      <c r="AE67" t="s">
        <v>1072</v>
      </c>
      <c r="AI67">
        <v>3</v>
      </c>
      <c r="AT67" t="s">
        <v>65</v>
      </c>
      <c r="AV67" t="s">
        <v>88</v>
      </c>
    </row>
    <row r="68" spans="1:48" x14ac:dyDescent="0.3">
      <c r="A68" t="s">
        <v>1261</v>
      </c>
      <c r="C68" t="s">
        <v>1196</v>
      </c>
      <c r="D68" t="s">
        <v>81</v>
      </c>
      <c r="E68">
        <v>10000000</v>
      </c>
      <c r="H68">
        <v>3.61</v>
      </c>
      <c r="I68" t="s">
        <v>56</v>
      </c>
      <c r="J68">
        <v>3.6099999999999999E-4</v>
      </c>
      <c r="K68" t="s">
        <v>57</v>
      </c>
      <c r="O68">
        <v>100</v>
      </c>
      <c r="P68" t="s">
        <v>121</v>
      </c>
      <c r="T68">
        <v>25</v>
      </c>
      <c r="V68">
        <v>50</v>
      </c>
      <c r="W68" t="s">
        <v>388</v>
      </c>
      <c r="X68" t="s">
        <v>114</v>
      </c>
      <c r="Y68">
        <v>3</v>
      </c>
      <c r="AB68">
        <v>4.17</v>
      </c>
      <c r="AC68" t="s">
        <v>85</v>
      </c>
      <c r="AD68" t="s">
        <v>238</v>
      </c>
      <c r="AE68" t="s">
        <v>1072</v>
      </c>
      <c r="AI68">
        <v>3</v>
      </c>
      <c r="AT68" t="s">
        <v>65</v>
      </c>
      <c r="AV68" t="s">
        <v>88</v>
      </c>
    </row>
    <row r="69" spans="1:48" x14ac:dyDescent="0.3">
      <c r="A69" t="s">
        <v>1261</v>
      </c>
      <c r="B69" t="s">
        <v>1263</v>
      </c>
      <c r="C69" t="s">
        <v>1196</v>
      </c>
      <c r="D69" t="s">
        <v>81</v>
      </c>
      <c r="E69">
        <v>10000000</v>
      </c>
      <c r="H69">
        <v>3.61</v>
      </c>
      <c r="I69" t="s">
        <v>56</v>
      </c>
      <c r="J69">
        <v>3.6099999999999999E-4</v>
      </c>
      <c r="K69" t="s">
        <v>57</v>
      </c>
      <c r="O69">
        <v>120</v>
      </c>
      <c r="P69" t="s">
        <v>121</v>
      </c>
      <c r="T69">
        <v>25</v>
      </c>
      <c r="V69">
        <v>50</v>
      </c>
      <c r="W69" t="s">
        <v>1264</v>
      </c>
      <c r="X69" t="s">
        <v>114</v>
      </c>
      <c r="Y69">
        <v>3</v>
      </c>
      <c r="AB69">
        <v>4.17</v>
      </c>
      <c r="AC69" t="s">
        <v>85</v>
      </c>
      <c r="AD69" t="s">
        <v>238</v>
      </c>
      <c r="AE69" t="s">
        <v>1072</v>
      </c>
      <c r="AI69">
        <v>3</v>
      </c>
      <c r="AK69">
        <v>100</v>
      </c>
      <c r="AL69" t="s">
        <v>220</v>
      </c>
      <c r="AM69">
        <v>0.1</v>
      </c>
      <c r="AN69" t="s">
        <v>82</v>
      </c>
      <c r="AU69">
        <v>0.2770083102493075</v>
      </c>
      <c r="AV69" t="s">
        <v>1262</v>
      </c>
    </row>
    <row r="70" spans="1:48" x14ac:dyDescent="0.3">
      <c r="A70" t="s">
        <v>1261</v>
      </c>
      <c r="B70" t="s">
        <v>1263</v>
      </c>
      <c r="C70" t="s">
        <v>1196</v>
      </c>
      <c r="D70" t="s">
        <v>81</v>
      </c>
      <c r="E70">
        <v>10000000</v>
      </c>
      <c r="H70">
        <v>3.61</v>
      </c>
      <c r="I70" t="s">
        <v>56</v>
      </c>
      <c r="J70">
        <v>3.6099999999999999E-4</v>
      </c>
      <c r="K70" t="s">
        <v>57</v>
      </c>
      <c r="O70">
        <v>60</v>
      </c>
      <c r="P70" t="s">
        <v>121</v>
      </c>
      <c r="T70">
        <v>25</v>
      </c>
      <c r="V70">
        <v>50</v>
      </c>
      <c r="W70" t="s">
        <v>1264</v>
      </c>
      <c r="X70" t="s">
        <v>114</v>
      </c>
      <c r="Y70">
        <v>1</v>
      </c>
      <c r="AB70">
        <v>0.32</v>
      </c>
      <c r="AC70" t="s">
        <v>85</v>
      </c>
      <c r="AD70" t="s">
        <v>238</v>
      </c>
      <c r="AE70" t="s">
        <v>1072</v>
      </c>
      <c r="AI70">
        <v>3</v>
      </c>
      <c r="AK70">
        <v>100</v>
      </c>
      <c r="AL70" t="s">
        <v>220</v>
      </c>
      <c r="AM70">
        <v>0.1</v>
      </c>
      <c r="AN70" t="s">
        <v>82</v>
      </c>
      <c r="AU70">
        <v>0.2770083102493075</v>
      </c>
      <c r="AV70" t="s">
        <v>1262</v>
      </c>
    </row>
    <row r="71" spans="1:48" x14ac:dyDescent="0.3">
      <c r="A71" t="s">
        <v>1261</v>
      </c>
      <c r="B71" t="s">
        <v>1263</v>
      </c>
      <c r="C71" t="s">
        <v>1196</v>
      </c>
      <c r="D71" t="s">
        <v>81</v>
      </c>
      <c r="E71">
        <v>10000000</v>
      </c>
      <c r="H71">
        <v>3.61</v>
      </c>
      <c r="I71" t="s">
        <v>56</v>
      </c>
      <c r="J71">
        <v>3.6099999999999999E-4</v>
      </c>
      <c r="K71" t="s">
        <v>57</v>
      </c>
      <c r="O71">
        <v>80</v>
      </c>
      <c r="P71" t="s">
        <v>121</v>
      </c>
      <c r="T71">
        <v>25</v>
      </c>
      <c r="V71">
        <v>50</v>
      </c>
      <c r="W71" t="s">
        <v>1264</v>
      </c>
      <c r="X71" t="s">
        <v>114</v>
      </c>
      <c r="Y71">
        <v>1</v>
      </c>
      <c r="AB71">
        <v>0.49</v>
      </c>
      <c r="AC71" t="s">
        <v>85</v>
      </c>
      <c r="AD71" t="s">
        <v>242</v>
      </c>
      <c r="AE71" t="s">
        <v>1072</v>
      </c>
      <c r="AI71">
        <v>3</v>
      </c>
      <c r="AK71">
        <v>100</v>
      </c>
      <c r="AL71" t="s">
        <v>220</v>
      </c>
      <c r="AM71">
        <v>0.1</v>
      </c>
      <c r="AN71" t="s">
        <v>82</v>
      </c>
      <c r="AU71">
        <v>0.2770083102493075</v>
      </c>
      <c r="AV71" t="s">
        <v>1262</v>
      </c>
    </row>
    <row r="72" spans="1:48" x14ac:dyDescent="0.3">
      <c r="A72" t="s">
        <v>1261</v>
      </c>
      <c r="B72" t="s">
        <v>1263</v>
      </c>
      <c r="C72" t="s">
        <v>1196</v>
      </c>
      <c r="D72" t="s">
        <v>81</v>
      </c>
      <c r="E72">
        <v>10000000</v>
      </c>
      <c r="H72">
        <v>3.61</v>
      </c>
      <c r="I72" t="s">
        <v>56</v>
      </c>
      <c r="J72">
        <v>3.6099999999999999E-4</v>
      </c>
      <c r="K72" t="s">
        <v>57</v>
      </c>
      <c r="O72">
        <v>100</v>
      </c>
      <c r="P72" t="s">
        <v>121</v>
      </c>
      <c r="T72">
        <v>25</v>
      </c>
      <c r="V72">
        <v>50</v>
      </c>
      <c r="W72" t="s">
        <v>1264</v>
      </c>
      <c r="X72" t="s">
        <v>114</v>
      </c>
      <c r="Y72">
        <v>1</v>
      </c>
      <c r="AB72">
        <v>0.91</v>
      </c>
      <c r="AC72" t="s">
        <v>85</v>
      </c>
      <c r="AD72" t="s">
        <v>238</v>
      </c>
      <c r="AE72" t="s">
        <v>1072</v>
      </c>
      <c r="AI72">
        <v>3</v>
      </c>
      <c r="AK72">
        <v>100</v>
      </c>
      <c r="AL72" t="s">
        <v>220</v>
      </c>
      <c r="AM72">
        <v>0.1</v>
      </c>
      <c r="AN72" t="s">
        <v>82</v>
      </c>
      <c r="AU72">
        <v>0.2770083102493075</v>
      </c>
      <c r="AV72" t="s">
        <v>1262</v>
      </c>
    </row>
    <row r="73" spans="1:48" x14ac:dyDescent="0.3">
      <c r="A73" t="s">
        <v>1261</v>
      </c>
      <c r="B73" t="s">
        <v>1263</v>
      </c>
      <c r="C73" t="s">
        <v>1196</v>
      </c>
      <c r="D73" t="s">
        <v>81</v>
      </c>
      <c r="E73">
        <v>10000000</v>
      </c>
      <c r="H73">
        <v>3.61</v>
      </c>
      <c r="I73" t="s">
        <v>56</v>
      </c>
      <c r="J73">
        <v>3.6099999999999999E-4</v>
      </c>
      <c r="K73" t="s">
        <v>57</v>
      </c>
      <c r="O73">
        <v>120</v>
      </c>
      <c r="P73" t="s">
        <v>121</v>
      </c>
      <c r="T73">
        <v>25</v>
      </c>
      <c r="V73">
        <v>50</v>
      </c>
      <c r="W73" t="s">
        <v>1264</v>
      </c>
      <c r="X73" t="s">
        <v>114</v>
      </c>
      <c r="Y73">
        <v>1</v>
      </c>
      <c r="AB73">
        <v>1.99</v>
      </c>
      <c r="AC73" t="s">
        <v>85</v>
      </c>
      <c r="AD73" t="s">
        <v>433</v>
      </c>
      <c r="AE73" t="s">
        <v>1072</v>
      </c>
      <c r="AI73">
        <v>3</v>
      </c>
      <c r="AK73">
        <v>100</v>
      </c>
      <c r="AL73" t="s">
        <v>220</v>
      </c>
      <c r="AM73">
        <v>0.1</v>
      </c>
      <c r="AN73" t="s">
        <v>82</v>
      </c>
      <c r="AU73">
        <v>0.2770083102493075</v>
      </c>
      <c r="AV73" t="s">
        <v>1262</v>
      </c>
    </row>
    <row r="74" spans="1:48" x14ac:dyDescent="0.3">
      <c r="A74" t="s">
        <v>1261</v>
      </c>
      <c r="B74" t="s">
        <v>1263</v>
      </c>
      <c r="C74" t="s">
        <v>1196</v>
      </c>
      <c r="D74" t="s">
        <v>81</v>
      </c>
      <c r="E74">
        <v>10000000</v>
      </c>
      <c r="H74">
        <v>3.61</v>
      </c>
      <c r="I74" t="s">
        <v>56</v>
      </c>
      <c r="J74">
        <v>3.6099999999999999E-4</v>
      </c>
      <c r="K74" t="s">
        <v>57</v>
      </c>
      <c r="O74">
        <v>60</v>
      </c>
      <c r="P74" t="s">
        <v>121</v>
      </c>
      <c r="T74">
        <v>25</v>
      </c>
      <c r="V74">
        <v>50</v>
      </c>
      <c r="W74" t="s">
        <v>1264</v>
      </c>
      <c r="X74" t="s">
        <v>114</v>
      </c>
      <c r="Y74">
        <v>1</v>
      </c>
      <c r="AB74">
        <v>0.21</v>
      </c>
      <c r="AC74" t="s">
        <v>85</v>
      </c>
      <c r="AD74" t="s">
        <v>227</v>
      </c>
      <c r="AE74" t="s">
        <v>1072</v>
      </c>
      <c r="AI74">
        <v>3</v>
      </c>
      <c r="AK74">
        <v>100</v>
      </c>
      <c r="AL74" t="s">
        <v>220</v>
      </c>
      <c r="AM74">
        <v>0.1</v>
      </c>
      <c r="AN74" t="s">
        <v>82</v>
      </c>
      <c r="AU74">
        <v>0.2770083102493075</v>
      </c>
      <c r="AV74" t="s">
        <v>1262</v>
      </c>
    </row>
    <row r="75" spans="1:48" x14ac:dyDescent="0.3">
      <c r="A75" t="s">
        <v>1261</v>
      </c>
      <c r="B75" t="s">
        <v>1263</v>
      </c>
      <c r="C75" t="s">
        <v>1196</v>
      </c>
      <c r="D75" t="s">
        <v>81</v>
      </c>
      <c r="E75">
        <v>10000000</v>
      </c>
      <c r="H75">
        <v>3.61</v>
      </c>
      <c r="I75" t="s">
        <v>56</v>
      </c>
      <c r="J75">
        <v>3.6099999999999999E-4</v>
      </c>
      <c r="K75" t="s">
        <v>57</v>
      </c>
      <c r="O75">
        <v>80</v>
      </c>
      <c r="P75" t="s">
        <v>121</v>
      </c>
      <c r="T75">
        <v>25</v>
      </c>
      <c r="V75">
        <v>50</v>
      </c>
      <c r="W75" t="s">
        <v>1264</v>
      </c>
      <c r="X75" t="s">
        <v>114</v>
      </c>
      <c r="Y75">
        <v>1</v>
      </c>
      <c r="AB75">
        <v>0.41</v>
      </c>
      <c r="AC75" t="s">
        <v>85</v>
      </c>
      <c r="AD75" t="s">
        <v>418</v>
      </c>
      <c r="AE75" t="s">
        <v>1072</v>
      </c>
      <c r="AI75">
        <v>3</v>
      </c>
      <c r="AK75">
        <v>100</v>
      </c>
      <c r="AL75" t="s">
        <v>220</v>
      </c>
      <c r="AM75">
        <v>0.1</v>
      </c>
      <c r="AN75" t="s">
        <v>82</v>
      </c>
      <c r="AU75">
        <v>0.2770083102493075</v>
      </c>
      <c r="AV75" t="s">
        <v>1262</v>
      </c>
    </row>
    <row r="76" spans="1:48" x14ac:dyDescent="0.3">
      <c r="A76" t="s">
        <v>1261</v>
      </c>
      <c r="B76" t="s">
        <v>1263</v>
      </c>
      <c r="C76" t="s">
        <v>1196</v>
      </c>
      <c r="D76" t="s">
        <v>81</v>
      </c>
      <c r="E76">
        <v>10000000</v>
      </c>
      <c r="H76">
        <v>3.61</v>
      </c>
      <c r="I76" t="s">
        <v>56</v>
      </c>
      <c r="J76">
        <v>3.6099999999999999E-4</v>
      </c>
      <c r="K76" t="s">
        <v>57</v>
      </c>
      <c r="O76">
        <v>100</v>
      </c>
      <c r="P76" t="s">
        <v>121</v>
      </c>
      <c r="T76">
        <v>25</v>
      </c>
      <c r="V76">
        <v>50</v>
      </c>
      <c r="W76" t="s">
        <v>1264</v>
      </c>
      <c r="X76" t="s">
        <v>114</v>
      </c>
      <c r="Y76">
        <v>1</v>
      </c>
      <c r="AB76">
        <v>0.82</v>
      </c>
      <c r="AC76" t="s">
        <v>85</v>
      </c>
      <c r="AD76" t="s">
        <v>494</v>
      </c>
      <c r="AE76" t="s">
        <v>1072</v>
      </c>
      <c r="AI76">
        <v>3</v>
      </c>
      <c r="AK76">
        <v>100</v>
      </c>
      <c r="AL76" t="s">
        <v>220</v>
      </c>
      <c r="AM76">
        <v>0.1</v>
      </c>
      <c r="AN76" t="s">
        <v>82</v>
      </c>
      <c r="AU76">
        <v>0.2770083102493075</v>
      </c>
      <c r="AV76" t="s">
        <v>1262</v>
      </c>
    </row>
    <row r="77" spans="1:48" x14ac:dyDescent="0.3">
      <c r="A77" t="s">
        <v>1261</v>
      </c>
      <c r="B77" t="s">
        <v>1263</v>
      </c>
      <c r="C77" t="s">
        <v>1196</v>
      </c>
      <c r="D77" t="s">
        <v>81</v>
      </c>
      <c r="E77">
        <v>10000000</v>
      </c>
      <c r="H77">
        <v>3.61</v>
      </c>
      <c r="I77" t="s">
        <v>56</v>
      </c>
      <c r="J77">
        <v>3.6099999999999999E-4</v>
      </c>
      <c r="K77" t="s">
        <v>57</v>
      </c>
      <c r="O77">
        <v>120</v>
      </c>
      <c r="P77" t="s">
        <v>121</v>
      </c>
      <c r="T77">
        <v>25</v>
      </c>
      <c r="V77">
        <v>50</v>
      </c>
      <c r="W77" t="s">
        <v>1264</v>
      </c>
      <c r="X77" t="s">
        <v>114</v>
      </c>
      <c r="Y77">
        <v>1</v>
      </c>
      <c r="AB77">
        <v>1.93</v>
      </c>
      <c r="AC77" t="s">
        <v>85</v>
      </c>
      <c r="AD77" t="s">
        <v>238</v>
      </c>
      <c r="AE77" t="s">
        <v>1072</v>
      </c>
      <c r="AI77">
        <v>3</v>
      </c>
      <c r="AK77">
        <v>100</v>
      </c>
      <c r="AL77" t="s">
        <v>220</v>
      </c>
      <c r="AM77">
        <v>0.1</v>
      </c>
      <c r="AN77" t="s">
        <v>82</v>
      </c>
      <c r="AU77">
        <v>0.2770083102493075</v>
      </c>
      <c r="AV77" t="s">
        <v>1262</v>
      </c>
    </row>
    <row r="78" spans="1:48" x14ac:dyDescent="0.3">
      <c r="A78" t="s">
        <v>1261</v>
      </c>
      <c r="B78" t="s">
        <v>1263</v>
      </c>
      <c r="C78" t="s">
        <v>1196</v>
      </c>
      <c r="D78" t="s">
        <v>81</v>
      </c>
      <c r="E78">
        <v>10000000</v>
      </c>
      <c r="H78">
        <v>3.61</v>
      </c>
      <c r="I78" t="s">
        <v>56</v>
      </c>
      <c r="J78">
        <v>3.6099999999999999E-4</v>
      </c>
      <c r="K78" t="s">
        <v>57</v>
      </c>
      <c r="O78">
        <v>60</v>
      </c>
      <c r="P78" t="s">
        <v>121</v>
      </c>
      <c r="T78">
        <v>25</v>
      </c>
      <c r="V78">
        <v>50</v>
      </c>
      <c r="W78" t="s">
        <v>1264</v>
      </c>
      <c r="X78" t="s">
        <v>114</v>
      </c>
      <c r="Y78">
        <v>2</v>
      </c>
      <c r="AB78">
        <v>0.63</v>
      </c>
      <c r="AC78" t="s">
        <v>85</v>
      </c>
      <c r="AD78" t="s">
        <v>505</v>
      </c>
      <c r="AE78" t="s">
        <v>1072</v>
      </c>
      <c r="AI78">
        <v>3</v>
      </c>
      <c r="AK78">
        <v>100</v>
      </c>
      <c r="AL78" t="s">
        <v>220</v>
      </c>
      <c r="AM78">
        <v>0.1</v>
      </c>
      <c r="AN78" t="s">
        <v>82</v>
      </c>
      <c r="AU78">
        <v>0.2770083102493075</v>
      </c>
      <c r="AV78" t="s">
        <v>1262</v>
      </c>
    </row>
    <row r="79" spans="1:48" x14ac:dyDescent="0.3">
      <c r="A79" t="s">
        <v>1261</v>
      </c>
      <c r="B79" t="s">
        <v>1263</v>
      </c>
      <c r="C79" t="s">
        <v>1196</v>
      </c>
      <c r="D79" t="s">
        <v>81</v>
      </c>
      <c r="E79">
        <v>10000000</v>
      </c>
      <c r="H79">
        <v>3.61</v>
      </c>
      <c r="I79" t="s">
        <v>56</v>
      </c>
      <c r="J79">
        <v>3.6099999999999999E-4</v>
      </c>
      <c r="K79" t="s">
        <v>57</v>
      </c>
      <c r="O79">
        <v>80</v>
      </c>
      <c r="P79" t="s">
        <v>121</v>
      </c>
      <c r="T79">
        <v>25</v>
      </c>
      <c r="V79">
        <v>50</v>
      </c>
      <c r="W79" t="s">
        <v>1264</v>
      </c>
      <c r="X79" t="s">
        <v>114</v>
      </c>
      <c r="Y79">
        <v>2</v>
      </c>
      <c r="AB79">
        <v>2.02999999999999</v>
      </c>
      <c r="AC79" t="s">
        <v>85</v>
      </c>
      <c r="AD79" t="s">
        <v>106</v>
      </c>
      <c r="AE79" t="s">
        <v>1072</v>
      </c>
      <c r="AI79">
        <v>3</v>
      </c>
      <c r="AK79">
        <v>100</v>
      </c>
      <c r="AL79" t="s">
        <v>220</v>
      </c>
      <c r="AM79">
        <v>0.1</v>
      </c>
      <c r="AN79" t="s">
        <v>82</v>
      </c>
      <c r="AU79">
        <v>0.2770083102493075</v>
      </c>
      <c r="AV79" t="s">
        <v>1262</v>
      </c>
    </row>
    <row r="80" spans="1:48" x14ac:dyDescent="0.3">
      <c r="A80" t="s">
        <v>1261</v>
      </c>
      <c r="B80" t="s">
        <v>1263</v>
      </c>
      <c r="C80" t="s">
        <v>1196</v>
      </c>
      <c r="D80" t="s">
        <v>81</v>
      </c>
      <c r="E80">
        <v>10000000</v>
      </c>
      <c r="H80">
        <v>3.61</v>
      </c>
      <c r="I80" t="s">
        <v>56</v>
      </c>
      <c r="J80">
        <v>3.6099999999999999E-4</v>
      </c>
      <c r="K80" t="s">
        <v>57</v>
      </c>
      <c r="O80">
        <v>100</v>
      </c>
      <c r="P80" t="s">
        <v>121</v>
      </c>
      <c r="T80">
        <v>25</v>
      </c>
      <c r="V80">
        <v>50</v>
      </c>
      <c r="W80" t="s">
        <v>1264</v>
      </c>
      <c r="X80" t="s">
        <v>114</v>
      </c>
      <c r="Y80">
        <v>2</v>
      </c>
      <c r="AB80">
        <v>2.76</v>
      </c>
      <c r="AC80" t="s">
        <v>85</v>
      </c>
      <c r="AD80" t="s">
        <v>524</v>
      </c>
      <c r="AE80" t="s">
        <v>1072</v>
      </c>
      <c r="AI80">
        <v>3</v>
      </c>
      <c r="AK80">
        <v>100</v>
      </c>
      <c r="AL80" t="s">
        <v>220</v>
      </c>
      <c r="AM80">
        <v>0.1</v>
      </c>
      <c r="AN80" t="s">
        <v>82</v>
      </c>
      <c r="AU80">
        <v>0.2770083102493075</v>
      </c>
      <c r="AV80" t="s">
        <v>1262</v>
      </c>
    </row>
    <row r="81" spans="1:53" x14ac:dyDescent="0.3">
      <c r="A81" t="s">
        <v>1261</v>
      </c>
      <c r="B81" t="s">
        <v>1263</v>
      </c>
      <c r="C81" t="s">
        <v>1196</v>
      </c>
      <c r="D81" t="s">
        <v>81</v>
      </c>
      <c r="E81">
        <v>10000000</v>
      </c>
      <c r="H81">
        <v>3.61</v>
      </c>
      <c r="I81" t="s">
        <v>56</v>
      </c>
      <c r="J81">
        <v>3.6099999999999999E-4</v>
      </c>
      <c r="K81" t="s">
        <v>57</v>
      </c>
      <c r="O81">
        <v>120</v>
      </c>
      <c r="P81" t="s">
        <v>121</v>
      </c>
      <c r="T81">
        <v>25</v>
      </c>
      <c r="V81">
        <v>50</v>
      </c>
      <c r="W81" t="s">
        <v>1264</v>
      </c>
      <c r="X81" t="s">
        <v>114</v>
      </c>
      <c r="Y81">
        <v>2</v>
      </c>
      <c r="AB81">
        <v>3.85</v>
      </c>
      <c r="AC81" t="s">
        <v>85</v>
      </c>
      <c r="AD81" t="s">
        <v>433</v>
      </c>
      <c r="AE81" t="s">
        <v>1072</v>
      </c>
      <c r="AI81">
        <v>3</v>
      </c>
      <c r="AK81">
        <v>100</v>
      </c>
      <c r="AL81" t="s">
        <v>220</v>
      </c>
      <c r="AM81">
        <v>0.1</v>
      </c>
      <c r="AN81" t="s">
        <v>82</v>
      </c>
      <c r="AU81">
        <v>0.2770083102493075</v>
      </c>
      <c r="AV81" t="s">
        <v>1262</v>
      </c>
    </row>
    <row r="82" spans="1:53" x14ac:dyDescent="0.3">
      <c r="A82" t="s">
        <v>1261</v>
      </c>
      <c r="B82" t="s">
        <v>1263</v>
      </c>
      <c r="C82" t="s">
        <v>1196</v>
      </c>
      <c r="D82" t="s">
        <v>81</v>
      </c>
      <c r="E82">
        <v>10000000</v>
      </c>
      <c r="H82">
        <v>3.61</v>
      </c>
      <c r="I82" t="s">
        <v>56</v>
      </c>
      <c r="J82">
        <v>3.6099999999999999E-4</v>
      </c>
      <c r="K82" t="s">
        <v>57</v>
      </c>
      <c r="O82">
        <v>60</v>
      </c>
      <c r="P82" t="s">
        <v>121</v>
      </c>
      <c r="T82">
        <v>25</v>
      </c>
      <c r="V82">
        <v>50</v>
      </c>
      <c r="W82" t="s">
        <v>1264</v>
      </c>
      <c r="X82" t="s">
        <v>114</v>
      </c>
      <c r="Y82">
        <v>2</v>
      </c>
      <c r="AB82">
        <v>0.72</v>
      </c>
      <c r="AC82" t="s">
        <v>85</v>
      </c>
      <c r="AD82" t="s">
        <v>490</v>
      </c>
      <c r="AE82" t="s">
        <v>1072</v>
      </c>
      <c r="AI82">
        <v>3</v>
      </c>
      <c r="AK82">
        <v>100</v>
      </c>
      <c r="AL82" t="s">
        <v>220</v>
      </c>
      <c r="AM82">
        <v>0.1</v>
      </c>
      <c r="AN82" t="s">
        <v>82</v>
      </c>
      <c r="AU82">
        <v>0.2770083102493075</v>
      </c>
      <c r="AV82" t="s">
        <v>1262</v>
      </c>
    </row>
    <row r="83" spans="1:53" x14ac:dyDescent="0.3">
      <c r="A83" t="s">
        <v>1261</v>
      </c>
      <c r="B83" t="s">
        <v>1263</v>
      </c>
      <c r="C83" t="s">
        <v>1196</v>
      </c>
      <c r="D83" t="s">
        <v>81</v>
      </c>
      <c r="E83">
        <v>10000000</v>
      </c>
      <c r="H83">
        <v>3.61</v>
      </c>
      <c r="I83" t="s">
        <v>56</v>
      </c>
      <c r="J83">
        <v>3.6099999999999999E-4</v>
      </c>
      <c r="K83" t="s">
        <v>57</v>
      </c>
      <c r="O83">
        <v>80</v>
      </c>
      <c r="P83" t="s">
        <v>121</v>
      </c>
      <c r="T83">
        <v>25</v>
      </c>
      <c r="V83">
        <v>50</v>
      </c>
      <c r="W83" t="s">
        <v>1264</v>
      </c>
      <c r="X83" t="s">
        <v>114</v>
      </c>
      <c r="Y83">
        <v>2</v>
      </c>
      <c r="AB83">
        <v>1.78</v>
      </c>
      <c r="AC83" t="s">
        <v>85</v>
      </c>
      <c r="AD83" t="s">
        <v>521</v>
      </c>
      <c r="AE83" t="s">
        <v>1072</v>
      </c>
      <c r="AI83">
        <v>3</v>
      </c>
      <c r="AK83">
        <v>100</v>
      </c>
      <c r="AL83" t="s">
        <v>220</v>
      </c>
      <c r="AM83">
        <v>0.1</v>
      </c>
      <c r="AN83" t="s">
        <v>82</v>
      </c>
      <c r="AU83">
        <v>0.2770083102493075</v>
      </c>
      <c r="AV83" t="s">
        <v>1262</v>
      </c>
    </row>
    <row r="84" spans="1:53" x14ac:dyDescent="0.3">
      <c r="A84" t="s">
        <v>1261</v>
      </c>
      <c r="B84" t="s">
        <v>1263</v>
      </c>
      <c r="C84" t="s">
        <v>1196</v>
      </c>
      <c r="D84" t="s">
        <v>81</v>
      </c>
      <c r="E84">
        <v>10000000</v>
      </c>
      <c r="H84">
        <v>3.61</v>
      </c>
      <c r="I84" t="s">
        <v>56</v>
      </c>
      <c r="J84">
        <v>3.6099999999999999E-4</v>
      </c>
      <c r="K84" t="s">
        <v>57</v>
      </c>
      <c r="O84">
        <v>100</v>
      </c>
      <c r="P84" t="s">
        <v>121</v>
      </c>
      <c r="T84">
        <v>25</v>
      </c>
      <c r="V84">
        <v>50</v>
      </c>
      <c r="W84" t="s">
        <v>1264</v>
      </c>
      <c r="X84" t="s">
        <v>114</v>
      </c>
      <c r="Y84">
        <v>2</v>
      </c>
      <c r="AB84">
        <v>3.01</v>
      </c>
      <c r="AC84" t="s">
        <v>85</v>
      </c>
      <c r="AD84" t="s">
        <v>505</v>
      </c>
      <c r="AE84" t="s">
        <v>1072</v>
      </c>
      <c r="AI84">
        <v>3</v>
      </c>
      <c r="AK84">
        <v>100</v>
      </c>
      <c r="AL84" t="s">
        <v>220</v>
      </c>
      <c r="AM84">
        <v>0.1</v>
      </c>
      <c r="AN84" t="s">
        <v>82</v>
      </c>
      <c r="AU84">
        <v>0.2770083102493075</v>
      </c>
      <c r="AV84" t="s">
        <v>1262</v>
      </c>
    </row>
    <row r="85" spans="1:53" x14ac:dyDescent="0.3">
      <c r="A85" t="s">
        <v>1261</v>
      </c>
      <c r="B85" t="s">
        <v>1263</v>
      </c>
      <c r="C85" t="s">
        <v>1196</v>
      </c>
      <c r="D85" t="s">
        <v>81</v>
      </c>
      <c r="E85">
        <v>10000000</v>
      </c>
      <c r="H85">
        <v>3.61</v>
      </c>
      <c r="I85" t="s">
        <v>56</v>
      </c>
      <c r="J85">
        <v>3.6099999999999999E-4</v>
      </c>
      <c r="K85" t="s">
        <v>57</v>
      </c>
      <c r="O85">
        <v>120</v>
      </c>
      <c r="P85" t="s">
        <v>121</v>
      </c>
      <c r="T85">
        <v>25</v>
      </c>
      <c r="V85">
        <v>50</v>
      </c>
      <c r="W85" t="s">
        <v>1264</v>
      </c>
      <c r="X85" t="s">
        <v>114</v>
      </c>
      <c r="Y85">
        <v>2</v>
      </c>
      <c r="AB85">
        <v>3.71</v>
      </c>
      <c r="AC85" t="s">
        <v>85</v>
      </c>
      <c r="AD85" t="s">
        <v>436</v>
      </c>
      <c r="AE85" t="s">
        <v>1072</v>
      </c>
      <c r="AI85">
        <v>3</v>
      </c>
      <c r="AK85">
        <v>100</v>
      </c>
      <c r="AL85" t="s">
        <v>220</v>
      </c>
      <c r="AM85">
        <v>0.1</v>
      </c>
      <c r="AN85" t="s">
        <v>82</v>
      </c>
      <c r="AU85">
        <v>0.2770083102493075</v>
      </c>
      <c r="AV85" t="s">
        <v>1262</v>
      </c>
    </row>
    <row r="86" spans="1:53" x14ac:dyDescent="0.3">
      <c r="A86" t="s">
        <v>1261</v>
      </c>
      <c r="B86" t="s">
        <v>1263</v>
      </c>
      <c r="C86" t="s">
        <v>1196</v>
      </c>
      <c r="D86" t="s">
        <v>81</v>
      </c>
      <c r="E86">
        <v>10000000</v>
      </c>
      <c r="H86">
        <v>3.61</v>
      </c>
      <c r="I86" t="s">
        <v>56</v>
      </c>
      <c r="J86">
        <v>3.6099999999999999E-4</v>
      </c>
      <c r="K86" t="s">
        <v>57</v>
      </c>
      <c r="O86">
        <v>60</v>
      </c>
      <c r="P86" t="s">
        <v>121</v>
      </c>
      <c r="T86">
        <v>25</v>
      </c>
      <c r="V86">
        <v>50</v>
      </c>
      <c r="W86" t="s">
        <v>1264</v>
      </c>
      <c r="X86" t="s">
        <v>114</v>
      </c>
      <c r="Y86">
        <v>3</v>
      </c>
      <c r="AB86">
        <v>1.5</v>
      </c>
      <c r="AC86" t="s">
        <v>85</v>
      </c>
      <c r="AD86" t="s">
        <v>632</v>
      </c>
      <c r="AE86" t="s">
        <v>1072</v>
      </c>
      <c r="AI86">
        <v>3</v>
      </c>
      <c r="AK86">
        <v>100</v>
      </c>
      <c r="AL86" t="s">
        <v>220</v>
      </c>
      <c r="AM86">
        <v>0.1</v>
      </c>
      <c r="AN86" t="s">
        <v>82</v>
      </c>
      <c r="AU86">
        <v>0.2770083102493075</v>
      </c>
      <c r="AV86" t="s">
        <v>1262</v>
      </c>
    </row>
    <row r="87" spans="1:53" x14ac:dyDescent="0.3">
      <c r="A87" t="s">
        <v>1261</v>
      </c>
      <c r="B87" t="s">
        <v>1263</v>
      </c>
      <c r="C87" t="s">
        <v>1196</v>
      </c>
      <c r="D87" t="s">
        <v>81</v>
      </c>
      <c r="E87">
        <v>10000000</v>
      </c>
      <c r="H87">
        <v>3.61</v>
      </c>
      <c r="I87" t="s">
        <v>56</v>
      </c>
      <c r="J87">
        <v>3.6099999999999999E-4</v>
      </c>
      <c r="K87" t="s">
        <v>57</v>
      </c>
      <c r="O87">
        <v>80</v>
      </c>
      <c r="P87" t="s">
        <v>121</v>
      </c>
      <c r="T87">
        <v>25</v>
      </c>
      <c r="V87">
        <v>50</v>
      </c>
      <c r="W87" t="s">
        <v>1264</v>
      </c>
      <c r="X87" t="s">
        <v>114</v>
      </c>
      <c r="Y87">
        <v>3</v>
      </c>
      <c r="AB87">
        <v>3.65</v>
      </c>
      <c r="AC87" t="s">
        <v>85</v>
      </c>
      <c r="AD87" t="s">
        <v>505</v>
      </c>
      <c r="AE87" t="s">
        <v>1072</v>
      </c>
      <c r="AI87">
        <v>3</v>
      </c>
      <c r="AK87">
        <v>100</v>
      </c>
      <c r="AL87" t="s">
        <v>220</v>
      </c>
      <c r="AM87">
        <v>0.1</v>
      </c>
      <c r="AN87" t="s">
        <v>82</v>
      </c>
      <c r="AU87">
        <v>0.2770083102493075</v>
      </c>
      <c r="AV87" t="s">
        <v>1262</v>
      </c>
    </row>
    <row r="88" spans="1:53" x14ac:dyDescent="0.3">
      <c r="A88" t="s">
        <v>1261</v>
      </c>
      <c r="B88" t="s">
        <v>1263</v>
      </c>
      <c r="C88" t="s">
        <v>1196</v>
      </c>
      <c r="D88" t="s">
        <v>81</v>
      </c>
      <c r="E88">
        <v>10000000</v>
      </c>
      <c r="H88">
        <v>3.61</v>
      </c>
      <c r="I88" t="s">
        <v>56</v>
      </c>
      <c r="J88">
        <v>3.6099999999999999E-4</v>
      </c>
      <c r="K88" t="s">
        <v>57</v>
      </c>
      <c r="O88">
        <v>100</v>
      </c>
      <c r="P88" t="s">
        <v>121</v>
      </c>
      <c r="T88">
        <v>25</v>
      </c>
      <c r="V88">
        <v>50</v>
      </c>
      <c r="W88" t="s">
        <v>1264</v>
      </c>
      <c r="X88" t="s">
        <v>114</v>
      </c>
      <c r="Y88">
        <v>3</v>
      </c>
      <c r="AB88">
        <v>3.85</v>
      </c>
      <c r="AC88" t="s">
        <v>85</v>
      </c>
      <c r="AD88" t="s">
        <v>418</v>
      </c>
      <c r="AE88" t="s">
        <v>1072</v>
      </c>
      <c r="AI88">
        <v>3</v>
      </c>
      <c r="AK88">
        <v>100</v>
      </c>
      <c r="AL88" t="s">
        <v>220</v>
      </c>
      <c r="AM88">
        <v>0.1</v>
      </c>
      <c r="AN88" t="s">
        <v>82</v>
      </c>
      <c r="AU88">
        <v>0.2770083102493075</v>
      </c>
      <c r="AV88" t="s">
        <v>1262</v>
      </c>
    </row>
    <row r="89" spans="1:53" x14ac:dyDescent="0.3">
      <c r="A89" t="s">
        <v>1261</v>
      </c>
      <c r="B89" t="s">
        <v>1263</v>
      </c>
      <c r="C89" t="s">
        <v>1196</v>
      </c>
      <c r="D89" t="s">
        <v>81</v>
      </c>
      <c r="E89">
        <v>10000000</v>
      </c>
      <c r="H89">
        <v>3.61</v>
      </c>
      <c r="I89" t="s">
        <v>56</v>
      </c>
      <c r="J89">
        <v>3.6099999999999999E-4</v>
      </c>
      <c r="K89" t="s">
        <v>57</v>
      </c>
      <c r="O89">
        <v>120</v>
      </c>
      <c r="P89" t="s">
        <v>121</v>
      </c>
      <c r="T89">
        <v>25</v>
      </c>
      <c r="V89">
        <v>50</v>
      </c>
      <c r="W89" t="s">
        <v>1264</v>
      </c>
      <c r="X89" t="s">
        <v>114</v>
      </c>
      <c r="Y89">
        <v>3</v>
      </c>
      <c r="AB89">
        <v>4.17</v>
      </c>
      <c r="AC89" t="s">
        <v>85</v>
      </c>
      <c r="AD89" t="s">
        <v>231</v>
      </c>
      <c r="AE89" t="s">
        <v>1072</v>
      </c>
      <c r="AI89">
        <v>3</v>
      </c>
      <c r="AK89">
        <v>100</v>
      </c>
      <c r="AL89" t="s">
        <v>220</v>
      </c>
      <c r="AM89">
        <v>0.1</v>
      </c>
      <c r="AN89" t="s">
        <v>82</v>
      </c>
      <c r="AU89">
        <v>0.2770083102493075</v>
      </c>
      <c r="AV89" t="s">
        <v>1262</v>
      </c>
    </row>
    <row r="90" spans="1:53" x14ac:dyDescent="0.3">
      <c r="A90" t="s">
        <v>1261</v>
      </c>
      <c r="B90" t="s">
        <v>1263</v>
      </c>
      <c r="C90" t="s">
        <v>1196</v>
      </c>
      <c r="D90" t="s">
        <v>81</v>
      </c>
      <c r="E90">
        <v>10000000</v>
      </c>
      <c r="H90">
        <v>3.61</v>
      </c>
      <c r="I90" t="s">
        <v>56</v>
      </c>
      <c r="J90">
        <v>3.6099999999999999E-4</v>
      </c>
      <c r="K90" t="s">
        <v>57</v>
      </c>
      <c r="O90">
        <v>60</v>
      </c>
      <c r="P90" t="s">
        <v>121</v>
      </c>
      <c r="T90">
        <v>25</v>
      </c>
      <c r="V90">
        <v>50</v>
      </c>
      <c r="W90" t="s">
        <v>1264</v>
      </c>
      <c r="X90" t="s">
        <v>114</v>
      </c>
      <c r="Y90">
        <v>3</v>
      </c>
      <c r="AB90">
        <v>1.86</v>
      </c>
      <c r="AC90" t="s">
        <v>85</v>
      </c>
      <c r="AD90" t="s">
        <v>240</v>
      </c>
      <c r="AE90" t="s">
        <v>1072</v>
      </c>
      <c r="AI90">
        <v>3</v>
      </c>
      <c r="AK90">
        <v>100</v>
      </c>
      <c r="AL90" t="s">
        <v>220</v>
      </c>
      <c r="AM90">
        <v>0.1</v>
      </c>
      <c r="AN90" t="s">
        <v>82</v>
      </c>
      <c r="AU90">
        <v>0.2770083102493075</v>
      </c>
      <c r="AV90" t="s">
        <v>1262</v>
      </c>
    </row>
    <row r="91" spans="1:53" x14ac:dyDescent="0.3">
      <c r="A91" t="s">
        <v>1261</v>
      </c>
      <c r="B91" t="s">
        <v>1263</v>
      </c>
      <c r="C91" t="s">
        <v>1196</v>
      </c>
      <c r="D91" t="s">
        <v>81</v>
      </c>
      <c r="E91">
        <v>10000000</v>
      </c>
      <c r="H91">
        <v>3.61</v>
      </c>
      <c r="I91" t="s">
        <v>56</v>
      </c>
      <c r="J91">
        <v>3.6099999999999999E-4</v>
      </c>
      <c r="K91" t="s">
        <v>57</v>
      </c>
      <c r="O91">
        <v>80</v>
      </c>
      <c r="P91" t="s">
        <v>121</v>
      </c>
      <c r="T91">
        <v>25</v>
      </c>
      <c r="V91">
        <v>50</v>
      </c>
      <c r="W91" t="s">
        <v>1264</v>
      </c>
      <c r="X91" t="s">
        <v>114</v>
      </c>
      <c r="Y91">
        <v>3</v>
      </c>
      <c r="AB91">
        <v>3.44</v>
      </c>
      <c r="AC91" t="s">
        <v>85</v>
      </c>
      <c r="AD91" t="s">
        <v>632</v>
      </c>
      <c r="AE91" t="s">
        <v>1072</v>
      </c>
      <c r="AI91">
        <v>3</v>
      </c>
      <c r="AK91">
        <v>100</v>
      </c>
      <c r="AL91" t="s">
        <v>220</v>
      </c>
      <c r="AM91">
        <v>0.1</v>
      </c>
      <c r="AN91" t="s">
        <v>82</v>
      </c>
      <c r="AU91">
        <v>0.2770083102493075</v>
      </c>
      <c r="AV91" t="s">
        <v>1262</v>
      </c>
    </row>
    <row r="92" spans="1:53" x14ac:dyDescent="0.3">
      <c r="A92" t="s">
        <v>1261</v>
      </c>
      <c r="B92" t="s">
        <v>1263</v>
      </c>
      <c r="C92" t="s">
        <v>1196</v>
      </c>
      <c r="D92" t="s">
        <v>81</v>
      </c>
      <c r="E92">
        <v>10000000</v>
      </c>
      <c r="H92">
        <v>3.61</v>
      </c>
      <c r="I92" t="s">
        <v>56</v>
      </c>
      <c r="J92">
        <v>3.6099999999999999E-4</v>
      </c>
      <c r="K92" t="s">
        <v>57</v>
      </c>
      <c r="O92">
        <v>100</v>
      </c>
      <c r="P92" t="s">
        <v>121</v>
      </c>
      <c r="T92">
        <v>25</v>
      </c>
      <c r="V92">
        <v>50</v>
      </c>
      <c r="W92" t="s">
        <v>1264</v>
      </c>
      <c r="X92" t="s">
        <v>114</v>
      </c>
      <c r="Y92">
        <v>3</v>
      </c>
      <c r="AB92">
        <v>3.77</v>
      </c>
      <c r="AC92" t="s">
        <v>85</v>
      </c>
      <c r="AD92" t="s">
        <v>436</v>
      </c>
      <c r="AE92" t="s">
        <v>1072</v>
      </c>
      <c r="AI92">
        <v>3</v>
      </c>
      <c r="AK92">
        <v>100</v>
      </c>
      <c r="AL92" t="s">
        <v>220</v>
      </c>
      <c r="AM92">
        <v>0.1</v>
      </c>
      <c r="AN92" t="s">
        <v>82</v>
      </c>
      <c r="AU92">
        <v>0.2770083102493075</v>
      </c>
      <c r="AV92" t="s">
        <v>1262</v>
      </c>
    </row>
    <row r="93" spans="1:53" x14ac:dyDescent="0.3">
      <c r="A93" t="s">
        <v>1261</v>
      </c>
      <c r="B93" t="s">
        <v>1263</v>
      </c>
      <c r="C93" t="s">
        <v>1196</v>
      </c>
      <c r="D93" t="s">
        <v>81</v>
      </c>
      <c r="E93">
        <v>10000000</v>
      </c>
      <c r="H93">
        <v>3.61</v>
      </c>
      <c r="I93" t="s">
        <v>56</v>
      </c>
      <c r="J93">
        <v>3.6099999999999999E-4</v>
      </c>
      <c r="K93" t="s">
        <v>57</v>
      </c>
      <c r="O93">
        <v>120</v>
      </c>
      <c r="P93" t="s">
        <v>121</v>
      </c>
      <c r="T93">
        <v>25</v>
      </c>
      <c r="V93">
        <v>50</v>
      </c>
      <c r="W93" t="s">
        <v>1264</v>
      </c>
      <c r="X93" t="s">
        <v>114</v>
      </c>
      <c r="Y93">
        <v>3</v>
      </c>
      <c r="AB93">
        <v>3.82</v>
      </c>
      <c r="AC93" t="s">
        <v>85</v>
      </c>
      <c r="AD93" t="s">
        <v>106</v>
      </c>
      <c r="AE93" t="s">
        <v>1072</v>
      </c>
      <c r="AI93">
        <v>3</v>
      </c>
      <c r="AK93">
        <v>100</v>
      </c>
      <c r="AL93" t="s">
        <v>220</v>
      </c>
      <c r="AM93">
        <v>0.1</v>
      </c>
      <c r="AN93" t="s">
        <v>82</v>
      </c>
      <c r="AU93">
        <v>0.2770083102493075</v>
      </c>
      <c r="AV93" t="s">
        <v>1262</v>
      </c>
    </row>
    <row r="94" spans="1:53" x14ac:dyDescent="0.3">
      <c r="A94" t="s">
        <v>1265</v>
      </c>
      <c r="C94" t="s">
        <v>1196</v>
      </c>
      <c r="D94" t="s">
        <v>81</v>
      </c>
      <c r="E94">
        <v>10000000</v>
      </c>
      <c r="H94">
        <v>56.25</v>
      </c>
      <c r="I94" t="s">
        <v>56</v>
      </c>
      <c r="J94">
        <v>5.6250000000000007E-3</v>
      </c>
      <c r="K94" t="s">
        <v>57</v>
      </c>
      <c r="O94">
        <v>0.17</v>
      </c>
      <c r="P94" t="s">
        <v>1266</v>
      </c>
      <c r="T94">
        <v>25</v>
      </c>
      <c r="V94">
        <v>50</v>
      </c>
      <c r="W94" t="s">
        <v>1267</v>
      </c>
      <c r="X94" t="s">
        <v>957</v>
      </c>
      <c r="Y94">
        <v>0.5</v>
      </c>
      <c r="AA94" t="s">
        <v>184</v>
      </c>
      <c r="AB94">
        <v>5.6</v>
      </c>
      <c r="AC94" t="s">
        <v>85</v>
      </c>
      <c r="AI94">
        <v>2</v>
      </c>
      <c r="AK94">
        <v>0.25</v>
      </c>
      <c r="AL94" t="s">
        <v>82</v>
      </c>
      <c r="AM94">
        <v>0.25</v>
      </c>
      <c r="AN94" t="s">
        <v>82</v>
      </c>
      <c r="AU94">
        <v>4.4444444444444453E-2</v>
      </c>
      <c r="AV94" t="s">
        <v>115</v>
      </c>
      <c r="AZ94">
        <v>0</v>
      </c>
      <c r="BA94">
        <v>5.6</v>
      </c>
    </row>
    <row r="95" spans="1:53" x14ac:dyDescent="0.3">
      <c r="A95" t="s">
        <v>1265</v>
      </c>
      <c r="C95" t="s">
        <v>1196</v>
      </c>
      <c r="D95" t="s">
        <v>81</v>
      </c>
      <c r="E95">
        <v>10000000</v>
      </c>
      <c r="H95">
        <v>56.25</v>
      </c>
      <c r="I95" t="s">
        <v>56</v>
      </c>
      <c r="J95">
        <v>5.6250000000000007E-3</v>
      </c>
      <c r="K95" t="s">
        <v>57</v>
      </c>
      <c r="O95">
        <v>8.5000000000000006E-2</v>
      </c>
      <c r="P95" t="s">
        <v>1266</v>
      </c>
      <c r="T95">
        <v>25</v>
      </c>
      <c r="V95">
        <v>50</v>
      </c>
      <c r="W95" t="s">
        <v>1267</v>
      </c>
      <c r="X95" t="s">
        <v>957</v>
      </c>
      <c r="Y95">
        <v>0.5</v>
      </c>
      <c r="AB95">
        <v>5.2</v>
      </c>
      <c r="AC95" t="s">
        <v>85</v>
      </c>
      <c r="AI95">
        <v>2</v>
      </c>
      <c r="AK95">
        <v>0.25</v>
      </c>
      <c r="AL95" t="s">
        <v>82</v>
      </c>
      <c r="AM95">
        <v>0.25</v>
      </c>
      <c r="AN95" t="s">
        <v>82</v>
      </c>
      <c r="AU95">
        <v>4.4444444444444453E-2</v>
      </c>
      <c r="AV95" t="s">
        <v>115</v>
      </c>
    </row>
    <row r="96" spans="1:53" x14ac:dyDescent="0.3">
      <c r="A96" t="s">
        <v>1265</v>
      </c>
      <c r="C96" t="s">
        <v>1196</v>
      </c>
      <c r="D96" t="s">
        <v>81</v>
      </c>
      <c r="E96">
        <v>10000000</v>
      </c>
      <c r="H96">
        <v>56.25</v>
      </c>
      <c r="I96" t="s">
        <v>56</v>
      </c>
      <c r="J96">
        <v>5.6250000000000007E-3</v>
      </c>
      <c r="K96" t="s">
        <v>57</v>
      </c>
      <c r="O96">
        <v>4.2000000000000003E-2</v>
      </c>
      <c r="P96" t="s">
        <v>1266</v>
      </c>
      <c r="T96">
        <v>25</v>
      </c>
      <c r="V96">
        <v>50</v>
      </c>
      <c r="W96" t="s">
        <v>1267</v>
      </c>
      <c r="X96" t="s">
        <v>957</v>
      </c>
      <c r="Y96">
        <v>0.5</v>
      </c>
      <c r="AB96">
        <v>1.4</v>
      </c>
      <c r="AC96" t="s">
        <v>85</v>
      </c>
      <c r="AI96">
        <v>2</v>
      </c>
      <c r="AK96">
        <v>0.25</v>
      </c>
      <c r="AL96" t="s">
        <v>82</v>
      </c>
      <c r="AM96">
        <v>0.25</v>
      </c>
      <c r="AN96" t="s">
        <v>82</v>
      </c>
      <c r="AU96">
        <v>4.4444444444444453E-2</v>
      </c>
      <c r="AV96" t="s">
        <v>115</v>
      </c>
    </row>
    <row r="97" spans="1:53" x14ac:dyDescent="0.3">
      <c r="A97" t="s">
        <v>1265</v>
      </c>
      <c r="C97" t="s">
        <v>1196</v>
      </c>
      <c r="D97" t="s">
        <v>81</v>
      </c>
      <c r="E97">
        <v>10000000</v>
      </c>
      <c r="H97">
        <v>56.25</v>
      </c>
      <c r="I97" t="s">
        <v>56</v>
      </c>
      <c r="J97">
        <v>5.6250000000000007E-3</v>
      </c>
      <c r="K97" t="s">
        <v>57</v>
      </c>
      <c r="O97">
        <v>2.1000000000000001E-2</v>
      </c>
      <c r="P97" t="s">
        <v>1266</v>
      </c>
      <c r="T97">
        <v>25</v>
      </c>
      <c r="V97">
        <v>50</v>
      </c>
      <c r="W97" t="s">
        <v>1267</v>
      </c>
      <c r="X97" t="s">
        <v>957</v>
      </c>
      <c r="Y97">
        <v>0.5</v>
      </c>
      <c r="AB97">
        <v>0.3</v>
      </c>
      <c r="AC97" t="s">
        <v>85</v>
      </c>
      <c r="AI97">
        <v>2</v>
      </c>
      <c r="AK97">
        <v>0.25</v>
      </c>
      <c r="AL97" t="s">
        <v>82</v>
      </c>
      <c r="AM97">
        <v>0.25</v>
      </c>
      <c r="AN97" t="s">
        <v>82</v>
      </c>
      <c r="AU97">
        <v>4.4444444444444453E-2</v>
      </c>
      <c r="AV97" t="s">
        <v>115</v>
      </c>
    </row>
    <row r="98" spans="1:53" x14ac:dyDescent="0.3">
      <c r="A98" t="s">
        <v>1265</v>
      </c>
      <c r="C98" t="s">
        <v>1196</v>
      </c>
      <c r="D98" t="s">
        <v>81</v>
      </c>
      <c r="E98">
        <v>10000000</v>
      </c>
      <c r="H98">
        <v>56.25</v>
      </c>
      <c r="I98" t="s">
        <v>56</v>
      </c>
      <c r="J98">
        <v>5.6250000000000007E-3</v>
      </c>
      <c r="K98" t="s">
        <v>57</v>
      </c>
      <c r="O98">
        <v>0.28999999999999898</v>
      </c>
      <c r="P98" t="s">
        <v>1266</v>
      </c>
      <c r="T98">
        <v>25</v>
      </c>
      <c r="V98">
        <v>50</v>
      </c>
      <c r="W98" t="s">
        <v>388</v>
      </c>
      <c r="X98" t="s">
        <v>957</v>
      </c>
      <c r="Y98">
        <v>0.5</v>
      </c>
      <c r="AA98" t="s">
        <v>184</v>
      </c>
      <c r="AB98">
        <v>5.4</v>
      </c>
      <c r="AC98" t="s">
        <v>85</v>
      </c>
      <c r="AI98">
        <v>2</v>
      </c>
      <c r="AK98">
        <v>0.25</v>
      </c>
      <c r="AL98" t="s">
        <v>82</v>
      </c>
      <c r="AM98">
        <v>0.25</v>
      </c>
      <c r="AN98" t="s">
        <v>82</v>
      </c>
      <c r="AT98" t="s">
        <v>65</v>
      </c>
      <c r="AU98">
        <v>4.4444444444444453E-2</v>
      </c>
      <c r="AV98" t="s">
        <v>115</v>
      </c>
      <c r="AZ98">
        <v>0</v>
      </c>
      <c r="BA98">
        <v>5.4</v>
      </c>
    </row>
    <row r="99" spans="1:53" x14ac:dyDescent="0.3">
      <c r="A99" t="s">
        <v>1265</v>
      </c>
      <c r="C99" t="s">
        <v>1196</v>
      </c>
      <c r="D99" t="s">
        <v>81</v>
      </c>
      <c r="E99">
        <v>10000000</v>
      </c>
      <c r="H99">
        <v>56.25</v>
      </c>
      <c r="I99" t="s">
        <v>56</v>
      </c>
      <c r="J99">
        <v>5.6250000000000007E-3</v>
      </c>
      <c r="K99" t="s">
        <v>57</v>
      </c>
      <c r="O99">
        <v>0.28999999999999898</v>
      </c>
      <c r="P99" t="s">
        <v>1266</v>
      </c>
      <c r="T99">
        <v>25</v>
      </c>
      <c r="V99">
        <v>50</v>
      </c>
      <c r="W99" t="s">
        <v>388</v>
      </c>
      <c r="X99" t="s">
        <v>957</v>
      </c>
      <c r="Y99">
        <v>0.5</v>
      </c>
      <c r="AA99" t="s">
        <v>184</v>
      </c>
      <c r="AB99">
        <v>5.5</v>
      </c>
      <c r="AC99" t="s">
        <v>85</v>
      </c>
      <c r="AI99">
        <v>2</v>
      </c>
      <c r="AK99">
        <v>0.25</v>
      </c>
      <c r="AL99" t="s">
        <v>82</v>
      </c>
      <c r="AM99">
        <v>0.25</v>
      </c>
      <c r="AN99" t="s">
        <v>82</v>
      </c>
      <c r="AT99" t="s">
        <v>65</v>
      </c>
      <c r="AU99">
        <v>4.4444444444444453E-2</v>
      </c>
      <c r="AV99" t="s">
        <v>115</v>
      </c>
      <c r="AZ99">
        <v>0</v>
      </c>
      <c r="BA99">
        <v>5.5</v>
      </c>
    </row>
    <row r="100" spans="1:53" x14ac:dyDescent="0.3">
      <c r="A100" t="s">
        <v>1265</v>
      </c>
      <c r="C100" t="s">
        <v>1196</v>
      </c>
      <c r="D100" t="s">
        <v>81</v>
      </c>
      <c r="E100">
        <v>10000000</v>
      </c>
      <c r="H100">
        <v>56.25</v>
      </c>
      <c r="I100" t="s">
        <v>56</v>
      </c>
      <c r="J100">
        <v>5.6250000000000007E-3</v>
      </c>
      <c r="K100" t="s">
        <v>57</v>
      </c>
      <c r="O100">
        <v>0.28999999999999898</v>
      </c>
      <c r="P100" t="s">
        <v>1266</v>
      </c>
      <c r="T100">
        <v>25</v>
      </c>
      <c r="V100">
        <v>50</v>
      </c>
      <c r="W100" t="s">
        <v>388</v>
      </c>
      <c r="X100" t="s">
        <v>957</v>
      </c>
      <c r="Y100">
        <v>0.5</v>
      </c>
      <c r="AA100" t="s">
        <v>184</v>
      </c>
      <c r="AB100">
        <v>5.5</v>
      </c>
      <c r="AC100" t="s">
        <v>85</v>
      </c>
      <c r="AI100">
        <v>2</v>
      </c>
      <c r="AK100">
        <v>0.25</v>
      </c>
      <c r="AL100" t="s">
        <v>82</v>
      </c>
      <c r="AM100">
        <v>0.25</v>
      </c>
      <c r="AN100" t="s">
        <v>82</v>
      </c>
      <c r="AT100" t="s">
        <v>65</v>
      </c>
      <c r="AU100">
        <v>4.4444444444444453E-2</v>
      </c>
      <c r="AV100" t="s">
        <v>115</v>
      </c>
      <c r="AZ100">
        <v>0</v>
      </c>
      <c r="BA100">
        <v>5.5</v>
      </c>
    </row>
    <row r="101" spans="1:53" x14ac:dyDescent="0.3">
      <c r="A101" t="s">
        <v>1265</v>
      </c>
      <c r="C101" t="s">
        <v>1196</v>
      </c>
      <c r="D101" t="s">
        <v>81</v>
      </c>
      <c r="E101">
        <v>10000000</v>
      </c>
      <c r="H101">
        <v>56.25</v>
      </c>
      <c r="I101" t="s">
        <v>56</v>
      </c>
      <c r="J101">
        <v>5.6250000000000007E-3</v>
      </c>
      <c r="K101" t="s">
        <v>57</v>
      </c>
      <c r="O101">
        <v>0.28999999999999898</v>
      </c>
      <c r="P101" t="s">
        <v>1266</v>
      </c>
      <c r="T101">
        <v>25</v>
      </c>
      <c r="V101">
        <v>50</v>
      </c>
      <c r="W101" t="s">
        <v>1014</v>
      </c>
      <c r="X101" t="s">
        <v>957</v>
      </c>
      <c r="Y101">
        <v>0.5</v>
      </c>
      <c r="AA101" t="s">
        <v>184</v>
      </c>
      <c r="AB101">
        <v>5.5</v>
      </c>
      <c r="AC101" t="s">
        <v>85</v>
      </c>
      <c r="AI101">
        <v>2</v>
      </c>
      <c r="AK101">
        <v>0.25</v>
      </c>
      <c r="AL101" t="s">
        <v>82</v>
      </c>
      <c r="AM101">
        <v>0.25</v>
      </c>
      <c r="AN101" t="s">
        <v>82</v>
      </c>
      <c r="AU101">
        <v>4.4444444444444453E-2</v>
      </c>
      <c r="AV101" t="s">
        <v>115</v>
      </c>
      <c r="AZ101">
        <v>0</v>
      </c>
      <c r="BA101">
        <v>5.5</v>
      </c>
    </row>
    <row r="102" spans="1:53" x14ac:dyDescent="0.3">
      <c r="A102" t="s">
        <v>1265</v>
      </c>
      <c r="C102" t="s">
        <v>1196</v>
      </c>
      <c r="D102" t="s">
        <v>81</v>
      </c>
      <c r="E102">
        <v>10000000</v>
      </c>
      <c r="H102">
        <v>56.25</v>
      </c>
      <c r="I102" t="s">
        <v>56</v>
      </c>
      <c r="J102">
        <v>5.6250000000000007E-3</v>
      </c>
      <c r="K102" t="s">
        <v>57</v>
      </c>
      <c r="O102">
        <v>0.28999999999999898</v>
      </c>
      <c r="P102" t="s">
        <v>1266</v>
      </c>
      <c r="T102">
        <v>25</v>
      </c>
      <c r="V102">
        <v>50</v>
      </c>
      <c r="W102" t="s">
        <v>388</v>
      </c>
      <c r="X102" t="s">
        <v>957</v>
      </c>
      <c r="Y102">
        <v>0.5</v>
      </c>
      <c r="AA102" t="s">
        <v>184</v>
      </c>
      <c r="AB102">
        <v>5.5</v>
      </c>
      <c r="AC102" t="s">
        <v>85</v>
      </c>
      <c r="AI102">
        <v>2</v>
      </c>
      <c r="AK102">
        <v>0.25</v>
      </c>
      <c r="AL102" t="s">
        <v>82</v>
      </c>
      <c r="AM102">
        <v>0.25</v>
      </c>
      <c r="AN102" t="s">
        <v>82</v>
      </c>
      <c r="AT102" t="s">
        <v>65</v>
      </c>
      <c r="AU102">
        <v>4.4444444444444453E-2</v>
      </c>
      <c r="AV102" t="s">
        <v>115</v>
      </c>
      <c r="AZ102">
        <v>0</v>
      </c>
      <c r="BA102">
        <v>5.5</v>
      </c>
    </row>
    <row r="103" spans="1:53" x14ac:dyDescent="0.3">
      <c r="A103" t="s">
        <v>1265</v>
      </c>
      <c r="C103" t="s">
        <v>1196</v>
      </c>
      <c r="D103" t="s">
        <v>81</v>
      </c>
      <c r="E103">
        <v>10000000</v>
      </c>
      <c r="H103">
        <v>56.25</v>
      </c>
      <c r="I103" t="s">
        <v>56</v>
      </c>
      <c r="J103">
        <v>5.6250000000000007E-3</v>
      </c>
      <c r="K103" t="s">
        <v>57</v>
      </c>
      <c r="O103">
        <v>0.28999999999999898</v>
      </c>
      <c r="P103" t="s">
        <v>1266</v>
      </c>
      <c r="T103">
        <v>25</v>
      </c>
      <c r="V103">
        <v>50</v>
      </c>
      <c r="W103" t="s">
        <v>388</v>
      </c>
      <c r="X103" t="s">
        <v>957</v>
      </c>
      <c r="Y103">
        <v>0.5</v>
      </c>
      <c r="AA103" t="s">
        <v>184</v>
      </c>
      <c r="AB103">
        <v>5.6</v>
      </c>
      <c r="AC103" t="s">
        <v>85</v>
      </c>
      <c r="AI103">
        <v>2</v>
      </c>
      <c r="AK103">
        <v>0.25</v>
      </c>
      <c r="AL103" t="s">
        <v>82</v>
      </c>
      <c r="AM103">
        <v>0.25</v>
      </c>
      <c r="AN103" t="s">
        <v>82</v>
      </c>
      <c r="AT103" t="s">
        <v>65</v>
      </c>
      <c r="AU103">
        <v>4.4444444444444453E-2</v>
      </c>
      <c r="AV103" t="s">
        <v>115</v>
      </c>
      <c r="AZ103">
        <v>0</v>
      </c>
      <c r="BA103">
        <v>5.6</v>
      </c>
    </row>
    <row r="104" spans="1:53" x14ac:dyDescent="0.3">
      <c r="A104" t="s">
        <v>1265</v>
      </c>
      <c r="C104" t="s">
        <v>1196</v>
      </c>
      <c r="D104" t="s">
        <v>81</v>
      </c>
      <c r="E104">
        <v>10000000</v>
      </c>
      <c r="H104">
        <v>56.25</v>
      </c>
      <c r="I104" t="s">
        <v>56</v>
      </c>
      <c r="J104">
        <v>5.6250000000000007E-3</v>
      </c>
      <c r="K104" t="s">
        <v>57</v>
      </c>
      <c r="O104">
        <v>0.28999999999999898</v>
      </c>
      <c r="P104" t="s">
        <v>1266</v>
      </c>
      <c r="T104">
        <v>25</v>
      </c>
      <c r="V104">
        <v>50</v>
      </c>
      <c r="W104" t="s">
        <v>388</v>
      </c>
      <c r="X104" t="s">
        <v>957</v>
      </c>
      <c r="Y104">
        <v>0.5</v>
      </c>
      <c r="AA104" t="s">
        <v>184</v>
      </c>
      <c r="AB104">
        <v>5.4</v>
      </c>
      <c r="AC104" t="s">
        <v>85</v>
      </c>
      <c r="AI104">
        <v>2</v>
      </c>
      <c r="AK104">
        <v>0.25</v>
      </c>
      <c r="AL104" t="s">
        <v>82</v>
      </c>
      <c r="AM104">
        <v>0.25</v>
      </c>
      <c r="AN104" t="s">
        <v>82</v>
      </c>
      <c r="AT104" t="s">
        <v>65</v>
      </c>
      <c r="AU104">
        <v>4.4444444444444453E-2</v>
      </c>
      <c r="AV104" t="s">
        <v>115</v>
      </c>
      <c r="AZ104">
        <v>0</v>
      </c>
      <c r="BA104">
        <v>5.4</v>
      </c>
    </row>
    <row r="105" spans="1:53" x14ac:dyDescent="0.3">
      <c r="A105" t="s">
        <v>1265</v>
      </c>
      <c r="C105" t="s">
        <v>1196</v>
      </c>
      <c r="D105" t="s">
        <v>81</v>
      </c>
      <c r="E105">
        <v>10000000</v>
      </c>
      <c r="H105">
        <v>56.25</v>
      </c>
      <c r="I105" t="s">
        <v>56</v>
      </c>
      <c r="J105">
        <v>5.6250000000000007E-3</v>
      </c>
      <c r="K105" t="s">
        <v>57</v>
      </c>
      <c r="O105">
        <v>0.28999999999999898</v>
      </c>
      <c r="P105" t="s">
        <v>1266</v>
      </c>
      <c r="T105">
        <v>25</v>
      </c>
      <c r="V105">
        <v>50</v>
      </c>
      <c r="W105" t="s">
        <v>388</v>
      </c>
      <c r="X105" t="s">
        <v>957</v>
      </c>
      <c r="Y105">
        <v>0.5</v>
      </c>
      <c r="AA105" t="s">
        <v>184</v>
      </c>
      <c r="AB105">
        <v>5.6</v>
      </c>
      <c r="AC105" t="s">
        <v>85</v>
      </c>
      <c r="AI105">
        <v>2</v>
      </c>
      <c r="AK105">
        <v>0.25</v>
      </c>
      <c r="AL105" t="s">
        <v>82</v>
      </c>
      <c r="AM105">
        <v>0.25</v>
      </c>
      <c r="AN105" t="s">
        <v>82</v>
      </c>
      <c r="AT105" t="s">
        <v>65</v>
      </c>
      <c r="AU105">
        <v>4.4444444444444453E-2</v>
      </c>
      <c r="AV105" t="s">
        <v>115</v>
      </c>
      <c r="AZ105">
        <v>0</v>
      </c>
      <c r="BA105">
        <v>5.6</v>
      </c>
    </row>
    <row r="106" spans="1:53" x14ac:dyDescent="0.3">
      <c r="A106" t="s">
        <v>1265</v>
      </c>
      <c r="C106" t="s">
        <v>1196</v>
      </c>
      <c r="D106" t="s">
        <v>81</v>
      </c>
      <c r="E106">
        <v>10000000</v>
      </c>
      <c r="H106">
        <v>56.25</v>
      </c>
      <c r="I106" t="s">
        <v>56</v>
      </c>
      <c r="J106">
        <v>5.6250000000000007E-3</v>
      </c>
      <c r="K106" t="s">
        <v>57</v>
      </c>
      <c r="O106">
        <v>0.28999999999999898</v>
      </c>
      <c r="P106" t="s">
        <v>1266</v>
      </c>
      <c r="T106">
        <v>25</v>
      </c>
      <c r="V106">
        <v>50</v>
      </c>
      <c r="W106" t="s">
        <v>388</v>
      </c>
      <c r="X106" t="s">
        <v>957</v>
      </c>
      <c r="Y106">
        <v>0.5</v>
      </c>
      <c r="AA106" t="s">
        <v>184</v>
      </c>
      <c r="AB106">
        <v>5.6</v>
      </c>
      <c r="AC106" t="s">
        <v>85</v>
      </c>
      <c r="AI106">
        <v>2</v>
      </c>
      <c r="AK106">
        <v>0.25</v>
      </c>
      <c r="AL106" t="s">
        <v>82</v>
      </c>
      <c r="AM106">
        <v>0.25</v>
      </c>
      <c r="AN106" t="s">
        <v>82</v>
      </c>
      <c r="AT106" t="s">
        <v>65</v>
      </c>
      <c r="AU106">
        <v>4.4444444444444453E-2</v>
      </c>
      <c r="AV106" t="s">
        <v>115</v>
      </c>
      <c r="AZ106">
        <v>0</v>
      </c>
      <c r="BA106">
        <v>5.6</v>
      </c>
    </row>
    <row r="107" spans="1:53" x14ac:dyDescent="0.3">
      <c r="A107" t="s">
        <v>1265</v>
      </c>
      <c r="C107" t="s">
        <v>1196</v>
      </c>
      <c r="D107" t="s">
        <v>81</v>
      </c>
      <c r="E107">
        <v>10000000</v>
      </c>
      <c r="H107">
        <v>56.25</v>
      </c>
      <c r="I107" t="s">
        <v>56</v>
      </c>
      <c r="J107">
        <v>5.6250000000000007E-3</v>
      </c>
      <c r="K107" t="s">
        <v>57</v>
      </c>
      <c r="O107">
        <v>0.5</v>
      </c>
      <c r="P107" t="s">
        <v>1266</v>
      </c>
      <c r="T107">
        <v>25</v>
      </c>
      <c r="V107">
        <v>50</v>
      </c>
      <c r="W107" t="s">
        <v>1267</v>
      </c>
      <c r="X107" t="s">
        <v>957</v>
      </c>
      <c r="Y107">
        <v>0.5</v>
      </c>
      <c r="AA107" t="s">
        <v>184</v>
      </c>
      <c r="AB107">
        <v>5.5</v>
      </c>
      <c r="AC107" t="s">
        <v>85</v>
      </c>
      <c r="AI107">
        <v>2</v>
      </c>
      <c r="AK107">
        <v>0.25</v>
      </c>
      <c r="AL107" t="s">
        <v>82</v>
      </c>
      <c r="AM107">
        <v>0.25</v>
      </c>
      <c r="AN107" t="s">
        <v>82</v>
      </c>
      <c r="AU107">
        <v>4.4444444444444453E-2</v>
      </c>
      <c r="AV107" t="s">
        <v>115</v>
      </c>
      <c r="AZ107">
        <v>0</v>
      </c>
      <c r="BA107">
        <v>5.5</v>
      </c>
    </row>
    <row r="108" spans="1:53" x14ac:dyDescent="0.3">
      <c r="A108" t="s">
        <v>1265</v>
      </c>
      <c r="C108" t="s">
        <v>1196</v>
      </c>
      <c r="D108" t="s">
        <v>81</v>
      </c>
      <c r="E108">
        <v>10000000</v>
      </c>
      <c r="H108">
        <v>56.25</v>
      </c>
      <c r="I108" t="s">
        <v>56</v>
      </c>
      <c r="J108">
        <v>5.6250000000000007E-3</v>
      </c>
      <c r="K108" t="s">
        <v>57</v>
      </c>
      <c r="O108">
        <v>0.5</v>
      </c>
      <c r="P108" t="s">
        <v>1266</v>
      </c>
      <c r="T108">
        <v>25</v>
      </c>
      <c r="V108">
        <v>50</v>
      </c>
      <c r="W108" t="s">
        <v>1267</v>
      </c>
      <c r="X108" t="s">
        <v>957</v>
      </c>
      <c r="Y108">
        <v>0.5</v>
      </c>
      <c r="AA108" t="s">
        <v>184</v>
      </c>
      <c r="AB108">
        <v>5.6</v>
      </c>
      <c r="AC108" t="s">
        <v>85</v>
      </c>
      <c r="AI108">
        <v>2</v>
      </c>
      <c r="AK108">
        <v>0.25</v>
      </c>
      <c r="AL108" t="s">
        <v>82</v>
      </c>
      <c r="AM108">
        <v>0.25</v>
      </c>
      <c r="AN108" t="s">
        <v>82</v>
      </c>
      <c r="AU108">
        <v>4.4444444444444453E-2</v>
      </c>
      <c r="AV108" t="s">
        <v>115</v>
      </c>
      <c r="AZ108">
        <v>0</v>
      </c>
      <c r="BA108">
        <v>5.6</v>
      </c>
    </row>
    <row r="109" spans="1:53" x14ac:dyDescent="0.3">
      <c r="A109" t="s">
        <v>1265</v>
      </c>
      <c r="C109" t="s">
        <v>1196</v>
      </c>
      <c r="D109" t="s">
        <v>81</v>
      </c>
      <c r="E109">
        <v>10000000</v>
      </c>
      <c r="H109">
        <v>56.25</v>
      </c>
      <c r="I109" t="s">
        <v>56</v>
      </c>
      <c r="J109">
        <v>5.6250000000000007E-3</v>
      </c>
      <c r="K109" t="s">
        <v>57</v>
      </c>
      <c r="O109">
        <v>0.5</v>
      </c>
      <c r="P109" t="s">
        <v>1266</v>
      </c>
      <c r="T109">
        <v>25</v>
      </c>
      <c r="V109">
        <v>50</v>
      </c>
      <c r="W109" t="s">
        <v>1267</v>
      </c>
      <c r="X109" t="s">
        <v>957</v>
      </c>
      <c r="Y109">
        <v>0.5</v>
      </c>
      <c r="AA109" t="s">
        <v>184</v>
      </c>
      <c r="AB109">
        <v>5.6</v>
      </c>
      <c r="AC109" t="s">
        <v>85</v>
      </c>
      <c r="AI109">
        <v>2</v>
      </c>
      <c r="AK109">
        <v>0.25</v>
      </c>
      <c r="AL109" t="s">
        <v>82</v>
      </c>
      <c r="AM109">
        <v>0.25</v>
      </c>
      <c r="AN109" t="s">
        <v>82</v>
      </c>
      <c r="AU109">
        <v>4.4444444444444453E-2</v>
      </c>
      <c r="AV109" t="s">
        <v>115</v>
      </c>
      <c r="AZ109">
        <v>0</v>
      </c>
      <c r="BA109">
        <v>5.6</v>
      </c>
    </row>
    <row r="110" spans="1:53" x14ac:dyDescent="0.3">
      <c r="A110" t="s">
        <v>1265</v>
      </c>
      <c r="C110" t="s">
        <v>1196</v>
      </c>
      <c r="D110" t="s">
        <v>81</v>
      </c>
      <c r="E110">
        <v>10000000</v>
      </c>
      <c r="H110">
        <v>56.25</v>
      </c>
      <c r="I110" t="s">
        <v>56</v>
      </c>
      <c r="J110">
        <v>5.6250000000000007E-3</v>
      </c>
      <c r="K110" t="s">
        <v>57</v>
      </c>
      <c r="O110">
        <v>0.5</v>
      </c>
      <c r="P110" t="s">
        <v>1266</v>
      </c>
      <c r="T110">
        <v>25</v>
      </c>
      <c r="V110">
        <v>50</v>
      </c>
      <c r="W110" t="s">
        <v>1267</v>
      </c>
      <c r="X110" t="s">
        <v>957</v>
      </c>
      <c r="Y110">
        <v>0.5</v>
      </c>
      <c r="AA110" t="s">
        <v>184</v>
      </c>
      <c r="AB110">
        <v>5.6</v>
      </c>
      <c r="AC110" t="s">
        <v>85</v>
      </c>
      <c r="AI110">
        <v>2</v>
      </c>
      <c r="AK110">
        <v>0.25</v>
      </c>
      <c r="AL110" t="s">
        <v>82</v>
      </c>
      <c r="AM110">
        <v>0.25</v>
      </c>
      <c r="AN110" t="s">
        <v>82</v>
      </c>
      <c r="AU110">
        <v>4.4444444444444453E-2</v>
      </c>
      <c r="AV110" t="s">
        <v>115</v>
      </c>
      <c r="AZ110">
        <v>0</v>
      </c>
      <c r="BA110">
        <v>5.6</v>
      </c>
    </row>
    <row r="111" spans="1:53" x14ac:dyDescent="0.3">
      <c r="A111" t="s">
        <v>1265</v>
      </c>
      <c r="C111" t="s">
        <v>1196</v>
      </c>
      <c r="D111" t="s">
        <v>81</v>
      </c>
      <c r="E111">
        <v>10000000</v>
      </c>
      <c r="H111">
        <v>56.25</v>
      </c>
      <c r="I111" t="s">
        <v>56</v>
      </c>
      <c r="J111">
        <v>5.6250000000000007E-3</v>
      </c>
      <c r="K111" t="s">
        <v>57</v>
      </c>
      <c r="O111">
        <v>0.5</v>
      </c>
      <c r="P111" t="s">
        <v>1266</v>
      </c>
      <c r="T111">
        <v>25</v>
      </c>
      <c r="V111">
        <v>50</v>
      </c>
      <c r="W111" t="s">
        <v>1267</v>
      </c>
      <c r="X111" t="s">
        <v>957</v>
      </c>
      <c r="Y111">
        <v>0.5</v>
      </c>
      <c r="AA111" t="s">
        <v>184</v>
      </c>
      <c r="AB111">
        <v>5.6</v>
      </c>
      <c r="AC111" t="s">
        <v>85</v>
      </c>
      <c r="AI111">
        <v>2</v>
      </c>
      <c r="AK111">
        <v>0.25</v>
      </c>
      <c r="AL111" t="s">
        <v>82</v>
      </c>
      <c r="AM111">
        <v>0.25</v>
      </c>
      <c r="AN111" t="s">
        <v>82</v>
      </c>
      <c r="AU111">
        <v>4.4444444444444453E-2</v>
      </c>
      <c r="AV111" t="s">
        <v>115</v>
      </c>
      <c r="AZ111">
        <v>0</v>
      </c>
      <c r="BA111">
        <v>5.6</v>
      </c>
    </row>
    <row r="112" spans="1:53" x14ac:dyDescent="0.3">
      <c r="A112" t="s">
        <v>1265</v>
      </c>
      <c r="C112" t="s">
        <v>1196</v>
      </c>
      <c r="D112" t="s">
        <v>81</v>
      </c>
      <c r="E112">
        <v>10000000</v>
      </c>
      <c r="H112">
        <v>56.25</v>
      </c>
      <c r="I112" t="s">
        <v>56</v>
      </c>
      <c r="J112">
        <v>5.6250000000000007E-3</v>
      </c>
      <c r="K112" t="s">
        <v>57</v>
      </c>
      <c r="O112">
        <v>0.5</v>
      </c>
      <c r="P112" t="s">
        <v>1266</v>
      </c>
      <c r="T112">
        <v>25</v>
      </c>
      <c r="V112">
        <v>50</v>
      </c>
      <c r="W112" t="s">
        <v>1267</v>
      </c>
      <c r="X112" t="s">
        <v>957</v>
      </c>
      <c r="Y112">
        <v>0.5</v>
      </c>
      <c r="AA112" t="s">
        <v>184</v>
      </c>
      <c r="AB112">
        <v>5.7</v>
      </c>
      <c r="AC112" t="s">
        <v>85</v>
      </c>
      <c r="AI112">
        <v>2</v>
      </c>
      <c r="AK112">
        <v>0.25</v>
      </c>
      <c r="AL112" t="s">
        <v>82</v>
      </c>
      <c r="AM112">
        <v>0.25</v>
      </c>
      <c r="AN112" t="s">
        <v>82</v>
      </c>
      <c r="AU112">
        <v>4.4444444444444453E-2</v>
      </c>
      <c r="AV112" t="s">
        <v>115</v>
      </c>
      <c r="AZ112">
        <v>0</v>
      </c>
      <c r="BA112">
        <v>5.7</v>
      </c>
    </row>
    <row r="113" spans="1:53" x14ac:dyDescent="0.3">
      <c r="A113" t="s">
        <v>1265</v>
      </c>
      <c r="C113" t="s">
        <v>1196</v>
      </c>
      <c r="D113" t="s">
        <v>81</v>
      </c>
      <c r="E113">
        <v>10000000</v>
      </c>
      <c r="H113">
        <v>56.25</v>
      </c>
      <c r="I113" t="s">
        <v>56</v>
      </c>
      <c r="J113">
        <v>5.6250000000000007E-3</v>
      </c>
      <c r="K113" t="s">
        <v>57</v>
      </c>
      <c r="O113">
        <v>0.5</v>
      </c>
      <c r="P113" t="s">
        <v>1266</v>
      </c>
      <c r="T113">
        <v>25</v>
      </c>
      <c r="V113">
        <v>50</v>
      </c>
      <c r="W113" t="s">
        <v>1267</v>
      </c>
      <c r="X113" t="s">
        <v>957</v>
      </c>
      <c r="Y113">
        <v>0.5</v>
      </c>
      <c r="AB113">
        <v>4.8</v>
      </c>
      <c r="AC113" t="s">
        <v>85</v>
      </c>
      <c r="AI113">
        <v>2</v>
      </c>
      <c r="AK113">
        <v>0.25</v>
      </c>
      <c r="AL113" t="s">
        <v>82</v>
      </c>
      <c r="AM113">
        <v>0.25</v>
      </c>
      <c r="AN113" t="s">
        <v>82</v>
      </c>
      <c r="AU113">
        <v>4.4444444444444453E-2</v>
      </c>
      <c r="AV113" t="s">
        <v>115</v>
      </c>
    </row>
    <row r="114" spans="1:53" x14ac:dyDescent="0.3">
      <c r="A114" t="s">
        <v>1265</v>
      </c>
      <c r="C114" t="s">
        <v>1196</v>
      </c>
      <c r="D114" t="s">
        <v>81</v>
      </c>
      <c r="E114">
        <v>10000000</v>
      </c>
      <c r="H114">
        <v>56.25</v>
      </c>
      <c r="I114" t="s">
        <v>56</v>
      </c>
      <c r="J114">
        <v>5.6250000000000007E-3</v>
      </c>
      <c r="K114" t="s">
        <v>57</v>
      </c>
      <c r="O114">
        <v>0.5</v>
      </c>
      <c r="P114" t="s">
        <v>1266</v>
      </c>
      <c r="T114">
        <v>25</v>
      </c>
      <c r="V114">
        <v>50</v>
      </c>
      <c r="W114" t="s">
        <v>1267</v>
      </c>
      <c r="X114" t="s">
        <v>957</v>
      </c>
      <c r="Y114">
        <v>0.5</v>
      </c>
      <c r="AA114" t="s">
        <v>184</v>
      </c>
      <c r="AB114">
        <v>5.5</v>
      </c>
      <c r="AC114" t="s">
        <v>85</v>
      </c>
      <c r="AI114">
        <v>2</v>
      </c>
      <c r="AK114">
        <v>0.25</v>
      </c>
      <c r="AL114" t="s">
        <v>82</v>
      </c>
      <c r="AM114">
        <v>0.25</v>
      </c>
      <c r="AN114" t="s">
        <v>82</v>
      </c>
      <c r="AU114">
        <v>4.4444444444444453E-2</v>
      </c>
      <c r="AV114" t="s">
        <v>115</v>
      </c>
      <c r="AZ114">
        <v>0</v>
      </c>
      <c r="BA114">
        <v>5.5</v>
      </c>
    </row>
    <row r="115" spans="1:53" x14ac:dyDescent="0.3">
      <c r="A115" t="s">
        <v>1265</v>
      </c>
      <c r="C115" t="s">
        <v>1196</v>
      </c>
      <c r="D115" t="s">
        <v>81</v>
      </c>
      <c r="E115">
        <v>10000000</v>
      </c>
      <c r="H115">
        <v>56.25</v>
      </c>
      <c r="I115" t="s">
        <v>56</v>
      </c>
      <c r="J115">
        <v>5.6250000000000007E-3</v>
      </c>
      <c r="K115" t="s">
        <v>57</v>
      </c>
      <c r="O115">
        <v>0.5</v>
      </c>
      <c r="P115" t="s">
        <v>1266</v>
      </c>
      <c r="T115">
        <v>25</v>
      </c>
      <c r="V115">
        <v>50</v>
      </c>
      <c r="W115" t="s">
        <v>1267</v>
      </c>
      <c r="X115" t="s">
        <v>957</v>
      </c>
      <c r="Y115">
        <v>0.5</v>
      </c>
      <c r="AA115" t="s">
        <v>184</v>
      </c>
      <c r="AB115">
        <v>5.6</v>
      </c>
      <c r="AC115" t="s">
        <v>85</v>
      </c>
      <c r="AI115">
        <v>2</v>
      </c>
      <c r="AK115">
        <v>0.25</v>
      </c>
      <c r="AL115" t="s">
        <v>82</v>
      </c>
      <c r="AM115">
        <v>0.25</v>
      </c>
      <c r="AN115" t="s">
        <v>82</v>
      </c>
      <c r="AU115">
        <v>4.4444444444444453E-2</v>
      </c>
      <c r="AV115" t="s">
        <v>115</v>
      </c>
      <c r="AZ115">
        <v>0</v>
      </c>
      <c r="BA115">
        <v>5.6</v>
      </c>
    </row>
    <row r="116" spans="1:53" x14ac:dyDescent="0.3">
      <c r="A116" t="s">
        <v>1265</v>
      </c>
      <c r="C116" t="s">
        <v>1196</v>
      </c>
      <c r="D116" t="s">
        <v>81</v>
      </c>
      <c r="E116">
        <v>10000000</v>
      </c>
      <c r="H116">
        <v>56.25</v>
      </c>
      <c r="I116" t="s">
        <v>56</v>
      </c>
      <c r="J116">
        <v>5.6250000000000007E-3</v>
      </c>
      <c r="K116" t="s">
        <v>57</v>
      </c>
      <c r="O116">
        <v>0.5</v>
      </c>
      <c r="P116" t="s">
        <v>1266</v>
      </c>
      <c r="T116">
        <v>25</v>
      </c>
      <c r="V116">
        <v>50</v>
      </c>
      <c r="W116" t="s">
        <v>1267</v>
      </c>
      <c r="X116" t="s">
        <v>957</v>
      </c>
      <c r="Y116">
        <v>0.5</v>
      </c>
      <c r="AA116" t="s">
        <v>184</v>
      </c>
      <c r="AB116">
        <v>5.6</v>
      </c>
      <c r="AC116" t="s">
        <v>85</v>
      </c>
      <c r="AI116">
        <v>2</v>
      </c>
      <c r="AK116">
        <v>0.25</v>
      </c>
      <c r="AL116" t="s">
        <v>82</v>
      </c>
      <c r="AM116">
        <v>0.25</v>
      </c>
      <c r="AN116" t="s">
        <v>82</v>
      </c>
      <c r="AU116">
        <v>4.4444444444444453E-2</v>
      </c>
      <c r="AV116" t="s">
        <v>115</v>
      </c>
      <c r="AZ116">
        <v>0</v>
      </c>
      <c r="BA116">
        <v>5.6</v>
      </c>
    </row>
    <row r="117" spans="1:53" x14ac:dyDescent="0.3">
      <c r="A117" t="s">
        <v>1265</v>
      </c>
      <c r="C117" t="s">
        <v>1196</v>
      </c>
      <c r="D117" t="s">
        <v>81</v>
      </c>
      <c r="E117">
        <v>10000000</v>
      </c>
      <c r="H117">
        <v>56.25</v>
      </c>
      <c r="I117" t="s">
        <v>56</v>
      </c>
      <c r="J117">
        <v>5.6250000000000007E-3</v>
      </c>
      <c r="K117" t="s">
        <v>57</v>
      </c>
      <c r="O117">
        <v>0.5</v>
      </c>
      <c r="P117" t="s">
        <v>1266</v>
      </c>
      <c r="T117">
        <v>25</v>
      </c>
      <c r="V117">
        <v>50</v>
      </c>
      <c r="W117" t="s">
        <v>1267</v>
      </c>
      <c r="X117" t="s">
        <v>957</v>
      </c>
      <c r="Y117">
        <v>0.5</v>
      </c>
      <c r="AA117" t="s">
        <v>184</v>
      </c>
      <c r="AB117">
        <v>5.6</v>
      </c>
      <c r="AC117" t="s">
        <v>85</v>
      </c>
      <c r="AI117">
        <v>2</v>
      </c>
      <c r="AK117">
        <v>0.25</v>
      </c>
      <c r="AL117" t="s">
        <v>82</v>
      </c>
      <c r="AM117">
        <v>0.25</v>
      </c>
      <c r="AN117" t="s">
        <v>82</v>
      </c>
      <c r="AU117">
        <v>4.4444444444444453E-2</v>
      </c>
      <c r="AV117" t="s">
        <v>115</v>
      </c>
      <c r="AZ117">
        <v>0</v>
      </c>
      <c r="BA117">
        <v>5.6</v>
      </c>
    </row>
    <row r="118" spans="1:53" x14ac:dyDescent="0.3">
      <c r="A118" t="s">
        <v>1265</v>
      </c>
      <c r="C118" t="s">
        <v>1196</v>
      </c>
      <c r="D118" t="s">
        <v>81</v>
      </c>
      <c r="E118">
        <v>2100000000</v>
      </c>
      <c r="H118">
        <v>56.25</v>
      </c>
      <c r="I118" t="s">
        <v>56</v>
      </c>
      <c r="J118">
        <v>5.6250000000000007E-3</v>
      </c>
      <c r="K118" t="s">
        <v>57</v>
      </c>
      <c r="O118">
        <v>0.5</v>
      </c>
      <c r="P118" t="s">
        <v>1266</v>
      </c>
      <c r="T118">
        <v>25</v>
      </c>
      <c r="V118">
        <v>50</v>
      </c>
      <c r="W118" t="s">
        <v>1267</v>
      </c>
      <c r="X118" t="s">
        <v>957</v>
      </c>
      <c r="Y118">
        <v>0.5</v>
      </c>
      <c r="AA118" t="s">
        <v>184</v>
      </c>
      <c r="AB118">
        <v>5.6</v>
      </c>
      <c r="AC118" t="s">
        <v>85</v>
      </c>
      <c r="AI118">
        <v>2</v>
      </c>
      <c r="AK118">
        <v>0.25</v>
      </c>
      <c r="AL118" t="s">
        <v>82</v>
      </c>
      <c r="AM118">
        <v>0.25</v>
      </c>
      <c r="AN118" t="s">
        <v>82</v>
      </c>
      <c r="AU118">
        <v>4.4444444444444453E-2</v>
      </c>
      <c r="AV118" t="s">
        <v>115</v>
      </c>
      <c r="AZ118">
        <v>0</v>
      </c>
      <c r="BA118">
        <v>5.6</v>
      </c>
    </row>
    <row r="119" spans="1:53" x14ac:dyDescent="0.3">
      <c r="A119" t="s">
        <v>1265</v>
      </c>
      <c r="C119" t="s">
        <v>1196</v>
      </c>
      <c r="D119" t="s">
        <v>81</v>
      </c>
      <c r="E119">
        <v>2100000000</v>
      </c>
      <c r="H119">
        <v>56.25</v>
      </c>
      <c r="I119" t="s">
        <v>56</v>
      </c>
      <c r="J119">
        <v>5.6250000000000007E-3</v>
      </c>
      <c r="K119" t="s">
        <v>57</v>
      </c>
      <c r="O119">
        <v>0.5</v>
      </c>
      <c r="P119" t="s">
        <v>1266</v>
      </c>
      <c r="T119">
        <v>25</v>
      </c>
      <c r="V119">
        <v>50</v>
      </c>
      <c r="W119" t="s">
        <v>1267</v>
      </c>
      <c r="X119" t="s">
        <v>957</v>
      </c>
      <c r="Y119">
        <v>0.5</v>
      </c>
      <c r="AA119" t="s">
        <v>184</v>
      </c>
      <c r="AB119">
        <v>5.7</v>
      </c>
      <c r="AC119" t="s">
        <v>85</v>
      </c>
      <c r="AI119">
        <v>2</v>
      </c>
      <c r="AK119">
        <v>0.25</v>
      </c>
      <c r="AL119" t="s">
        <v>82</v>
      </c>
      <c r="AM119">
        <v>0.25</v>
      </c>
      <c r="AN119" t="s">
        <v>82</v>
      </c>
      <c r="AU119">
        <v>4.4444444444444453E-2</v>
      </c>
      <c r="AV119" t="s">
        <v>115</v>
      </c>
      <c r="AZ119">
        <v>0</v>
      </c>
      <c r="BA119">
        <v>5.7</v>
      </c>
    </row>
    <row r="120" spans="1:53" x14ac:dyDescent="0.3">
      <c r="A120" t="s">
        <v>1265</v>
      </c>
      <c r="C120" t="s">
        <v>1196</v>
      </c>
      <c r="D120" t="s">
        <v>81</v>
      </c>
      <c r="E120">
        <v>2100000000</v>
      </c>
      <c r="H120">
        <v>56.25</v>
      </c>
      <c r="I120" t="s">
        <v>56</v>
      </c>
      <c r="J120">
        <v>5.6250000000000007E-3</v>
      </c>
      <c r="K120" t="s">
        <v>57</v>
      </c>
      <c r="O120">
        <v>0.5</v>
      </c>
      <c r="P120" t="s">
        <v>1266</v>
      </c>
      <c r="T120">
        <v>25</v>
      </c>
      <c r="V120">
        <v>50</v>
      </c>
      <c r="W120" t="s">
        <v>1267</v>
      </c>
      <c r="X120" t="s">
        <v>957</v>
      </c>
      <c r="Y120">
        <v>0.5</v>
      </c>
      <c r="AA120" t="s">
        <v>184</v>
      </c>
      <c r="AB120">
        <v>5.4</v>
      </c>
      <c r="AC120" t="s">
        <v>85</v>
      </c>
      <c r="AI120">
        <v>2</v>
      </c>
      <c r="AK120">
        <v>0.25</v>
      </c>
      <c r="AL120" t="s">
        <v>82</v>
      </c>
      <c r="AM120">
        <v>0.25</v>
      </c>
      <c r="AN120" t="s">
        <v>82</v>
      </c>
      <c r="AU120">
        <v>4.4444444444444453E-2</v>
      </c>
      <c r="AV120" t="s">
        <v>115</v>
      </c>
      <c r="AZ120">
        <v>0</v>
      </c>
      <c r="BA120">
        <v>5.4</v>
      </c>
    </row>
    <row r="121" spans="1:53" x14ac:dyDescent="0.3">
      <c r="A121" t="s">
        <v>1265</v>
      </c>
      <c r="C121" t="s">
        <v>1196</v>
      </c>
      <c r="D121" t="s">
        <v>81</v>
      </c>
      <c r="E121">
        <v>2100000000</v>
      </c>
      <c r="H121">
        <v>56.25</v>
      </c>
      <c r="I121" t="s">
        <v>56</v>
      </c>
      <c r="J121">
        <v>5.6250000000000007E-3</v>
      </c>
      <c r="K121" t="s">
        <v>57</v>
      </c>
      <c r="O121">
        <v>0.5</v>
      </c>
      <c r="P121" t="s">
        <v>1266</v>
      </c>
      <c r="T121">
        <v>25</v>
      </c>
      <c r="V121">
        <v>50</v>
      </c>
      <c r="W121" t="s">
        <v>1267</v>
      </c>
      <c r="X121" t="s">
        <v>957</v>
      </c>
      <c r="Y121">
        <v>5</v>
      </c>
      <c r="AB121">
        <v>0.5</v>
      </c>
      <c r="AC121" t="s">
        <v>85</v>
      </c>
      <c r="AI121">
        <v>2</v>
      </c>
      <c r="AK121">
        <v>0.25</v>
      </c>
      <c r="AL121" t="s">
        <v>82</v>
      </c>
      <c r="AM121">
        <v>0.25</v>
      </c>
      <c r="AN121" t="s">
        <v>82</v>
      </c>
      <c r="AU121">
        <v>4.4444444444444453E-2</v>
      </c>
      <c r="AV121" t="s">
        <v>115</v>
      </c>
    </row>
    <row r="122" spans="1:53" x14ac:dyDescent="0.3">
      <c r="A122" t="s">
        <v>1265</v>
      </c>
      <c r="C122" t="s">
        <v>1196</v>
      </c>
      <c r="D122" t="s">
        <v>81</v>
      </c>
      <c r="E122">
        <v>2100000000</v>
      </c>
      <c r="H122">
        <v>56.25</v>
      </c>
      <c r="I122" t="s">
        <v>56</v>
      </c>
      <c r="J122">
        <v>5.6250000000000007E-3</v>
      </c>
      <c r="K122" t="s">
        <v>57</v>
      </c>
      <c r="O122">
        <v>0.5</v>
      </c>
      <c r="P122" t="s">
        <v>1266</v>
      </c>
      <c r="T122">
        <v>25</v>
      </c>
      <c r="V122">
        <v>50</v>
      </c>
      <c r="W122" t="s">
        <v>1267</v>
      </c>
      <c r="X122" t="s">
        <v>957</v>
      </c>
      <c r="Y122">
        <v>5</v>
      </c>
      <c r="AB122">
        <v>0.4</v>
      </c>
      <c r="AC122" t="s">
        <v>85</v>
      </c>
      <c r="AI122">
        <v>2</v>
      </c>
      <c r="AK122">
        <v>0.25</v>
      </c>
      <c r="AL122" t="s">
        <v>82</v>
      </c>
      <c r="AM122">
        <v>0.25</v>
      </c>
      <c r="AN122" t="s">
        <v>82</v>
      </c>
      <c r="AU122">
        <v>4.4444444444444453E-2</v>
      </c>
      <c r="AV122" t="s">
        <v>115</v>
      </c>
    </row>
    <row r="123" spans="1:53" x14ac:dyDescent="0.3">
      <c r="A123" t="s">
        <v>1265</v>
      </c>
      <c r="C123" t="s">
        <v>1196</v>
      </c>
      <c r="D123" t="s">
        <v>81</v>
      </c>
      <c r="E123">
        <v>2100000000</v>
      </c>
      <c r="H123">
        <v>56.25</v>
      </c>
      <c r="I123" t="s">
        <v>56</v>
      </c>
      <c r="J123">
        <v>5.6250000000000007E-3</v>
      </c>
      <c r="K123" t="s">
        <v>57</v>
      </c>
      <c r="O123">
        <v>0.5</v>
      </c>
      <c r="P123" t="s">
        <v>1266</v>
      </c>
      <c r="T123">
        <v>25</v>
      </c>
      <c r="V123">
        <v>50</v>
      </c>
      <c r="W123" t="s">
        <v>1267</v>
      </c>
      <c r="X123" t="s">
        <v>957</v>
      </c>
      <c r="Y123">
        <v>5</v>
      </c>
      <c r="AB123">
        <v>0.6</v>
      </c>
      <c r="AC123" t="s">
        <v>85</v>
      </c>
      <c r="AI123">
        <v>2</v>
      </c>
      <c r="AK123">
        <v>0.25</v>
      </c>
      <c r="AL123" t="s">
        <v>82</v>
      </c>
      <c r="AM123">
        <v>0.25</v>
      </c>
      <c r="AN123" t="s">
        <v>82</v>
      </c>
      <c r="AU123">
        <v>4.4444444444444453E-2</v>
      </c>
      <c r="AV123" t="s">
        <v>115</v>
      </c>
    </row>
    <row r="124" spans="1:53" x14ac:dyDescent="0.3">
      <c r="A124" t="s">
        <v>1265</v>
      </c>
      <c r="C124" t="s">
        <v>1196</v>
      </c>
      <c r="D124" t="s">
        <v>81</v>
      </c>
      <c r="E124">
        <v>2100000000</v>
      </c>
      <c r="H124">
        <v>56.25</v>
      </c>
      <c r="I124" t="s">
        <v>56</v>
      </c>
      <c r="J124">
        <v>5.6250000000000007E-3</v>
      </c>
      <c r="K124" t="s">
        <v>57</v>
      </c>
      <c r="O124">
        <v>0.5</v>
      </c>
      <c r="P124" t="s">
        <v>1266</v>
      </c>
      <c r="T124">
        <v>25</v>
      </c>
      <c r="V124">
        <v>50</v>
      </c>
      <c r="W124" t="s">
        <v>1267</v>
      </c>
      <c r="X124" t="s">
        <v>957</v>
      </c>
      <c r="Y124">
        <v>5</v>
      </c>
      <c r="AB124">
        <v>0.7</v>
      </c>
      <c r="AC124" t="s">
        <v>85</v>
      </c>
      <c r="AI124">
        <v>2</v>
      </c>
      <c r="AK124">
        <v>0.25</v>
      </c>
      <c r="AL124" t="s">
        <v>82</v>
      </c>
      <c r="AM124">
        <v>0.25</v>
      </c>
      <c r="AN124" t="s">
        <v>82</v>
      </c>
      <c r="AU124">
        <v>4.4444444444444453E-2</v>
      </c>
      <c r="AV124" t="s">
        <v>115</v>
      </c>
    </row>
    <row r="125" spans="1:53" x14ac:dyDescent="0.3">
      <c r="A125" t="s">
        <v>1265</v>
      </c>
      <c r="C125" t="s">
        <v>1196</v>
      </c>
      <c r="D125" t="s">
        <v>81</v>
      </c>
      <c r="E125">
        <v>2100000000</v>
      </c>
      <c r="H125">
        <v>56.25</v>
      </c>
      <c r="I125" t="s">
        <v>56</v>
      </c>
      <c r="J125">
        <v>5.6250000000000007E-3</v>
      </c>
      <c r="K125" t="s">
        <v>57</v>
      </c>
      <c r="O125">
        <v>0.5</v>
      </c>
      <c r="P125" t="s">
        <v>1266</v>
      </c>
      <c r="T125">
        <v>25</v>
      </c>
      <c r="V125">
        <v>50</v>
      </c>
      <c r="W125" t="s">
        <v>1267</v>
      </c>
      <c r="X125" t="s">
        <v>957</v>
      </c>
      <c r="Y125">
        <v>5</v>
      </c>
      <c r="AB125">
        <v>0.7</v>
      </c>
      <c r="AC125" t="s">
        <v>85</v>
      </c>
      <c r="AI125">
        <v>2</v>
      </c>
      <c r="AK125">
        <v>0.25</v>
      </c>
      <c r="AL125" t="s">
        <v>82</v>
      </c>
      <c r="AM125">
        <v>0.25</v>
      </c>
      <c r="AN125" t="s">
        <v>82</v>
      </c>
      <c r="AU125">
        <v>4.4444444444444453E-2</v>
      </c>
      <c r="AV125" t="s">
        <v>115</v>
      </c>
    </row>
    <row r="126" spans="1:53" x14ac:dyDescent="0.3">
      <c r="A126" t="s">
        <v>1265</v>
      </c>
      <c r="C126" t="s">
        <v>1196</v>
      </c>
      <c r="D126" t="s">
        <v>81</v>
      </c>
      <c r="E126">
        <v>2100000000</v>
      </c>
      <c r="H126">
        <v>56.25</v>
      </c>
      <c r="I126" t="s">
        <v>56</v>
      </c>
      <c r="J126">
        <v>5.6250000000000007E-3</v>
      </c>
      <c r="K126" t="s">
        <v>57</v>
      </c>
      <c r="O126">
        <v>0.5</v>
      </c>
      <c r="P126" t="s">
        <v>1266</v>
      </c>
      <c r="T126">
        <v>25</v>
      </c>
      <c r="V126">
        <v>50</v>
      </c>
      <c r="W126" t="s">
        <v>1267</v>
      </c>
      <c r="X126" t="s">
        <v>957</v>
      </c>
      <c r="Y126">
        <v>5</v>
      </c>
      <c r="AB126">
        <v>0.8</v>
      </c>
      <c r="AC126" t="s">
        <v>85</v>
      </c>
      <c r="AI126">
        <v>2</v>
      </c>
      <c r="AK126">
        <v>0.25</v>
      </c>
      <c r="AL126" t="s">
        <v>82</v>
      </c>
      <c r="AM126">
        <v>0.25</v>
      </c>
      <c r="AN126" t="s">
        <v>82</v>
      </c>
      <c r="AU126">
        <v>4.4444444444444453E-2</v>
      </c>
      <c r="AV126" t="s">
        <v>115</v>
      </c>
    </row>
    <row r="127" spans="1:53" x14ac:dyDescent="0.3">
      <c r="A127" t="s">
        <v>1265</v>
      </c>
      <c r="C127" t="s">
        <v>1196</v>
      </c>
      <c r="D127" t="s">
        <v>81</v>
      </c>
      <c r="E127">
        <v>2100000000</v>
      </c>
      <c r="H127">
        <v>56.25</v>
      </c>
      <c r="I127" t="s">
        <v>56</v>
      </c>
      <c r="J127">
        <v>5.6250000000000007E-3</v>
      </c>
      <c r="K127" t="s">
        <v>57</v>
      </c>
      <c r="O127">
        <v>0.5</v>
      </c>
      <c r="P127" t="s">
        <v>1266</v>
      </c>
      <c r="T127">
        <v>25</v>
      </c>
      <c r="V127">
        <v>50</v>
      </c>
      <c r="W127" t="s">
        <v>1267</v>
      </c>
      <c r="X127" t="s">
        <v>957</v>
      </c>
      <c r="Y127">
        <v>5</v>
      </c>
      <c r="AB127">
        <v>1.4</v>
      </c>
      <c r="AC127" t="s">
        <v>85</v>
      </c>
      <c r="AI127">
        <v>2</v>
      </c>
      <c r="AK127">
        <v>0.25</v>
      </c>
      <c r="AL127" t="s">
        <v>82</v>
      </c>
      <c r="AM127">
        <v>0.25</v>
      </c>
      <c r="AN127" t="s">
        <v>82</v>
      </c>
      <c r="AU127">
        <v>4.4444444444444453E-2</v>
      </c>
      <c r="AV127" t="s">
        <v>115</v>
      </c>
    </row>
    <row r="128" spans="1:53" x14ac:dyDescent="0.3">
      <c r="A128" t="s">
        <v>1265</v>
      </c>
      <c r="C128" t="s">
        <v>1196</v>
      </c>
      <c r="D128" t="s">
        <v>81</v>
      </c>
      <c r="E128">
        <v>2100000000</v>
      </c>
      <c r="H128">
        <v>56.25</v>
      </c>
      <c r="I128" t="s">
        <v>56</v>
      </c>
      <c r="J128">
        <v>5.6250000000000007E-3</v>
      </c>
      <c r="K128" t="s">
        <v>57</v>
      </c>
      <c r="O128">
        <v>0.5</v>
      </c>
      <c r="P128" t="s">
        <v>1266</v>
      </c>
      <c r="T128">
        <v>25</v>
      </c>
      <c r="V128">
        <v>50</v>
      </c>
      <c r="W128" t="s">
        <v>1267</v>
      </c>
      <c r="X128" t="s">
        <v>957</v>
      </c>
      <c r="Y128">
        <v>10</v>
      </c>
      <c r="AA128" t="s">
        <v>184</v>
      </c>
      <c r="AB128">
        <v>4.5999999999999899</v>
      </c>
      <c r="AC128" t="s">
        <v>85</v>
      </c>
      <c r="AI128">
        <v>2</v>
      </c>
      <c r="AK128">
        <v>0.25</v>
      </c>
      <c r="AL128" t="s">
        <v>82</v>
      </c>
      <c r="AM128">
        <v>0.25</v>
      </c>
      <c r="AN128" t="s">
        <v>82</v>
      </c>
      <c r="AU128">
        <v>4.4444444444444453E-2</v>
      </c>
      <c r="AV128" t="s">
        <v>115</v>
      </c>
      <c r="AZ128">
        <v>0</v>
      </c>
      <c r="BA128">
        <v>4.5999999999999899</v>
      </c>
    </row>
    <row r="129" spans="1:53" x14ac:dyDescent="0.3">
      <c r="A129" t="s">
        <v>1265</v>
      </c>
      <c r="C129" t="s">
        <v>1196</v>
      </c>
      <c r="D129" t="s">
        <v>81</v>
      </c>
      <c r="E129">
        <v>2100000000</v>
      </c>
      <c r="H129">
        <v>56.25</v>
      </c>
      <c r="I129" t="s">
        <v>56</v>
      </c>
      <c r="J129">
        <v>5.6250000000000007E-3</v>
      </c>
      <c r="K129" t="s">
        <v>57</v>
      </c>
      <c r="O129">
        <v>0.5</v>
      </c>
      <c r="P129" t="s">
        <v>1266</v>
      </c>
      <c r="T129">
        <v>25</v>
      </c>
      <c r="V129">
        <v>50</v>
      </c>
      <c r="W129" t="s">
        <v>1267</v>
      </c>
      <c r="X129" t="s">
        <v>957</v>
      </c>
      <c r="Y129">
        <v>10</v>
      </c>
      <c r="AB129">
        <v>4.5999999999999899</v>
      </c>
      <c r="AC129" t="s">
        <v>85</v>
      </c>
      <c r="AI129">
        <v>2</v>
      </c>
      <c r="AK129">
        <v>0.25</v>
      </c>
      <c r="AL129" t="s">
        <v>82</v>
      </c>
      <c r="AM129">
        <v>0.25</v>
      </c>
      <c r="AN129" t="s">
        <v>82</v>
      </c>
      <c r="AU129">
        <v>4.4444444444444453E-2</v>
      </c>
      <c r="AV129" t="s">
        <v>115</v>
      </c>
    </row>
    <row r="130" spans="1:53" x14ac:dyDescent="0.3">
      <c r="A130" t="s">
        <v>1265</v>
      </c>
      <c r="C130" t="s">
        <v>1196</v>
      </c>
      <c r="D130" t="s">
        <v>81</v>
      </c>
      <c r="E130">
        <v>100000000</v>
      </c>
      <c r="H130">
        <v>56.25</v>
      </c>
      <c r="I130" t="s">
        <v>56</v>
      </c>
      <c r="J130">
        <v>5.6250000000000007E-3</v>
      </c>
      <c r="K130" t="s">
        <v>57</v>
      </c>
      <c r="O130">
        <v>0.5</v>
      </c>
      <c r="P130" t="s">
        <v>1266</v>
      </c>
      <c r="T130">
        <v>25</v>
      </c>
      <c r="V130">
        <v>50</v>
      </c>
      <c r="W130" t="s">
        <v>1267</v>
      </c>
      <c r="X130" t="s">
        <v>957</v>
      </c>
      <c r="Y130">
        <v>10</v>
      </c>
      <c r="AB130">
        <v>3.8</v>
      </c>
      <c r="AC130" t="s">
        <v>85</v>
      </c>
      <c r="AI130">
        <v>2</v>
      </c>
      <c r="AK130">
        <v>0.25</v>
      </c>
      <c r="AL130" t="s">
        <v>82</v>
      </c>
      <c r="AM130">
        <v>0.25</v>
      </c>
      <c r="AN130" t="s">
        <v>82</v>
      </c>
      <c r="AU130">
        <v>4.4444444444444453E-2</v>
      </c>
      <c r="AV130" t="s">
        <v>115</v>
      </c>
    </row>
    <row r="131" spans="1:53" x14ac:dyDescent="0.3">
      <c r="A131" t="s">
        <v>1265</v>
      </c>
      <c r="C131" t="s">
        <v>1196</v>
      </c>
      <c r="D131" t="s">
        <v>81</v>
      </c>
      <c r="E131">
        <v>100000000</v>
      </c>
      <c r="H131">
        <v>56.25</v>
      </c>
      <c r="I131" t="s">
        <v>56</v>
      </c>
      <c r="J131">
        <v>5.6250000000000007E-3</v>
      </c>
      <c r="K131" t="s">
        <v>57</v>
      </c>
      <c r="O131">
        <v>0.5</v>
      </c>
      <c r="P131" t="s">
        <v>1266</v>
      </c>
      <c r="T131">
        <v>25</v>
      </c>
      <c r="V131">
        <v>50</v>
      </c>
      <c r="W131" t="s">
        <v>1267</v>
      </c>
      <c r="X131" t="s">
        <v>957</v>
      </c>
      <c r="Y131">
        <v>10</v>
      </c>
      <c r="AA131" t="s">
        <v>184</v>
      </c>
      <c r="AB131">
        <v>5.6</v>
      </c>
      <c r="AC131" t="s">
        <v>85</v>
      </c>
      <c r="AI131">
        <v>2</v>
      </c>
      <c r="AK131">
        <v>0.25</v>
      </c>
      <c r="AL131" t="s">
        <v>82</v>
      </c>
      <c r="AM131">
        <v>0.25</v>
      </c>
      <c r="AN131" t="s">
        <v>82</v>
      </c>
      <c r="AU131">
        <v>4.4444444444444453E-2</v>
      </c>
      <c r="AV131" t="s">
        <v>115</v>
      </c>
      <c r="AZ131">
        <v>0</v>
      </c>
      <c r="BA131">
        <v>5.6</v>
      </c>
    </row>
    <row r="132" spans="1:53" x14ac:dyDescent="0.3">
      <c r="A132" t="s">
        <v>1265</v>
      </c>
      <c r="C132" t="s">
        <v>1196</v>
      </c>
      <c r="D132" t="s">
        <v>81</v>
      </c>
      <c r="E132">
        <v>100000000</v>
      </c>
      <c r="H132">
        <v>56.25</v>
      </c>
      <c r="I132" t="s">
        <v>56</v>
      </c>
      <c r="J132">
        <v>5.6250000000000007E-3</v>
      </c>
      <c r="K132" t="s">
        <v>57</v>
      </c>
      <c r="O132">
        <v>0.5</v>
      </c>
      <c r="P132" t="s">
        <v>1266</v>
      </c>
      <c r="T132">
        <v>25</v>
      </c>
      <c r="V132">
        <v>50</v>
      </c>
      <c r="W132" t="s">
        <v>1267</v>
      </c>
      <c r="X132" t="s">
        <v>957</v>
      </c>
      <c r="Y132">
        <v>10</v>
      </c>
      <c r="AB132">
        <v>5.0999999999999899</v>
      </c>
      <c r="AC132" t="s">
        <v>85</v>
      </c>
      <c r="AI132">
        <v>2</v>
      </c>
      <c r="AK132">
        <v>0.25</v>
      </c>
      <c r="AL132" t="s">
        <v>82</v>
      </c>
      <c r="AM132">
        <v>0.25</v>
      </c>
      <c r="AN132" t="s">
        <v>82</v>
      </c>
      <c r="AU132">
        <v>4.4444444444444453E-2</v>
      </c>
      <c r="AV132" t="s">
        <v>115</v>
      </c>
    </row>
    <row r="133" spans="1:53" x14ac:dyDescent="0.3">
      <c r="A133" t="s">
        <v>1265</v>
      </c>
      <c r="C133" t="s">
        <v>1196</v>
      </c>
      <c r="D133" t="s">
        <v>81</v>
      </c>
      <c r="E133">
        <v>100000000</v>
      </c>
      <c r="H133">
        <v>56.25</v>
      </c>
      <c r="I133" t="s">
        <v>56</v>
      </c>
      <c r="J133">
        <v>5.6250000000000007E-3</v>
      </c>
      <c r="K133" t="s">
        <v>57</v>
      </c>
      <c r="O133">
        <v>0.5</v>
      </c>
      <c r="P133" t="s">
        <v>1266</v>
      </c>
      <c r="T133">
        <v>25</v>
      </c>
      <c r="V133">
        <v>50</v>
      </c>
      <c r="W133" t="s">
        <v>1267</v>
      </c>
      <c r="X133" t="s">
        <v>957</v>
      </c>
      <c r="Y133">
        <v>10</v>
      </c>
      <c r="AA133" t="s">
        <v>184</v>
      </c>
      <c r="AB133">
        <v>5.3</v>
      </c>
      <c r="AC133" t="s">
        <v>85</v>
      </c>
      <c r="AI133">
        <v>2</v>
      </c>
      <c r="AK133">
        <v>0.25</v>
      </c>
      <c r="AL133" t="s">
        <v>82</v>
      </c>
      <c r="AM133">
        <v>0.25</v>
      </c>
      <c r="AN133" t="s">
        <v>82</v>
      </c>
      <c r="AU133">
        <v>4.4444444444444453E-2</v>
      </c>
      <c r="AV133" t="s">
        <v>115</v>
      </c>
      <c r="AZ133">
        <v>0</v>
      </c>
      <c r="BA133">
        <v>5.3</v>
      </c>
    </row>
    <row r="134" spans="1:53" x14ac:dyDescent="0.3">
      <c r="A134" t="s">
        <v>1265</v>
      </c>
      <c r="C134" t="s">
        <v>1196</v>
      </c>
      <c r="D134" t="s">
        <v>81</v>
      </c>
      <c r="E134">
        <v>100000000</v>
      </c>
      <c r="H134">
        <v>56.25</v>
      </c>
      <c r="I134" t="s">
        <v>56</v>
      </c>
      <c r="J134">
        <v>5.6250000000000007E-3</v>
      </c>
      <c r="K134" t="s">
        <v>57</v>
      </c>
      <c r="O134">
        <v>0.5</v>
      </c>
      <c r="P134" t="s">
        <v>1266</v>
      </c>
      <c r="T134">
        <v>25</v>
      </c>
      <c r="V134">
        <v>50</v>
      </c>
      <c r="W134" t="s">
        <v>1267</v>
      </c>
      <c r="X134" t="s">
        <v>957</v>
      </c>
      <c r="Y134">
        <v>10</v>
      </c>
      <c r="AA134" t="s">
        <v>184</v>
      </c>
      <c r="AB134">
        <v>5.2</v>
      </c>
      <c r="AC134" t="s">
        <v>85</v>
      </c>
      <c r="AI134">
        <v>2</v>
      </c>
      <c r="AK134">
        <v>0.25</v>
      </c>
      <c r="AL134" t="s">
        <v>82</v>
      </c>
      <c r="AM134">
        <v>0.25</v>
      </c>
      <c r="AN134" t="s">
        <v>82</v>
      </c>
      <c r="AU134">
        <v>4.4444444444444453E-2</v>
      </c>
      <c r="AV134" t="s">
        <v>115</v>
      </c>
      <c r="AZ134">
        <v>0</v>
      </c>
      <c r="BA134">
        <v>5.2</v>
      </c>
    </row>
    <row r="135" spans="1:53" x14ac:dyDescent="0.3">
      <c r="A135" t="s">
        <v>1268</v>
      </c>
      <c r="C135" t="s">
        <v>1196</v>
      </c>
      <c r="D135" t="s">
        <v>260</v>
      </c>
      <c r="E135">
        <v>100000000</v>
      </c>
      <c r="H135">
        <v>25</v>
      </c>
      <c r="I135" t="s">
        <v>409</v>
      </c>
      <c r="O135">
        <v>0.1</v>
      </c>
      <c r="P135" t="s">
        <v>59</v>
      </c>
      <c r="T135">
        <v>4</v>
      </c>
      <c r="V135">
        <v>50</v>
      </c>
      <c r="W135" t="s">
        <v>1269</v>
      </c>
      <c r="X135" t="s">
        <v>280</v>
      </c>
      <c r="Y135">
        <v>1440</v>
      </c>
      <c r="AB135">
        <v>0</v>
      </c>
      <c r="AC135" t="s">
        <v>85</v>
      </c>
      <c r="AD135" t="s">
        <v>1270</v>
      </c>
      <c r="AI135">
        <v>6</v>
      </c>
      <c r="AV135" t="s">
        <v>412</v>
      </c>
    </row>
    <row r="136" spans="1:53" x14ac:dyDescent="0.3">
      <c r="A136" t="s">
        <v>1268</v>
      </c>
      <c r="C136" t="s">
        <v>1196</v>
      </c>
      <c r="D136" t="s">
        <v>260</v>
      </c>
      <c r="E136">
        <v>100000000</v>
      </c>
      <c r="H136">
        <v>25</v>
      </c>
      <c r="I136" t="s">
        <v>409</v>
      </c>
      <c r="O136">
        <v>0.5</v>
      </c>
      <c r="P136" t="s">
        <v>59</v>
      </c>
      <c r="T136">
        <v>4</v>
      </c>
      <c r="V136">
        <v>50</v>
      </c>
      <c r="W136" t="s">
        <v>1269</v>
      </c>
      <c r="X136" t="s">
        <v>280</v>
      </c>
      <c r="Y136">
        <v>1440</v>
      </c>
      <c r="AB136">
        <v>0</v>
      </c>
      <c r="AC136" t="s">
        <v>85</v>
      </c>
      <c r="AD136" t="s">
        <v>1270</v>
      </c>
      <c r="AI136">
        <v>6</v>
      </c>
      <c r="AV136" t="s">
        <v>412</v>
      </c>
    </row>
    <row r="137" spans="1:53" x14ac:dyDescent="0.3">
      <c r="A137" t="s">
        <v>1268</v>
      </c>
      <c r="C137" t="s">
        <v>1196</v>
      </c>
      <c r="D137" t="s">
        <v>260</v>
      </c>
      <c r="E137">
        <v>100000000</v>
      </c>
      <c r="H137">
        <v>25</v>
      </c>
      <c r="I137" t="s">
        <v>409</v>
      </c>
      <c r="O137">
        <v>1</v>
      </c>
      <c r="P137" t="s">
        <v>59</v>
      </c>
      <c r="T137">
        <v>4</v>
      </c>
      <c r="V137">
        <v>50</v>
      </c>
      <c r="W137" t="s">
        <v>1269</v>
      </c>
      <c r="X137" t="s">
        <v>280</v>
      </c>
      <c r="Y137">
        <v>1440</v>
      </c>
      <c r="AB137">
        <v>0</v>
      </c>
      <c r="AC137" t="s">
        <v>85</v>
      </c>
      <c r="AD137" t="s">
        <v>1270</v>
      </c>
      <c r="AI137">
        <v>6</v>
      </c>
      <c r="AV137" t="s">
        <v>412</v>
      </c>
    </row>
    <row r="138" spans="1:53" x14ac:dyDescent="0.3">
      <c r="A138" t="s">
        <v>1268</v>
      </c>
      <c r="C138" t="s">
        <v>1196</v>
      </c>
      <c r="D138" t="s">
        <v>260</v>
      </c>
      <c r="E138">
        <v>100000000</v>
      </c>
      <c r="H138">
        <v>25</v>
      </c>
      <c r="I138" t="s">
        <v>409</v>
      </c>
      <c r="O138">
        <v>2</v>
      </c>
      <c r="P138" t="s">
        <v>59</v>
      </c>
      <c r="T138">
        <v>4</v>
      </c>
      <c r="V138">
        <v>50</v>
      </c>
      <c r="W138" t="s">
        <v>1269</v>
      </c>
      <c r="X138" t="s">
        <v>280</v>
      </c>
      <c r="Y138">
        <v>1440</v>
      </c>
      <c r="AB138">
        <v>0</v>
      </c>
      <c r="AC138" t="s">
        <v>85</v>
      </c>
      <c r="AD138" t="s">
        <v>1270</v>
      </c>
      <c r="AI138">
        <v>6</v>
      </c>
      <c r="AV138" t="s">
        <v>412</v>
      </c>
    </row>
    <row r="139" spans="1:53" x14ac:dyDescent="0.3">
      <c r="A139" t="s">
        <v>1268</v>
      </c>
      <c r="C139" t="s">
        <v>1196</v>
      </c>
      <c r="D139" t="s">
        <v>260</v>
      </c>
      <c r="E139">
        <v>100000000</v>
      </c>
      <c r="H139">
        <v>25</v>
      </c>
      <c r="I139" t="s">
        <v>409</v>
      </c>
      <c r="O139">
        <v>0.1</v>
      </c>
      <c r="P139" t="s">
        <v>59</v>
      </c>
      <c r="T139">
        <v>4</v>
      </c>
      <c r="V139">
        <v>50</v>
      </c>
      <c r="W139" t="s">
        <v>1269</v>
      </c>
      <c r="X139" t="s">
        <v>280</v>
      </c>
      <c r="Y139">
        <v>4320</v>
      </c>
      <c r="AB139">
        <v>0</v>
      </c>
      <c r="AC139" t="s">
        <v>85</v>
      </c>
      <c r="AD139" t="s">
        <v>1270</v>
      </c>
      <c r="AI139">
        <v>6</v>
      </c>
      <c r="AV139" t="s">
        <v>412</v>
      </c>
    </row>
    <row r="140" spans="1:53" x14ac:dyDescent="0.3">
      <c r="A140" t="s">
        <v>1268</v>
      </c>
      <c r="C140" t="s">
        <v>1196</v>
      </c>
      <c r="D140" t="s">
        <v>260</v>
      </c>
      <c r="E140">
        <v>100000000</v>
      </c>
      <c r="H140">
        <v>25</v>
      </c>
      <c r="I140" t="s">
        <v>409</v>
      </c>
      <c r="O140">
        <v>0.5</v>
      </c>
      <c r="P140" t="s">
        <v>59</v>
      </c>
      <c r="T140">
        <v>4</v>
      </c>
      <c r="V140">
        <v>50</v>
      </c>
      <c r="W140" t="s">
        <v>1269</v>
      </c>
      <c r="X140" t="s">
        <v>280</v>
      </c>
      <c r="Y140">
        <v>4320</v>
      </c>
      <c r="AB140">
        <v>0</v>
      </c>
      <c r="AC140" t="s">
        <v>85</v>
      </c>
      <c r="AD140" t="s">
        <v>1270</v>
      </c>
      <c r="AI140">
        <v>6</v>
      </c>
      <c r="AV140" t="s">
        <v>412</v>
      </c>
    </row>
    <row r="141" spans="1:53" x14ac:dyDescent="0.3">
      <c r="A141" t="s">
        <v>1268</v>
      </c>
      <c r="C141" t="s">
        <v>1196</v>
      </c>
      <c r="D141" t="s">
        <v>260</v>
      </c>
      <c r="E141">
        <v>100000000</v>
      </c>
      <c r="H141">
        <v>25</v>
      </c>
      <c r="I141" t="s">
        <v>409</v>
      </c>
      <c r="O141">
        <v>1</v>
      </c>
      <c r="P141" t="s">
        <v>59</v>
      </c>
      <c r="T141">
        <v>4</v>
      </c>
      <c r="V141">
        <v>50</v>
      </c>
      <c r="W141" t="s">
        <v>1269</v>
      </c>
      <c r="X141" t="s">
        <v>280</v>
      </c>
      <c r="Y141">
        <v>4320</v>
      </c>
      <c r="AB141">
        <v>0</v>
      </c>
      <c r="AC141" t="s">
        <v>85</v>
      </c>
      <c r="AD141" t="s">
        <v>1270</v>
      </c>
      <c r="AI141">
        <v>6</v>
      </c>
      <c r="AV141" t="s">
        <v>412</v>
      </c>
    </row>
    <row r="142" spans="1:53" x14ac:dyDescent="0.3">
      <c r="A142" t="s">
        <v>1268</v>
      </c>
      <c r="C142" t="s">
        <v>1196</v>
      </c>
      <c r="D142" t="s">
        <v>260</v>
      </c>
      <c r="E142">
        <v>100000000</v>
      </c>
      <c r="H142">
        <v>25</v>
      </c>
      <c r="I142" t="s">
        <v>409</v>
      </c>
      <c r="O142">
        <v>2</v>
      </c>
      <c r="P142" t="s">
        <v>59</v>
      </c>
      <c r="T142">
        <v>4</v>
      </c>
      <c r="V142">
        <v>50</v>
      </c>
      <c r="W142" t="s">
        <v>1269</v>
      </c>
      <c r="X142" t="s">
        <v>280</v>
      </c>
      <c r="Y142">
        <v>4320</v>
      </c>
      <c r="AB142">
        <v>0</v>
      </c>
      <c r="AC142" t="s">
        <v>85</v>
      </c>
      <c r="AD142" t="s">
        <v>1270</v>
      </c>
      <c r="AI142">
        <v>6</v>
      </c>
      <c r="AV142" t="s">
        <v>412</v>
      </c>
    </row>
    <row r="143" spans="1:53" x14ac:dyDescent="0.3">
      <c r="A143" t="s">
        <v>1268</v>
      </c>
      <c r="C143" t="s">
        <v>1196</v>
      </c>
      <c r="D143" t="s">
        <v>260</v>
      </c>
      <c r="E143">
        <v>100000000</v>
      </c>
      <c r="H143">
        <v>25</v>
      </c>
      <c r="I143" t="s">
        <v>409</v>
      </c>
      <c r="O143">
        <v>0.1</v>
      </c>
      <c r="P143" t="s">
        <v>59</v>
      </c>
      <c r="T143">
        <v>4</v>
      </c>
      <c r="V143">
        <v>50</v>
      </c>
      <c r="W143" t="s">
        <v>1269</v>
      </c>
      <c r="X143" t="s">
        <v>280</v>
      </c>
      <c r="Y143">
        <v>7200</v>
      </c>
      <c r="AB143">
        <v>0</v>
      </c>
      <c r="AC143" t="s">
        <v>85</v>
      </c>
      <c r="AD143" t="s">
        <v>1270</v>
      </c>
      <c r="AI143">
        <v>6</v>
      </c>
      <c r="AV143" t="s">
        <v>412</v>
      </c>
    </row>
    <row r="144" spans="1:53" x14ac:dyDescent="0.3">
      <c r="A144" t="s">
        <v>1268</v>
      </c>
      <c r="C144" t="s">
        <v>1196</v>
      </c>
      <c r="D144" t="s">
        <v>260</v>
      </c>
      <c r="E144">
        <v>100000000</v>
      </c>
      <c r="H144">
        <v>25</v>
      </c>
      <c r="I144" t="s">
        <v>409</v>
      </c>
      <c r="O144">
        <v>0.5</v>
      </c>
      <c r="P144" t="s">
        <v>59</v>
      </c>
      <c r="T144">
        <v>4</v>
      </c>
      <c r="V144">
        <v>50</v>
      </c>
      <c r="W144" t="s">
        <v>1269</v>
      </c>
      <c r="X144" t="s">
        <v>280</v>
      </c>
      <c r="Y144">
        <v>7200</v>
      </c>
      <c r="AB144">
        <v>0</v>
      </c>
      <c r="AC144" t="s">
        <v>85</v>
      </c>
      <c r="AD144" t="s">
        <v>1270</v>
      </c>
      <c r="AI144">
        <v>6</v>
      </c>
      <c r="AV144" t="s">
        <v>412</v>
      </c>
    </row>
    <row r="145" spans="1:48" x14ac:dyDescent="0.3">
      <c r="A145" t="s">
        <v>1268</v>
      </c>
      <c r="C145" t="s">
        <v>1196</v>
      </c>
      <c r="D145" t="s">
        <v>260</v>
      </c>
      <c r="E145">
        <v>100000000</v>
      </c>
      <c r="H145">
        <v>25</v>
      </c>
      <c r="I145" t="s">
        <v>409</v>
      </c>
      <c r="O145">
        <v>1</v>
      </c>
      <c r="P145" t="s">
        <v>59</v>
      </c>
      <c r="T145">
        <v>4</v>
      </c>
      <c r="V145">
        <v>50</v>
      </c>
      <c r="W145" t="s">
        <v>1269</v>
      </c>
      <c r="X145" t="s">
        <v>280</v>
      </c>
      <c r="Y145">
        <v>7200</v>
      </c>
      <c r="AB145">
        <v>0</v>
      </c>
      <c r="AC145" t="s">
        <v>85</v>
      </c>
      <c r="AD145" t="s">
        <v>1270</v>
      </c>
      <c r="AI145">
        <v>6</v>
      </c>
      <c r="AV145" t="s">
        <v>412</v>
      </c>
    </row>
    <row r="146" spans="1:48" x14ac:dyDescent="0.3">
      <c r="A146" t="s">
        <v>1268</v>
      </c>
      <c r="C146" t="s">
        <v>1196</v>
      </c>
      <c r="D146" t="s">
        <v>260</v>
      </c>
      <c r="E146">
        <v>100000000</v>
      </c>
      <c r="H146">
        <v>25</v>
      </c>
      <c r="I146" t="s">
        <v>409</v>
      </c>
      <c r="O146">
        <v>2</v>
      </c>
      <c r="P146" t="s">
        <v>59</v>
      </c>
      <c r="T146">
        <v>4</v>
      </c>
      <c r="V146">
        <v>50</v>
      </c>
      <c r="W146" t="s">
        <v>1269</v>
      </c>
      <c r="X146" t="s">
        <v>280</v>
      </c>
      <c r="Y146">
        <v>7200</v>
      </c>
      <c r="AB146">
        <v>0</v>
      </c>
      <c r="AC146" t="s">
        <v>85</v>
      </c>
      <c r="AD146" t="s">
        <v>1270</v>
      </c>
      <c r="AI146">
        <v>6</v>
      </c>
      <c r="AV146" t="s">
        <v>412</v>
      </c>
    </row>
    <row r="147" spans="1:48" x14ac:dyDescent="0.3">
      <c r="A147" t="s">
        <v>1268</v>
      </c>
      <c r="C147" t="s">
        <v>1196</v>
      </c>
      <c r="D147" t="s">
        <v>260</v>
      </c>
      <c r="E147">
        <v>100000000</v>
      </c>
      <c r="H147">
        <v>25</v>
      </c>
      <c r="I147" t="s">
        <v>409</v>
      </c>
      <c r="O147">
        <v>0.1</v>
      </c>
      <c r="P147" t="s">
        <v>59</v>
      </c>
      <c r="T147">
        <v>25</v>
      </c>
      <c r="V147">
        <v>50</v>
      </c>
      <c r="W147" t="s">
        <v>1269</v>
      </c>
      <c r="X147" t="s">
        <v>280</v>
      </c>
      <c r="Y147">
        <v>1440</v>
      </c>
      <c r="AB147">
        <v>0</v>
      </c>
      <c r="AC147" t="s">
        <v>85</v>
      </c>
      <c r="AD147" t="s">
        <v>1270</v>
      </c>
      <c r="AI147">
        <v>6</v>
      </c>
      <c r="AV147" t="s">
        <v>412</v>
      </c>
    </row>
    <row r="148" spans="1:48" x14ac:dyDescent="0.3">
      <c r="A148" t="s">
        <v>1268</v>
      </c>
      <c r="C148" t="s">
        <v>1196</v>
      </c>
      <c r="D148" t="s">
        <v>260</v>
      </c>
      <c r="E148">
        <v>100000000</v>
      </c>
      <c r="H148">
        <v>25</v>
      </c>
      <c r="I148" t="s">
        <v>409</v>
      </c>
      <c r="O148">
        <v>0.5</v>
      </c>
      <c r="P148" t="s">
        <v>59</v>
      </c>
      <c r="T148">
        <v>25</v>
      </c>
      <c r="V148">
        <v>50</v>
      </c>
      <c r="W148" t="s">
        <v>1269</v>
      </c>
      <c r="X148" t="s">
        <v>280</v>
      </c>
      <c r="Y148">
        <v>1440</v>
      </c>
      <c r="AB148">
        <v>0</v>
      </c>
      <c r="AC148" t="s">
        <v>85</v>
      </c>
      <c r="AD148" t="s">
        <v>1270</v>
      </c>
      <c r="AI148">
        <v>6</v>
      </c>
      <c r="AV148" t="s">
        <v>412</v>
      </c>
    </row>
    <row r="149" spans="1:48" x14ac:dyDescent="0.3">
      <c r="A149" t="s">
        <v>1268</v>
      </c>
      <c r="C149" t="s">
        <v>1196</v>
      </c>
      <c r="D149" t="s">
        <v>260</v>
      </c>
      <c r="E149">
        <v>100000000</v>
      </c>
      <c r="H149">
        <v>25</v>
      </c>
      <c r="I149" t="s">
        <v>409</v>
      </c>
      <c r="O149">
        <v>1</v>
      </c>
      <c r="P149" t="s">
        <v>59</v>
      </c>
      <c r="T149">
        <v>25</v>
      </c>
      <c r="V149">
        <v>50</v>
      </c>
      <c r="W149" t="s">
        <v>1269</v>
      </c>
      <c r="X149" t="s">
        <v>280</v>
      </c>
      <c r="Y149">
        <v>1440</v>
      </c>
      <c r="AB149">
        <v>0</v>
      </c>
      <c r="AC149" t="s">
        <v>85</v>
      </c>
      <c r="AD149" t="s">
        <v>1270</v>
      </c>
      <c r="AI149">
        <v>6</v>
      </c>
      <c r="AV149" t="s">
        <v>412</v>
      </c>
    </row>
    <row r="150" spans="1:48" x14ac:dyDescent="0.3">
      <c r="A150" t="s">
        <v>1268</v>
      </c>
      <c r="C150" t="s">
        <v>1196</v>
      </c>
      <c r="D150" t="s">
        <v>260</v>
      </c>
      <c r="E150">
        <v>100000000</v>
      </c>
      <c r="H150">
        <v>25</v>
      </c>
      <c r="I150" t="s">
        <v>409</v>
      </c>
      <c r="O150">
        <v>2</v>
      </c>
      <c r="P150" t="s">
        <v>59</v>
      </c>
      <c r="T150">
        <v>25</v>
      </c>
      <c r="V150">
        <v>50</v>
      </c>
      <c r="W150" t="s">
        <v>1269</v>
      </c>
      <c r="X150" t="s">
        <v>280</v>
      </c>
      <c r="Y150">
        <v>1440</v>
      </c>
      <c r="AB150">
        <v>0</v>
      </c>
      <c r="AC150" t="s">
        <v>85</v>
      </c>
      <c r="AD150" t="s">
        <v>1270</v>
      </c>
      <c r="AI150">
        <v>6</v>
      </c>
      <c r="AV150" t="s">
        <v>412</v>
      </c>
    </row>
    <row r="151" spans="1:48" x14ac:dyDescent="0.3">
      <c r="A151" t="s">
        <v>1268</v>
      </c>
      <c r="C151" t="s">
        <v>1196</v>
      </c>
      <c r="D151" t="s">
        <v>260</v>
      </c>
      <c r="E151">
        <v>100000000</v>
      </c>
      <c r="H151">
        <v>25</v>
      </c>
      <c r="I151" t="s">
        <v>409</v>
      </c>
      <c r="O151">
        <v>0.1</v>
      </c>
      <c r="P151" t="s">
        <v>59</v>
      </c>
      <c r="T151">
        <v>25</v>
      </c>
      <c r="V151">
        <v>50</v>
      </c>
      <c r="W151" t="s">
        <v>1269</v>
      </c>
      <c r="X151" t="s">
        <v>280</v>
      </c>
      <c r="Y151">
        <v>4320</v>
      </c>
      <c r="AB151">
        <v>0</v>
      </c>
      <c r="AC151" t="s">
        <v>85</v>
      </c>
      <c r="AD151" t="s">
        <v>1270</v>
      </c>
      <c r="AI151">
        <v>6</v>
      </c>
      <c r="AV151" t="s">
        <v>412</v>
      </c>
    </row>
    <row r="152" spans="1:48" x14ac:dyDescent="0.3">
      <c r="A152" t="s">
        <v>1268</v>
      </c>
      <c r="C152" t="s">
        <v>1196</v>
      </c>
      <c r="D152" t="s">
        <v>260</v>
      </c>
      <c r="E152">
        <v>100000000</v>
      </c>
      <c r="H152">
        <v>25</v>
      </c>
      <c r="I152" t="s">
        <v>409</v>
      </c>
      <c r="O152">
        <v>0.5</v>
      </c>
      <c r="P152" t="s">
        <v>59</v>
      </c>
      <c r="T152">
        <v>25</v>
      </c>
      <c r="V152">
        <v>50</v>
      </c>
      <c r="W152" t="s">
        <v>1269</v>
      </c>
      <c r="X152" t="s">
        <v>280</v>
      </c>
      <c r="Y152">
        <v>4320</v>
      </c>
      <c r="AB152">
        <v>0</v>
      </c>
      <c r="AC152" t="s">
        <v>85</v>
      </c>
      <c r="AD152" t="s">
        <v>1270</v>
      </c>
      <c r="AI152">
        <v>6</v>
      </c>
      <c r="AV152" t="s">
        <v>412</v>
      </c>
    </row>
    <row r="153" spans="1:48" x14ac:dyDescent="0.3">
      <c r="A153" t="s">
        <v>1268</v>
      </c>
      <c r="C153" t="s">
        <v>1196</v>
      </c>
      <c r="D153" t="s">
        <v>260</v>
      </c>
      <c r="E153">
        <v>100000000</v>
      </c>
      <c r="H153">
        <v>25</v>
      </c>
      <c r="I153" t="s">
        <v>409</v>
      </c>
      <c r="O153">
        <v>1</v>
      </c>
      <c r="P153" t="s">
        <v>59</v>
      </c>
      <c r="T153">
        <v>25</v>
      </c>
      <c r="V153">
        <v>50</v>
      </c>
      <c r="W153" t="s">
        <v>1269</v>
      </c>
      <c r="X153" t="s">
        <v>280</v>
      </c>
      <c r="Y153">
        <v>4320</v>
      </c>
      <c r="AB153">
        <v>0</v>
      </c>
      <c r="AC153" t="s">
        <v>85</v>
      </c>
      <c r="AD153" t="s">
        <v>1270</v>
      </c>
      <c r="AI153">
        <v>6</v>
      </c>
      <c r="AV153" t="s">
        <v>412</v>
      </c>
    </row>
    <row r="154" spans="1:48" x14ac:dyDescent="0.3">
      <c r="A154" t="s">
        <v>1268</v>
      </c>
      <c r="C154" t="s">
        <v>1196</v>
      </c>
      <c r="D154" t="s">
        <v>260</v>
      </c>
      <c r="E154">
        <v>100000000</v>
      </c>
      <c r="H154">
        <v>25</v>
      </c>
      <c r="I154" t="s">
        <v>409</v>
      </c>
      <c r="O154">
        <v>2</v>
      </c>
      <c r="P154" t="s">
        <v>59</v>
      </c>
      <c r="T154">
        <v>25</v>
      </c>
      <c r="V154">
        <v>50</v>
      </c>
      <c r="W154" t="s">
        <v>1269</v>
      </c>
      <c r="X154" t="s">
        <v>280</v>
      </c>
      <c r="Y154">
        <v>4320</v>
      </c>
      <c r="AB154">
        <v>0</v>
      </c>
      <c r="AC154" t="s">
        <v>85</v>
      </c>
      <c r="AD154" t="s">
        <v>1270</v>
      </c>
      <c r="AI154">
        <v>6</v>
      </c>
      <c r="AV154" t="s">
        <v>412</v>
      </c>
    </row>
    <row r="155" spans="1:48" x14ac:dyDescent="0.3">
      <c r="A155" t="s">
        <v>1268</v>
      </c>
      <c r="C155" t="s">
        <v>1196</v>
      </c>
      <c r="D155" t="s">
        <v>260</v>
      </c>
      <c r="E155">
        <v>100000000</v>
      </c>
      <c r="H155">
        <v>25</v>
      </c>
      <c r="I155" t="s">
        <v>409</v>
      </c>
      <c r="O155">
        <v>0.1</v>
      </c>
      <c r="P155" t="s">
        <v>59</v>
      </c>
      <c r="T155">
        <v>25</v>
      </c>
      <c r="V155">
        <v>50</v>
      </c>
      <c r="W155" t="s">
        <v>1269</v>
      </c>
      <c r="X155" t="s">
        <v>280</v>
      </c>
      <c r="Y155">
        <v>7200</v>
      </c>
      <c r="AB155">
        <v>0</v>
      </c>
      <c r="AC155" t="s">
        <v>85</v>
      </c>
      <c r="AD155" t="s">
        <v>1270</v>
      </c>
      <c r="AI155">
        <v>6</v>
      </c>
      <c r="AV155" t="s">
        <v>412</v>
      </c>
    </row>
    <row r="156" spans="1:48" x14ac:dyDescent="0.3">
      <c r="A156" t="s">
        <v>1268</v>
      </c>
      <c r="C156" t="s">
        <v>1196</v>
      </c>
      <c r="D156" t="s">
        <v>260</v>
      </c>
      <c r="E156">
        <v>100000000</v>
      </c>
      <c r="H156">
        <v>25</v>
      </c>
      <c r="I156" t="s">
        <v>409</v>
      </c>
      <c r="O156">
        <v>0.5</v>
      </c>
      <c r="P156" t="s">
        <v>59</v>
      </c>
      <c r="T156">
        <v>25</v>
      </c>
      <c r="V156">
        <v>50</v>
      </c>
      <c r="W156" t="s">
        <v>1269</v>
      </c>
      <c r="X156" t="s">
        <v>280</v>
      </c>
      <c r="Y156">
        <v>7200</v>
      </c>
      <c r="AB156">
        <v>0</v>
      </c>
      <c r="AC156" t="s">
        <v>85</v>
      </c>
      <c r="AD156" t="s">
        <v>1270</v>
      </c>
      <c r="AI156">
        <v>6</v>
      </c>
      <c r="AV156" t="s">
        <v>412</v>
      </c>
    </row>
    <row r="157" spans="1:48" x14ac:dyDescent="0.3">
      <c r="A157" t="s">
        <v>1268</v>
      </c>
      <c r="C157" t="s">
        <v>1196</v>
      </c>
      <c r="D157" t="s">
        <v>260</v>
      </c>
      <c r="E157">
        <v>100000000</v>
      </c>
      <c r="H157">
        <v>25</v>
      </c>
      <c r="I157" t="s">
        <v>409</v>
      </c>
      <c r="O157">
        <v>1</v>
      </c>
      <c r="P157" t="s">
        <v>59</v>
      </c>
      <c r="T157">
        <v>25</v>
      </c>
      <c r="V157">
        <v>50</v>
      </c>
      <c r="W157" t="s">
        <v>1269</v>
      </c>
      <c r="X157" t="s">
        <v>280</v>
      </c>
      <c r="Y157">
        <v>7200</v>
      </c>
      <c r="AB157">
        <v>0</v>
      </c>
      <c r="AC157" t="s">
        <v>85</v>
      </c>
      <c r="AD157" t="s">
        <v>1270</v>
      </c>
      <c r="AI157">
        <v>6</v>
      </c>
      <c r="AV157" t="s">
        <v>412</v>
      </c>
    </row>
    <row r="158" spans="1:48" x14ac:dyDescent="0.3">
      <c r="A158" t="s">
        <v>1268</v>
      </c>
      <c r="C158" t="s">
        <v>1196</v>
      </c>
      <c r="D158" t="s">
        <v>260</v>
      </c>
      <c r="E158">
        <v>100000000</v>
      </c>
      <c r="H158">
        <v>25</v>
      </c>
      <c r="I158" t="s">
        <v>409</v>
      </c>
      <c r="O158">
        <v>2</v>
      </c>
      <c r="P158" t="s">
        <v>59</v>
      </c>
      <c r="T158">
        <v>25</v>
      </c>
      <c r="V158">
        <v>50</v>
      </c>
      <c r="W158" t="s">
        <v>1269</v>
      </c>
      <c r="X158" t="s">
        <v>280</v>
      </c>
      <c r="Y158">
        <v>7200</v>
      </c>
      <c r="AB158">
        <v>0</v>
      </c>
      <c r="AC158" t="s">
        <v>85</v>
      </c>
      <c r="AD158" t="s">
        <v>1270</v>
      </c>
      <c r="AI158">
        <v>6</v>
      </c>
      <c r="AV158" t="s">
        <v>412</v>
      </c>
    </row>
    <row r="159" spans="1:48" x14ac:dyDescent="0.3">
      <c r="A159" t="s">
        <v>1271</v>
      </c>
      <c r="C159" t="s">
        <v>1196</v>
      </c>
      <c r="D159" t="s">
        <v>81</v>
      </c>
      <c r="E159">
        <v>100000000</v>
      </c>
      <c r="H159">
        <v>1</v>
      </c>
      <c r="I159" t="s">
        <v>56</v>
      </c>
      <c r="J159">
        <v>1E-4</v>
      </c>
      <c r="K159" t="s">
        <v>57</v>
      </c>
      <c r="O159">
        <v>1</v>
      </c>
      <c r="P159" t="s">
        <v>1272</v>
      </c>
      <c r="T159">
        <v>22</v>
      </c>
      <c r="V159">
        <v>50</v>
      </c>
      <c r="W159" t="s">
        <v>938</v>
      </c>
      <c r="X159" t="s">
        <v>1273</v>
      </c>
      <c r="AB159">
        <v>5</v>
      </c>
      <c r="AC159" t="s">
        <v>1197</v>
      </c>
      <c r="AI159">
        <v>3</v>
      </c>
      <c r="AK159">
        <v>5</v>
      </c>
      <c r="AL159" t="s">
        <v>220</v>
      </c>
      <c r="AM159">
        <v>5.0000000000000001E-3</v>
      </c>
      <c r="AN159" t="s">
        <v>82</v>
      </c>
      <c r="AT159" t="s">
        <v>203</v>
      </c>
      <c r="AU159">
        <v>0.05</v>
      </c>
      <c r="AV159" t="s">
        <v>1262</v>
      </c>
    </row>
    <row r="160" spans="1:48" x14ac:dyDescent="0.3">
      <c r="A160" t="s">
        <v>1271</v>
      </c>
      <c r="C160" t="s">
        <v>1196</v>
      </c>
      <c r="D160" t="s">
        <v>81</v>
      </c>
      <c r="E160">
        <v>100000000</v>
      </c>
      <c r="H160">
        <v>1</v>
      </c>
      <c r="I160" t="s">
        <v>56</v>
      </c>
      <c r="J160">
        <v>1E-4</v>
      </c>
      <c r="K160" t="s">
        <v>57</v>
      </c>
      <c r="O160">
        <v>1E-10</v>
      </c>
      <c r="P160" t="s">
        <v>1272</v>
      </c>
      <c r="T160">
        <v>22</v>
      </c>
      <c r="V160">
        <v>50</v>
      </c>
      <c r="W160" t="s">
        <v>938</v>
      </c>
      <c r="X160" t="s">
        <v>1273</v>
      </c>
      <c r="AB160">
        <v>25</v>
      </c>
      <c r="AC160" t="s">
        <v>1197</v>
      </c>
      <c r="AI160">
        <v>3</v>
      </c>
      <c r="AK160">
        <v>5</v>
      </c>
      <c r="AL160" t="s">
        <v>220</v>
      </c>
      <c r="AM160">
        <v>5.0000000000000001E-3</v>
      </c>
      <c r="AN160" t="s">
        <v>82</v>
      </c>
      <c r="AT160" t="s">
        <v>203</v>
      </c>
      <c r="AU160">
        <v>0.05</v>
      </c>
      <c r="AV160" t="s">
        <v>1262</v>
      </c>
    </row>
    <row r="161" spans="1:48" x14ac:dyDescent="0.3">
      <c r="A161" t="s">
        <v>1271</v>
      </c>
      <c r="C161" t="s">
        <v>1196</v>
      </c>
      <c r="D161" t="s">
        <v>81</v>
      </c>
      <c r="E161">
        <v>100000000</v>
      </c>
      <c r="H161">
        <v>1</v>
      </c>
      <c r="I161" t="s">
        <v>56</v>
      </c>
      <c r="J161">
        <v>1E-4</v>
      </c>
      <c r="K161" t="s">
        <v>57</v>
      </c>
      <c r="O161">
        <v>9.9999999999999995E-21</v>
      </c>
      <c r="P161" t="s">
        <v>1272</v>
      </c>
      <c r="T161">
        <v>22</v>
      </c>
      <c r="V161">
        <v>50</v>
      </c>
      <c r="W161" t="s">
        <v>938</v>
      </c>
      <c r="X161" t="s">
        <v>1273</v>
      </c>
      <c r="AB161">
        <v>40</v>
      </c>
      <c r="AC161" t="s">
        <v>1197</v>
      </c>
      <c r="AI161">
        <v>3</v>
      </c>
      <c r="AK161">
        <v>5</v>
      </c>
      <c r="AL161" t="s">
        <v>220</v>
      </c>
      <c r="AM161">
        <v>5.0000000000000001E-3</v>
      </c>
      <c r="AN161" t="s">
        <v>82</v>
      </c>
      <c r="AT161" t="s">
        <v>203</v>
      </c>
      <c r="AU161">
        <v>0.05</v>
      </c>
      <c r="AV161" t="s">
        <v>1262</v>
      </c>
    </row>
  </sheetData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9"/>
  <sheetViews>
    <sheetView workbookViewId="0">
      <selection activeCell="C19" sqref="C19:F19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9" bestFit="1" customWidth="1"/>
    <col min="4" max="4" width="11" bestFit="1" customWidth="1"/>
    <col min="5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COUNTA(LiquidMaster[Ref])</f>
        <v>160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COUNTA(LiquidMaster[GrimeDirt])</f>
        <v>25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Master[ConvertedCoupAreaUn]),COUNTIF(LiquidMaster[ConvertedCoupAreaUn],INDEX(LiquidMaster[ConvertedCoupAreaUn],MATCH(TRUE,LiquidMaster[ConvertedCoupAreaUn]&lt;&gt;"",0)))=COUNTIF(LiquidMaster[ConvertedCoupAreaUn],"&lt;&gt;"),""),INDEX(LiquidMaster[ConvertedCoupAreaUn],MATCH(TRUE,LiquidMaster[ConvertedCoupAreaUn]&lt;&gt;"",0)), "multiple units given"),"NA")</f>
        <v>m^2</v>
      </c>
      <c r="C11" s="3">
        <f>IF(AND(ISNUMBER(E11),ISNUMBER(F11)),MIN(LiquidMaster[ConvertedCoupArea]),"NA")</f>
        <v>1E-4</v>
      </c>
      <c r="D11" s="3">
        <f>IF(AND(ISNUMBER(E11),ISNUMBER(F11)),MAX(LiquidMaster[ConvertedCoupArea]),"NA")</f>
        <v>5.6250000000000007E-3</v>
      </c>
      <c r="E11" s="3">
        <f>IFERROR(AVERAGE(LiquidMaster[ConvertedCoupArea]),"NA")</f>
        <v>2.6984021739130419E-3</v>
      </c>
      <c r="F11" s="3">
        <f>IFERROR(STDEV(LiquidMaster[ConvertedCoupArea]),"NA")</f>
        <v>2.638815497923858E-3</v>
      </c>
    </row>
    <row r="12" spans="1:6" x14ac:dyDescent="0.3">
      <c r="A12" s="3" t="s">
        <v>1591</v>
      </c>
      <c r="B12" s="3" t="str" cm="1">
        <f t="array" ref="B12">IFERROR(IF(IF(COUNTA(LiquidMaster[LoadingUn]),COUNTIF(LiquidMaster[LoadingUn],INDEX(LiquidMaster[LoadingUn],MATCH(TRUE,LiquidMaster[LoadingUn]&lt;&gt;"",0)))=COUNTIF(LiquidMaster[LoadingUn],"&lt;&gt;"),""),INDEX(LiquidMaster[LoadingUn],MATCH(TRUE,LiquidMaster[LoadingUn]&lt;&gt;"",0)), "multiple units given"),"NA")</f>
        <v>multiple units given</v>
      </c>
      <c r="C12" s="3">
        <f>IF(AND(ISNUMBER(E12),ISNUMBER(F12)),MIN(LiquidMaster[LoadingNum]),"NA")</f>
        <v>10000000</v>
      </c>
      <c r="D12" s="3">
        <f>IF(AND(ISNUMBER(E12),ISNUMBER(F12)),MAX(LiquidMaster[LoadingNum]),"NA")</f>
        <v>2100000000</v>
      </c>
      <c r="E12" s="3">
        <f>IFERROR(AVERAGE(LiquidMaster[LoadingNum]),"NA")</f>
        <v>184750000</v>
      </c>
      <c r="F12" s="3">
        <f>IFERROR(STDEV(LiquidMaster[LoadingNum]),"NA")</f>
        <v>548241270.39656341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IF(AND(ISNUMBER(E13),ISNUMBER(F13)),MIN(LiquidMaster[TotalApp]),"NA")</f>
        <v>NA</v>
      </c>
      <c r="D13" s="3" t="str">
        <f>IF(AND(ISNUMBER(E13),ISNUMBER(F13)),MAX(LiquidMaster[TotalApp]),"NA")</f>
        <v>NA</v>
      </c>
      <c r="E13" s="3" t="str">
        <f>IFERROR(AVERAGE(LiquidMaster[TotalApp]),"NA")</f>
        <v>NA</v>
      </c>
      <c r="F13" s="3" t="str">
        <f>IFERROR(STDEV(LiquidMaster[TotalApp]),"NA")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IF(AND(ISNUMBER(E14),ISNUMBER(F14)),MIN(LiquidMaster[TempNum]),"NA")</f>
        <v>4</v>
      </c>
      <c r="D14" s="3">
        <f>IF(AND(ISNUMBER(E14),ISNUMBER(F14)),MAX(LiquidMaster[TempNum]),"NA")</f>
        <v>25</v>
      </c>
      <c r="E14" s="3">
        <f>IFERROR(AVERAGE(LiquidMaster[TempNum]),"NA")</f>
        <v>22.75</v>
      </c>
      <c r="F14" s="3">
        <f>IFERROR(STDEV(LiquidMaster[TempNum]),"NA")</f>
        <v>6.4144876782103992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IF(AND(ISNUMBER(E15),ISNUMBER(F15)),MIN(LiquidMaster[RHNum]),"NA")</f>
        <v>50</v>
      </c>
      <c r="D15" s="3">
        <f>IF(AND(ISNUMBER(E15),ISNUMBER(F15)),MAX(LiquidMaster[RHNum]),"NA")</f>
        <v>50</v>
      </c>
      <c r="E15" s="3">
        <f>IFERROR(AVERAGE(LiquidMaster[RHNum]),"NA")</f>
        <v>50</v>
      </c>
      <c r="F15" s="3">
        <f>IFERROR(STDEV(LiquidMaster[RHNum]),"NA")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IF(AND(ISNUMBER(E16),ISNUMBER(F16)),MIN(LiquidMaster[ContTimeNumMin]),"NA")</f>
        <v>0.5</v>
      </c>
      <c r="D16" s="3">
        <f>IF(AND(ISNUMBER(E16),ISNUMBER(F16)),MAX(LiquidMaster[ContTimeNumMin]),"NA")</f>
        <v>7200</v>
      </c>
      <c r="E16" s="3">
        <f>IFERROR(AVERAGE(LiquidMaster[ContTimeNumMin]),"NA")</f>
        <v>662.53821656050957</v>
      </c>
      <c r="F16" s="3">
        <f>IFERROR(STDEV(LiquidMaster[ContTimeNumMin]),"NA")</f>
        <v>1811.1005972971607</v>
      </c>
    </row>
    <row r="17" spans="1:6" x14ac:dyDescent="0.3">
      <c r="A17" s="3" t="s">
        <v>1598</v>
      </c>
      <c r="B17" s="3" t="str" cm="1">
        <f t="array" ref="B17">IFERROR(IF(IF(COUNTA(LiquidMaster[ConcDoseUn]),COUNTIF(LiquidMaster[ConcDoseUn],INDEX(LiquidMaster[ConcDoseUn],MATCH(TRUE,LiquidMaster[ConcDoseUn]&lt;&gt;"",0)))=COUNTIF(LiquidMaster[ConcDoseUn],"&lt;&gt;"),""),INDEX(LiquidMaster[ConcDoseUn],MATCH(TRUE,LiquidMaster[ConcDoseUn]&lt;&gt;"",0)), "multiple units given"),"NA")</f>
        <v>multiple units given</v>
      </c>
      <c r="C17" s="3">
        <f>IF(AND(ISNUMBER(E17),ISNUMBER(F17)),MIN(LiquidMaster[ConcDoseNum]),"NA")</f>
        <v>9.9999999999999995E-21</v>
      </c>
      <c r="D17" s="3">
        <f>IF(AND(ISNUMBER(E17),ISNUMBER(F17)),MAX(LiquidMaster[ConcDoseNum]),"NA")</f>
        <v>120</v>
      </c>
      <c r="E17" s="3">
        <f>IFERROR(AVERAGE(LiquidMaster[ConcDoseNum]),"NA")</f>
        <v>46.247050000000641</v>
      </c>
      <c r="F17" s="3">
        <f>IFERROR(STDEV(LiquidMaster[ConcDoseNum]),"NA")</f>
        <v>43.512017702160719</v>
      </c>
    </row>
    <row r="18" spans="1:6" x14ac:dyDescent="0.3">
      <c r="A18" s="3" t="s">
        <v>1599</v>
      </c>
      <c r="B18" s="3" t="str" cm="1">
        <f t="array" ref="B18">IFERROR(IF(IF(COUNTA(LiquidMaster[EffMeas]),COUNTIF(LiquidMaster[EffMeas],INDEX(LiquidMaster[EffMeas],MATCH(TRUE,LiquidMaster[EffMeas]&lt;&gt;"",0)))=COUNTIF(LiquidMaster[EffMeas],"&lt;&gt;"),""),INDEX(LiquidMaster[EffMeas],MATCH(TRUE,LiquidMaster[EffMeas]&lt;&gt;"",0)), "multiple units given"),"NA")</f>
        <v>multiple units given</v>
      </c>
      <c r="C18" s="3">
        <f>IF(AND(ISNUMBER(E18),ISNUMBER(F18)),MIN(LiquidMaster[Eff]),"NA")</f>
        <v>0</v>
      </c>
      <c r="D18" s="3">
        <f>IF(AND(ISNUMBER(E18),ISNUMBER(F18)),MAX(LiquidMaster[Eff]),"NA")</f>
        <v>40</v>
      </c>
      <c r="E18" s="3">
        <f>IFERROR(AVERAGE(LiquidMaster[Eff]),"NA")</f>
        <v>3.4132499999999992</v>
      </c>
      <c r="F18" s="3">
        <f>IFERROR(STDEV(LiquidMaster[Eff]),"NA")</f>
        <v>4.0233429809225019</v>
      </c>
    </row>
    <row r="19" spans="1:6" x14ac:dyDescent="0.3">
      <c r="A19" s="3" t="s">
        <v>1600</v>
      </c>
      <c r="B19" s="3" t="str" cm="1">
        <f t="array" ref="B19">IFERROR(IF(IF(COUNTA(LiquidMaster[ConvertedVolAppUn]),COUNTIF(LiquidMaster[ConvertedVolAppUn],INDEX(LiquidMaster[ConvertedVolAppUn],MATCH(TRUE,LiquidMaster[ConvertedVolAppUn]&lt;&gt;"",0)))=COUNTIF(LiquidMaster[ConvertedVolAppUn],"&lt;&gt;"),""),INDEX(LiquidMaster[ConvertedVolAppUn],MATCH(TRUE,LiquidMaster[ConvertedVolAppUn]&lt;&gt;"",0)), "multiple units given"),"NA")</f>
        <v>mL</v>
      </c>
      <c r="C19" s="3">
        <f>IF(AND(ISNUMBER(E19),ISNUMBER(F19)),MIN(LiquidMaster[ConvertedVolApp]),"NA")</f>
        <v>5.0000000000000001E-3</v>
      </c>
      <c r="D19" s="3">
        <f>IF(AND(ISNUMBER(E19),ISNUMBER(F19)),MAX(LiquidMaster[ConvertedVolApp]),"NA")</f>
        <v>0.25</v>
      </c>
      <c r="E19" s="3">
        <f>IFERROR(AVERAGE(LiquidMaster[ConvertedVolApp]),"NA")</f>
        <v>0.17240740740740748</v>
      </c>
      <c r="F19" s="3">
        <f>IFERROR(STDEV(LiquidMaster[ConvertedVolApp]),"NA")</f>
        <v>8.1001971855285224E-2</v>
      </c>
    </row>
  </sheetData>
  <conditionalFormatting sqref="B11:B19">
    <cfRule type="cellIs" dxfId="36" priority="1" operator="equal">
      <formula>"multiple units given"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A317"/>
  <sheetViews>
    <sheetView workbookViewId="0">
      <selection activeCell="H20" sqref="H20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1415</v>
      </c>
      <c r="C2" t="s">
        <v>1416</v>
      </c>
      <c r="D2" t="s">
        <v>81</v>
      </c>
      <c r="E2">
        <v>100000000</v>
      </c>
      <c r="H2">
        <v>64</v>
      </c>
      <c r="I2" t="s">
        <v>56</v>
      </c>
      <c r="J2">
        <v>6.4000000000000003E-3</v>
      </c>
      <c r="K2" t="s">
        <v>57</v>
      </c>
      <c r="L2" t="s">
        <v>1417</v>
      </c>
      <c r="O2">
        <v>0</v>
      </c>
      <c r="T2">
        <v>25</v>
      </c>
      <c r="V2">
        <v>50</v>
      </c>
      <c r="W2" t="s">
        <v>1418</v>
      </c>
      <c r="X2" t="s">
        <v>1419</v>
      </c>
      <c r="Y2">
        <v>5</v>
      </c>
      <c r="AB2">
        <v>0</v>
      </c>
      <c r="AC2" t="s">
        <v>297</v>
      </c>
      <c r="AI2">
        <v>1</v>
      </c>
      <c r="AV2" t="s">
        <v>88</v>
      </c>
      <c r="AZ2">
        <v>0</v>
      </c>
    </row>
    <row r="3" spans="1:53" x14ac:dyDescent="0.3">
      <c r="A3" t="s">
        <v>1415</v>
      </c>
      <c r="C3" t="s">
        <v>1416</v>
      </c>
      <c r="D3" t="s">
        <v>81</v>
      </c>
      <c r="E3">
        <v>100000000</v>
      </c>
      <c r="H3">
        <v>64</v>
      </c>
      <c r="I3" t="s">
        <v>56</v>
      </c>
      <c r="J3">
        <v>6.4000000000000003E-3</v>
      </c>
      <c r="K3" t="s">
        <v>57</v>
      </c>
      <c r="L3" t="s">
        <v>1420</v>
      </c>
      <c r="O3">
        <v>0</v>
      </c>
      <c r="T3">
        <v>25</v>
      </c>
      <c r="V3">
        <v>50</v>
      </c>
      <c r="W3" t="s">
        <v>1418</v>
      </c>
      <c r="X3" t="s">
        <v>1419</v>
      </c>
      <c r="Y3">
        <v>5</v>
      </c>
      <c r="AB3">
        <v>1</v>
      </c>
      <c r="AC3" t="s">
        <v>297</v>
      </c>
      <c r="AI3">
        <v>1</v>
      </c>
      <c r="AV3" t="s">
        <v>88</v>
      </c>
      <c r="AZ3">
        <v>1</v>
      </c>
    </row>
    <row r="4" spans="1:53" x14ac:dyDescent="0.3">
      <c r="A4" t="s">
        <v>109</v>
      </c>
      <c r="B4" t="s">
        <v>110</v>
      </c>
      <c r="C4" t="s">
        <v>1416</v>
      </c>
      <c r="D4" t="s">
        <v>81</v>
      </c>
      <c r="E4">
        <v>100000000</v>
      </c>
      <c r="H4">
        <v>0.79</v>
      </c>
      <c r="I4" t="s">
        <v>56</v>
      </c>
      <c r="J4">
        <v>7.9000000000000009E-5</v>
      </c>
      <c r="K4" t="s">
        <v>57</v>
      </c>
      <c r="L4" t="s">
        <v>112</v>
      </c>
      <c r="O4">
        <v>0.52500000000000002</v>
      </c>
      <c r="P4" t="s">
        <v>59</v>
      </c>
      <c r="T4">
        <v>23</v>
      </c>
      <c r="V4">
        <v>50</v>
      </c>
      <c r="W4" t="s">
        <v>113</v>
      </c>
      <c r="X4" t="s">
        <v>114</v>
      </c>
      <c r="Y4">
        <v>4.9800000000000004</v>
      </c>
      <c r="AB4">
        <v>0.49767673495437997</v>
      </c>
      <c r="AC4" t="s">
        <v>85</v>
      </c>
      <c r="AI4">
        <v>2</v>
      </c>
      <c r="AK4">
        <v>0.05</v>
      </c>
      <c r="AL4" t="s">
        <v>82</v>
      </c>
      <c r="AM4">
        <v>0.05</v>
      </c>
      <c r="AN4" t="s">
        <v>82</v>
      </c>
      <c r="AU4">
        <v>0.63291139240506333</v>
      </c>
      <c r="AV4" t="s">
        <v>115</v>
      </c>
    </row>
    <row r="5" spans="1:53" x14ac:dyDescent="0.3">
      <c r="A5" t="s">
        <v>109</v>
      </c>
      <c r="B5" t="s">
        <v>110</v>
      </c>
      <c r="C5" t="s">
        <v>1416</v>
      </c>
      <c r="D5" t="s">
        <v>81</v>
      </c>
      <c r="E5">
        <v>100000000</v>
      </c>
      <c r="H5">
        <v>0.79</v>
      </c>
      <c r="I5" t="s">
        <v>56</v>
      </c>
      <c r="J5">
        <v>7.9000000000000009E-5</v>
      </c>
      <c r="K5" t="s">
        <v>57</v>
      </c>
      <c r="L5" t="s">
        <v>112</v>
      </c>
      <c r="O5">
        <v>0.52500000000000002</v>
      </c>
      <c r="P5" t="s">
        <v>59</v>
      </c>
      <c r="T5">
        <v>23</v>
      </c>
      <c r="V5">
        <v>50</v>
      </c>
      <c r="W5" t="s">
        <v>113</v>
      </c>
      <c r="X5" t="s">
        <v>114</v>
      </c>
      <c r="Y5">
        <v>15</v>
      </c>
      <c r="AB5">
        <v>2.18771788164644</v>
      </c>
      <c r="AC5" t="s">
        <v>85</v>
      </c>
      <c r="AI5">
        <v>2</v>
      </c>
      <c r="AK5">
        <v>0.05</v>
      </c>
      <c r="AL5" t="s">
        <v>82</v>
      </c>
      <c r="AM5">
        <v>0.05</v>
      </c>
      <c r="AN5" t="s">
        <v>82</v>
      </c>
      <c r="AU5">
        <v>0.63291139240506333</v>
      </c>
      <c r="AV5" t="s">
        <v>115</v>
      </c>
    </row>
    <row r="6" spans="1:53" x14ac:dyDescent="0.3">
      <c r="A6" t="s">
        <v>109</v>
      </c>
      <c r="B6" t="s">
        <v>110</v>
      </c>
      <c r="C6" t="s">
        <v>1416</v>
      </c>
      <c r="D6" t="s">
        <v>81</v>
      </c>
      <c r="E6">
        <v>100000000</v>
      </c>
      <c r="H6">
        <v>0.79</v>
      </c>
      <c r="I6" t="s">
        <v>56</v>
      </c>
      <c r="J6">
        <v>7.9000000000000009E-5</v>
      </c>
      <c r="K6" t="s">
        <v>57</v>
      </c>
      <c r="L6" t="s">
        <v>112</v>
      </c>
      <c r="O6">
        <v>0.52500000000000002</v>
      </c>
      <c r="P6" t="s">
        <v>59</v>
      </c>
      <c r="T6">
        <v>23</v>
      </c>
      <c r="V6">
        <v>50</v>
      </c>
      <c r="W6" t="s">
        <v>113</v>
      </c>
      <c r="X6" t="s">
        <v>114</v>
      </c>
      <c r="Y6">
        <v>30</v>
      </c>
      <c r="AB6">
        <v>4.4738106865356899</v>
      </c>
      <c r="AC6" t="s">
        <v>85</v>
      </c>
      <c r="AI6">
        <v>2</v>
      </c>
      <c r="AK6">
        <v>0.05</v>
      </c>
      <c r="AL6" t="s">
        <v>82</v>
      </c>
      <c r="AM6">
        <v>0.05</v>
      </c>
      <c r="AN6" t="s">
        <v>82</v>
      </c>
      <c r="AU6">
        <v>0.63291139240506333</v>
      </c>
      <c r="AV6" t="s">
        <v>115</v>
      </c>
    </row>
    <row r="7" spans="1:53" x14ac:dyDescent="0.3">
      <c r="A7" t="s">
        <v>109</v>
      </c>
      <c r="B7" t="s">
        <v>110</v>
      </c>
      <c r="C7" t="s">
        <v>1416</v>
      </c>
      <c r="D7" t="s">
        <v>81</v>
      </c>
      <c r="E7">
        <v>100000000</v>
      </c>
      <c r="H7">
        <v>0.79</v>
      </c>
      <c r="I7" t="s">
        <v>56</v>
      </c>
      <c r="J7">
        <v>7.9000000000000009E-5</v>
      </c>
      <c r="K7" t="s">
        <v>57</v>
      </c>
      <c r="L7" t="s">
        <v>112</v>
      </c>
      <c r="O7">
        <v>0.52500000000000002</v>
      </c>
      <c r="P7" t="s">
        <v>59</v>
      </c>
      <c r="T7">
        <v>23</v>
      </c>
      <c r="V7">
        <v>50</v>
      </c>
      <c r="W7" t="s">
        <v>113</v>
      </c>
      <c r="X7" t="s">
        <v>114</v>
      </c>
      <c r="Y7">
        <v>60</v>
      </c>
      <c r="AB7">
        <v>4.8172090841838902</v>
      </c>
      <c r="AC7" t="s">
        <v>85</v>
      </c>
      <c r="AI7">
        <v>2</v>
      </c>
      <c r="AK7">
        <v>0.05</v>
      </c>
      <c r="AL7" t="s">
        <v>82</v>
      </c>
      <c r="AM7">
        <v>0.05</v>
      </c>
      <c r="AN7" t="s">
        <v>82</v>
      </c>
      <c r="AU7">
        <v>0.63291139240506333</v>
      </c>
      <c r="AV7" t="s">
        <v>115</v>
      </c>
    </row>
    <row r="8" spans="1:53" x14ac:dyDescent="0.3">
      <c r="A8" t="s">
        <v>109</v>
      </c>
      <c r="B8" t="s">
        <v>110</v>
      </c>
      <c r="C8" t="s">
        <v>1416</v>
      </c>
      <c r="D8" t="s">
        <v>81</v>
      </c>
      <c r="E8">
        <v>100000000</v>
      </c>
      <c r="H8">
        <v>0.79</v>
      </c>
      <c r="I8" t="s">
        <v>56</v>
      </c>
      <c r="J8">
        <v>7.9000000000000009E-5</v>
      </c>
      <c r="K8" t="s">
        <v>57</v>
      </c>
      <c r="L8" t="s">
        <v>112</v>
      </c>
      <c r="O8">
        <v>0.52500000000000002</v>
      </c>
      <c r="P8" t="s">
        <v>59</v>
      </c>
      <c r="T8">
        <v>23</v>
      </c>
      <c r="V8">
        <v>50</v>
      </c>
      <c r="W8" t="s">
        <v>113</v>
      </c>
      <c r="X8" t="s">
        <v>114</v>
      </c>
      <c r="Y8">
        <v>120</v>
      </c>
      <c r="AB8">
        <v>4.7063015844619098</v>
      </c>
      <c r="AC8" t="s">
        <v>85</v>
      </c>
      <c r="AI8">
        <v>2</v>
      </c>
      <c r="AK8">
        <v>0.05</v>
      </c>
      <c r="AL8" t="s">
        <v>82</v>
      </c>
      <c r="AM8">
        <v>0.05</v>
      </c>
      <c r="AN8" t="s">
        <v>82</v>
      </c>
      <c r="AU8">
        <v>0.63291139240506333</v>
      </c>
      <c r="AV8" t="s">
        <v>115</v>
      </c>
    </row>
    <row r="9" spans="1:53" x14ac:dyDescent="0.3">
      <c r="A9" t="s">
        <v>109</v>
      </c>
      <c r="B9" t="s">
        <v>110</v>
      </c>
      <c r="C9" t="s">
        <v>1416</v>
      </c>
      <c r="D9" t="s">
        <v>81</v>
      </c>
      <c r="E9">
        <v>100000000</v>
      </c>
      <c r="H9">
        <v>0.79</v>
      </c>
      <c r="I9" t="s">
        <v>56</v>
      </c>
      <c r="J9">
        <v>7.9000000000000009E-5</v>
      </c>
      <c r="K9" t="s">
        <v>57</v>
      </c>
      <c r="L9" t="s">
        <v>112</v>
      </c>
      <c r="O9">
        <v>0.52500000000000002</v>
      </c>
      <c r="P9" t="s">
        <v>59</v>
      </c>
      <c r="T9">
        <v>23</v>
      </c>
      <c r="V9">
        <v>50</v>
      </c>
      <c r="W9" t="s">
        <v>113</v>
      </c>
      <c r="X9" t="s">
        <v>114</v>
      </c>
      <c r="Y9">
        <v>1440</v>
      </c>
      <c r="AB9">
        <v>5.2817267105371304</v>
      </c>
      <c r="AC9" t="s">
        <v>85</v>
      </c>
      <c r="AI9">
        <v>2</v>
      </c>
      <c r="AK9">
        <v>0.05</v>
      </c>
      <c r="AL9" t="s">
        <v>82</v>
      </c>
      <c r="AM9">
        <v>0.05</v>
      </c>
      <c r="AN9" t="s">
        <v>82</v>
      </c>
      <c r="AU9">
        <v>0.63291139240506333</v>
      </c>
      <c r="AV9" t="s">
        <v>115</v>
      </c>
    </row>
    <row r="10" spans="1:53" x14ac:dyDescent="0.3">
      <c r="A10" t="s">
        <v>109</v>
      </c>
      <c r="B10" t="s">
        <v>110</v>
      </c>
      <c r="C10" t="s">
        <v>1416</v>
      </c>
      <c r="D10" t="s">
        <v>81</v>
      </c>
      <c r="E10">
        <v>100000000</v>
      </c>
      <c r="H10">
        <v>0.79</v>
      </c>
      <c r="I10" t="s">
        <v>56</v>
      </c>
      <c r="J10">
        <v>7.9000000000000009E-5</v>
      </c>
      <c r="K10" t="s">
        <v>57</v>
      </c>
      <c r="L10" t="s">
        <v>112</v>
      </c>
      <c r="O10">
        <v>0.52500000000000002</v>
      </c>
      <c r="P10" t="s">
        <v>59</v>
      </c>
      <c r="T10">
        <v>-20</v>
      </c>
      <c r="V10">
        <v>50</v>
      </c>
      <c r="W10" t="s">
        <v>113</v>
      </c>
      <c r="X10" t="s">
        <v>114</v>
      </c>
      <c r="Y10">
        <v>4.9800000000000004</v>
      </c>
      <c r="AB10">
        <v>0.46634529375643702</v>
      </c>
      <c r="AC10" t="s">
        <v>85</v>
      </c>
      <c r="AI10">
        <v>2</v>
      </c>
      <c r="AK10">
        <v>0.05</v>
      </c>
      <c r="AL10" t="s">
        <v>82</v>
      </c>
      <c r="AM10">
        <v>0.05</v>
      </c>
      <c r="AN10" t="s">
        <v>82</v>
      </c>
      <c r="AU10">
        <v>0.63291139240506333</v>
      </c>
      <c r="AV10" t="s">
        <v>115</v>
      </c>
    </row>
    <row r="11" spans="1:53" x14ac:dyDescent="0.3">
      <c r="A11" t="s">
        <v>109</v>
      </c>
      <c r="B11" t="s">
        <v>110</v>
      </c>
      <c r="C11" t="s">
        <v>1416</v>
      </c>
      <c r="D11" t="s">
        <v>81</v>
      </c>
      <c r="E11">
        <v>100000000</v>
      </c>
      <c r="H11">
        <v>0.79</v>
      </c>
      <c r="I11" t="s">
        <v>56</v>
      </c>
      <c r="J11">
        <v>7.9000000000000009E-5</v>
      </c>
      <c r="K11" t="s">
        <v>57</v>
      </c>
      <c r="L11" t="s">
        <v>112</v>
      </c>
      <c r="O11">
        <v>0.52500000000000002</v>
      </c>
      <c r="P11" t="s">
        <v>59</v>
      </c>
      <c r="T11">
        <v>-20</v>
      </c>
      <c r="V11">
        <v>50</v>
      </c>
      <c r="W11" t="s">
        <v>113</v>
      </c>
      <c r="X11" t="s">
        <v>114</v>
      </c>
      <c r="Y11">
        <v>15</v>
      </c>
      <c r="AB11">
        <v>0.63678253175451205</v>
      </c>
      <c r="AC11" t="s">
        <v>85</v>
      </c>
      <c r="AI11">
        <v>2</v>
      </c>
      <c r="AK11">
        <v>0.05</v>
      </c>
      <c r="AL11" t="s">
        <v>82</v>
      </c>
      <c r="AM11">
        <v>0.05</v>
      </c>
      <c r="AN11" t="s">
        <v>82</v>
      </c>
      <c r="AU11">
        <v>0.63291139240506333</v>
      </c>
      <c r="AV11" t="s">
        <v>115</v>
      </c>
    </row>
    <row r="12" spans="1:53" x14ac:dyDescent="0.3">
      <c r="A12" t="s">
        <v>109</v>
      </c>
      <c r="B12" t="s">
        <v>110</v>
      </c>
      <c r="C12" t="s">
        <v>1416</v>
      </c>
      <c r="D12" t="s">
        <v>81</v>
      </c>
      <c r="E12">
        <v>100000000</v>
      </c>
      <c r="H12">
        <v>0.79</v>
      </c>
      <c r="I12" t="s">
        <v>56</v>
      </c>
      <c r="J12">
        <v>7.9000000000000009E-5</v>
      </c>
      <c r="K12" t="s">
        <v>57</v>
      </c>
      <c r="L12" t="s">
        <v>112</v>
      </c>
      <c r="O12">
        <v>0.52500000000000002</v>
      </c>
      <c r="P12" t="s">
        <v>59</v>
      </c>
      <c r="T12">
        <v>-20</v>
      </c>
      <c r="V12">
        <v>50</v>
      </c>
      <c r="W12" t="s">
        <v>113</v>
      </c>
      <c r="X12" t="s">
        <v>114</v>
      </c>
      <c r="Y12">
        <v>30</v>
      </c>
      <c r="AB12">
        <v>0.38491255723548401</v>
      </c>
      <c r="AC12" t="s">
        <v>85</v>
      </c>
      <c r="AI12">
        <v>2</v>
      </c>
      <c r="AK12">
        <v>0.05</v>
      </c>
      <c r="AL12" t="s">
        <v>82</v>
      </c>
      <c r="AM12">
        <v>0.05</v>
      </c>
      <c r="AN12" t="s">
        <v>82</v>
      </c>
      <c r="AU12">
        <v>0.63291139240506333</v>
      </c>
      <c r="AV12" t="s">
        <v>115</v>
      </c>
    </row>
    <row r="13" spans="1:53" x14ac:dyDescent="0.3">
      <c r="A13" t="s">
        <v>109</v>
      </c>
      <c r="B13" t="s">
        <v>110</v>
      </c>
      <c r="C13" t="s">
        <v>1416</v>
      </c>
      <c r="D13" t="s">
        <v>81</v>
      </c>
      <c r="E13">
        <v>100000000</v>
      </c>
      <c r="H13">
        <v>0.79</v>
      </c>
      <c r="I13" t="s">
        <v>56</v>
      </c>
      <c r="J13">
        <v>7.9000000000000009E-5</v>
      </c>
      <c r="K13" t="s">
        <v>57</v>
      </c>
      <c r="L13" t="s">
        <v>112</v>
      </c>
      <c r="O13">
        <v>0.52500000000000002</v>
      </c>
      <c r="P13" t="s">
        <v>59</v>
      </c>
      <c r="T13">
        <v>-20</v>
      </c>
      <c r="V13">
        <v>50</v>
      </c>
      <c r="W13" t="s">
        <v>113</v>
      </c>
      <c r="X13" t="s">
        <v>114</v>
      </c>
      <c r="Y13">
        <v>60</v>
      </c>
      <c r="AB13">
        <v>1.04174140923793</v>
      </c>
      <c r="AC13" t="s">
        <v>85</v>
      </c>
      <c r="AI13">
        <v>2</v>
      </c>
      <c r="AK13">
        <v>0.05</v>
      </c>
      <c r="AL13" t="s">
        <v>82</v>
      </c>
      <c r="AM13">
        <v>0.05</v>
      </c>
      <c r="AN13" t="s">
        <v>82</v>
      </c>
      <c r="AU13">
        <v>0.63291139240506333</v>
      </c>
      <c r="AV13" t="s">
        <v>115</v>
      </c>
    </row>
    <row r="14" spans="1:53" x14ac:dyDescent="0.3">
      <c r="A14" t="s">
        <v>109</v>
      </c>
      <c r="B14" t="s">
        <v>110</v>
      </c>
      <c r="C14" t="s">
        <v>1416</v>
      </c>
      <c r="D14" t="s">
        <v>81</v>
      </c>
      <c r="E14">
        <v>100000000</v>
      </c>
      <c r="H14">
        <v>0.79</v>
      </c>
      <c r="I14" t="s">
        <v>56</v>
      </c>
      <c r="J14">
        <v>7.9000000000000009E-5</v>
      </c>
      <c r="K14" t="s">
        <v>57</v>
      </c>
      <c r="L14" t="s">
        <v>112</v>
      </c>
      <c r="O14">
        <v>0.52500000000000002</v>
      </c>
      <c r="P14" t="s">
        <v>59</v>
      </c>
      <c r="T14">
        <v>-20</v>
      </c>
      <c r="V14">
        <v>50</v>
      </c>
      <c r="W14" t="s">
        <v>113</v>
      </c>
      <c r="X14" t="s">
        <v>114</v>
      </c>
      <c r="Y14">
        <v>120</v>
      </c>
      <c r="AB14">
        <v>1.58891021704758</v>
      </c>
      <c r="AC14" t="s">
        <v>85</v>
      </c>
      <c r="AI14">
        <v>2</v>
      </c>
      <c r="AK14">
        <v>0.05</v>
      </c>
      <c r="AL14" t="s">
        <v>82</v>
      </c>
      <c r="AM14">
        <v>0.05</v>
      </c>
      <c r="AN14" t="s">
        <v>82</v>
      </c>
      <c r="AU14">
        <v>0.63291139240506333</v>
      </c>
      <c r="AV14" t="s">
        <v>115</v>
      </c>
    </row>
    <row r="15" spans="1:53" x14ac:dyDescent="0.3">
      <c r="A15" t="s">
        <v>109</v>
      </c>
      <c r="B15" t="s">
        <v>110</v>
      </c>
      <c r="C15" t="s">
        <v>1416</v>
      </c>
      <c r="D15" t="s">
        <v>81</v>
      </c>
      <c r="E15">
        <v>100000000</v>
      </c>
      <c r="H15">
        <v>0.79</v>
      </c>
      <c r="I15" t="s">
        <v>56</v>
      </c>
      <c r="J15">
        <v>7.9000000000000009E-5</v>
      </c>
      <c r="K15" t="s">
        <v>57</v>
      </c>
      <c r="L15" t="s">
        <v>112</v>
      </c>
      <c r="O15">
        <v>0.52500000000000002</v>
      </c>
      <c r="P15" t="s">
        <v>59</v>
      </c>
      <c r="T15">
        <v>-20</v>
      </c>
      <c r="V15">
        <v>50</v>
      </c>
      <c r="W15" t="s">
        <v>113</v>
      </c>
      <c r="X15" t="s">
        <v>114</v>
      </c>
      <c r="Y15">
        <v>1440</v>
      </c>
      <c r="AB15">
        <v>1.61586105859656</v>
      </c>
      <c r="AC15" t="s">
        <v>85</v>
      </c>
      <c r="AI15">
        <v>2</v>
      </c>
      <c r="AK15">
        <v>0.05</v>
      </c>
      <c r="AL15" t="s">
        <v>82</v>
      </c>
      <c r="AM15">
        <v>0.05</v>
      </c>
      <c r="AN15" t="s">
        <v>82</v>
      </c>
      <c r="AU15">
        <v>0.63291139240506333</v>
      </c>
      <c r="AV15" t="s">
        <v>115</v>
      </c>
    </row>
    <row r="16" spans="1:53" x14ac:dyDescent="0.3">
      <c r="A16" t="s">
        <v>109</v>
      </c>
      <c r="B16" t="s">
        <v>110</v>
      </c>
      <c r="C16" t="s">
        <v>1416</v>
      </c>
      <c r="D16" t="s">
        <v>81</v>
      </c>
      <c r="E16">
        <v>100000000</v>
      </c>
      <c r="H16">
        <v>0.79</v>
      </c>
      <c r="I16" t="s">
        <v>56</v>
      </c>
      <c r="J16">
        <v>7.9000000000000009E-5</v>
      </c>
      <c r="K16" t="s">
        <v>57</v>
      </c>
      <c r="L16" t="s">
        <v>112</v>
      </c>
      <c r="O16">
        <v>0.52500000000000002</v>
      </c>
      <c r="P16" t="s">
        <v>59</v>
      </c>
      <c r="T16">
        <v>4</v>
      </c>
      <c r="V16">
        <v>50</v>
      </c>
      <c r="W16" t="s">
        <v>113</v>
      </c>
      <c r="X16" t="s">
        <v>114</v>
      </c>
      <c r="Y16">
        <v>4.9800000000000004</v>
      </c>
      <c r="AB16">
        <v>0.81102015752752299</v>
      </c>
      <c r="AC16" t="s">
        <v>85</v>
      </c>
      <c r="AI16">
        <v>2</v>
      </c>
      <c r="AK16">
        <v>0.05</v>
      </c>
      <c r="AL16" t="s">
        <v>82</v>
      </c>
      <c r="AM16">
        <v>0.05</v>
      </c>
      <c r="AN16" t="s">
        <v>82</v>
      </c>
      <c r="AU16">
        <v>0.63291139240506333</v>
      </c>
      <c r="AV16" t="s">
        <v>115</v>
      </c>
    </row>
    <row r="17" spans="1:48" x14ac:dyDescent="0.3">
      <c r="A17" t="s">
        <v>109</v>
      </c>
      <c r="B17" t="s">
        <v>110</v>
      </c>
      <c r="C17" t="s">
        <v>1416</v>
      </c>
      <c r="D17" t="s">
        <v>81</v>
      </c>
      <c r="E17">
        <v>100000000</v>
      </c>
      <c r="H17">
        <v>0.79</v>
      </c>
      <c r="I17" t="s">
        <v>56</v>
      </c>
      <c r="J17">
        <v>7.9000000000000009E-5</v>
      </c>
      <c r="K17" t="s">
        <v>57</v>
      </c>
      <c r="L17" t="s">
        <v>112</v>
      </c>
      <c r="O17">
        <v>0.52500000000000002</v>
      </c>
      <c r="P17" t="s">
        <v>59</v>
      </c>
      <c r="T17">
        <v>4</v>
      </c>
      <c r="V17">
        <v>50</v>
      </c>
      <c r="W17" t="s">
        <v>113</v>
      </c>
      <c r="X17" t="s">
        <v>114</v>
      </c>
      <c r="Y17">
        <v>15</v>
      </c>
      <c r="AB17">
        <v>2.1564444616359002</v>
      </c>
      <c r="AC17" t="s">
        <v>85</v>
      </c>
      <c r="AI17">
        <v>2</v>
      </c>
      <c r="AK17">
        <v>0.05</v>
      </c>
      <c r="AL17" t="s">
        <v>82</v>
      </c>
      <c r="AM17">
        <v>0.05</v>
      </c>
      <c r="AN17" t="s">
        <v>82</v>
      </c>
      <c r="AU17">
        <v>0.63291139240506333</v>
      </c>
      <c r="AV17" t="s">
        <v>115</v>
      </c>
    </row>
    <row r="18" spans="1:48" x14ac:dyDescent="0.3">
      <c r="A18" t="s">
        <v>109</v>
      </c>
      <c r="B18" t="s">
        <v>110</v>
      </c>
      <c r="C18" t="s">
        <v>1416</v>
      </c>
      <c r="D18" t="s">
        <v>81</v>
      </c>
      <c r="E18">
        <v>100000000</v>
      </c>
      <c r="H18">
        <v>0.79</v>
      </c>
      <c r="I18" t="s">
        <v>56</v>
      </c>
      <c r="J18">
        <v>7.9000000000000009E-5</v>
      </c>
      <c r="K18" t="s">
        <v>57</v>
      </c>
      <c r="L18" t="s">
        <v>112</v>
      </c>
      <c r="O18">
        <v>0.52500000000000002</v>
      </c>
      <c r="P18" t="s">
        <v>59</v>
      </c>
      <c r="T18">
        <v>4</v>
      </c>
      <c r="V18">
        <v>50</v>
      </c>
      <c r="W18" t="s">
        <v>113</v>
      </c>
      <c r="X18" t="s">
        <v>114</v>
      </c>
      <c r="Y18">
        <v>30</v>
      </c>
      <c r="AB18">
        <v>2.4999298910652201</v>
      </c>
      <c r="AC18" t="s">
        <v>85</v>
      </c>
      <c r="AI18">
        <v>2</v>
      </c>
      <c r="AK18">
        <v>0.05</v>
      </c>
      <c r="AL18" t="s">
        <v>82</v>
      </c>
      <c r="AM18">
        <v>0.05</v>
      </c>
      <c r="AN18" t="s">
        <v>82</v>
      </c>
      <c r="AU18">
        <v>0.63291139240506333</v>
      </c>
      <c r="AV18" t="s">
        <v>115</v>
      </c>
    </row>
    <row r="19" spans="1:48" x14ac:dyDescent="0.3">
      <c r="A19" t="s">
        <v>109</v>
      </c>
      <c r="B19" t="s">
        <v>110</v>
      </c>
      <c r="C19" t="s">
        <v>1416</v>
      </c>
      <c r="D19" t="s">
        <v>81</v>
      </c>
      <c r="E19">
        <v>100000000</v>
      </c>
      <c r="H19">
        <v>0.79</v>
      </c>
      <c r="I19" t="s">
        <v>56</v>
      </c>
      <c r="J19">
        <v>7.9000000000000009E-5</v>
      </c>
      <c r="K19" t="s">
        <v>57</v>
      </c>
      <c r="L19" t="s">
        <v>112</v>
      </c>
      <c r="O19">
        <v>0.52500000000000002</v>
      </c>
      <c r="P19" t="s">
        <v>59</v>
      </c>
      <c r="T19">
        <v>4</v>
      </c>
      <c r="V19">
        <v>50</v>
      </c>
      <c r="W19" t="s">
        <v>113</v>
      </c>
      <c r="X19" t="s">
        <v>114</v>
      </c>
      <c r="Y19">
        <v>60</v>
      </c>
      <c r="AB19">
        <v>4.2375194008345201</v>
      </c>
      <c r="AC19" t="s">
        <v>85</v>
      </c>
      <c r="AI19">
        <v>2</v>
      </c>
      <c r="AK19">
        <v>0.05</v>
      </c>
      <c r="AL19" t="s">
        <v>82</v>
      </c>
      <c r="AM19">
        <v>0.05</v>
      </c>
      <c r="AN19" t="s">
        <v>82</v>
      </c>
      <c r="AU19">
        <v>0.63291139240506333</v>
      </c>
      <c r="AV19" t="s">
        <v>115</v>
      </c>
    </row>
    <row r="20" spans="1:48" x14ac:dyDescent="0.3">
      <c r="A20" t="s">
        <v>109</v>
      </c>
      <c r="B20" t="s">
        <v>110</v>
      </c>
      <c r="C20" t="s">
        <v>1416</v>
      </c>
      <c r="D20" t="s">
        <v>81</v>
      </c>
      <c r="E20">
        <v>100000000</v>
      </c>
      <c r="H20">
        <v>0.79</v>
      </c>
      <c r="I20" t="s">
        <v>56</v>
      </c>
      <c r="J20">
        <v>7.9000000000000009E-5</v>
      </c>
      <c r="K20" t="s">
        <v>57</v>
      </c>
      <c r="L20" t="s">
        <v>112</v>
      </c>
      <c r="O20">
        <v>0.52500000000000002</v>
      </c>
      <c r="P20" t="s">
        <v>59</v>
      </c>
      <c r="T20">
        <v>4</v>
      </c>
      <c r="V20">
        <v>50</v>
      </c>
      <c r="W20" t="s">
        <v>113</v>
      </c>
      <c r="X20" t="s">
        <v>114</v>
      </c>
      <c r="Y20">
        <v>120</v>
      </c>
      <c r="AB20">
        <v>4.33029527949288</v>
      </c>
      <c r="AC20" t="s">
        <v>85</v>
      </c>
      <c r="AI20">
        <v>2</v>
      </c>
      <c r="AK20">
        <v>0.05</v>
      </c>
      <c r="AL20" t="s">
        <v>82</v>
      </c>
      <c r="AM20">
        <v>0.05</v>
      </c>
      <c r="AN20" t="s">
        <v>82</v>
      </c>
      <c r="AU20">
        <v>0.63291139240506333</v>
      </c>
      <c r="AV20" t="s">
        <v>115</v>
      </c>
    </row>
    <row r="21" spans="1:48" x14ac:dyDescent="0.3">
      <c r="A21" t="s">
        <v>109</v>
      </c>
      <c r="B21" t="s">
        <v>110</v>
      </c>
      <c r="C21" t="s">
        <v>1416</v>
      </c>
      <c r="D21" t="s">
        <v>81</v>
      </c>
      <c r="E21">
        <v>100000000</v>
      </c>
      <c r="H21">
        <v>0.79</v>
      </c>
      <c r="I21" t="s">
        <v>56</v>
      </c>
      <c r="J21">
        <v>7.9000000000000009E-5</v>
      </c>
      <c r="K21" t="s">
        <v>57</v>
      </c>
      <c r="L21" t="s">
        <v>112</v>
      </c>
      <c r="O21">
        <v>0.52500000000000002</v>
      </c>
      <c r="P21" t="s">
        <v>59</v>
      </c>
      <c r="T21">
        <v>4</v>
      </c>
      <c r="V21">
        <v>50</v>
      </c>
      <c r="W21" t="s">
        <v>113</v>
      </c>
      <c r="X21" t="s">
        <v>114</v>
      </c>
      <c r="Y21">
        <v>1440</v>
      </c>
      <c r="AB21">
        <v>4.95280459914611</v>
      </c>
      <c r="AC21" t="s">
        <v>85</v>
      </c>
      <c r="AI21">
        <v>2</v>
      </c>
      <c r="AK21">
        <v>0.05</v>
      </c>
      <c r="AL21" t="s">
        <v>82</v>
      </c>
      <c r="AM21">
        <v>0.05</v>
      </c>
      <c r="AN21" t="s">
        <v>82</v>
      </c>
      <c r="AU21">
        <v>0.63291139240506333</v>
      </c>
      <c r="AV21" t="s">
        <v>115</v>
      </c>
    </row>
    <row r="22" spans="1:48" x14ac:dyDescent="0.3">
      <c r="A22" t="s">
        <v>109</v>
      </c>
      <c r="B22" t="s">
        <v>110</v>
      </c>
      <c r="C22" t="s">
        <v>1416</v>
      </c>
      <c r="D22" t="s">
        <v>81</v>
      </c>
      <c r="E22">
        <v>100000000</v>
      </c>
      <c r="H22">
        <v>0.79</v>
      </c>
      <c r="I22" t="s">
        <v>56</v>
      </c>
      <c r="J22">
        <v>7.9000000000000009E-5</v>
      </c>
      <c r="K22" t="s">
        <v>57</v>
      </c>
      <c r="L22" t="s">
        <v>112</v>
      </c>
      <c r="O22">
        <v>0.52500000000000002</v>
      </c>
      <c r="P22" t="s">
        <v>59</v>
      </c>
      <c r="T22">
        <v>10</v>
      </c>
      <c r="V22">
        <v>50</v>
      </c>
      <c r="W22" t="s">
        <v>113</v>
      </c>
      <c r="X22" t="s">
        <v>114</v>
      </c>
      <c r="Y22">
        <v>4.9800000000000004</v>
      </c>
      <c r="AB22">
        <v>0.95198263232457003</v>
      </c>
      <c r="AC22" t="s">
        <v>85</v>
      </c>
      <c r="AI22">
        <v>2</v>
      </c>
      <c r="AK22">
        <v>0.05</v>
      </c>
      <c r="AL22" t="s">
        <v>82</v>
      </c>
      <c r="AM22">
        <v>0.05</v>
      </c>
      <c r="AN22" t="s">
        <v>82</v>
      </c>
      <c r="AU22">
        <v>0.63291139240506333</v>
      </c>
      <c r="AV22" t="s">
        <v>115</v>
      </c>
    </row>
    <row r="23" spans="1:48" x14ac:dyDescent="0.3">
      <c r="A23" t="s">
        <v>109</v>
      </c>
      <c r="B23" t="s">
        <v>110</v>
      </c>
      <c r="C23" t="s">
        <v>1416</v>
      </c>
      <c r="D23" t="s">
        <v>81</v>
      </c>
      <c r="E23">
        <v>100000000</v>
      </c>
      <c r="H23">
        <v>0.79</v>
      </c>
      <c r="I23" t="s">
        <v>56</v>
      </c>
      <c r="J23">
        <v>7.9000000000000009E-5</v>
      </c>
      <c r="K23" t="s">
        <v>57</v>
      </c>
      <c r="L23" t="s">
        <v>112</v>
      </c>
      <c r="O23">
        <v>0.52500000000000002</v>
      </c>
      <c r="P23" t="s">
        <v>59</v>
      </c>
      <c r="T23">
        <v>10</v>
      </c>
      <c r="V23">
        <v>50</v>
      </c>
      <c r="W23" t="s">
        <v>113</v>
      </c>
      <c r="X23" t="s">
        <v>114</v>
      </c>
      <c r="Y23">
        <v>15</v>
      </c>
      <c r="AB23">
        <v>3.1276611175847702</v>
      </c>
      <c r="AC23" t="s">
        <v>85</v>
      </c>
      <c r="AI23">
        <v>2</v>
      </c>
      <c r="AK23">
        <v>0.05</v>
      </c>
      <c r="AL23" t="s">
        <v>82</v>
      </c>
      <c r="AM23">
        <v>0.05</v>
      </c>
      <c r="AN23" t="s">
        <v>82</v>
      </c>
      <c r="AU23">
        <v>0.63291139240506333</v>
      </c>
      <c r="AV23" t="s">
        <v>115</v>
      </c>
    </row>
    <row r="24" spans="1:48" x14ac:dyDescent="0.3">
      <c r="A24" t="s">
        <v>109</v>
      </c>
      <c r="B24" t="s">
        <v>110</v>
      </c>
      <c r="C24" t="s">
        <v>1416</v>
      </c>
      <c r="D24" t="s">
        <v>81</v>
      </c>
      <c r="E24">
        <v>100000000</v>
      </c>
      <c r="H24">
        <v>0.79</v>
      </c>
      <c r="I24" t="s">
        <v>56</v>
      </c>
      <c r="J24">
        <v>7.9000000000000009E-5</v>
      </c>
      <c r="K24" t="s">
        <v>57</v>
      </c>
      <c r="L24" t="s">
        <v>112</v>
      </c>
      <c r="O24">
        <v>0.52500000000000002</v>
      </c>
      <c r="P24" t="s">
        <v>59</v>
      </c>
      <c r="T24">
        <v>10</v>
      </c>
      <c r="V24">
        <v>50</v>
      </c>
      <c r="W24" t="s">
        <v>113</v>
      </c>
      <c r="X24" t="s">
        <v>114</v>
      </c>
      <c r="Y24">
        <v>30</v>
      </c>
      <c r="AB24">
        <v>4.2387668563637</v>
      </c>
      <c r="AC24" t="s">
        <v>85</v>
      </c>
      <c r="AI24">
        <v>2</v>
      </c>
      <c r="AK24">
        <v>0.05</v>
      </c>
      <c r="AL24" t="s">
        <v>82</v>
      </c>
      <c r="AM24">
        <v>0.05</v>
      </c>
      <c r="AN24" t="s">
        <v>82</v>
      </c>
      <c r="AU24">
        <v>0.63291139240506333</v>
      </c>
      <c r="AV24" t="s">
        <v>115</v>
      </c>
    </row>
    <row r="25" spans="1:48" x14ac:dyDescent="0.3">
      <c r="A25" t="s">
        <v>109</v>
      </c>
      <c r="B25" t="s">
        <v>110</v>
      </c>
      <c r="C25" t="s">
        <v>1416</v>
      </c>
      <c r="D25" t="s">
        <v>81</v>
      </c>
      <c r="E25">
        <v>100000000</v>
      </c>
      <c r="H25">
        <v>0.79</v>
      </c>
      <c r="I25" t="s">
        <v>56</v>
      </c>
      <c r="J25">
        <v>7.9000000000000009E-5</v>
      </c>
      <c r="K25" t="s">
        <v>57</v>
      </c>
      <c r="L25" t="s">
        <v>112</v>
      </c>
      <c r="O25">
        <v>0.52500000000000002</v>
      </c>
      <c r="P25" t="s">
        <v>59</v>
      </c>
      <c r="T25">
        <v>10</v>
      </c>
      <c r="V25">
        <v>50</v>
      </c>
      <c r="W25" t="s">
        <v>113</v>
      </c>
      <c r="X25" t="s">
        <v>114</v>
      </c>
      <c r="Y25">
        <v>60</v>
      </c>
      <c r="AB25">
        <v>4.58213624341822</v>
      </c>
      <c r="AC25" t="s">
        <v>85</v>
      </c>
      <c r="AI25">
        <v>2</v>
      </c>
      <c r="AK25">
        <v>0.05</v>
      </c>
      <c r="AL25" t="s">
        <v>82</v>
      </c>
      <c r="AM25">
        <v>0.05</v>
      </c>
      <c r="AN25" t="s">
        <v>82</v>
      </c>
      <c r="AU25">
        <v>0.63291139240506333</v>
      </c>
      <c r="AV25" t="s">
        <v>115</v>
      </c>
    </row>
    <row r="26" spans="1:48" x14ac:dyDescent="0.3">
      <c r="A26" t="s">
        <v>109</v>
      </c>
      <c r="B26" t="s">
        <v>110</v>
      </c>
      <c r="C26" t="s">
        <v>1416</v>
      </c>
      <c r="D26" t="s">
        <v>81</v>
      </c>
      <c r="E26">
        <v>100000000</v>
      </c>
      <c r="H26">
        <v>0.79</v>
      </c>
      <c r="I26" t="s">
        <v>56</v>
      </c>
      <c r="J26">
        <v>7.9000000000000009E-5</v>
      </c>
      <c r="K26" t="s">
        <v>57</v>
      </c>
      <c r="L26" t="s">
        <v>112</v>
      </c>
      <c r="O26">
        <v>0.52500000000000002</v>
      </c>
      <c r="P26" t="s">
        <v>59</v>
      </c>
      <c r="T26">
        <v>10</v>
      </c>
      <c r="V26">
        <v>50</v>
      </c>
      <c r="W26" t="s">
        <v>113</v>
      </c>
      <c r="X26" t="s">
        <v>114</v>
      </c>
      <c r="Y26">
        <v>120</v>
      </c>
      <c r="AB26">
        <v>5.0039502758423904</v>
      </c>
      <c r="AC26" t="s">
        <v>85</v>
      </c>
      <c r="AI26">
        <v>2</v>
      </c>
      <c r="AK26">
        <v>0.05</v>
      </c>
      <c r="AL26" t="s">
        <v>82</v>
      </c>
      <c r="AM26">
        <v>0.05</v>
      </c>
      <c r="AN26" t="s">
        <v>82</v>
      </c>
      <c r="AU26">
        <v>0.63291139240506333</v>
      </c>
      <c r="AV26" t="s">
        <v>115</v>
      </c>
    </row>
    <row r="27" spans="1:48" x14ac:dyDescent="0.3">
      <c r="A27" t="s">
        <v>109</v>
      </c>
      <c r="B27" t="s">
        <v>110</v>
      </c>
      <c r="C27" t="s">
        <v>1416</v>
      </c>
      <c r="D27" t="s">
        <v>81</v>
      </c>
      <c r="E27">
        <v>100000000</v>
      </c>
      <c r="H27">
        <v>0.79</v>
      </c>
      <c r="I27" t="s">
        <v>56</v>
      </c>
      <c r="J27">
        <v>7.9000000000000009E-5</v>
      </c>
      <c r="K27" t="s">
        <v>57</v>
      </c>
      <c r="L27" t="s">
        <v>112</v>
      </c>
      <c r="O27">
        <v>0.52500000000000002</v>
      </c>
      <c r="P27" t="s">
        <v>59</v>
      </c>
      <c r="T27">
        <v>10</v>
      </c>
      <c r="V27">
        <v>50</v>
      </c>
      <c r="W27" t="s">
        <v>113</v>
      </c>
      <c r="X27" t="s">
        <v>114</v>
      </c>
      <c r="Y27">
        <v>1440</v>
      </c>
      <c r="AB27">
        <v>5.2034561287296599</v>
      </c>
      <c r="AC27" t="s">
        <v>85</v>
      </c>
      <c r="AI27">
        <v>2</v>
      </c>
      <c r="AK27">
        <v>0.05</v>
      </c>
      <c r="AL27" t="s">
        <v>82</v>
      </c>
      <c r="AM27">
        <v>0.05</v>
      </c>
      <c r="AN27" t="s">
        <v>82</v>
      </c>
      <c r="AU27">
        <v>0.63291139240506333</v>
      </c>
      <c r="AV27" t="s">
        <v>115</v>
      </c>
    </row>
    <row r="28" spans="1:48" x14ac:dyDescent="0.3">
      <c r="A28" t="s">
        <v>109</v>
      </c>
      <c r="B28" t="s">
        <v>116</v>
      </c>
      <c r="C28" t="s">
        <v>1416</v>
      </c>
      <c r="D28" t="s">
        <v>81</v>
      </c>
      <c r="E28">
        <v>100000000</v>
      </c>
      <c r="H28">
        <v>0.79</v>
      </c>
      <c r="I28" t="s">
        <v>56</v>
      </c>
      <c r="J28">
        <v>7.9000000000000009E-5</v>
      </c>
      <c r="K28" t="s">
        <v>57</v>
      </c>
      <c r="L28" t="s">
        <v>112</v>
      </c>
      <c r="O28">
        <v>0.52500000000000002</v>
      </c>
      <c r="P28" t="s">
        <v>59</v>
      </c>
      <c r="T28">
        <v>23</v>
      </c>
      <c r="V28">
        <v>50</v>
      </c>
      <c r="W28" t="s">
        <v>117</v>
      </c>
      <c r="X28" t="s">
        <v>114</v>
      </c>
      <c r="Y28">
        <v>4.9800000000000004</v>
      </c>
      <c r="AB28">
        <v>0.38147372522281098</v>
      </c>
      <c r="AC28" t="s">
        <v>85</v>
      </c>
      <c r="AI28">
        <v>2</v>
      </c>
      <c r="AK28">
        <v>0.05</v>
      </c>
      <c r="AL28" t="s">
        <v>82</v>
      </c>
      <c r="AM28">
        <v>0.05</v>
      </c>
      <c r="AN28" t="s">
        <v>82</v>
      </c>
      <c r="AU28">
        <v>0.63291139240506333</v>
      </c>
      <c r="AV28" t="s">
        <v>115</v>
      </c>
    </row>
    <row r="29" spans="1:48" x14ac:dyDescent="0.3">
      <c r="A29" t="s">
        <v>109</v>
      </c>
      <c r="B29" t="s">
        <v>116</v>
      </c>
      <c r="C29" t="s">
        <v>1416</v>
      </c>
      <c r="D29" t="s">
        <v>81</v>
      </c>
      <c r="E29">
        <v>100000000</v>
      </c>
      <c r="H29">
        <v>0.79</v>
      </c>
      <c r="I29" t="s">
        <v>56</v>
      </c>
      <c r="J29">
        <v>7.9000000000000009E-5</v>
      </c>
      <c r="K29" t="s">
        <v>57</v>
      </c>
      <c r="L29" t="s">
        <v>112</v>
      </c>
      <c r="O29">
        <v>0.52500000000000002</v>
      </c>
      <c r="P29" t="s">
        <v>59</v>
      </c>
      <c r="T29">
        <v>23</v>
      </c>
      <c r="V29">
        <v>50</v>
      </c>
      <c r="W29" t="s">
        <v>117</v>
      </c>
      <c r="X29" t="s">
        <v>114</v>
      </c>
      <c r="Y29">
        <v>15</v>
      </c>
      <c r="AB29">
        <v>0.98569132615789201</v>
      </c>
      <c r="AC29" t="s">
        <v>85</v>
      </c>
      <c r="AI29">
        <v>2</v>
      </c>
      <c r="AK29">
        <v>0.05</v>
      </c>
      <c r="AL29" t="s">
        <v>82</v>
      </c>
      <c r="AM29">
        <v>0.05</v>
      </c>
      <c r="AN29" t="s">
        <v>82</v>
      </c>
      <c r="AU29">
        <v>0.63291139240506333</v>
      </c>
      <c r="AV29" t="s">
        <v>115</v>
      </c>
    </row>
    <row r="30" spans="1:48" x14ac:dyDescent="0.3">
      <c r="A30" t="s">
        <v>109</v>
      </c>
      <c r="B30" t="s">
        <v>116</v>
      </c>
      <c r="C30" t="s">
        <v>1416</v>
      </c>
      <c r="D30" t="s">
        <v>81</v>
      </c>
      <c r="E30">
        <v>100000000</v>
      </c>
      <c r="H30">
        <v>0.79</v>
      </c>
      <c r="I30" t="s">
        <v>56</v>
      </c>
      <c r="J30">
        <v>7.9000000000000009E-5</v>
      </c>
      <c r="K30" t="s">
        <v>57</v>
      </c>
      <c r="L30" t="s">
        <v>112</v>
      </c>
      <c r="O30">
        <v>0.52500000000000002</v>
      </c>
      <c r="P30" t="s">
        <v>59</v>
      </c>
      <c r="T30">
        <v>23</v>
      </c>
      <c r="V30">
        <v>50</v>
      </c>
      <c r="W30" t="s">
        <v>117</v>
      </c>
      <c r="X30" t="s">
        <v>114</v>
      </c>
      <c r="Y30">
        <v>30</v>
      </c>
      <c r="AB30">
        <v>1.8769590415428801</v>
      </c>
      <c r="AC30" t="s">
        <v>85</v>
      </c>
      <c r="AI30">
        <v>2</v>
      </c>
      <c r="AK30">
        <v>0.05</v>
      </c>
      <c r="AL30" t="s">
        <v>82</v>
      </c>
      <c r="AM30">
        <v>0.05</v>
      </c>
      <c r="AN30" t="s">
        <v>82</v>
      </c>
      <c r="AU30">
        <v>0.63291139240506333</v>
      </c>
      <c r="AV30" t="s">
        <v>115</v>
      </c>
    </row>
    <row r="31" spans="1:48" x14ac:dyDescent="0.3">
      <c r="A31" t="s">
        <v>109</v>
      </c>
      <c r="B31" t="s">
        <v>116</v>
      </c>
      <c r="C31" t="s">
        <v>1416</v>
      </c>
      <c r="D31" t="s">
        <v>81</v>
      </c>
      <c r="E31">
        <v>100000000</v>
      </c>
      <c r="H31">
        <v>0.79</v>
      </c>
      <c r="I31" t="s">
        <v>56</v>
      </c>
      <c r="J31">
        <v>7.9000000000000009E-5</v>
      </c>
      <c r="K31" t="s">
        <v>57</v>
      </c>
      <c r="L31" t="s">
        <v>112</v>
      </c>
      <c r="O31">
        <v>0.52500000000000002</v>
      </c>
      <c r="P31" t="s">
        <v>59</v>
      </c>
      <c r="T31">
        <v>23</v>
      </c>
      <c r="V31">
        <v>50</v>
      </c>
      <c r="W31" t="s">
        <v>117</v>
      </c>
      <c r="X31" t="s">
        <v>114</v>
      </c>
      <c r="Y31">
        <v>60</v>
      </c>
      <c r="AB31">
        <v>1.96666829006963</v>
      </c>
      <c r="AC31" t="s">
        <v>85</v>
      </c>
      <c r="AI31">
        <v>2</v>
      </c>
      <c r="AK31">
        <v>0.05</v>
      </c>
      <c r="AL31" t="s">
        <v>82</v>
      </c>
      <c r="AM31">
        <v>0.05</v>
      </c>
      <c r="AN31" t="s">
        <v>82</v>
      </c>
      <c r="AU31">
        <v>0.63291139240506333</v>
      </c>
      <c r="AV31" t="s">
        <v>115</v>
      </c>
    </row>
    <row r="32" spans="1:48" x14ac:dyDescent="0.3">
      <c r="A32" t="s">
        <v>109</v>
      </c>
      <c r="B32" t="s">
        <v>116</v>
      </c>
      <c r="C32" t="s">
        <v>1416</v>
      </c>
      <c r="D32" t="s">
        <v>81</v>
      </c>
      <c r="E32">
        <v>100000000</v>
      </c>
      <c r="H32">
        <v>0.79</v>
      </c>
      <c r="I32" t="s">
        <v>56</v>
      </c>
      <c r="J32">
        <v>7.9000000000000009E-5</v>
      </c>
      <c r="K32" t="s">
        <v>57</v>
      </c>
      <c r="L32" t="s">
        <v>112</v>
      </c>
      <c r="O32">
        <v>0.52500000000000002</v>
      </c>
      <c r="P32" t="s">
        <v>59</v>
      </c>
      <c r="T32">
        <v>23</v>
      </c>
      <c r="V32">
        <v>50</v>
      </c>
      <c r="W32" t="s">
        <v>117</v>
      </c>
      <c r="X32" t="s">
        <v>114</v>
      </c>
      <c r="Y32">
        <v>120</v>
      </c>
      <c r="AB32">
        <v>2.16907417328202</v>
      </c>
      <c r="AC32" t="s">
        <v>85</v>
      </c>
      <c r="AI32">
        <v>2</v>
      </c>
      <c r="AK32">
        <v>0.05</v>
      </c>
      <c r="AL32" t="s">
        <v>82</v>
      </c>
      <c r="AM32">
        <v>0.05</v>
      </c>
      <c r="AN32" t="s">
        <v>82</v>
      </c>
      <c r="AU32">
        <v>0.63291139240506333</v>
      </c>
      <c r="AV32" t="s">
        <v>115</v>
      </c>
    </row>
    <row r="33" spans="1:48" x14ac:dyDescent="0.3">
      <c r="A33" t="s">
        <v>109</v>
      </c>
      <c r="B33" t="s">
        <v>116</v>
      </c>
      <c r="C33" t="s">
        <v>1416</v>
      </c>
      <c r="D33" t="s">
        <v>81</v>
      </c>
      <c r="E33">
        <v>100000000</v>
      </c>
      <c r="H33">
        <v>0.79</v>
      </c>
      <c r="I33" t="s">
        <v>56</v>
      </c>
      <c r="J33">
        <v>7.9000000000000009E-5</v>
      </c>
      <c r="K33" t="s">
        <v>57</v>
      </c>
      <c r="L33" t="s">
        <v>112</v>
      </c>
      <c r="O33">
        <v>0.52500000000000002</v>
      </c>
      <c r="P33" t="s">
        <v>59</v>
      </c>
      <c r="T33">
        <v>23</v>
      </c>
      <c r="V33">
        <v>50</v>
      </c>
      <c r="W33" t="s">
        <v>117</v>
      </c>
      <c r="X33" t="s">
        <v>114</v>
      </c>
      <c r="Y33">
        <v>1440</v>
      </c>
      <c r="AB33">
        <v>1.7874640822091099</v>
      </c>
      <c r="AC33" t="s">
        <v>85</v>
      </c>
      <c r="AI33">
        <v>2</v>
      </c>
      <c r="AK33">
        <v>0.05</v>
      </c>
      <c r="AL33" t="s">
        <v>82</v>
      </c>
      <c r="AM33">
        <v>0.05</v>
      </c>
      <c r="AN33" t="s">
        <v>82</v>
      </c>
      <c r="AU33">
        <v>0.63291139240506333</v>
      </c>
      <c r="AV33" t="s">
        <v>115</v>
      </c>
    </row>
    <row r="34" spans="1:48" x14ac:dyDescent="0.3">
      <c r="A34" t="s">
        <v>109</v>
      </c>
      <c r="B34" t="s">
        <v>116</v>
      </c>
      <c r="C34" t="s">
        <v>1416</v>
      </c>
      <c r="D34" t="s">
        <v>81</v>
      </c>
      <c r="E34">
        <v>100000000</v>
      </c>
      <c r="H34">
        <v>0.79</v>
      </c>
      <c r="I34" t="s">
        <v>56</v>
      </c>
      <c r="J34">
        <v>7.9000000000000009E-5</v>
      </c>
      <c r="K34" t="s">
        <v>57</v>
      </c>
      <c r="L34" t="s">
        <v>112</v>
      </c>
      <c r="O34">
        <v>0.52500000000000002</v>
      </c>
      <c r="P34" t="s">
        <v>59</v>
      </c>
      <c r="T34">
        <v>-20</v>
      </c>
      <c r="V34">
        <v>50</v>
      </c>
      <c r="W34" t="s">
        <v>117</v>
      </c>
      <c r="X34" t="s">
        <v>114</v>
      </c>
      <c r="Y34">
        <v>4.9800000000000004</v>
      </c>
      <c r="AB34">
        <v>0.59441874056397004</v>
      </c>
      <c r="AC34" t="s">
        <v>85</v>
      </c>
      <c r="AI34">
        <v>2</v>
      </c>
      <c r="AK34">
        <v>0.05</v>
      </c>
      <c r="AL34" t="s">
        <v>82</v>
      </c>
      <c r="AM34">
        <v>0.05</v>
      </c>
      <c r="AN34" t="s">
        <v>82</v>
      </c>
      <c r="AU34">
        <v>0.63291139240506333</v>
      </c>
      <c r="AV34" t="s">
        <v>115</v>
      </c>
    </row>
    <row r="35" spans="1:48" x14ac:dyDescent="0.3">
      <c r="A35" t="s">
        <v>109</v>
      </c>
      <c r="B35" t="s">
        <v>116</v>
      </c>
      <c r="C35" t="s">
        <v>1416</v>
      </c>
      <c r="D35" t="s">
        <v>81</v>
      </c>
      <c r="E35">
        <v>100000000</v>
      </c>
      <c r="H35">
        <v>0.79</v>
      </c>
      <c r="I35" t="s">
        <v>56</v>
      </c>
      <c r="J35">
        <v>7.9000000000000009E-5</v>
      </c>
      <c r="K35" t="s">
        <v>57</v>
      </c>
      <c r="L35" t="s">
        <v>112</v>
      </c>
      <c r="O35">
        <v>0.52500000000000002</v>
      </c>
      <c r="P35" t="s">
        <v>59</v>
      </c>
      <c r="T35">
        <v>-20</v>
      </c>
      <c r="V35">
        <v>50</v>
      </c>
      <c r="W35" t="s">
        <v>117</v>
      </c>
      <c r="X35" t="s">
        <v>114</v>
      </c>
      <c r="Y35">
        <v>15</v>
      </c>
      <c r="AB35">
        <v>0.53490478741537895</v>
      </c>
      <c r="AC35" t="s">
        <v>85</v>
      </c>
      <c r="AI35">
        <v>2</v>
      </c>
      <c r="AK35">
        <v>0.05</v>
      </c>
      <c r="AL35" t="s">
        <v>82</v>
      </c>
      <c r="AM35">
        <v>0.05</v>
      </c>
      <c r="AN35" t="s">
        <v>82</v>
      </c>
      <c r="AU35">
        <v>0.63291139240506333</v>
      </c>
      <c r="AV35" t="s">
        <v>115</v>
      </c>
    </row>
    <row r="36" spans="1:48" x14ac:dyDescent="0.3">
      <c r="A36" t="s">
        <v>109</v>
      </c>
      <c r="B36" t="s">
        <v>116</v>
      </c>
      <c r="C36" t="s">
        <v>1416</v>
      </c>
      <c r="D36" t="s">
        <v>81</v>
      </c>
      <c r="E36">
        <v>100000000</v>
      </c>
      <c r="H36">
        <v>0.79</v>
      </c>
      <c r="I36" t="s">
        <v>56</v>
      </c>
      <c r="J36">
        <v>7.9000000000000009E-5</v>
      </c>
      <c r="K36" t="s">
        <v>57</v>
      </c>
      <c r="L36" t="s">
        <v>112</v>
      </c>
      <c r="O36">
        <v>0.52500000000000002</v>
      </c>
      <c r="P36" t="s">
        <v>59</v>
      </c>
      <c r="T36">
        <v>-20</v>
      </c>
      <c r="V36">
        <v>50</v>
      </c>
      <c r="W36" t="s">
        <v>117</v>
      </c>
      <c r="X36" t="s">
        <v>114</v>
      </c>
      <c r="Y36">
        <v>30</v>
      </c>
      <c r="AB36">
        <v>0.53669702430234201</v>
      </c>
      <c r="AC36" t="s">
        <v>85</v>
      </c>
      <c r="AI36">
        <v>2</v>
      </c>
      <c r="AK36">
        <v>0.05</v>
      </c>
      <c r="AL36" t="s">
        <v>82</v>
      </c>
      <c r="AM36">
        <v>0.05</v>
      </c>
      <c r="AN36" t="s">
        <v>82</v>
      </c>
      <c r="AU36">
        <v>0.63291139240506333</v>
      </c>
      <c r="AV36" t="s">
        <v>115</v>
      </c>
    </row>
    <row r="37" spans="1:48" x14ac:dyDescent="0.3">
      <c r="A37" t="s">
        <v>109</v>
      </c>
      <c r="B37" t="s">
        <v>116</v>
      </c>
      <c r="C37" t="s">
        <v>1416</v>
      </c>
      <c r="D37" t="s">
        <v>81</v>
      </c>
      <c r="E37">
        <v>100000000</v>
      </c>
      <c r="H37">
        <v>0.79</v>
      </c>
      <c r="I37" t="s">
        <v>56</v>
      </c>
      <c r="J37">
        <v>7.9000000000000009E-5</v>
      </c>
      <c r="K37" t="s">
        <v>57</v>
      </c>
      <c r="L37" t="s">
        <v>112</v>
      </c>
      <c r="O37">
        <v>0.52500000000000002</v>
      </c>
      <c r="P37" t="s">
        <v>59</v>
      </c>
      <c r="T37">
        <v>-20</v>
      </c>
      <c r="V37">
        <v>50</v>
      </c>
      <c r="W37" t="s">
        <v>117</v>
      </c>
      <c r="X37" t="s">
        <v>114</v>
      </c>
      <c r="Y37">
        <v>60</v>
      </c>
      <c r="AB37">
        <v>0.36331758632445099</v>
      </c>
      <c r="AC37" t="s">
        <v>85</v>
      </c>
      <c r="AI37">
        <v>2</v>
      </c>
      <c r="AK37">
        <v>0.05</v>
      </c>
      <c r="AL37" t="s">
        <v>82</v>
      </c>
      <c r="AM37">
        <v>0.05</v>
      </c>
      <c r="AN37" t="s">
        <v>82</v>
      </c>
      <c r="AU37">
        <v>0.63291139240506333</v>
      </c>
      <c r="AV37" t="s">
        <v>115</v>
      </c>
    </row>
    <row r="38" spans="1:48" x14ac:dyDescent="0.3">
      <c r="A38" t="s">
        <v>109</v>
      </c>
      <c r="B38" t="s">
        <v>116</v>
      </c>
      <c r="C38" t="s">
        <v>1416</v>
      </c>
      <c r="D38" t="s">
        <v>81</v>
      </c>
      <c r="E38">
        <v>100000000</v>
      </c>
      <c r="H38">
        <v>0.79</v>
      </c>
      <c r="I38" t="s">
        <v>56</v>
      </c>
      <c r="J38">
        <v>7.9000000000000009E-5</v>
      </c>
      <c r="K38" t="s">
        <v>57</v>
      </c>
      <c r="L38" t="s">
        <v>112</v>
      </c>
      <c r="O38">
        <v>0.52500000000000002</v>
      </c>
      <c r="P38" t="s">
        <v>59</v>
      </c>
      <c r="T38">
        <v>-20</v>
      </c>
      <c r="V38">
        <v>50</v>
      </c>
      <c r="W38" t="s">
        <v>117</v>
      </c>
      <c r="X38" t="s">
        <v>114</v>
      </c>
      <c r="Y38">
        <v>120</v>
      </c>
      <c r="AB38">
        <v>0.46551405055276801</v>
      </c>
      <c r="AC38" t="s">
        <v>85</v>
      </c>
      <c r="AI38">
        <v>2</v>
      </c>
      <c r="AK38">
        <v>0.05</v>
      </c>
      <c r="AL38" t="s">
        <v>82</v>
      </c>
      <c r="AM38">
        <v>0.05</v>
      </c>
      <c r="AN38" t="s">
        <v>82</v>
      </c>
      <c r="AU38">
        <v>0.63291139240506333</v>
      </c>
      <c r="AV38" t="s">
        <v>115</v>
      </c>
    </row>
    <row r="39" spans="1:48" x14ac:dyDescent="0.3">
      <c r="A39" t="s">
        <v>109</v>
      </c>
      <c r="B39" t="s">
        <v>116</v>
      </c>
      <c r="C39" t="s">
        <v>1416</v>
      </c>
      <c r="D39" t="s">
        <v>81</v>
      </c>
      <c r="E39">
        <v>100000000</v>
      </c>
      <c r="H39">
        <v>0.79</v>
      </c>
      <c r="I39" t="s">
        <v>56</v>
      </c>
      <c r="J39">
        <v>7.9000000000000009E-5</v>
      </c>
      <c r="K39" t="s">
        <v>57</v>
      </c>
      <c r="L39" t="s">
        <v>112</v>
      </c>
      <c r="O39">
        <v>0.52500000000000002</v>
      </c>
      <c r="P39" t="s">
        <v>59</v>
      </c>
      <c r="T39">
        <v>-20</v>
      </c>
      <c r="V39">
        <v>50</v>
      </c>
      <c r="W39" t="s">
        <v>117</v>
      </c>
      <c r="X39" t="s">
        <v>114</v>
      </c>
      <c r="Y39">
        <v>1440</v>
      </c>
      <c r="AB39">
        <v>1.3115083037062201</v>
      </c>
      <c r="AC39" t="s">
        <v>85</v>
      </c>
      <c r="AI39">
        <v>2</v>
      </c>
      <c r="AK39">
        <v>0.05</v>
      </c>
      <c r="AL39" t="s">
        <v>82</v>
      </c>
      <c r="AM39">
        <v>0.05</v>
      </c>
      <c r="AN39" t="s">
        <v>82</v>
      </c>
      <c r="AU39">
        <v>0.63291139240506333</v>
      </c>
      <c r="AV39" t="s">
        <v>115</v>
      </c>
    </row>
    <row r="40" spans="1:48" x14ac:dyDescent="0.3">
      <c r="A40" t="s">
        <v>109</v>
      </c>
      <c r="B40" t="s">
        <v>116</v>
      </c>
      <c r="C40" t="s">
        <v>1416</v>
      </c>
      <c r="D40" t="s">
        <v>81</v>
      </c>
      <c r="E40">
        <v>100000000</v>
      </c>
      <c r="H40">
        <v>0.79</v>
      </c>
      <c r="I40" t="s">
        <v>56</v>
      </c>
      <c r="J40">
        <v>7.9000000000000009E-5</v>
      </c>
      <c r="K40" t="s">
        <v>57</v>
      </c>
      <c r="L40" t="s">
        <v>112</v>
      </c>
      <c r="O40">
        <v>0.52500000000000002</v>
      </c>
      <c r="P40" t="s">
        <v>59</v>
      </c>
      <c r="T40">
        <v>4</v>
      </c>
      <c r="V40">
        <v>50</v>
      </c>
      <c r="W40" t="s">
        <v>117</v>
      </c>
      <c r="X40" t="s">
        <v>114</v>
      </c>
      <c r="Y40">
        <v>4.9800000000000004</v>
      </c>
      <c r="AB40">
        <v>1.08293965811133</v>
      </c>
      <c r="AC40" t="s">
        <v>85</v>
      </c>
      <c r="AI40">
        <v>2</v>
      </c>
      <c r="AK40">
        <v>0.05</v>
      </c>
      <c r="AL40" t="s">
        <v>82</v>
      </c>
      <c r="AM40">
        <v>0.05</v>
      </c>
      <c r="AN40" t="s">
        <v>82</v>
      </c>
      <c r="AU40">
        <v>0.63291139240506333</v>
      </c>
      <c r="AV40" t="s">
        <v>115</v>
      </c>
    </row>
    <row r="41" spans="1:48" x14ac:dyDescent="0.3">
      <c r="A41" t="s">
        <v>109</v>
      </c>
      <c r="B41" t="s">
        <v>116</v>
      </c>
      <c r="C41" t="s">
        <v>1416</v>
      </c>
      <c r="D41" t="s">
        <v>81</v>
      </c>
      <c r="E41">
        <v>100000000</v>
      </c>
      <c r="H41">
        <v>0.79</v>
      </c>
      <c r="I41" t="s">
        <v>56</v>
      </c>
      <c r="J41">
        <v>7.9000000000000009E-5</v>
      </c>
      <c r="K41" t="s">
        <v>57</v>
      </c>
      <c r="L41" t="s">
        <v>112</v>
      </c>
      <c r="O41">
        <v>0.52500000000000002</v>
      </c>
      <c r="P41" t="s">
        <v>59</v>
      </c>
      <c r="T41">
        <v>4</v>
      </c>
      <c r="V41">
        <v>50</v>
      </c>
      <c r="W41" t="s">
        <v>117</v>
      </c>
      <c r="X41" t="s">
        <v>114</v>
      </c>
      <c r="Y41">
        <v>15</v>
      </c>
      <c r="AB41">
        <v>0.64756246042955201</v>
      </c>
      <c r="AC41" t="s">
        <v>85</v>
      </c>
      <c r="AI41">
        <v>2</v>
      </c>
      <c r="AK41">
        <v>0.05</v>
      </c>
      <c r="AL41" t="s">
        <v>82</v>
      </c>
      <c r="AM41">
        <v>0.05</v>
      </c>
      <c r="AN41" t="s">
        <v>82</v>
      </c>
      <c r="AU41">
        <v>0.63291139240506333</v>
      </c>
      <c r="AV41" t="s">
        <v>115</v>
      </c>
    </row>
    <row r="42" spans="1:48" x14ac:dyDescent="0.3">
      <c r="A42" t="s">
        <v>109</v>
      </c>
      <c r="B42" t="s">
        <v>116</v>
      </c>
      <c r="C42" t="s">
        <v>1416</v>
      </c>
      <c r="D42" t="s">
        <v>81</v>
      </c>
      <c r="E42">
        <v>100000000</v>
      </c>
      <c r="H42">
        <v>0.79</v>
      </c>
      <c r="I42" t="s">
        <v>56</v>
      </c>
      <c r="J42">
        <v>7.9000000000000009E-5</v>
      </c>
      <c r="K42" t="s">
        <v>57</v>
      </c>
      <c r="L42" t="s">
        <v>112</v>
      </c>
      <c r="O42">
        <v>0.52500000000000002</v>
      </c>
      <c r="P42" t="s">
        <v>59</v>
      </c>
      <c r="T42">
        <v>4</v>
      </c>
      <c r="V42">
        <v>50</v>
      </c>
      <c r="W42" t="s">
        <v>117</v>
      </c>
      <c r="X42" t="s">
        <v>114</v>
      </c>
      <c r="Y42">
        <v>30</v>
      </c>
      <c r="AB42">
        <v>0.74968100131495496</v>
      </c>
      <c r="AC42" t="s">
        <v>85</v>
      </c>
      <c r="AI42">
        <v>2</v>
      </c>
      <c r="AK42">
        <v>0.05</v>
      </c>
      <c r="AL42" t="s">
        <v>82</v>
      </c>
      <c r="AM42">
        <v>0.05</v>
      </c>
      <c r="AN42" t="s">
        <v>82</v>
      </c>
      <c r="AU42">
        <v>0.63291139240506333</v>
      </c>
      <c r="AV42" t="s">
        <v>115</v>
      </c>
    </row>
    <row r="43" spans="1:48" x14ac:dyDescent="0.3">
      <c r="A43" t="s">
        <v>109</v>
      </c>
      <c r="B43" t="s">
        <v>116</v>
      </c>
      <c r="C43" t="s">
        <v>1416</v>
      </c>
      <c r="D43" t="s">
        <v>81</v>
      </c>
      <c r="E43">
        <v>100000000</v>
      </c>
      <c r="H43">
        <v>0.79</v>
      </c>
      <c r="I43" t="s">
        <v>56</v>
      </c>
      <c r="J43">
        <v>7.9000000000000009E-5</v>
      </c>
      <c r="K43" t="s">
        <v>57</v>
      </c>
      <c r="L43" t="s">
        <v>112</v>
      </c>
      <c r="O43">
        <v>0.52500000000000002</v>
      </c>
      <c r="P43" t="s">
        <v>59</v>
      </c>
      <c r="T43">
        <v>4</v>
      </c>
      <c r="V43">
        <v>50</v>
      </c>
      <c r="W43" t="s">
        <v>117</v>
      </c>
      <c r="X43" t="s">
        <v>114</v>
      </c>
      <c r="Y43">
        <v>60</v>
      </c>
      <c r="AB43">
        <v>1.19000633127161</v>
      </c>
      <c r="AC43" t="s">
        <v>85</v>
      </c>
      <c r="AI43">
        <v>2</v>
      </c>
      <c r="AK43">
        <v>0.05</v>
      </c>
      <c r="AL43" t="s">
        <v>82</v>
      </c>
      <c r="AM43">
        <v>0.05</v>
      </c>
      <c r="AN43" t="s">
        <v>82</v>
      </c>
      <c r="AU43">
        <v>0.63291139240506333</v>
      </c>
      <c r="AV43" t="s">
        <v>115</v>
      </c>
    </row>
    <row r="44" spans="1:48" x14ac:dyDescent="0.3">
      <c r="A44" t="s">
        <v>109</v>
      </c>
      <c r="B44" t="s">
        <v>116</v>
      </c>
      <c r="C44" t="s">
        <v>1416</v>
      </c>
      <c r="D44" t="s">
        <v>81</v>
      </c>
      <c r="E44">
        <v>100000000</v>
      </c>
      <c r="H44">
        <v>0.79</v>
      </c>
      <c r="I44" t="s">
        <v>56</v>
      </c>
      <c r="J44">
        <v>7.9000000000000009E-5</v>
      </c>
      <c r="K44" t="s">
        <v>57</v>
      </c>
      <c r="L44" t="s">
        <v>112</v>
      </c>
      <c r="O44">
        <v>0.52500000000000002</v>
      </c>
      <c r="P44" t="s">
        <v>59</v>
      </c>
      <c r="T44">
        <v>4</v>
      </c>
      <c r="V44">
        <v>50</v>
      </c>
      <c r="W44" t="s">
        <v>117</v>
      </c>
      <c r="X44" t="s">
        <v>114</v>
      </c>
      <c r="Y44">
        <v>120</v>
      </c>
      <c r="AB44">
        <v>1.84331563824088</v>
      </c>
      <c r="AC44" t="s">
        <v>85</v>
      </c>
      <c r="AI44">
        <v>2</v>
      </c>
      <c r="AK44">
        <v>0.05</v>
      </c>
      <c r="AL44" t="s">
        <v>82</v>
      </c>
      <c r="AM44">
        <v>0.05</v>
      </c>
      <c r="AN44" t="s">
        <v>82</v>
      </c>
      <c r="AU44">
        <v>0.63291139240506333</v>
      </c>
      <c r="AV44" t="s">
        <v>115</v>
      </c>
    </row>
    <row r="45" spans="1:48" x14ac:dyDescent="0.3">
      <c r="A45" t="s">
        <v>109</v>
      </c>
      <c r="B45" t="s">
        <v>116</v>
      </c>
      <c r="C45" t="s">
        <v>1416</v>
      </c>
      <c r="D45" t="s">
        <v>81</v>
      </c>
      <c r="E45">
        <v>100000000</v>
      </c>
      <c r="H45">
        <v>0.79</v>
      </c>
      <c r="I45" t="s">
        <v>56</v>
      </c>
      <c r="J45">
        <v>7.9000000000000009E-5</v>
      </c>
      <c r="K45" t="s">
        <v>57</v>
      </c>
      <c r="L45" t="s">
        <v>112</v>
      </c>
      <c r="O45">
        <v>0.52500000000000002</v>
      </c>
      <c r="P45" t="s">
        <v>59</v>
      </c>
      <c r="T45">
        <v>4</v>
      </c>
      <c r="V45">
        <v>50</v>
      </c>
      <c r="W45" t="s">
        <v>117</v>
      </c>
      <c r="X45" t="s">
        <v>114</v>
      </c>
      <c r="Y45">
        <v>1440</v>
      </c>
      <c r="AB45">
        <v>1.8500949690741599</v>
      </c>
      <c r="AC45" t="s">
        <v>85</v>
      </c>
      <c r="AI45">
        <v>2</v>
      </c>
      <c r="AK45">
        <v>0.05</v>
      </c>
      <c r="AL45" t="s">
        <v>82</v>
      </c>
      <c r="AM45">
        <v>0.05</v>
      </c>
      <c r="AN45" t="s">
        <v>82</v>
      </c>
      <c r="AU45">
        <v>0.63291139240506333</v>
      </c>
      <c r="AV45" t="s">
        <v>115</v>
      </c>
    </row>
    <row r="46" spans="1:48" x14ac:dyDescent="0.3">
      <c r="A46" t="s">
        <v>109</v>
      </c>
      <c r="B46" t="s">
        <v>116</v>
      </c>
      <c r="C46" t="s">
        <v>1416</v>
      </c>
      <c r="D46" t="s">
        <v>81</v>
      </c>
      <c r="E46">
        <v>100000000</v>
      </c>
      <c r="H46">
        <v>0.79</v>
      </c>
      <c r="I46" t="s">
        <v>56</v>
      </c>
      <c r="J46">
        <v>7.9000000000000009E-5</v>
      </c>
      <c r="K46" t="s">
        <v>57</v>
      </c>
      <c r="L46" t="s">
        <v>112</v>
      </c>
      <c r="O46">
        <v>0.52500000000000002</v>
      </c>
      <c r="P46" t="s">
        <v>59</v>
      </c>
      <c r="T46">
        <v>10</v>
      </c>
      <c r="V46">
        <v>50</v>
      </c>
      <c r="W46" t="s">
        <v>117</v>
      </c>
      <c r="X46" t="s">
        <v>114</v>
      </c>
      <c r="Y46">
        <v>4.9800000000000004</v>
      </c>
      <c r="AB46">
        <v>1.17054497637948</v>
      </c>
      <c r="AC46" t="s">
        <v>85</v>
      </c>
      <c r="AI46">
        <v>2</v>
      </c>
      <c r="AK46">
        <v>0.05</v>
      </c>
      <c r="AL46" t="s">
        <v>82</v>
      </c>
      <c r="AM46">
        <v>0.05</v>
      </c>
      <c r="AN46" t="s">
        <v>82</v>
      </c>
      <c r="AU46">
        <v>0.63291139240506333</v>
      </c>
      <c r="AV46" t="s">
        <v>115</v>
      </c>
    </row>
    <row r="47" spans="1:48" x14ac:dyDescent="0.3">
      <c r="A47" t="s">
        <v>109</v>
      </c>
      <c r="B47" t="s">
        <v>116</v>
      </c>
      <c r="C47" t="s">
        <v>1416</v>
      </c>
      <c r="D47" t="s">
        <v>81</v>
      </c>
      <c r="E47">
        <v>100000000</v>
      </c>
      <c r="H47">
        <v>0.79</v>
      </c>
      <c r="I47" t="s">
        <v>56</v>
      </c>
      <c r="J47">
        <v>7.9000000000000009E-5</v>
      </c>
      <c r="K47" t="s">
        <v>57</v>
      </c>
      <c r="L47" t="s">
        <v>112</v>
      </c>
      <c r="O47">
        <v>0.52500000000000002</v>
      </c>
      <c r="P47" t="s">
        <v>59</v>
      </c>
      <c r="T47">
        <v>10</v>
      </c>
      <c r="V47">
        <v>50</v>
      </c>
      <c r="W47" t="s">
        <v>117</v>
      </c>
      <c r="X47" t="s">
        <v>114</v>
      </c>
      <c r="Y47">
        <v>15</v>
      </c>
      <c r="AB47">
        <v>1.1487264403642901</v>
      </c>
      <c r="AC47" t="s">
        <v>85</v>
      </c>
      <c r="AI47">
        <v>2</v>
      </c>
      <c r="AK47">
        <v>0.05</v>
      </c>
      <c r="AL47" t="s">
        <v>82</v>
      </c>
      <c r="AM47">
        <v>0.05</v>
      </c>
      <c r="AN47" t="s">
        <v>82</v>
      </c>
      <c r="AU47">
        <v>0.63291139240506333</v>
      </c>
      <c r="AV47" t="s">
        <v>115</v>
      </c>
    </row>
    <row r="48" spans="1:48" x14ac:dyDescent="0.3">
      <c r="A48" t="s">
        <v>109</v>
      </c>
      <c r="B48" t="s">
        <v>116</v>
      </c>
      <c r="C48" t="s">
        <v>1416</v>
      </c>
      <c r="D48" t="s">
        <v>81</v>
      </c>
      <c r="E48">
        <v>100000000</v>
      </c>
      <c r="H48">
        <v>0.79</v>
      </c>
      <c r="I48" t="s">
        <v>56</v>
      </c>
      <c r="J48">
        <v>7.9000000000000009E-5</v>
      </c>
      <c r="K48" t="s">
        <v>57</v>
      </c>
      <c r="L48" t="s">
        <v>112</v>
      </c>
      <c r="O48">
        <v>0.52500000000000002</v>
      </c>
      <c r="P48" t="s">
        <v>59</v>
      </c>
      <c r="T48">
        <v>10</v>
      </c>
      <c r="V48">
        <v>50</v>
      </c>
      <c r="W48" t="s">
        <v>117</v>
      </c>
      <c r="X48" t="s">
        <v>114</v>
      </c>
      <c r="Y48">
        <v>30</v>
      </c>
      <c r="AB48">
        <v>1.4513027808893</v>
      </c>
      <c r="AC48" t="s">
        <v>85</v>
      </c>
      <c r="AI48">
        <v>2</v>
      </c>
      <c r="AK48">
        <v>0.05</v>
      </c>
      <c r="AL48" t="s">
        <v>82</v>
      </c>
      <c r="AM48">
        <v>0.05</v>
      </c>
      <c r="AN48" t="s">
        <v>82</v>
      </c>
      <c r="AU48">
        <v>0.63291139240506333</v>
      </c>
      <c r="AV48" t="s">
        <v>115</v>
      </c>
    </row>
    <row r="49" spans="1:48" x14ac:dyDescent="0.3">
      <c r="A49" t="s">
        <v>109</v>
      </c>
      <c r="B49" t="s">
        <v>116</v>
      </c>
      <c r="C49" t="s">
        <v>1416</v>
      </c>
      <c r="D49" t="s">
        <v>81</v>
      </c>
      <c r="E49">
        <v>100000000</v>
      </c>
      <c r="H49">
        <v>0.79</v>
      </c>
      <c r="I49" t="s">
        <v>56</v>
      </c>
      <c r="J49">
        <v>7.9000000000000009E-5</v>
      </c>
      <c r="K49" t="s">
        <v>57</v>
      </c>
      <c r="L49" t="s">
        <v>112</v>
      </c>
      <c r="O49">
        <v>0.52500000000000002</v>
      </c>
      <c r="P49" t="s">
        <v>59</v>
      </c>
      <c r="T49">
        <v>10</v>
      </c>
      <c r="V49">
        <v>50</v>
      </c>
      <c r="W49" t="s">
        <v>117</v>
      </c>
      <c r="X49" t="s">
        <v>114</v>
      </c>
      <c r="Y49">
        <v>60</v>
      </c>
      <c r="AB49">
        <v>1.70369648857936</v>
      </c>
      <c r="AC49" t="s">
        <v>85</v>
      </c>
      <c r="AI49">
        <v>2</v>
      </c>
      <c r="AK49">
        <v>0.05</v>
      </c>
      <c r="AL49" t="s">
        <v>82</v>
      </c>
      <c r="AM49">
        <v>0.05</v>
      </c>
      <c r="AN49" t="s">
        <v>82</v>
      </c>
      <c r="AU49">
        <v>0.63291139240506333</v>
      </c>
      <c r="AV49" t="s">
        <v>115</v>
      </c>
    </row>
    <row r="50" spans="1:48" x14ac:dyDescent="0.3">
      <c r="A50" t="s">
        <v>109</v>
      </c>
      <c r="B50" t="s">
        <v>116</v>
      </c>
      <c r="C50" t="s">
        <v>1416</v>
      </c>
      <c r="D50" t="s">
        <v>81</v>
      </c>
      <c r="E50">
        <v>100000000</v>
      </c>
      <c r="H50">
        <v>0.79</v>
      </c>
      <c r="I50" t="s">
        <v>56</v>
      </c>
      <c r="J50">
        <v>7.9000000000000009E-5</v>
      </c>
      <c r="K50" t="s">
        <v>57</v>
      </c>
      <c r="L50" t="s">
        <v>112</v>
      </c>
      <c r="O50">
        <v>0.52500000000000002</v>
      </c>
      <c r="P50" t="s">
        <v>59</v>
      </c>
      <c r="T50">
        <v>10</v>
      </c>
      <c r="V50">
        <v>50</v>
      </c>
      <c r="W50" t="s">
        <v>117</v>
      </c>
      <c r="X50" t="s">
        <v>114</v>
      </c>
      <c r="Y50">
        <v>120</v>
      </c>
      <c r="AB50">
        <v>1.6177665221838</v>
      </c>
      <c r="AC50" t="s">
        <v>85</v>
      </c>
      <c r="AI50">
        <v>2</v>
      </c>
      <c r="AK50">
        <v>0.05</v>
      </c>
      <c r="AL50" t="s">
        <v>82</v>
      </c>
      <c r="AM50">
        <v>0.05</v>
      </c>
      <c r="AN50" t="s">
        <v>82</v>
      </c>
      <c r="AU50">
        <v>0.63291139240506333</v>
      </c>
      <c r="AV50" t="s">
        <v>115</v>
      </c>
    </row>
    <row r="51" spans="1:48" x14ac:dyDescent="0.3">
      <c r="A51" t="s">
        <v>109</v>
      </c>
      <c r="B51" t="s">
        <v>116</v>
      </c>
      <c r="C51" t="s">
        <v>1416</v>
      </c>
      <c r="D51" t="s">
        <v>81</v>
      </c>
      <c r="E51">
        <v>100000000</v>
      </c>
      <c r="H51">
        <v>0.79</v>
      </c>
      <c r="I51" t="s">
        <v>56</v>
      </c>
      <c r="J51">
        <v>7.9000000000000009E-5</v>
      </c>
      <c r="K51" t="s">
        <v>57</v>
      </c>
      <c r="L51" t="s">
        <v>112</v>
      </c>
      <c r="O51">
        <v>0.52500000000000002</v>
      </c>
      <c r="P51" t="s">
        <v>59</v>
      </c>
      <c r="T51">
        <v>10</v>
      </c>
      <c r="V51">
        <v>50</v>
      </c>
      <c r="W51" t="s">
        <v>117</v>
      </c>
      <c r="X51" t="s">
        <v>114</v>
      </c>
      <c r="Y51">
        <v>1440</v>
      </c>
      <c r="AB51">
        <v>2.41377295085959</v>
      </c>
      <c r="AC51" t="s">
        <v>85</v>
      </c>
      <c r="AI51">
        <v>2</v>
      </c>
      <c r="AK51">
        <v>0.05</v>
      </c>
      <c r="AL51" t="s">
        <v>82</v>
      </c>
      <c r="AM51">
        <v>0.05</v>
      </c>
      <c r="AN51" t="s">
        <v>82</v>
      </c>
      <c r="AU51">
        <v>0.63291139240506333</v>
      </c>
      <c r="AV51" t="s">
        <v>115</v>
      </c>
    </row>
    <row r="52" spans="1:48" x14ac:dyDescent="0.3">
      <c r="A52" t="s">
        <v>109</v>
      </c>
      <c r="B52" t="s">
        <v>110</v>
      </c>
      <c r="C52" t="s">
        <v>1416</v>
      </c>
      <c r="D52" t="s">
        <v>81</v>
      </c>
      <c r="E52">
        <v>100000000</v>
      </c>
      <c r="H52">
        <v>0.79</v>
      </c>
      <c r="I52" t="s">
        <v>56</v>
      </c>
      <c r="J52">
        <v>7.9000000000000009E-5</v>
      </c>
      <c r="K52" t="s">
        <v>57</v>
      </c>
      <c r="L52" t="s">
        <v>112</v>
      </c>
      <c r="O52">
        <v>0</v>
      </c>
      <c r="T52">
        <v>23</v>
      </c>
      <c r="V52">
        <v>50</v>
      </c>
      <c r="W52" t="s">
        <v>113</v>
      </c>
      <c r="X52" t="s">
        <v>114</v>
      </c>
      <c r="Y52">
        <v>4.9800000000000004</v>
      </c>
      <c r="AB52">
        <v>1.5023584905660301</v>
      </c>
      <c r="AC52" t="s">
        <v>85</v>
      </c>
      <c r="AI52">
        <v>2</v>
      </c>
      <c r="AK52">
        <v>0.05</v>
      </c>
      <c r="AL52" t="s">
        <v>82</v>
      </c>
      <c r="AM52">
        <v>0.05</v>
      </c>
      <c r="AN52" t="s">
        <v>82</v>
      </c>
      <c r="AU52">
        <v>0.63291139240506333</v>
      </c>
      <c r="AV52" t="s">
        <v>115</v>
      </c>
    </row>
    <row r="53" spans="1:48" x14ac:dyDescent="0.3">
      <c r="A53" t="s">
        <v>109</v>
      </c>
      <c r="B53" t="s">
        <v>110</v>
      </c>
      <c r="C53" t="s">
        <v>1416</v>
      </c>
      <c r="D53" t="s">
        <v>81</v>
      </c>
      <c r="E53">
        <v>100000000</v>
      </c>
      <c r="H53">
        <v>0.79</v>
      </c>
      <c r="I53" t="s">
        <v>56</v>
      </c>
      <c r="J53">
        <v>7.9000000000000009E-5</v>
      </c>
      <c r="K53" t="s">
        <v>57</v>
      </c>
      <c r="L53" t="s">
        <v>112</v>
      </c>
      <c r="O53">
        <v>0</v>
      </c>
      <c r="T53">
        <v>23</v>
      </c>
      <c r="V53">
        <v>50</v>
      </c>
      <c r="W53" t="s">
        <v>113</v>
      </c>
      <c r="X53" t="s">
        <v>114</v>
      </c>
      <c r="Y53">
        <v>15</v>
      </c>
      <c r="AB53">
        <v>3.1367924528301701</v>
      </c>
      <c r="AC53" t="s">
        <v>85</v>
      </c>
      <c r="AI53">
        <v>2</v>
      </c>
      <c r="AK53">
        <v>0.05</v>
      </c>
      <c r="AL53" t="s">
        <v>82</v>
      </c>
      <c r="AM53">
        <v>0.05</v>
      </c>
      <c r="AN53" t="s">
        <v>82</v>
      </c>
      <c r="AU53">
        <v>0.63291139240506333</v>
      </c>
      <c r="AV53" t="s">
        <v>115</v>
      </c>
    </row>
    <row r="54" spans="1:48" x14ac:dyDescent="0.3">
      <c r="A54" t="s">
        <v>109</v>
      </c>
      <c r="B54" t="s">
        <v>110</v>
      </c>
      <c r="C54" t="s">
        <v>1416</v>
      </c>
      <c r="D54" t="s">
        <v>81</v>
      </c>
      <c r="E54">
        <v>100000000</v>
      </c>
      <c r="H54">
        <v>0.79</v>
      </c>
      <c r="I54" t="s">
        <v>56</v>
      </c>
      <c r="J54">
        <v>7.9000000000000009E-5</v>
      </c>
      <c r="K54" t="s">
        <v>57</v>
      </c>
      <c r="L54" t="s">
        <v>112</v>
      </c>
      <c r="O54">
        <v>0</v>
      </c>
      <c r="T54">
        <v>23</v>
      </c>
      <c r="V54">
        <v>50</v>
      </c>
      <c r="W54" t="s">
        <v>113</v>
      </c>
      <c r="X54" t="s">
        <v>114</v>
      </c>
      <c r="Y54">
        <v>30</v>
      </c>
      <c r="AB54">
        <v>3.4669811320754702</v>
      </c>
      <c r="AC54" t="s">
        <v>85</v>
      </c>
      <c r="AI54">
        <v>2</v>
      </c>
      <c r="AK54">
        <v>0.05</v>
      </c>
      <c r="AL54" t="s">
        <v>82</v>
      </c>
      <c r="AM54">
        <v>0.05</v>
      </c>
      <c r="AN54" t="s">
        <v>82</v>
      </c>
      <c r="AU54">
        <v>0.63291139240506333</v>
      </c>
      <c r="AV54" t="s">
        <v>115</v>
      </c>
    </row>
    <row r="55" spans="1:48" x14ac:dyDescent="0.3">
      <c r="A55" t="s">
        <v>109</v>
      </c>
      <c r="B55" t="s">
        <v>110</v>
      </c>
      <c r="C55" t="s">
        <v>1416</v>
      </c>
      <c r="D55" t="s">
        <v>81</v>
      </c>
      <c r="E55">
        <v>100000000</v>
      </c>
      <c r="H55">
        <v>0.79</v>
      </c>
      <c r="I55" t="s">
        <v>56</v>
      </c>
      <c r="J55">
        <v>7.9000000000000009E-5</v>
      </c>
      <c r="K55" t="s">
        <v>57</v>
      </c>
      <c r="L55" t="s">
        <v>112</v>
      </c>
      <c r="O55">
        <v>0</v>
      </c>
      <c r="T55">
        <v>23</v>
      </c>
      <c r="V55">
        <v>50</v>
      </c>
      <c r="W55" t="s">
        <v>113</v>
      </c>
      <c r="X55" t="s">
        <v>114</v>
      </c>
      <c r="Y55">
        <v>60</v>
      </c>
      <c r="AB55">
        <v>4.75471698113207</v>
      </c>
      <c r="AC55" t="s">
        <v>85</v>
      </c>
      <c r="AI55">
        <v>2</v>
      </c>
      <c r="AK55">
        <v>0.05</v>
      </c>
      <c r="AL55" t="s">
        <v>82</v>
      </c>
      <c r="AM55">
        <v>0.05</v>
      </c>
      <c r="AN55" t="s">
        <v>82</v>
      </c>
      <c r="AU55">
        <v>0.63291139240506333</v>
      </c>
      <c r="AV55" t="s">
        <v>115</v>
      </c>
    </row>
    <row r="56" spans="1:48" x14ac:dyDescent="0.3">
      <c r="A56" t="s">
        <v>109</v>
      </c>
      <c r="B56" t="s">
        <v>110</v>
      </c>
      <c r="C56" t="s">
        <v>1416</v>
      </c>
      <c r="D56" t="s">
        <v>81</v>
      </c>
      <c r="E56">
        <v>100000000</v>
      </c>
      <c r="H56">
        <v>0.79</v>
      </c>
      <c r="I56" t="s">
        <v>56</v>
      </c>
      <c r="J56">
        <v>7.9000000000000009E-5</v>
      </c>
      <c r="K56" t="s">
        <v>57</v>
      </c>
      <c r="L56" t="s">
        <v>112</v>
      </c>
      <c r="O56">
        <v>0</v>
      </c>
      <c r="T56">
        <v>23</v>
      </c>
      <c r="V56">
        <v>50</v>
      </c>
      <c r="W56" t="s">
        <v>113</v>
      </c>
      <c r="X56" t="s">
        <v>114</v>
      </c>
      <c r="Y56">
        <v>120</v>
      </c>
      <c r="AB56">
        <v>5.3490566037735698</v>
      </c>
      <c r="AC56" t="s">
        <v>85</v>
      </c>
      <c r="AI56">
        <v>2</v>
      </c>
      <c r="AK56">
        <v>0.05</v>
      </c>
      <c r="AL56" t="s">
        <v>82</v>
      </c>
      <c r="AM56">
        <v>0.05</v>
      </c>
      <c r="AN56" t="s">
        <v>82</v>
      </c>
      <c r="AU56">
        <v>0.63291139240506333</v>
      </c>
      <c r="AV56" t="s">
        <v>115</v>
      </c>
    </row>
    <row r="57" spans="1:48" x14ac:dyDescent="0.3">
      <c r="A57" t="s">
        <v>109</v>
      </c>
      <c r="B57" t="s">
        <v>110</v>
      </c>
      <c r="C57" t="s">
        <v>1416</v>
      </c>
      <c r="D57" t="s">
        <v>81</v>
      </c>
      <c r="E57">
        <v>100000000</v>
      </c>
      <c r="H57">
        <v>0.79</v>
      </c>
      <c r="I57" t="s">
        <v>56</v>
      </c>
      <c r="J57">
        <v>7.9000000000000009E-5</v>
      </c>
      <c r="K57" t="s">
        <v>57</v>
      </c>
      <c r="L57" t="s">
        <v>112</v>
      </c>
      <c r="O57">
        <v>0</v>
      </c>
      <c r="T57">
        <v>23</v>
      </c>
      <c r="V57">
        <v>50</v>
      </c>
      <c r="W57" t="s">
        <v>113</v>
      </c>
      <c r="X57" t="s">
        <v>114</v>
      </c>
      <c r="Y57">
        <v>1440</v>
      </c>
      <c r="AB57">
        <v>6.0259433962264</v>
      </c>
      <c r="AC57" t="s">
        <v>85</v>
      </c>
      <c r="AI57">
        <v>2</v>
      </c>
      <c r="AK57">
        <v>0.05</v>
      </c>
      <c r="AL57" t="s">
        <v>82</v>
      </c>
      <c r="AM57">
        <v>0.05</v>
      </c>
      <c r="AN57" t="s">
        <v>82</v>
      </c>
      <c r="AU57">
        <v>0.63291139240506333</v>
      </c>
      <c r="AV57" t="s">
        <v>115</v>
      </c>
    </row>
    <row r="58" spans="1:48" x14ac:dyDescent="0.3">
      <c r="A58" t="s">
        <v>109</v>
      </c>
      <c r="B58" t="s">
        <v>110</v>
      </c>
      <c r="C58" t="s">
        <v>1416</v>
      </c>
      <c r="D58" t="s">
        <v>81</v>
      </c>
      <c r="E58">
        <v>100000000</v>
      </c>
      <c r="H58">
        <v>0.79</v>
      </c>
      <c r="I58" t="s">
        <v>56</v>
      </c>
      <c r="J58">
        <v>7.9000000000000009E-5</v>
      </c>
      <c r="K58" t="s">
        <v>57</v>
      </c>
      <c r="L58" t="s">
        <v>112</v>
      </c>
      <c r="O58">
        <v>0</v>
      </c>
      <c r="T58">
        <v>-20</v>
      </c>
      <c r="V58">
        <v>50</v>
      </c>
      <c r="W58" t="s">
        <v>113</v>
      </c>
      <c r="X58" t="s">
        <v>114</v>
      </c>
      <c r="Y58">
        <v>4.9800000000000004</v>
      </c>
      <c r="AB58">
        <v>0.74292452830188704</v>
      </c>
      <c r="AC58" t="s">
        <v>85</v>
      </c>
      <c r="AI58">
        <v>2</v>
      </c>
      <c r="AK58">
        <v>0.05</v>
      </c>
      <c r="AL58" t="s">
        <v>82</v>
      </c>
      <c r="AM58">
        <v>0.05</v>
      </c>
      <c r="AN58" t="s">
        <v>82</v>
      </c>
      <c r="AU58">
        <v>0.63291139240506333</v>
      </c>
      <c r="AV58" t="s">
        <v>115</v>
      </c>
    </row>
    <row r="59" spans="1:48" x14ac:dyDescent="0.3">
      <c r="A59" t="s">
        <v>109</v>
      </c>
      <c r="B59" t="s">
        <v>110</v>
      </c>
      <c r="C59" t="s">
        <v>1416</v>
      </c>
      <c r="D59" t="s">
        <v>81</v>
      </c>
      <c r="E59">
        <v>100000000</v>
      </c>
      <c r="H59">
        <v>0.79</v>
      </c>
      <c r="I59" t="s">
        <v>56</v>
      </c>
      <c r="J59">
        <v>7.9000000000000009E-5</v>
      </c>
      <c r="K59" t="s">
        <v>57</v>
      </c>
      <c r="L59" t="s">
        <v>112</v>
      </c>
      <c r="O59">
        <v>0</v>
      </c>
      <c r="T59">
        <v>-20</v>
      </c>
      <c r="V59">
        <v>50</v>
      </c>
      <c r="W59" t="s">
        <v>113</v>
      </c>
      <c r="X59" t="s">
        <v>114</v>
      </c>
      <c r="Y59">
        <v>15</v>
      </c>
      <c r="AB59">
        <v>0.79245283018867796</v>
      </c>
      <c r="AC59" t="s">
        <v>85</v>
      </c>
      <c r="AI59">
        <v>2</v>
      </c>
      <c r="AK59">
        <v>0.05</v>
      </c>
      <c r="AL59" t="s">
        <v>82</v>
      </c>
      <c r="AM59">
        <v>0.05</v>
      </c>
      <c r="AN59" t="s">
        <v>82</v>
      </c>
      <c r="AU59">
        <v>0.63291139240506333</v>
      </c>
      <c r="AV59" t="s">
        <v>115</v>
      </c>
    </row>
    <row r="60" spans="1:48" x14ac:dyDescent="0.3">
      <c r="A60" t="s">
        <v>109</v>
      </c>
      <c r="B60" t="s">
        <v>110</v>
      </c>
      <c r="C60" t="s">
        <v>1416</v>
      </c>
      <c r="D60" t="s">
        <v>81</v>
      </c>
      <c r="E60">
        <v>100000000</v>
      </c>
      <c r="H60">
        <v>0.79</v>
      </c>
      <c r="I60" t="s">
        <v>56</v>
      </c>
      <c r="J60">
        <v>7.9000000000000009E-5</v>
      </c>
      <c r="K60" t="s">
        <v>57</v>
      </c>
      <c r="L60" t="s">
        <v>112</v>
      </c>
      <c r="O60">
        <v>0</v>
      </c>
      <c r="T60">
        <v>-20</v>
      </c>
      <c r="V60">
        <v>50</v>
      </c>
      <c r="W60" t="s">
        <v>113</v>
      </c>
      <c r="X60" t="s">
        <v>114</v>
      </c>
      <c r="Y60">
        <v>30</v>
      </c>
      <c r="AB60">
        <v>0.92452830188679302</v>
      </c>
      <c r="AC60" t="s">
        <v>85</v>
      </c>
      <c r="AI60">
        <v>2</v>
      </c>
      <c r="AK60">
        <v>0.05</v>
      </c>
      <c r="AL60" t="s">
        <v>82</v>
      </c>
      <c r="AM60">
        <v>0.05</v>
      </c>
      <c r="AN60" t="s">
        <v>82</v>
      </c>
      <c r="AU60">
        <v>0.63291139240506333</v>
      </c>
      <c r="AV60" t="s">
        <v>115</v>
      </c>
    </row>
    <row r="61" spans="1:48" x14ac:dyDescent="0.3">
      <c r="A61" t="s">
        <v>109</v>
      </c>
      <c r="B61" t="s">
        <v>110</v>
      </c>
      <c r="C61" t="s">
        <v>1416</v>
      </c>
      <c r="D61" t="s">
        <v>81</v>
      </c>
      <c r="E61">
        <v>100000000</v>
      </c>
      <c r="H61">
        <v>0.79</v>
      </c>
      <c r="I61" t="s">
        <v>56</v>
      </c>
      <c r="J61">
        <v>7.9000000000000009E-5</v>
      </c>
      <c r="K61" t="s">
        <v>57</v>
      </c>
      <c r="L61" t="s">
        <v>112</v>
      </c>
      <c r="O61">
        <v>0</v>
      </c>
      <c r="T61">
        <v>-20</v>
      </c>
      <c r="V61">
        <v>50</v>
      </c>
      <c r="W61" t="s">
        <v>113</v>
      </c>
      <c r="X61" t="s">
        <v>114</v>
      </c>
      <c r="Y61">
        <v>60</v>
      </c>
      <c r="AB61">
        <v>1.20518867924527</v>
      </c>
      <c r="AC61" t="s">
        <v>85</v>
      </c>
      <c r="AI61">
        <v>2</v>
      </c>
      <c r="AK61">
        <v>0.05</v>
      </c>
      <c r="AL61" t="s">
        <v>82</v>
      </c>
      <c r="AM61">
        <v>0.05</v>
      </c>
      <c r="AN61" t="s">
        <v>82</v>
      </c>
      <c r="AU61">
        <v>0.63291139240506333</v>
      </c>
      <c r="AV61" t="s">
        <v>115</v>
      </c>
    </row>
    <row r="62" spans="1:48" x14ac:dyDescent="0.3">
      <c r="A62" t="s">
        <v>109</v>
      </c>
      <c r="B62" t="s">
        <v>110</v>
      </c>
      <c r="C62" t="s">
        <v>1416</v>
      </c>
      <c r="D62" t="s">
        <v>81</v>
      </c>
      <c r="E62">
        <v>100000000</v>
      </c>
      <c r="H62">
        <v>0.79</v>
      </c>
      <c r="I62" t="s">
        <v>56</v>
      </c>
      <c r="J62">
        <v>7.9000000000000009E-5</v>
      </c>
      <c r="K62" t="s">
        <v>57</v>
      </c>
      <c r="L62" t="s">
        <v>112</v>
      </c>
      <c r="O62">
        <v>0</v>
      </c>
      <c r="T62">
        <v>-20</v>
      </c>
      <c r="V62">
        <v>50</v>
      </c>
      <c r="W62" t="s">
        <v>113</v>
      </c>
      <c r="X62" t="s">
        <v>114</v>
      </c>
      <c r="Y62">
        <v>120</v>
      </c>
      <c r="AB62">
        <v>1.5849056603773399</v>
      </c>
      <c r="AC62" t="s">
        <v>85</v>
      </c>
      <c r="AI62">
        <v>2</v>
      </c>
      <c r="AK62">
        <v>0.05</v>
      </c>
      <c r="AL62" t="s">
        <v>82</v>
      </c>
      <c r="AM62">
        <v>0.05</v>
      </c>
      <c r="AN62" t="s">
        <v>82</v>
      </c>
      <c r="AU62">
        <v>0.63291139240506333</v>
      </c>
      <c r="AV62" t="s">
        <v>115</v>
      </c>
    </row>
    <row r="63" spans="1:48" x14ac:dyDescent="0.3">
      <c r="A63" t="s">
        <v>109</v>
      </c>
      <c r="B63" t="s">
        <v>110</v>
      </c>
      <c r="C63" t="s">
        <v>1416</v>
      </c>
      <c r="D63" t="s">
        <v>81</v>
      </c>
      <c r="E63">
        <v>100000000</v>
      </c>
      <c r="H63">
        <v>0.79</v>
      </c>
      <c r="I63" t="s">
        <v>56</v>
      </c>
      <c r="J63">
        <v>7.9000000000000009E-5</v>
      </c>
      <c r="K63" t="s">
        <v>57</v>
      </c>
      <c r="L63" t="s">
        <v>112</v>
      </c>
      <c r="O63">
        <v>0</v>
      </c>
      <c r="T63">
        <v>-20</v>
      </c>
      <c r="V63">
        <v>50</v>
      </c>
      <c r="W63" t="s">
        <v>113</v>
      </c>
      <c r="X63" t="s">
        <v>114</v>
      </c>
      <c r="Y63">
        <v>1440</v>
      </c>
      <c r="AB63">
        <v>1.5683962264150799</v>
      </c>
      <c r="AC63" t="s">
        <v>85</v>
      </c>
      <c r="AI63">
        <v>2</v>
      </c>
      <c r="AK63">
        <v>0.05</v>
      </c>
      <c r="AL63" t="s">
        <v>82</v>
      </c>
      <c r="AM63">
        <v>0.05</v>
      </c>
      <c r="AN63" t="s">
        <v>82</v>
      </c>
      <c r="AU63">
        <v>0.63291139240506333</v>
      </c>
      <c r="AV63" t="s">
        <v>115</v>
      </c>
    </row>
    <row r="64" spans="1:48" x14ac:dyDescent="0.3">
      <c r="A64" t="s">
        <v>109</v>
      </c>
      <c r="B64" t="s">
        <v>110</v>
      </c>
      <c r="C64" t="s">
        <v>1416</v>
      </c>
      <c r="D64" t="s">
        <v>81</v>
      </c>
      <c r="E64">
        <v>100000000</v>
      </c>
      <c r="H64">
        <v>0.79</v>
      </c>
      <c r="I64" t="s">
        <v>56</v>
      </c>
      <c r="J64">
        <v>7.9000000000000009E-5</v>
      </c>
      <c r="K64" t="s">
        <v>57</v>
      </c>
      <c r="L64" t="s">
        <v>112</v>
      </c>
      <c r="O64">
        <v>0</v>
      </c>
      <c r="T64">
        <v>4</v>
      </c>
      <c r="V64">
        <v>50</v>
      </c>
      <c r="W64" t="s">
        <v>113</v>
      </c>
      <c r="X64" t="s">
        <v>114</v>
      </c>
      <c r="Y64">
        <v>4.9800000000000004</v>
      </c>
      <c r="AB64">
        <v>0.67688679245283101</v>
      </c>
      <c r="AC64" t="s">
        <v>85</v>
      </c>
      <c r="AI64">
        <v>2</v>
      </c>
      <c r="AK64">
        <v>0.05</v>
      </c>
      <c r="AL64" t="s">
        <v>82</v>
      </c>
      <c r="AM64">
        <v>0.05</v>
      </c>
      <c r="AN64" t="s">
        <v>82</v>
      </c>
      <c r="AU64">
        <v>0.63291139240506333</v>
      </c>
      <c r="AV64" t="s">
        <v>115</v>
      </c>
    </row>
    <row r="65" spans="1:48" x14ac:dyDescent="0.3">
      <c r="A65" t="s">
        <v>109</v>
      </c>
      <c r="B65" t="s">
        <v>110</v>
      </c>
      <c r="C65" t="s">
        <v>1416</v>
      </c>
      <c r="D65" t="s">
        <v>81</v>
      </c>
      <c r="E65">
        <v>100000000</v>
      </c>
      <c r="H65">
        <v>0.79</v>
      </c>
      <c r="I65" t="s">
        <v>56</v>
      </c>
      <c r="J65">
        <v>7.9000000000000009E-5</v>
      </c>
      <c r="K65" t="s">
        <v>57</v>
      </c>
      <c r="L65" t="s">
        <v>112</v>
      </c>
      <c r="O65">
        <v>0</v>
      </c>
      <c r="T65">
        <v>4</v>
      </c>
      <c r="V65">
        <v>50</v>
      </c>
      <c r="W65" t="s">
        <v>113</v>
      </c>
      <c r="X65" t="s">
        <v>114</v>
      </c>
      <c r="Y65">
        <v>15</v>
      </c>
      <c r="AB65">
        <v>0.52830188679245205</v>
      </c>
      <c r="AC65" t="s">
        <v>85</v>
      </c>
      <c r="AI65">
        <v>2</v>
      </c>
      <c r="AK65">
        <v>0.05</v>
      </c>
      <c r="AL65" t="s">
        <v>82</v>
      </c>
      <c r="AM65">
        <v>0.05</v>
      </c>
      <c r="AN65" t="s">
        <v>82</v>
      </c>
      <c r="AU65">
        <v>0.63291139240506333</v>
      </c>
      <c r="AV65" t="s">
        <v>115</v>
      </c>
    </row>
    <row r="66" spans="1:48" x14ac:dyDescent="0.3">
      <c r="A66" t="s">
        <v>109</v>
      </c>
      <c r="B66" t="s">
        <v>110</v>
      </c>
      <c r="C66" t="s">
        <v>1416</v>
      </c>
      <c r="D66" t="s">
        <v>81</v>
      </c>
      <c r="E66">
        <v>100000000</v>
      </c>
      <c r="H66">
        <v>0.79</v>
      </c>
      <c r="I66" t="s">
        <v>56</v>
      </c>
      <c r="J66">
        <v>7.9000000000000009E-5</v>
      </c>
      <c r="K66" t="s">
        <v>57</v>
      </c>
      <c r="L66" t="s">
        <v>112</v>
      </c>
      <c r="O66">
        <v>0</v>
      </c>
      <c r="T66">
        <v>4</v>
      </c>
      <c r="V66">
        <v>50</v>
      </c>
      <c r="W66" t="s">
        <v>113</v>
      </c>
      <c r="X66" t="s">
        <v>114</v>
      </c>
      <c r="Y66">
        <v>30</v>
      </c>
      <c r="AB66">
        <v>0.64386792452830099</v>
      </c>
      <c r="AC66" t="s">
        <v>85</v>
      </c>
      <c r="AI66">
        <v>2</v>
      </c>
      <c r="AK66">
        <v>0.05</v>
      </c>
      <c r="AL66" t="s">
        <v>82</v>
      </c>
      <c r="AM66">
        <v>0.05</v>
      </c>
      <c r="AN66" t="s">
        <v>82</v>
      </c>
      <c r="AU66">
        <v>0.63291139240506333</v>
      </c>
      <c r="AV66" t="s">
        <v>115</v>
      </c>
    </row>
    <row r="67" spans="1:48" x14ac:dyDescent="0.3">
      <c r="A67" t="s">
        <v>109</v>
      </c>
      <c r="B67" t="s">
        <v>110</v>
      </c>
      <c r="C67" t="s">
        <v>1416</v>
      </c>
      <c r="D67" t="s">
        <v>81</v>
      </c>
      <c r="E67">
        <v>100000000</v>
      </c>
      <c r="H67">
        <v>0.79</v>
      </c>
      <c r="I67" t="s">
        <v>56</v>
      </c>
      <c r="J67">
        <v>7.9000000000000009E-5</v>
      </c>
      <c r="K67" t="s">
        <v>57</v>
      </c>
      <c r="L67" t="s">
        <v>112</v>
      </c>
      <c r="O67">
        <v>0</v>
      </c>
      <c r="T67">
        <v>4</v>
      </c>
      <c r="V67">
        <v>50</v>
      </c>
      <c r="W67" t="s">
        <v>113</v>
      </c>
      <c r="X67" t="s">
        <v>114</v>
      </c>
      <c r="Y67">
        <v>60</v>
      </c>
      <c r="AB67">
        <v>1.1721698113207399</v>
      </c>
      <c r="AC67" t="s">
        <v>85</v>
      </c>
      <c r="AI67">
        <v>2</v>
      </c>
      <c r="AK67">
        <v>0.05</v>
      </c>
      <c r="AL67" t="s">
        <v>82</v>
      </c>
      <c r="AM67">
        <v>0.05</v>
      </c>
      <c r="AN67" t="s">
        <v>82</v>
      </c>
      <c r="AU67">
        <v>0.63291139240506333</v>
      </c>
      <c r="AV67" t="s">
        <v>115</v>
      </c>
    </row>
    <row r="68" spans="1:48" x14ac:dyDescent="0.3">
      <c r="A68" t="s">
        <v>109</v>
      </c>
      <c r="B68" t="s">
        <v>110</v>
      </c>
      <c r="C68" t="s">
        <v>1416</v>
      </c>
      <c r="D68" t="s">
        <v>81</v>
      </c>
      <c r="E68">
        <v>100000000</v>
      </c>
      <c r="H68">
        <v>0.79</v>
      </c>
      <c r="I68" t="s">
        <v>56</v>
      </c>
      <c r="J68">
        <v>7.9000000000000009E-5</v>
      </c>
      <c r="K68" t="s">
        <v>57</v>
      </c>
      <c r="L68" t="s">
        <v>112</v>
      </c>
      <c r="O68">
        <v>0</v>
      </c>
      <c r="T68">
        <v>4</v>
      </c>
      <c r="V68">
        <v>50</v>
      </c>
      <c r="W68" t="s">
        <v>113</v>
      </c>
      <c r="X68" t="s">
        <v>114</v>
      </c>
      <c r="Y68">
        <v>120</v>
      </c>
      <c r="AB68">
        <v>1.0896226415094199</v>
      </c>
      <c r="AC68" t="s">
        <v>85</v>
      </c>
      <c r="AI68">
        <v>2</v>
      </c>
      <c r="AK68">
        <v>0.05</v>
      </c>
      <c r="AL68" t="s">
        <v>82</v>
      </c>
      <c r="AM68">
        <v>0.05</v>
      </c>
      <c r="AN68" t="s">
        <v>82</v>
      </c>
      <c r="AU68">
        <v>0.63291139240506333</v>
      </c>
      <c r="AV68" t="s">
        <v>115</v>
      </c>
    </row>
    <row r="69" spans="1:48" x14ac:dyDescent="0.3">
      <c r="A69" t="s">
        <v>109</v>
      </c>
      <c r="B69" t="s">
        <v>110</v>
      </c>
      <c r="C69" t="s">
        <v>1416</v>
      </c>
      <c r="D69" t="s">
        <v>81</v>
      </c>
      <c r="E69">
        <v>100000000</v>
      </c>
      <c r="H69">
        <v>0.79</v>
      </c>
      <c r="I69" t="s">
        <v>56</v>
      </c>
      <c r="J69">
        <v>7.9000000000000009E-5</v>
      </c>
      <c r="K69" t="s">
        <v>57</v>
      </c>
      <c r="L69" t="s">
        <v>112</v>
      </c>
      <c r="O69">
        <v>0</v>
      </c>
      <c r="T69">
        <v>4</v>
      </c>
      <c r="V69">
        <v>50</v>
      </c>
      <c r="W69" t="s">
        <v>113</v>
      </c>
      <c r="X69" t="s">
        <v>114</v>
      </c>
      <c r="Y69">
        <v>1440</v>
      </c>
      <c r="AB69">
        <v>5.5966981132075402</v>
      </c>
      <c r="AC69" t="s">
        <v>85</v>
      </c>
      <c r="AI69">
        <v>2</v>
      </c>
      <c r="AK69">
        <v>0.05</v>
      </c>
      <c r="AL69" t="s">
        <v>82</v>
      </c>
      <c r="AM69">
        <v>0.05</v>
      </c>
      <c r="AN69" t="s">
        <v>82</v>
      </c>
      <c r="AU69">
        <v>0.63291139240506333</v>
      </c>
      <c r="AV69" t="s">
        <v>115</v>
      </c>
    </row>
    <row r="70" spans="1:48" x14ac:dyDescent="0.3">
      <c r="A70" t="s">
        <v>109</v>
      </c>
      <c r="B70" t="s">
        <v>110</v>
      </c>
      <c r="C70" t="s">
        <v>1416</v>
      </c>
      <c r="D70" t="s">
        <v>81</v>
      </c>
      <c r="E70">
        <v>100000000</v>
      </c>
      <c r="H70">
        <v>0.79</v>
      </c>
      <c r="I70" t="s">
        <v>56</v>
      </c>
      <c r="J70">
        <v>7.9000000000000009E-5</v>
      </c>
      <c r="K70" t="s">
        <v>57</v>
      </c>
      <c r="L70" t="s">
        <v>112</v>
      </c>
      <c r="O70">
        <v>0</v>
      </c>
      <c r="T70">
        <v>10</v>
      </c>
      <c r="V70">
        <v>50</v>
      </c>
      <c r="W70" t="s">
        <v>113</v>
      </c>
      <c r="X70" t="s">
        <v>114</v>
      </c>
      <c r="Y70">
        <v>4.9800000000000004</v>
      </c>
      <c r="AB70">
        <v>1.20518867924527</v>
      </c>
      <c r="AC70" t="s">
        <v>85</v>
      </c>
      <c r="AI70">
        <v>2</v>
      </c>
      <c r="AK70">
        <v>0.05</v>
      </c>
      <c r="AL70" t="s">
        <v>82</v>
      </c>
      <c r="AM70">
        <v>0.05</v>
      </c>
      <c r="AN70" t="s">
        <v>82</v>
      </c>
      <c r="AU70">
        <v>0.63291139240506333</v>
      </c>
      <c r="AV70" t="s">
        <v>115</v>
      </c>
    </row>
    <row r="71" spans="1:48" x14ac:dyDescent="0.3">
      <c r="A71" t="s">
        <v>109</v>
      </c>
      <c r="B71" t="s">
        <v>110</v>
      </c>
      <c r="C71" t="s">
        <v>1416</v>
      </c>
      <c r="D71" t="s">
        <v>81</v>
      </c>
      <c r="E71">
        <v>5000000</v>
      </c>
      <c r="H71">
        <v>0.79</v>
      </c>
      <c r="I71" t="s">
        <v>56</v>
      </c>
      <c r="J71">
        <v>7.9000000000000009E-5</v>
      </c>
      <c r="K71" t="s">
        <v>57</v>
      </c>
      <c r="L71" t="s">
        <v>112</v>
      </c>
      <c r="O71">
        <v>0</v>
      </c>
      <c r="T71">
        <v>10</v>
      </c>
      <c r="V71">
        <v>50</v>
      </c>
      <c r="W71" t="s">
        <v>113</v>
      </c>
      <c r="X71" t="s">
        <v>114</v>
      </c>
      <c r="Y71">
        <v>15</v>
      </c>
      <c r="AB71">
        <v>0.84198113207547098</v>
      </c>
      <c r="AC71" t="s">
        <v>85</v>
      </c>
      <c r="AI71">
        <v>2</v>
      </c>
      <c r="AK71">
        <v>0.05</v>
      </c>
      <c r="AL71" t="s">
        <v>82</v>
      </c>
      <c r="AM71">
        <v>0.05</v>
      </c>
      <c r="AN71" t="s">
        <v>82</v>
      </c>
      <c r="AU71">
        <v>0.63291139240506333</v>
      </c>
      <c r="AV71" t="s">
        <v>115</v>
      </c>
    </row>
    <row r="72" spans="1:48" x14ac:dyDescent="0.3">
      <c r="A72" t="s">
        <v>109</v>
      </c>
      <c r="B72" t="s">
        <v>110</v>
      </c>
      <c r="C72" t="s">
        <v>1416</v>
      </c>
      <c r="D72" t="s">
        <v>81</v>
      </c>
      <c r="E72">
        <v>5000000</v>
      </c>
      <c r="H72">
        <v>0.79</v>
      </c>
      <c r="I72" t="s">
        <v>56</v>
      </c>
      <c r="J72">
        <v>7.9000000000000009E-5</v>
      </c>
      <c r="K72" t="s">
        <v>57</v>
      </c>
      <c r="L72" t="s">
        <v>112</v>
      </c>
      <c r="O72">
        <v>0</v>
      </c>
      <c r="T72">
        <v>10</v>
      </c>
      <c r="V72">
        <v>50</v>
      </c>
      <c r="W72" t="s">
        <v>113</v>
      </c>
      <c r="X72" t="s">
        <v>114</v>
      </c>
      <c r="Y72">
        <v>30</v>
      </c>
      <c r="AB72">
        <v>2.8726415094339601</v>
      </c>
      <c r="AC72" t="s">
        <v>85</v>
      </c>
      <c r="AI72">
        <v>2</v>
      </c>
      <c r="AK72">
        <v>0.05</v>
      </c>
      <c r="AL72" t="s">
        <v>82</v>
      </c>
      <c r="AM72">
        <v>0.05</v>
      </c>
      <c r="AN72" t="s">
        <v>82</v>
      </c>
      <c r="AU72">
        <v>0.63291139240506333</v>
      </c>
      <c r="AV72" t="s">
        <v>115</v>
      </c>
    </row>
    <row r="73" spans="1:48" x14ac:dyDescent="0.3">
      <c r="A73" t="s">
        <v>109</v>
      </c>
      <c r="B73" t="s">
        <v>110</v>
      </c>
      <c r="C73" t="s">
        <v>1416</v>
      </c>
      <c r="D73" t="s">
        <v>81</v>
      </c>
      <c r="E73">
        <v>5000000</v>
      </c>
      <c r="H73">
        <v>0.79</v>
      </c>
      <c r="I73" t="s">
        <v>56</v>
      </c>
      <c r="J73">
        <v>7.9000000000000009E-5</v>
      </c>
      <c r="K73" t="s">
        <v>57</v>
      </c>
      <c r="L73" t="s">
        <v>112</v>
      </c>
      <c r="O73">
        <v>0</v>
      </c>
      <c r="T73">
        <v>10</v>
      </c>
      <c r="V73">
        <v>50</v>
      </c>
      <c r="W73" t="s">
        <v>113</v>
      </c>
      <c r="X73" t="s">
        <v>114</v>
      </c>
      <c r="Y73">
        <v>60</v>
      </c>
      <c r="AB73">
        <v>2.19575471698113</v>
      </c>
      <c r="AC73" t="s">
        <v>85</v>
      </c>
      <c r="AI73">
        <v>2</v>
      </c>
      <c r="AK73">
        <v>0.05</v>
      </c>
      <c r="AL73" t="s">
        <v>82</v>
      </c>
      <c r="AM73">
        <v>0.05</v>
      </c>
      <c r="AN73" t="s">
        <v>82</v>
      </c>
      <c r="AU73">
        <v>0.63291139240506333</v>
      </c>
      <c r="AV73" t="s">
        <v>115</v>
      </c>
    </row>
    <row r="74" spans="1:48" x14ac:dyDescent="0.3">
      <c r="A74" t="s">
        <v>109</v>
      </c>
      <c r="B74" t="s">
        <v>110</v>
      </c>
      <c r="C74" t="s">
        <v>1416</v>
      </c>
      <c r="D74" t="s">
        <v>81</v>
      </c>
      <c r="E74">
        <v>5000000</v>
      </c>
      <c r="H74">
        <v>0.79</v>
      </c>
      <c r="I74" t="s">
        <v>56</v>
      </c>
      <c r="J74">
        <v>7.9000000000000009E-5</v>
      </c>
      <c r="K74" t="s">
        <v>57</v>
      </c>
      <c r="L74" t="s">
        <v>112</v>
      </c>
      <c r="O74">
        <v>0</v>
      </c>
      <c r="T74">
        <v>10</v>
      </c>
      <c r="V74">
        <v>50</v>
      </c>
      <c r="W74" t="s">
        <v>113</v>
      </c>
      <c r="X74" t="s">
        <v>114</v>
      </c>
      <c r="Y74">
        <v>120</v>
      </c>
      <c r="AB74">
        <v>2.14622641509433</v>
      </c>
      <c r="AC74" t="s">
        <v>85</v>
      </c>
      <c r="AI74">
        <v>2</v>
      </c>
      <c r="AK74">
        <v>0.05</v>
      </c>
      <c r="AL74" t="s">
        <v>82</v>
      </c>
      <c r="AM74">
        <v>0.05</v>
      </c>
      <c r="AN74" t="s">
        <v>82</v>
      </c>
      <c r="AU74">
        <v>0.63291139240506333</v>
      </c>
      <c r="AV74" t="s">
        <v>115</v>
      </c>
    </row>
    <row r="75" spans="1:48" x14ac:dyDescent="0.3">
      <c r="A75" t="s">
        <v>109</v>
      </c>
      <c r="B75" t="s">
        <v>110</v>
      </c>
      <c r="C75" t="s">
        <v>1416</v>
      </c>
      <c r="D75" t="s">
        <v>81</v>
      </c>
      <c r="E75">
        <v>5000000</v>
      </c>
      <c r="H75">
        <v>0.79</v>
      </c>
      <c r="I75" t="s">
        <v>56</v>
      </c>
      <c r="J75">
        <v>7.9000000000000009E-5</v>
      </c>
      <c r="K75" t="s">
        <v>57</v>
      </c>
      <c r="L75" t="s">
        <v>112</v>
      </c>
      <c r="O75">
        <v>0</v>
      </c>
      <c r="T75">
        <v>10</v>
      </c>
      <c r="V75">
        <v>50</v>
      </c>
      <c r="W75" t="s">
        <v>113</v>
      </c>
      <c r="X75" t="s">
        <v>114</v>
      </c>
      <c r="Y75">
        <v>1440</v>
      </c>
      <c r="AB75">
        <v>5.7122641509433798</v>
      </c>
      <c r="AC75" t="s">
        <v>85</v>
      </c>
      <c r="AI75">
        <v>2</v>
      </c>
      <c r="AK75">
        <v>0.05</v>
      </c>
      <c r="AL75" t="s">
        <v>82</v>
      </c>
      <c r="AM75">
        <v>0.05</v>
      </c>
      <c r="AN75" t="s">
        <v>82</v>
      </c>
      <c r="AU75">
        <v>0.63291139240506333</v>
      </c>
      <c r="AV75" t="s">
        <v>115</v>
      </c>
    </row>
    <row r="76" spans="1:48" x14ac:dyDescent="0.3">
      <c r="A76" t="s">
        <v>109</v>
      </c>
      <c r="B76" t="s">
        <v>116</v>
      </c>
      <c r="C76" t="s">
        <v>1416</v>
      </c>
      <c r="D76" t="s">
        <v>81</v>
      </c>
      <c r="E76">
        <v>5000000</v>
      </c>
      <c r="H76">
        <v>0.79</v>
      </c>
      <c r="I76" t="s">
        <v>56</v>
      </c>
      <c r="J76">
        <v>7.9000000000000009E-5</v>
      </c>
      <c r="K76" t="s">
        <v>57</v>
      </c>
      <c r="L76" t="s">
        <v>112</v>
      </c>
      <c r="O76">
        <v>0</v>
      </c>
      <c r="T76">
        <v>23</v>
      </c>
      <c r="V76">
        <v>50</v>
      </c>
      <c r="W76" t="s">
        <v>117</v>
      </c>
      <c r="X76" t="s">
        <v>114</v>
      </c>
      <c r="Y76">
        <v>4.9800000000000004</v>
      </c>
      <c r="AB76">
        <v>0.45520080826959303</v>
      </c>
      <c r="AC76" t="s">
        <v>85</v>
      </c>
      <c r="AI76">
        <v>2</v>
      </c>
      <c r="AK76">
        <v>0.05</v>
      </c>
      <c r="AL76" t="s">
        <v>82</v>
      </c>
      <c r="AM76">
        <v>0.05</v>
      </c>
      <c r="AN76" t="s">
        <v>82</v>
      </c>
      <c r="AU76">
        <v>0.63291139240506333</v>
      </c>
      <c r="AV76" t="s">
        <v>115</v>
      </c>
    </row>
    <row r="77" spans="1:48" x14ac:dyDescent="0.3">
      <c r="A77" t="s">
        <v>109</v>
      </c>
      <c r="B77" t="s">
        <v>116</v>
      </c>
      <c r="C77" t="s">
        <v>1416</v>
      </c>
      <c r="D77" t="s">
        <v>81</v>
      </c>
      <c r="E77">
        <v>100000000</v>
      </c>
      <c r="H77">
        <v>0.79</v>
      </c>
      <c r="I77" t="s">
        <v>56</v>
      </c>
      <c r="J77">
        <v>7.9000000000000009E-5</v>
      </c>
      <c r="K77" t="s">
        <v>57</v>
      </c>
      <c r="L77" t="s">
        <v>112</v>
      </c>
      <c r="O77">
        <v>0</v>
      </c>
      <c r="T77">
        <v>23</v>
      </c>
      <c r="V77">
        <v>50</v>
      </c>
      <c r="W77" t="s">
        <v>117</v>
      </c>
      <c r="X77" t="s">
        <v>114</v>
      </c>
      <c r="Y77">
        <v>15</v>
      </c>
      <c r="AB77">
        <v>0.27875288613532501</v>
      </c>
      <c r="AC77" t="s">
        <v>85</v>
      </c>
      <c r="AI77">
        <v>2</v>
      </c>
      <c r="AK77">
        <v>0.05</v>
      </c>
      <c r="AL77" t="s">
        <v>82</v>
      </c>
      <c r="AM77">
        <v>0.05</v>
      </c>
      <c r="AN77" t="s">
        <v>82</v>
      </c>
      <c r="AU77">
        <v>0.63291139240506333</v>
      </c>
      <c r="AV77" t="s">
        <v>115</v>
      </c>
    </row>
    <row r="78" spans="1:48" x14ac:dyDescent="0.3">
      <c r="A78" t="s">
        <v>109</v>
      </c>
      <c r="B78" t="s">
        <v>116</v>
      </c>
      <c r="C78" t="s">
        <v>1416</v>
      </c>
      <c r="D78" t="s">
        <v>81</v>
      </c>
      <c r="E78">
        <v>100000000</v>
      </c>
      <c r="H78">
        <v>0.79</v>
      </c>
      <c r="I78" t="s">
        <v>56</v>
      </c>
      <c r="J78">
        <v>7.9000000000000009E-5</v>
      </c>
      <c r="K78" t="s">
        <v>57</v>
      </c>
      <c r="L78" t="s">
        <v>112</v>
      </c>
      <c r="O78">
        <v>0</v>
      </c>
      <c r="T78">
        <v>23</v>
      </c>
      <c r="V78">
        <v>50</v>
      </c>
      <c r="W78" t="s">
        <v>117</v>
      </c>
      <c r="X78" t="s">
        <v>114</v>
      </c>
      <c r="Y78">
        <v>30</v>
      </c>
      <c r="AB78">
        <v>0.70445367468362396</v>
      </c>
      <c r="AC78" t="s">
        <v>85</v>
      </c>
      <c r="AI78">
        <v>2</v>
      </c>
      <c r="AK78">
        <v>0.05</v>
      </c>
      <c r="AL78" t="s">
        <v>82</v>
      </c>
      <c r="AM78">
        <v>0.05</v>
      </c>
      <c r="AN78" t="s">
        <v>82</v>
      </c>
      <c r="AU78">
        <v>0.63291139240506333</v>
      </c>
      <c r="AV78" t="s">
        <v>115</v>
      </c>
    </row>
    <row r="79" spans="1:48" x14ac:dyDescent="0.3">
      <c r="A79" t="s">
        <v>109</v>
      </c>
      <c r="B79" t="s">
        <v>116</v>
      </c>
      <c r="C79" t="s">
        <v>1416</v>
      </c>
      <c r="D79" t="s">
        <v>81</v>
      </c>
      <c r="E79">
        <v>100000000</v>
      </c>
      <c r="H79">
        <v>0.79</v>
      </c>
      <c r="I79" t="s">
        <v>56</v>
      </c>
      <c r="J79">
        <v>7.9000000000000009E-5</v>
      </c>
      <c r="K79" t="s">
        <v>57</v>
      </c>
      <c r="L79" t="s">
        <v>112</v>
      </c>
      <c r="O79">
        <v>0</v>
      </c>
      <c r="T79">
        <v>23</v>
      </c>
      <c r="V79">
        <v>50</v>
      </c>
      <c r="W79" t="s">
        <v>117</v>
      </c>
      <c r="X79" t="s">
        <v>114</v>
      </c>
      <c r="Y79">
        <v>60</v>
      </c>
      <c r="AB79">
        <v>1.41784868003871</v>
      </c>
      <c r="AC79" t="s">
        <v>85</v>
      </c>
      <c r="AI79">
        <v>2</v>
      </c>
      <c r="AK79">
        <v>0.05</v>
      </c>
      <c r="AL79" t="s">
        <v>82</v>
      </c>
      <c r="AM79">
        <v>0.05</v>
      </c>
      <c r="AN79" t="s">
        <v>82</v>
      </c>
      <c r="AU79">
        <v>0.63291139240506333</v>
      </c>
      <c r="AV79" t="s">
        <v>115</v>
      </c>
    </row>
    <row r="80" spans="1:48" x14ac:dyDescent="0.3">
      <c r="A80" t="s">
        <v>109</v>
      </c>
      <c r="B80" t="s">
        <v>116</v>
      </c>
      <c r="C80" t="s">
        <v>1416</v>
      </c>
      <c r="D80" t="s">
        <v>81</v>
      </c>
      <c r="E80">
        <v>100000000</v>
      </c>
      <c r="H80">
        <v>0.79</v>
      </c>
      <c r="I80" t="s">
        <v>56</v>
      </c>
      <c r="J80">
        <v>7.9000000000000009E-5</v>
      </c>
      <c r="K80" t="s">
        <v>57</v>
      </c>
      <c r="L80" t="s">
        <v>112</v>
      </c>
      <c r="O80">
        <v>0</v>
      </c>
      <c r="T80">
        <v>23</v>
      </c>
      <c r="V80">
        <v>50</v>
      </c>
      <c r="W80" t="s">
        <v>117</v>
      </c>
      <c r="X80" t="s">
        <v>114</v>
      </c>
      <c r="Y80">
        <v>120</v>
      </c>
      <c r="AB80">
        <v>2.3229407177943702</v>
      </c>
      <c r="AC80" t="s">
        <v>85</v>
      </c>
      <c r="AI80">
        <v>2</v>
      </c>
      <c r="AK80">
        <v>0.05</v>
      </c>
      <c r="AL80" t="s">
        <v>82</v>
      </c>
      <c r="AM80">
        <v>0.05</v>
      </c>
      <c r="AN80" t="s">
        <v>82</v>
      </c>
      <c r="AU80">
        <v>0.63291139240506333</v>
      </c>
      <c r="AV80" t="s">
        <v>115</v>
      </c>
    </row>
    <row r="81" spans="1:48" x14ac:dyDescent="0.3">
      <c r="A81" t="s">
        <v>109</v>
      </c>
      <c r="B81" t="s">
        <v>116</v>
      </c>
      <c r="C81" t="s">
        <v>1416</v>
      </c>
      <c r="D81" t="s">
        <v>81</v>
      </c>
      <c r="E81">
        <v>100000000</v>
      </c>
      <c r="H81">
        <v>0.79</v>
      </c>
      <c r="I81" t="s">
        <v>56</v>
      </c>
      <c r="J81">
        <v>7.9000000000000009E-5</v>
      </c>
      <c r="K81" t="s">
        <v>57</v>
      </c>
      <c r="L81" t="s">
        <v>112</v>
      </c>
      <c r="O81">
        <v>0</v>
      </c>
      <c r="T81">
        <v>23</v>
      </c>
      <c r="V81">
        <v>50</v>
      </c>
      <c r="W81" t="s">
        <v>117</v>
      </c>
      <c r="X81" t="s">
        <v>114</v>
      </c>
      <c r="Y81">
        <v>1440</v>
      </c>
      <c r="AB81">
        <v>5.8473116844107702</v>
      </c>
      <c r="AC81" t="s">
        <v>85</v>
      </c>
      <c r="AI81">
        <v>2</v>
      </c>
      <c r="AK81">
        <v>0.05</v>
      </c>
      <c r="AL81" t="s">
        <v>82</v>
      </c>
      <c r="AM81">
        <v>0.05</v>
      </c>
      <c r="AN81" t="s">
        <v>82</v>
      </c>
      <c r="AU81">
        <v>0.63291139240506333</v>
      </c>
      <c r="AV81" t="s">
        <v>115</v>
      </c>
    </row>
    <row r="82" spans="1:48" x14ac:dyDescent="0.3">
      <c r="A82" t="s">
        <v>109</v>
      </c>
      <c r="B82" t="s">
        <v>116</v>
      </c>
      <c r="C82" t="s">
        <v>1416</v>
      </c>
      <c r="D82" t="s">
        <v>81</v>
      </c>
      <c r="E82">
        <v>100000000</v>
      </c>
      <c r="H82">
        <v>0.79</v>
      </c>
      <c r="I82" t="s">
        <v>56</v>
      </c>
      <c r="J82">
        <v>7.9000000000000009E-5</v>
      </c>
      <c r="K82" t="s">
        <v>57</v>
      </c>
      <c r="L82" t="s">
        <v>112</v>
      </c>
      <c r="O82">
        <v>0</v>
      </c>
      <c r="T82">
        <v>-20</v>
      </c>
      <c r="V82">
        <v>50</v>
      </c>
      <c r="W82" t="s">
        <v>117</v>
      </c>
      <c r="X82" t="s">
        <v>114</v>
      </c>
      <c r="Y82">
        <v>4.9800000000000004</v>
      </c>
      <c r="AB82">
        <v>1.6881062401203799</v>
      </c>
      <c r="AC82" t="s">
        <v>85</v>
      </c>
      <c r="AI82">
        <v>2</v>
      </c>
      <c r="AK82">
        <v>0.05</v>
      </c>
      <c r="AL82" t="s">
        <v>82</v>
      </c>
      <c r="AM82">
        <v>0.05</v>
      </c>
      <c r="AN82" t="s">
        <v>82</v>
      </c>
      <c r="AU82">
        <v>0.63291139240506333</v>
      </c>
      <c r="AV82" t="s">
        <v>115</v>
      </c>
    </row>
    <row r="83" spans="1:48" x14ac:dyDescent="0.3">
      <c r="A83" t="s">
        <v>109</v>
      </c>
      <c r="B83" t="s">
        <v>116</v>
      </c>
      <c r="C83" t="s">
        <v>1416</v>
      </c>
      <c r="D83" t="s">
        <v>81</v>
      </c>
      <c r="E83">
        <v>100000000</v>
      </c>
      <c r="H83">
        <v>0.79</v>
      </c>
      <c r="I83" t="s">
        <v>56</v>
      </c>
      <c r="J83">
        <v>7.9000000000000009E-5</v>
      </c>
      <c r="K83" t="s">
        <v>57</v>
      </c>
      <c r="L83" t="s">
        <v>112</v>
      </c>
      <c r="O83">
        <v>0</v>
      </c>
      <c r="T83">
        <v>-20</v>
      </c>
      <c r="V83">
        <v>50</v>
      </c>
      <c r="W83" t="s">
        <v>117</v>
      </c>
      <c r="X83" t="s">
        <v>114</v>
      </c>
      <c r="Y83">
        <v>15</v>
      </c>
      <c r="AB83">
        <v>0.51156729663554701</v>
      </c>
      <c r="AC83" t="s">
        <v>85</v>
      </c>
      <c r="AI83">
        <v>2</v>
      </c>
      <c r="AK83">
        <v>0.05</v>
      </c>
      <c r="AL83" t="s">
        <v>82</v>
      </c>
      <c r="AM83">
        <v>0.05</v>
      </c>
      <c r="AN83" t="s">
        <v>82</v>
      </c>
      <c r="AU83">
        <v>0.63291139240506333</v>
      </c>
      <c r="AV83" t="s">
        <v>115</v>
      </c>
    </row>
    <row r="84" spans="1:48" x14ac:dyDescent="0.3">
      <c r="A84" t="s">
        <v>109</v>
      </c>
      <c r="B84" t="s">
        <v>116</v>
      </c>
      <c r="C84" t="s">
        <v>1416</v>
      </c>
      <c r="D84" t="s">
        <v>81</v>
      </c>
      <c r="E84">
        <v>100000000</v>
      </c>
      <c r="H84">
        <v>0.79</v>
      </c>
      <c r="I84" t="s">
        <v>56</v>
      </c>
      <c r="J84">
        <v>7.9000000000000009E-5</v>
      </c>
      <c r="K84" t="s">
        <v>57</v>
      </c>
      <c r="L84" t="s">
        <v>112</v>
      </c>
      <c r="O84">
        <v>0</v>
      </c>
      <c r="T84">
        <v>-20</v>
      </c>
      <c r="V84">
        <v>50</v>
      </c>
      <c r="W84" t="s">
        <v>117</v>
      </c>
      <c r="X84" t="s">
        <v>114</v>
      </c>
      <c r="Y84">
        <v>30</v>
      </c>
      <c r="AB84">
        <v>0.51267168902252103</v>
      </c>
      <c r="AC84" t="s">
        <v>85</v>
      </c>
      <c r="AI84">
        <v>2</v>
      </c>
      <c r="AK84">
        <v>0.05</v>
      </c>
      <c r="AL84" t="s">
        <v>82</v>
      </c>
      <c r="AM84">
        <v>0.05</v>
      </c>
      <c r="AN84" t="s">
        <v>82</v>
      </c>
      <c r="AU84">
        <v>0.63291139240506333</v>
      </c>
      <c r="AV84" t="s">
        <v>115</v>
      </c>
    </row>
    <row r="85" spans="1:48" x14ac:dyDescent="0.3">
      <c r="A85" t="s">
        <v>109</v>
      </c>
      <c r="B85" t="s">
        <v>116</v>
      </c>
      <c r="C85" t="s">
        <v>1416</v>
      </c>
      <c r="D85" t="s">
        <v>81</v>
      </c>
      <c r="E85">
        <v>100000000</v>
      </c>
      <c r="H85">
        <v>0.79</v>
      </c>
      <c r="I85" t="s">
        <v>56</v>
      </c>
      <c r="J85">
        <v>7.9000000000000009E-5</v>
      </c>
      <c r="K85" t="s">
        <v>57</v>
      </c>
      <c r="L85" t="s">
        <v>112</v>
      </c>
      <c r="O85">
        <v>0</v>
      </c>
      <c r="T85">
        <v>-20</v>
      </c>
      <c r="V85">
        <v>50</v>
      </c>
      <c r="W85" t="s">
        <v>117</v>
      </c>
      <c r="X85" t="s">
        <v>114</v>
      </c>
      <c r="Y85">
        <v>60</v>
      </c>
      <c r="AB85">
        <v>0.77396668011759895</v>
      </c>
      <c r="AC85" t="s">
        <v>85</v>
      </c>
      <c r="AI85">
        <v>2</v>
      </c>
      <c r="AK85">
        <v>0.05</v>
      </c>
      <c r="AL85" t="s">
        <v>82</v>
      </c>
      <c r="AM85">
        <v>0.05</v>
      </c>
      <c r="AN85" t="s">
        <v>82</v>
      </c>
      <c r="AU85">
        <v>0.63291139240506333</v>
      </c>
      <c r="AV85" t="s">
        <v>115</v>
      </c>
    </row>
    <row r="86" spans="1:48" x14ac:dyDescent="0.3">
      <c r="A86" t="s">
        <v>109</v>
      </c>
      <c r="B86" t="s">
        <v>116</v>
      </c>
      <c r="C86" t="s">
        <v>1416</v>
      </c>
      <c r="D86" t="s">
        <v>81</v>
      </c>
      <c r="E86">
        <v>100000000</v>
      </c>
      <c r="H86">
        <v>0.79</v>
      </c>
      <c r="I86" t="s">
        <v>56</v>
      </c>
      <c r="J86">
        <v>7.9000000000000009E-5</v>
      </c>
      <c r="K86" t="s">
        <v>57</v>
      </c>
      <c r="L86" t="s">
        <v>112</v>
      </c>
      <c r="O86">
        <v>0</v>
      </c>
      <c r="T86">
        <v>-20</v>
      </c>
      <c r="V86">
        <v>50</v>
      </c>
      <c r="W86" t="s">
        <v>117</v>
      </c>
      <c r="X86" t="s">
        <v>114</v>
      </c>
      <c r="Y86">
        <v>120</v>
      </c>
      <c r="AB86">
        <v>0.994165531428156</v>
      </c>
      <c r="AC86" t="s">
        <v>85</v>
      </c>
      <c r="AI86">
        <v>2</v>
      </c>
      <c r="AK86">
        <v>0.05</v>
      </c>
      <c r="AL86" t="s">
        <v>82</v>
      </c>
      <c r="AM86">
        <v>0.05</v>
      </c>
      <c r="AN86" t="s">
        <v>82</v>
      </c>
      <c r="AU86">
        <v>0.63291139240506333</v>
      </c>
      <c r="AV86" t="s">
        <v>115</v>
      </c>
    </row>
    <row r="87" spans="1:48" x14ac:dyDescent="0.3">
      <c r="A87" t="s">
        <v>109</v>
      </c>
      <c r="B87" t="s">
        <v>116</v>
      </c>
      <c r="C87" t="s">
        <v>1416</v>
      </c>
      <c r="D87" t="s">
        <v>81</v>
      </c>
      <c r="E87">
        <v>100000000</v>
      </c>
      <c r="H87">
        <v>0.79</v>
      </c>
      <c r="I87" t="s">
        <v>56</v>
      </c>
      <c r="J87">
        <v>7.9000000000000009E-5</v>
      </c>
      <c r="K87" t="s">
        <v>57</v>
      </c>
      <c r="L87" t="s">
        <v>112</v>
      </c>
      <c r="O87">
        <v>0</v>
      </c>
      <c r="T87">
        <v>-20</v>
      </c>
      <c r="V87">
        <v>50</v>
      </c>
      <c r="W87" t="s">
        <v>117</v>
      </c>
      <c r="X87" t="s">
        <v>114</v>
      </c>
      <c r="Y87">
        <v>1440</v>
      </c>
      <c r="AB87">
        <v>0.71023049640010605</v>
      </c>
      <c r="AC87" t="s">
        <v>85</v>
      </c>
      <c r="AI87">
        <v>2</v>
      </c>
      <c r="AK87">
        <v>0.05</v>
      </c>
      <c r="AL87" t="s">
        <v>82</v>
      </c>
      <c r="AM87">
        <v>0.05</v>
      </c>
      <c r="AN87" t="s">
        <v>82</v>
      </c>
      <c r="AU87">
        <v>0.63291139240506333</v>
      </c>
      <c r="AV87" t="s">
        <v>115</v>
      </c>
    </row>
    <row r="88" spans="1:48" x14ac:dyDescent="0.3">
      <c r="A88" t="s">
        <v>109</v>
      </c>
      <c r="B88" t="s">
        <v>116</v>
      </c>
      <c r="C88" t="s">
        <v>1416</v>
      </c>
      <c r="D88" t="s">
        <v>81</v>
      </c>
      <c r="E88">
        <v>100000000</v>
      </c>
      <c r="H88">
        <v>0.79</v>
      </c>
      <c r="I88" t="s">
        <v>56</v>
      </c>
      <c r="J88">
        <v>7.9000000000000009E-5</v>
      </c>
      <c r="K88" t="s">
        <v>57</v>
      </c>
      <c r="L88" t="s">
        <v>112</v>
      </c>
      <c r="O88">
        <v>0</v>
      </c>
      <c r="T88">
        <v>4</v>
      </c>
      <c r="V88">
        <v>50</v>
      </c>
      <c r="W88" t="s">
        <v>117</v>
      </c>
      <c r="X88" t="s">
        <v>114</v>
      </c>
      <c r="Y88">
        <v>4.9800000000000004</v>
      </c>
      <c r="AB88">
        <v>0.72911135855433695</v>
      </c>
      <c r="AC88" t="s">
        <v>85</v>
      </c>
      <c r="AI88">
        <v>2</v>
      </c>
      <c r="AK88">
        <v>0.05</v>
      </c>
      <c r="AL88" t="s">
        <v>82</v>
      </c>
      <c r="AM88">
        <v>0.05</v>
      </c>
      <c r="AN88" t="s">
        <v>82</v>
      </c>
      <c r="AU88">
        <v>0.63291139240506333</v>
      </c>
      <c r="AV88" t="s">
        <v>115</v>
      </c>
    </row>
    <row r="89" spans="1:48" x14ac:dyDescent="0.3">
      <c r="A89" t="s">
        <v>109</v>
      </c>
      <c r="B89" t="s">
        <v>116</v>
      </c>
      <c r="C89" t="s">
        <v>1416</v>
      </c>
      <c r="D89" t="s">
        <v>81</v>
      </c>
      <c r="E89">
        <v>100000000</v>
      </c>
      <c r="H89">
        <v>0.79</v>
      </c>
      <c r="I89" t="s">
        <v>56</v>
      </c>
      <c r="J89">
        <v>7.9000000000000009E-5</v>
      </c>
      <c r="K89" t="s">
        <v>57</v>
      </c>
      <c r="L89" t="s">
        <v>112</v>
      </c>
      <c r="O89">
        <v>0</v>
      </c>
      <c r="T89">
        <v>4</v>
      </c>
      <c r="V89">
        <v>50</v>
      </c>
      <c r="W89" t="s">
        <v>117</v>
      </c>
      <c r="X89" t="s">
        <v>114</v>
      </c>
      <c r="Y89">
        <v>15</v>
      </c>
      <c r="AB89">
        <v>0.71713294881869505</v>
      </c>
      <c r="AC89" t="s">
        <v>85</v>
      </c>
      <c r="AI89">
        <v>2</v>
      </c>
      <c r="AK89">
        <v>0.05</v>
      </c>
      <c r="AL89" t="s">
        <v>82</v>
      </c>
      <c r="AM89">
        <v>0.05</v>
      </c>
      <c r="AN89" t="s">
        <v>82</v>
      </c>
      <c r="AU89">
        <v>0.63291139240506333</v>
      </c>
      <c r="AV89" t="s">
        <v>115</v>
      </c>
    </row>
    <row r="90" spans="1:48" x14ac:dyDescent="0.3">
      <c r="A90" t="s">
        <v>109</v>
      </c>
      <c r="B90" t="s">
        <v>116</v>
      </c>
      <c r="C90" t="s">
        <v>1416</v>
      </c>
      <c r="D90" t="s">
        <v>81</v>
      </c>
      <c r="E90">
        <v>100000000</v>
      </c>
      <c r="H90">
        <v>0.79</v>
      </c>
      <c r="I90" t="s">
        <v>56</v>
      </c>
      <c r="J90">
        <v>7.9000000000000009E-5</v>
      </c>
      <c r="K90" t="s">
        <v>57</v>
      </c>
      <c r="L90" t="s">
        <v>112</v>
      </c>
      <c r="O90">
        <v>0</v>
      </c>
      <c r="T90">
        <v>4</v>
      </c>
      <c r="V90">
        <v>50</v>
      </c>
      <c r="W90" t="s">
        <v>117</v>
      </c>
      <c r="X90" t="s">
        <v>114</v>
      </c>
      <c r="Y90">
        <v>30</v>
      </c>
      <c r="AB90">
        <v>0.70445367468362396</v>
      </c>
      <c r="AC90" t="s">
        <v>85</v>
      </c>
      <c r="AI90">
        <v>2</v>
      </c>
      <c r="AK90">
        <v>0.05</v>
      </c>
      <c r="AL90" t="s">
        <v>82</v>
      </c>
      <c r="AM90">
        <v>0.05</v>
      </c>
      <c r="AN90" t="s">
        <v>82</v>
      </c>
      <c r="AU90">
        <v>0.63291139240506333</v>
      </c>
      <c r="AV90" t="s">
        <v>115</v>
      </c>
    </row>
    <row r="91" spans="1:48" x14ac:dyDescent="0.3">
      <c r="A91" t="s">
        <v>109</v>
      </c>
      <c r="B91" t="s">
        <v>116</v>
      </c>
      <c r="C91" t="s">
        <v>1416</v>
      </c>
      <c r="D91" t="s">
        <v>81</v>
      </c>
      <c r="E91">
        <v>100000000</v>
      </c>
      <c r="H91">
        <v>0.79</v>
      </c>
      <c r="I91" t="s">
        <v>56</v>
      </c>
      <c r="J91">
        <v>7.9000000000000009E-5</v>
      </c>
      <c r="K91" t="s">
        <v>57</v>
      </c>
      <c r="L91" t="s">
        <v>112</v>
      </c>
      <c r="O91">
        <v>0</v>
      </c>
      <c r="T91">
        <v>4</v>
      </c>
      <c r="V91">
        <v>50</v>
      </c>
      <c r="W91" t="s">
        <v>117</v>
      </c>
      <c r="X91" t="s">
        <v>114</v>
      </c>
      <c r="Y91">
        <v>60</v>
      </c>
      <c r="AB91">
        <v>0.77405163337813498</v>
      </c>
      <c r="AC91" t="s">
        <v>85</v>
      </c>
      <c r="AI91">
        <v>2</v>
      </c>
      <c r="AK91">
        <v>0.05</v>
      </c>
      <c r="AL91" t="s">
        <v>82</v>
      </c>
      <c r="AM91">
        <v>0.05</v>
      </c>
      <c r="AN91" t="s">
        <v>82</v>
      </c>
      <c r="AU91">
        <v>0.63291139240506333</v>
      </c>
      <c r="AV91" t="s">
        <v>115</v>
      </c>
    </row>
    <row r="92" spans="1:48" x14ac:dyDescent="0.3">
      <c r="A92" t="s">
        <v>109</v>
      </c>
      <c r="B92" t="s">
        <v>116</v>
      </c>
      <c r="C92" t="s">
        <v>1416</v>
      </c>
      <c r="D92" t="s">
        <v>81</v>
      </c>
      <c r="E92">
        <v>100000000</v>
      </c>
      <c r="H92">
        <v>0.79</v>
      </c>
      <c r="I92" t="s">
        <v>56</v>
      </c>
      <c r="J92">
        <v>7.9000000000000009E-5</v>
      </c>
      <c r="K92" t="s">
        <v>57</v>
      </c>
      <c r="L92" t="s">
        <v>112</v>
      </c>
      <c r="O92">
        <v>0</v>
      </c>
      <c r="T92">
        <v>4</v>
      </c>
      <c r="V92">
        <v>50</v>
      </c>
      <c r="W92" t="s">
        <v>117</v>
      </c>
      <c r="X92" t="s">
        <v>114</v>
      </c>
      <c r="Y92">
        <v>120</v>
      </c>
      <c r="AB92">
        <v>0.418904527705382</v>
      </c>
      <c r="AC92" t="s">
        <v>85</v>
      </c>
      <c r="AI92">
        <v>2</v>
      </c>
      <c r="AK92">
        <v>0.05</v>
      </c>
      <c r="AL92" t="s">
        <v>82</v>
      </c>
      <c r="AM92">
        <v>0.05</v>
      </c>
      <c r="AN92" t="s">
        <v>82</v>
      </c>
      <c r="AU92">
        <v>0.63291139240506333</v>
      </c>
      <c r="AV92" t="s">
        <v>115</v>
      </c>
    </row>
    <row r="93" spans="1:48" x14ac:dyDescent="0.3">
      <c r="A93" t="s">
        <v>109</v>
      </c>
      <c r="B93" t="s">
        <v>116</v>
      </c>
      <c r="C93" t="s">
        <v>1416</v>
      </c>
      <c r="D93" t="s">
        <v>81</v>
      </c>
      <c r="E93">
        <v>100000000</v>
      </c>
      <c r="H93">
        <v>0.79</v>
      </c>
      <c r="I93" t="s">
        <v>56</v>
      </c>
      <c r="J93">
        <v>7.9000000000000009E-5</v>
      </c>
      <c r="K93" t="s">
        <v>57</v>
      </c>
      <c r="L93" t="s">
        <v>112</v>
      </c>
      <c r="O93">
        <v>0</v>
      </c>
      <c r="T93">
        <v>4</v>
      </c>
      <c r="V93">
        <v>50</v>
      </c>
      <c r="W93" t="s">
        <v>117</v>
      </c>
      <c r="X93" t="s">
        <v>114</v>
      </c>
      <c r="Y93">
        <v>1440</v>
      </c>
      <c r="AB93">
        <v>4.3541731772216004</v>
      </c>
      <c r="AC93" t="s">
        <v>85</v>
      </c>
      <c r="AI93">
        <v>2</v>
      </c>
      <c r="AK93">
        <v>0.05</v>
      </c>
      <c r="AL93" t="s">
        <v>82</v>
      </c>
      <c r="AM93">
        <v>0.05</v>
      </c>
      <c r="AN93" t="s">
        <v>82</v>
      </c>
      <c r="AU93">
        <v>0.63291139240506333</v>
      </c>
      <c r="AV93" t="s">
        <v>115</v>
      </c>
    </row>
    <row r="94" spans="1:48" x14ac:dyDescent="0.3">
      <c r="A94" t="s">
        <v>109</v>
      </c>
      <c r="B94" t="s">
        <v>116</v>
      </c>
      <c r="C94" t="s">
        <v>1416</v>
      </c>
      <c r="D94" t="s">
        <v>81</v>
      </c>
      <c r="E94">
        <v>100000000</v>
      </c>
      <c r="H94">
        <v>0.79</v>
      </c>
      <c r="I94" t="s">
        <v>56</v>
      </c>
      <c r="J94">
        <v>7.9000000000000009E-5</v>
      </c>
      <c r="K94" t="s">
        <v>57</v>
      </c>
      <c r="L94" t="s">
        <v>112</v>
      </c>
      <c r="O94">
        <v>0</v>
      </c>
      <c r="T94">
        <v>10</v>
      </c>
      <c r="V94">
        <v>50</v>
      </c>
      <c r="W94" t="s">
        <v>117</v>
      </c>
      <c r="X94" t="s">
        <v>114</v>
      </c>
      <c r="Y94">
        <v>4.9800000000000004</v>
      </c>
      <c r="AB94">
        <v>0.66063903056193396</v>
      </c>
      <c r="AC94" t="s">
        <v>85</v>
      </c>
      <c r="AI94">
        <v>2</v>
      </c>
      <c r="AK94">
        <v>0.05</v>
      </c>
      <c r="AL94" t="s">
        <v>82</v>
      </c>
      <c r="AM94">
        <v>0.05</v>
      </c>
      <c r="AN94" t="s">
        <v>82</v>
      </c>
      <c r="AU94">
        <v>0.63291139240506333</v>
      </c>
      <c r="AV94" t="s">
        <v>115</v>
      </c>
    </row>
    <row r="95" spans="1:48" x14ac:dyDescent="0.3">
      <c r="A95" t="s">
        <v>109</v>
      </c>
      <c r="B95" t="s">
        <v>116</v>
      </c>
      <c r="C95" t="s">
        <v>1416</v>
      </c>
      <c r="D95" t="s">
        <v>81</v>
      </c>
      <c r="E95">
        <v>100000000</v>
      </c>
      <c r="H95">
        <v>0.79</v>
      </c>
      <c r="I95" t="s">
        <v>56</v>
      </c>
      <c r="J95">
        <v>7.9000000000000009E-5</v>
      </c>
      <c r="K95" t="s">
        <v>57</v>
      </c>
      <c r="L95" t="s">
        <v>112</v>
      </c>
      <c r="O95">
        <v>0</v>
      </c>
      <c r="T95">
        <v>10</v>
      </c>
      <c r="V95">
        <v>50</v>
      </c>
      <c r="W95" t="s">
        <v>117</v>
      </c>
      <c r="X95" t="s">
        <v>114</v>
      </c>
      <c r="Y95">
        <v>15</v>
      </c>
      <c r="AB95">
        <v>0.67597309408877004</v>
      </c>
      <c r="AC95" t="s">
        <v>85</v>
      </c>
      <c r="AI95">
        <v>2</v>
      </c>
      <c r="AK95">
        <v>0.05</v>
      </c>
      <c r="AL95" t="s">
        <v>82</v>
      </c>
      <c r="AM95">
        <v>0.05</v>
      </c>
      <c r="AN95" t="s">
        <v>82</v>
      </c>
      <c r="AU95">
        <v>0.63291139240506333</v>
      </c>
      <c r="AV95" t="s">
        <v>115</v>
      </c>
    </row>
    <row r="96" spans="1:48" x14ac:dyDescent="0.3">
      <c r="A96" t="s">
        <v>109</v>
      </c>
      <c r="B96" t="s">
        <v>116</v>
      </c>
      <c r="C96" t="s">
        <v>1416</v>
      </c>
      <c r="D96" t="s">
        <v>81</v>
      </c>
      <c r="E96">
        <v>100000000</v>
      </c>
      <c r="H96">
        <v>0.79</v>
      </c>
      <c r="I96" t="s">
        <v>56</v>
      </c>
      <c r="J96">
        <v>7.9000000000000009E-5</v>
      </c>
      <c r="K96" t="s">
        <v>57</v>
      </c>
      <c r="L96" t="s">
        <v>112</v>
      </c>
      <c r="O96">
        <v>0</v>
      </c>
      <c r="T96">
        <v>10</v>
      </c>
      <c r="V96">
        <v>50</v>
      </c>
      <c r="W96" t="s">
        <v>117</v>
      </c>
      <c r="X96" t="s">
        <v>114</v>
      </c>
      <c r="Y96">
        <v>30</v>
      </c>
      <c r="AB96">
        <v>3.32167248697645E-2</v>
      </c>
      <c r="AC96" t="s">
        <v>85</v>
      </c>
      <c r="AI96">
        <v>2</v>
      </c>
      <c r="AK96">
        <v>0.05</v>
      </c>
      <c r="AL96" t="s">
        <v>82</v>
      </c>
      <c r="AM96">
        <v>0.05</v>
      </c>
      <c r="AN96" t="s">
        <v>82</v>
      </c>
      <c r="AU96">
        <v>0.63291139240506333</v>
      </c>
      <c r="AV96" t="s">
        <v>115</v>
      </c>
    </row>
    <row r="97" spans="1:53" x14ac:dyDescent="0.3">
      <c r="A97" t="s">
        <v>109</v>
      </c>
      <c r="B97" t="s">
        <v>116</v>
      </c>
      <c r="C97" t="s">
        <v>1416</v>
      </c>
      <c r="D97" t="s">
        <v>81</v>
      </c>
      <c r="E97">
        <v>100000000</v>
      </c>
      <c r="H97">
        <v>0.79</v>
      </c>
      <c r="I97" t="s">
        <v>56</v>
      </c>
      <c r="J97">
        <v>7.9000000000000009E-5</v>
      </c>
      <c r="K97" t="s">
        <v>57</v>
      </c>
      <c r="L97" t="s">
        <v>112</v>
      </c>
      <c r="O97">
        <v>0</v>
      </c>
      <c r="T97">
        <v>10</v>
      </c>
      <c r="V97">
        <v>50</v>
      </c>
      <c r="W97" t="s">
        <v>117</v>
      </c>
      <c r="X97" t="s">
        <v>114</v>
      </c>
      <c r="Y97">
        <v>60</v>
      </c>
      <c r="AB97">
        <v>0.73282806370280795</v>
      </c>
      <c r="AC97" t="s">
        <v>85</v>
      </c>
      <c r="AI97">
        <v>2</v>
      </c>
      <c r="AK97">
        <v>0.05</v>
      </c>
      <c r="AL97" t="s">
        <v>82</v>
      </c>
      <c r="AM97">
        <v>0.05</v>
      </c>
      <c r="AN97" t="s">
        <v>82</v>
      </c>
      <c r="AU97">
        <v>0.63291139240506333</v>
      </c>
      <c r="AV97" t="s">
        <v>115</v>
      </c>
    </row>
    <row r="98" spans="1:53" x14ac:dyDescent="0.3">
      <c r="A98" t="s">
        <v>109</v>
      </c>
      <c r="B98" t="s">
        <v>116</v>
      </c>
      <c r="C98" t="s">
        <v>1416</v>
      </c>
      <c r="D98" t="s">
        <v>81</v>
      </c>
      <c r="E98">
        <v>100000000</v>
      </c>
      <c r="H98">
        <v>0.79</v>
      </c>
      <c r="I98" t="s">
        <v>56</v>
      </c>
      <c r="J98">
        <v>7.9000000000000009E-5</v>
      </c>
      <c r="K98" t="s">
        <v>57</v>
      </c>
      <c r="L98" t="s">
        <v>112</v>
      </c>
      <c r="O98">
        <v>0</v>
      </c>
      <c r="T98">
        <v>10</v>
      </c>
      <c r="V98">
        <v>50</v>
      </c>
      <c r="W98" t="s">
        <v>117</v>
      </c>
      <c r="X98" t="s">
        <v>114</v>
      </c>
      <c r="Y98">
        <v>120</v>
      </c>
      <c r="AB98">
        <v>0.44634443085866399</v>
      </c>
      <c r="AC98" t="s">
        <v>85</v>
      </c>
      <c r="AI98">
        <v>2</v>
      </c>
      <c r="AK98">
        <v>0.05</v>
      </c>
      <c r="AL98" t="s">
        <v>82</v>
      </c>
      <c r="AM98">
        <v>0.05</v>
      </c>
      <c r="AN98" t="s">
        <v>82</v>
      </c>
      <c r="AU98">
        <v>0.63291139240506333</v>
      </c>
      <c r="AV98" t="s">
        <v>115</v>
      </c>
    </row>
    <row r="99" spans="1:53" x14ac:dyDescent="0.3">
      <c r="A99" t="s">
        <v>109</v>
      </c>
      <c r="B99" t="s">
        <v>116</v>
      </c>
      <c r="C99" t="s">
        <v>1416</v>
      </c>
      <c r="D99" t="s">
        <v>81</v>
      </c>
      <c r="E99">
        <v>100000000</v>
      </c>
      <c r="H99">
        <v>0.79</v>
      </c>
      <c r="I99" t="s">
        <v>56</v>
      </c>
      <c r="J99">
        <v>7.9000000000000009E-5</v>
      </c>
      <c r="K99" t="s">
        <v>57</v>
      </c>
      <c r="L99" t="s">
        <v>112</v>
      </c>
      <c r="O99">
        <v>0</v>
      </c>
      <c r="T99">
        <v>10</v>
      </c>
      <c r="V99">
        <v>50</v>
      </c>
      <c r="W99" t="s">
        <v>117</v>
      </c>
      <c r="X99" t="s">
        <v>114</v>
      </c>
      <c r="Y99">
        <v>1440</v>
      </c>
      <c r="AB99">
        <v>5.1623123063899898</v>
      </c>
      <c r="AC99" t="s">
        <v>85</v>
      </c>
      <c r="AI99">
        <v>2</v>
      </c>
      <c r="AK99">
        <v>0.05</v>
      </c>
      <c r="AL99" t="s">
        <v>82</v>
      </c>
      <c r="AM99">
        <v>0.05</v>
      </c>
      <c r="AN99" t="s">
        <v>82</v>
      </c>
      <c r="AU99">
        <v>0.63291139240506333</v>
      </c>
      <c r="AV99" t="s">
        <v>115</v>
      </c>
    </row>
    <row r="100" spans="1:53" x14ac:dyDescent="0.3">
      <c r="A100" t="s">
        <v>1421</v>
      </c>
      <c r="C100" t="s">
        <v>1416</v>
      </c>
      <c r="D100" t="s">
        <v>81</v>
      </c>
      <c r="E100">
        <v>100000000</v>
      </c>
      <c r="H100">
        <v>2</v>
      </c>
      <c r="I100" t="s">
        <v>56</v>
      </c>
      <c r="J100">
        <v>2.0000000000000001E-4</v>
      </c>
      <c r="K100" t="s">
        <v>57</v>
      </c>
      <c r="L100" t="s">
        <v>1422</v>
      </c>
      <c r="O100">
        <v>50</v>
      </c>
      <c r="P100" t="s">
        <v>1303</v>
      </c>
      <c r="T100">
        <v>25</v>
      </c>
      <c r="V100">
        <v>50</v>
      </c>
      <c r="W100" t="s">
        <v>1423</v>
      </c>
      <c r="X100" t="s">
        <v>114</v>
      </c>
      <c r="Y100">
        <v>15</v>
      </c>
      <c r="AB100" t="s">
        <v>1424</v>
      </c>
      <c r="AC100" t="s">
        <v>210</v>
      </c>
      <c r="AD100" t="s">
        <v>1425</v>
      </c>
      <c r="AE100" t="s">
        <v>63</v>
      </c>
      <c r="AH100">
        <v>7</v>
      </c>
      <c r="AI100">
        <v>3</v>
      </c>
      <c r="AJ100" t="s">
        <v>201</v>
      </c>
      <c r="AK100">
        <v>2</v>
      </c>
      <c r="AL100" t="s">
        <v>82</v>
      </c>
      <c r="AM100">
        <v>2</v>
      </c>
      <c r="AN100" t="s">
        <v>82</v>
      </c>
      <c r="AU100">
        <v>10</v>
      </c>
      <c r="AV100" t="s">
        <v>115</v>
      </c>
      <c r="BA100">
        <v>7</v>
      </c>
    </row>
    <row r="101" spans="1:53" x14ac:dyDescent="0.3">
      <c r="A101" t="s">
        <v>1421</v>
      </c>
      <c r="C101" t="s">
        <v>1416</v>
      </c>
      <c r="D101" t="s">
        <v>81</v>
      </c>
      <c r="E101">
        <v>100000000</v>
      </c>
      <c r="H101">
        <v>2</v>
      </c>
      <c r="I101" t="s">
        <v>56</v>
      </c>
      <c r="J101">
        <v>2.0000000000000001E-4</v>
      </c>
      <c r="K101" t="s">
        <v>57</v>
      </c>
      <c r="L101" t="s">
        <v>1422</v>
      </c>
      <c r="O101">
        <v>50</v>
      </c>
      <c r="P101" t="s">
        <v>1303</v>
      </c>
      <c r="T101">
        <v>25</v>
      </c>
      <c r="V101">
        <v>50</v>
      </c>
      <c r="W101" t="s">
        <v>1423</v>
      </c>
      <c r="X101" t="s">
        <v>114</v>
      </c>
      <c r="Y101">
        <v>15</v>
      </c>
      <c r="AB101" t="s">
        <v>1426</v>
      </c>
      <c r="AC101" t="s">
        <v>210</v>
      </c>
      <c r="AD101" t="s">
        <v>1427</v>
      </c>
      <c r="AE101" t="s">
        <v>63</v>
      </c>
      <c r="AH101">
        <v>7</v>
      </c>
      <c r="AI101">
        <v>5</v>
      </c>
      <c r="AJ101" t="s">
        <v>201</v>
      </c>
      <c r="AK101">
        <v>2</v>
      </c>
      <c r="AL101" t="s">
        <v>82</v>
      </c>
      <c r="AM101">
        <v>2</v>
      </c>
      <c r="AN101" t="s">
        <v>82</v>
      </c>
      <c r="AU101">
        <v>10</v>
      </c>
      <c r="AV101" t="s">
        <v>115</v>
      </c>
      <c r="BA101">
        <v>7</v>
      </c>
    </row>
    <row r="102" spans="1:53" x14ac:dyDescent="0.3">
      <c r="A102" t="s">
        <v>1421</v>
      </c>
      <c r="C102" t="s">
        <v>1416</v>
      </c>
      <c r="D102" t="s">
        <v>81</v>
      </c>
      <c r="E102">
        <v>100000000</v>
      </c>
      <c r="H102">
        <v>2</v>
      </c>
      <c r="I102" t="s">
        <v>56</v>
      </c>
      <c r="J102">
        <v>2.0000000000000001E-4</v>
      </c>
      <c r="K102" t="s">
        <v>57</v>
      </c>
      <c r="L102" t="s">
        <v>1422</v>
      </c>
      <c r="O102">
        <v>50</v>
      </c>
      <c r="P102" t="s">
        <v>1303</v>
      </c>
      <c r="T102">
        <v>25</v>
      </c>
      <c r="V102">
        <v>50</v>
      </c>
      <c r="W102" t="s">
        <v>1423</v>
      </c>
      <c r="X102" t="s">
        <v>114</v>
      </c>
      <c r="Y102">
        <v>15</v>
      </c>
      <c r="AB102" t="s">
        <v>1424</v>
      </c>
      <c r="AC102" t="s">
        <v>210</v>
      </c>
      <c r="AD102" t="s">
        <v>1428</v>
      </c>
      <c r="AE102" t="s">
        <v>63</v>
      </c>
      <c r="AH102">
        <v>7</v>
      </c>
      <c r="AI102">
        <v>5</v>
      </c>
      <c r="AJ102" t="s">
        <v>201</v>
      </c>
      <c r="AK102">
        <v>2</v>
      </c>
      <c r="AL102" t="s">
        <v>82</v>
      </c>
      <c r="AM102">
        <v>2</v>
      </c>
      <c r="AN102" t="s">
        <v>82</v>
      </c>
      <c r="AU102">
        <v>10</v>
      </c>
      <c r="AV102" t="s">
        <v>115</v>
      </c>
      <c r="BA102">
        <v>7</v>
      </c>
    </row>
    <row r="103" spans="1:53" x14ac:dyDescent="0.3">
      <c r="A103" t="s">
        <v>1421</v>
      </c>
      <c r="C103" t="s">
        <v>1416</v>
      </c>
      <c r="D103" t="s">
        <v>81</v>
      </c>
      <c r="E103">
        <v>100000000</v>
      </c>
      <c r="H103">
        <v>2</v>
      </c>
      <c r="I103" t="s">
        <v>56</v>
      </c>
      <c r="J103">
        <v>2.0000000000000001E-4</v>
      </c>
      <c r="K103" t="s">
        <v>57</v>
      </c>
      <c r="L103" t="s">
        <v>1422</v>
      </c>
      <c r="O103">
        <v>50</v>
      </c>
      <c r="P103" t="s">
        <v>1303</v>
      </c>
      <c r="T103">
        <v>25</v>
      </c>
      <c r="V103">
        <v>50</v>
      </c>
      <c r="W103" t="s">
        <v>1429</v>
      </c>
      <c r="X103" t="s">
        <v>114</v>
      </c>
      <c r="Y103">
        <v>15</v>
      </c>
      <c r="AB103" t="s">
        <v>1430</v>
      </c>
      <c r="AC103" t="s">
        <v>210</v>
      </c>
      <c r="AD103" t="s">
        <v>1431</v>
      </c>
      <c r="AE103" t="s">
        <v>63</v>
      </c>
      <c r="AH103">
        <v>7</v>
      </c>
      <c r="AI103">
        <v>3</v>
      </c>
      <c r="AJ103" t="s">
        <v>201</v>
      </c>
      <c r="AK103">
        <v>2</v>
      </c>
      <c r="AL103" t="s">
        <v>82</v>
      </c>
      <c r="AM103">
        <v>2</v>
      </c>
      <c r="AN103" t="s">
        <v>82</v>
      </c>
      <c r="AT103" t="s">
        <v>150</v>
      </c>
      <c r="AU103">
        <v>10</v>
      </c>
      <c r="AV103" t="s">
        <v>115</v>
      </c>
      <c r="BA103">
        <v>7</v>
      </c>
    </row>
    <row r="104" spans="1:53" x14ac:dyDescent="0.3">
      <c r="A104" t="s">
        <v>1421</v>
      </c>
      <c r="C104" t="s">
        <v>1416</v>
      </c>
      <c r="D104" t="s">
        <v>81</v>
      </c>
      <c r="E104">
        <v>100000000</v>
      </c>
      <c r="H104">
        <v>2</v>
      </c>
      <c r="I104" t="s">
        <v>56</v>
      </c>
      <c r="J104">
        <v>2.0000000000000001E-4</v>
      </c>
      <c r="K104" t="s">
        <v>57</v>
      </c>
      <c r="L104" t="s">
        <v>1422</v>
      </c>
      <c r="O104">
        <v>50</v>
      </c>
      <c r="P104" t="s">
        <v>1303</v>
      </c>
      <c r="T104">
        <v>25</v>
      </c>
      <c r="V104">
        <v>50</v>
      </c>
      <c r="W104" t="s">
        <v>1429</v>
      </c>
      <c r="X104" t="s">
        <v>114</v>
      </c>
      <c r="Y104">
        <v>15</v>
      </c>
      <c r="AB104" t="s">
        <v>1432</v>
      </c>
      <c r="AC104" t="s">
        <v>210</v>
      </c>
      <c r="AD104" t="s">
        <v>1425</v>
      </c>
      <c r="AE104" t="s">
        <v>63</v>
      </c>
      <c r="AH104">
        <v>7</v>
      </c>
      <c r="AI104">
        <v>5</v>
      </c>
      <c r="AJ104" t="s">
        <v>201</v>
      </c>
      <c r="AK104">
        <v>2</v>
      </c>
      <c r="AL104" t="s">
        <v>82</v>
      </c>
      <c r="AM104">
        <v>2</v>
      </c>
      <c r="AN104" t="s">
        <v>82</v>
      </c>
      <c r="AT104" t="s">
        <v>150</v>
      </c>
      <c r="AU104">
        <v>10</v>
      </c>
      <c r="AV104" t="s">
        <v>115</v>
      </c>
      <c r="BA104">
        <v>7</v>
      </c>
    </row>
    <row r="105" spans="1:53" x14ac:dyDescent="0.3">
      <c r="A105" t="s">
        <v>1421</v>
      </c>
      <c r="C105" t="s">
        <v>1416</v>
      </c>
      <c r="D105" t="s">
        <v>81</v>
      </c>
      <c r="E105">
        <v>100000000</v>
      </c>
      <c r="H105">
        <v>2</v>
      </c>
      <c r="I105" t="s">
        <v>56</v>
      </c>
      <c r="J105">
        <v>2.0000000000000001E-4</v>
      </c>
      <c r="K105" t="s">
        <v>57</v>
      </c>
      <c r="L105" t="s">
        <v>1422</v>
      </c>
      <c r="O105">
        <v>50</v>
      </c>
      <c r="P105" t="s">
        <v>1303</v>
      </c>
      <c r="T105">
        <v>25</v>
      </c>
      <c r="V105">
        <v>50</v>
      </c>
      <c r="W105" t="s">
        <v>1429</v>
      </c>
      <c r="X105" t="s">
        <v>114</v>
      </c>
      <c r="Y105">
        <v>15</v>
      </c>
      <c r="AB105" t="s">
        <v>1430</v>
      </c>
      <c r="AC105" t="s">
        <v>210</v>
      </c>
      <c r="AD105" t="s">
        <v>1431</v>
      </c>
      <c r="AE105" t="s">
        <v>63</v>
      </c>
      <c r="AH105">
        <v>7</v>
      </c>
      <c r="AI105">
        <v>5</v>
      </c>
      <c r="AJ105" t="s">
        <v>201</v>
      </c>
      <c r="AK105">
        <v>2</v>
      </c>
      <c r="AL105" t="s">
        <v>82</v>
      </c>
      <c r="AM105">
        <v>2</v>
      </c>
      <c r="AN105" t="s">
        <v>82</v>
      </c>
      <c r="AT105" t="s">
        <v>150</v>
      </c>
      <c r="AU105">
        <v>10</v>
      </c>
      <c r="AV105" t="s">
        <v>115</v>
      </c>
      <c r="BA105">
        <v>7</v>
      </c>
    </row>
    <row r="106" spans="1:53" x14ac:dyDescent="0.3">
      <c r="A106" t="s">
        <v>1421</v>
      </c>
      <c r="C106" t="s">
        <v>1416</v>
      </c>
      <c r="D106" t="s">
        <v>81</v>
      </c>
      <c r="E106">
        <v>100000000</v>
      </c>
      <c r="H106">
        <v>2</v>
      </c>
      <c r="I106" t="s">
        <v>56</v>
      </c>
      <c r="J106">
        <v>2.0000000000000001E-4</v>
      </c>
      <c r="K106" t="s">
        <v>57</v>
      </c>
      <c r="L106" t="s">
        <v>1422</v>
      </c>
      <c r="O106">
        <v>50</v>
      </c>
      <c r="P106" t="s">
        <v>1303</v>
      </c>
      <c r="T106">
        <v>25</v>
      </c>
      <c r="V106">
        <v>50</v>
      </c>
      <c r="W106" t="s">
        <v>1433</v>
      </c>
      <c r="X106" t="s">
        <v>114</v>
      </c>
      <c r="Y106">
        <v>15</v>
      </c>
      <c r="AB106" t="s">
        <v>1434</v>
      </c>
      <c r="AC106" t="s">
        <v>210</v>
      </c>
      <c r="AD106" t="s">
        <v>1425</v>
      </c>
      <c r="AE106" t="s">
        <v>63</v>
      </c>
      <c r="AH106">
        <v>7</v>
      </c>
      <c r="AI106">
        <v>3</v>
      </c>
      <c r="AJ106" t="s">
        <v>201</v>
      </c>
      <c r="AK106">
        <v>2</v>
      </c>
      <c r="AL106" t="s">
        <v>82</v>
      </c>
      <c r="AM106">
        <v>2</v>
      </c>
      <c r="AN106" t="s">
        <v>82</v>
      </c>
      <c r="AT106" t="s">
        <v>65</v>
      </c>
      <c r="AU106">
        <v>10</v>
      </c>
      <c r="AV106" t="s">
        <v>115</v>
      </c>
      <c r="BA106">
        <v>7</v>
      </c>
    </row>
    <row r="107" spans="1:53" x14ac:dyDescent="0.3">
      <c r="A107" t="s">
        <v>1421</v>
      </c>
      <c r="C107" t="s">
        <v>1416</v>
      </c>
      <c r="D107" t="s">
        <v>81</v>
      </c>
      <c r="E107">
        <v>10000000</v>
      </c>
      <c r="H107">
        <v>2</v>
      </c>
      <c r="I107" t="s">
        <v>56</v>
      </c>
      <c r="J107">
        <v>2.0000000000000001E-4</v>
      </c>
      <c r="K107" t="s">
        <v>57</v>
      </c>
      <c r="L107" t="s">
        <v>1422</v>
      </c>
      <c r="O107">
        <v>50</v>
      </c>
      <c r="P107" t="s">
        <v>1303</v>
      </c>
      <c r="T107">
        <v>25</v>
      </c>
      <c r="V107">
        <v>50</v>
      </c>
      <c r="W107" t="s">
        <v>1433</v>
      </c>
      <c r="X107" t="s">
        <v>114</v>
      </c>
      <c r="Y107">
        <v>15</v>
      </c>
      <c r="AB107" t="s">
        <v>1430</v>
      </c>
      <c r="AC107" t="s">
        <v>210</v>
      </c>
      <c r="AD107" t="s">
        <v>1431</v>
      </c>
      <c r="AE107" t="s">
        <v>63</v>
      </c>
      <c r="AH107">
        <v>7</v>
      </c>
      <c r="AI107">
        <v>5</v>
      </c>
      <c r="AJ107" t="s">
        <v>201</v>
      </c>
      <c r="AK107">
        <v>2</v>
      </c>
      <c r="AL107" t="s">
        <v>82</v>
      </c>
      <c r="AM107">
        <v>2</v>
      </c>
      <c r="AN107" t="s">
        <v>82</v>
      </c>
      <c r="AT107" t="s">
        <v>65</v>
      </c>
      <c r="AU107">
        <v>10</v>
      </c>
      <c r="AV107" t="s">
        <v>115</v>
      </c>
      <c r="BA107">
        <v>7</v>
      </c>
    </row>
    <row r="108" spans="1:53" x14ac:dyDescent="0.3">
      <c r="A108" t="s">
        <v>1421</v>
      </c>
      <c r="C108" t="s">
        <v>1416</v>
      </c>
      <c r="D108" t="s">
        <v>81</v>
      </c>
      <c r="E108">
        <v>10000000</v>
      </c>
      <c r="H108">
        <v>2</v>
      </c>
      <c r="I108" t="s">
        <v>56</v>
      </c>
      <c r="J108">
        <v>2.0000000000000001E-4</v>
      </c>
      <c r="K108" t="s">
        <v>57</v>
      </c>
      <c r="L108" t="s">
        <v>1422</v>
      </c>
      <c r="O108">
        <v>50</v>
      </c>
      <c r="P108" t="s">
        <v>1303</v>
      </c>
      <c r="T108">
        <v>25</v>
      </c>
      <c r="V108">
        <v>50</v>
      </c>
      <c r="W108" t="s">
        <v>1433</v>
      </c>
      <c r="X108" t="s">
        <v>114</v>
      </c>
      <c r="Y108">
        <v>15</v>
      </c>
      <c r="AB108" t="s">
        <v>1430</v>
      </c>
      <c r="AC108" t="s">
        <v>210</v>
      </c>
      <c r="AD108" t="s">
        <v>1431</v>
      </c>
      <c r="AE108" t="s">
        <v>63</v>
      </c>
      <c r="AH108">
        <v>7</v>
      </c>
      <c r="AI108">
        <v>5</v>
      </c>
      <c r="AJ108" t="s">
        <v>201</v>
      </c>
      <c r="AK108">
        <v>2</v>
      </c>
      <c r="AL108" t="s">
        <v>82</v>
      </c>
      <c r="AM108">
        <v>2</v>
      </c>
      <c r="AN108" t="s">
        <v>82</v>
      </c>
      <c r="AT108" t="s">
        <v>65</v>
      </c>
      <c r="AU108">
        <v>10</v>
      </c>
      <c r="AV108" t="s">
        <v>115</v>
      </c>
      <c r="BA108">
        <v>7</v>
      </c>
    </row>
    <row r="109" spans="1:53" x14ac:dyDescent="0.3">
      <c r="A109" t="s">
        <v>1421</v>
      </c>
      <c r="C109" t="s">
        <v>1416</v>
      </c>
      <c r="D109" t="s">
        <v>81</v>
      </c>
      <c r="E109">
        <v>10000000</v>
      </c>
      <c r="H109">
        <v>2</v>
      </c>
      <c r="I109" t="s">
        <v>56</v>
      </c>
      <c r="J109">
        <v>2.0000000000000001E-4</v>
      </c>
      <c r="K109" t="s">
        <v>57</v>
      </c>
      <c r="L109" t="s">
        <v>1422</v>
      </c>
      <c r="O109">
        <v>50</v>
      </c>
      <c r="P109" t="s">
        <v>1303</v>
      </c>
      <c r="T109">
        <v>25</v>
      </c>
      <c r="V109">
        <v>50</v>
      </c>
      <c r="W109" t="s">
        <v>1435</v>
      </c>
      <c r="X109" t="s">
        <v>114</v>
      </c>
      <c r="Y109">
        <v>15</v>
      </c>
      <c r="AB109" t="s">
        <v>1430</v>
      </c>
      <c r="AC109" t="s">
        <v>210</v>
      </c>
      <c r="AD109" t="s">
        <v>1431</v>
      </c>
      <c r="AE109" t="s">
        <v>63</v>
      </c>
      <c r="AH109">
        <v>7</v>
      </c>
      <c r="AI109">
        <v>3</v>
      </c>
      <c r="AJ109" t="s">
        <v>201</v>
      </c>
      <c r="AK109">
        <v>2</v>
      </c>
      <c r="AL109" t="s">
        <v>82</v>
      </c>
      <c r="AM109">
        <v>2</v>
      </c>
      <c r="AN109" t="s">
        <v>82</v>
      </c>
      <c r="AU109">
        <v>10</v>
      </c>
      <c r="AV109" t="s">
        <v>115</v>
      </c>
      <c r="BA109">
        <v>7</v>
      </c>
    </row>
    <row r="110" spans="1:53" x14ac:dyDescent="0.3">
      <c r="A110" t="s">
        <v>1421</v>
      </c>
      <c r="C110" t="s">
        <v>1416</v>
      </c>
      <c r="D110" t="s">
        <v>81</v>
      </c>
      <c r="E110">
        <v>10000000</v>
      </c>
      <c r="H110">
        <v>2</v>
      </c>
      <c r="I110" t="s">
        <v>56</v>
      </c>
      <c r="J110">
        <v>2.0000000000000001E-4</v>
      </c>
      <c r="K110" t="s">
        <v>57</v>
      </c>
      <c r="L110" t="s">
        <v>1422</v>
      </c>
      <c r="O110">
        <v>50</v>
      </c>
      <c r="P110" t="s">
        <v>1303</v>
      </c>
      <c r="T110">
        <v>25</v>
      </c>
      <c r="V110">
        <v>50</v>
      </c>
      <c r="W110" t="s">
        <v>1435</v>
      </c>
      <c r="X110" t="s">
        <v>114</v>
      </c>
      <c r="Y110">
        <v>15</v>
      </c>
      <c r="AB110" t="s">
        <v>1430</v>
      </c>
      <c r="AC110" t="s">
        <v>210</v>
      </c>
      <c r="AD110" t="s">
        <v>1431</v>
      </c>
      <c r="AE110" t="s">
        <v>63</v>
      </c>
      <c r="AH110">
        <v>7</v>
      </c>
      <c r="AI110">
        <v>5</v>
      </c>
      <c r="AJ110" t="s">
        <v>201</v>
      </c>
      <c r="AK110">
        <v>2</v>
      </c>
      <c r="AL110" t="s">
        <v>82</v>
      </c>
      <c r="AM110">
        <v>2</v>
      </c>
      <c r="AN110" t="s">
        <v>82</v>
      </c>
      <c r="AU110">
        <v>10</v>
      </c>
      <c r="AV110" t="s">
        <v>115</v>
      </c>
      <c r="BA110">
        <v>7</v>
      </c>
    </row>
    <row r="111" spans="1:53" x14ac:dyDescent="0.3">
      <c r="A111" t="s">
        <v>1421</v>
      </c>
      <c r="C111" t="s">
        <v>1416</v>
      </c>
      <c r="D111" t="s">
        <v>81</v>
      </c>
      <c r="E111">
        <v>10000000</v>
      </c>
      <c r="H111">
        <v>2</v>
      </c>
      <c r="I111" t="s">
        <v>56</v>
      </c>
      <c r="J111">
        <v>2.0000000000000001E-4</v>
      </c>
      <c r="K111" t="s">
        <v>57</v>
      </c>
      <c r="L111" t="s">
        <v>1422</v>
      </c>
      <c r="O111">
        <v>50</v>
      </c>
      <c r="P111" t="s">
        <v>1303</v>
      </c>
      <c r="T111">
        <v>25</v>
      </c>
      <c r="V111">
        <v>50</v>
      </c>
      <c r="W111" t="s">
        <v>1435</v>
      </c>
      <c r="X111" t="s">
        <v>114</v>
      </c>
      <c r="Y111">
        <v>15</v>
      </c>
      <c r="AB111" t="s">
        <v>1430</v>
      </c>
      <c r="AC111" t="s">
        <v>210</v>
      </c>
      <c r="AD111" t="s">
        <v>1431</v>
      </c>
      <c r="AE111" t="s">
        <v>63</v>
      </c>
      <c r="AH111">
        <v>7</v>
      </c>
      <c r="AI111">
        <v>5</v>
      </c>
      <c r="AJ111" t="s">
        <v>201</v>
      </c>
      <c r="AK111">
        <v>2</v>
      </c>
      <c r="AL111" t="s">
        <v>82</v>
      </c>
      <c r="AM111">
        <v>2</v>
      </c>
      <c r="AN111" t="s">
        <v>82</v>
      </c>
      <c r="AU111">
        <v>10</v>
      </c>
      <c r="AV111" t="s">
        <v>115</v>
      </c>
      <c r="BA111">
        <v>7</v>
      </c>
    </row>
    <row r="112" spans="1:53" x14ac:dyDescent="0.3">
      <c r="A112" t="s">
        <v>1421</v>
      </c>
      <c r="C112" t="s">
        <v>1416</v>
      </c>
      <c r="D112" t="s">
        <v>81</v>
      </c>
      <c r="E112">
        <v>10000000</v>
      </c>
      <c r="H112">
        <v>2</v>
      </c>
      <c r="I112" t="s">
        <v>56</v>
      </c>
      <c r="J112">
        <v>2.0000000000000001E-4</v>
      </c>
      <c r="K112" t="s">
        <v>57</v>
      </c>
      <c r="L112" t="s">
        <v>1422</v>
      </c>
      <c r="O112">
        <v>50</v>
      </c>
      <c r="P112" t="s">
        <v>1303</v>
      </c>
      <c r="T112">
        <v>25</v>
      </c>
      <c r="V112">
        <v>50</v>
      </c>
      <c r="W112" t="s">
        <v>1436</v>
      </c>
      <c r="X112" t="s">
        <v>114</v>
      </c>
      <c r="Y112">
        <v>15</v>
      </c>
      <c r="AB112" t="s">
        <v>1432</v>
      </c>
      <c r="AC112" t="s">
        <v>210</v>
      </c>
      <c r="AD112" t="s">
        <v>1437</v>
      </c>
      <c r="AE112" t="s">
        <v>63</v>
      </c>
      <c r="AH112">
        <v>7</v>
      </c>
      <c r="AI112">
        <v>3</v>
      </c>
      <c r="AJ112" t="s">
        <v>201</v>
      </c>
      <c r="AK112">
        <v>2</v>
      </c>
      <c r="AL112" t="s">
        <v>82</v>
      </c>
      <c r="AM112">
        <v>2</v>
      </c>
      <c r="AN112" t="s">
        <v>82</v>
      </c>
      <c r="AU112">
        <v>10</v>
      </c>
      <c r="AV112" t="s">
        <v>115</v>
      </c>
      <c r="BA112">
        <v>7</v>
      </c>
    </row>
    <row r="113" spans="1:53" x14ac:dyDescent="0.3">
      <c r="A113" t="s">
        <v>1421</v>
      </c>
      <c r="C113" t="s">
        <v>1416</v>
      </c>
      <c r="D113" t="s">
        <v>81</v>
      </c>
      <c r="E113">
        <v>10000000</v>
      </c>
      <c r="H113">
        <v>2</v>
      </c>
      <c r="I113" t="s">
        <v>56</v>
      </c>
      <c r="J113">
        <v>2.0000000000000001E-4</v>
      </c>
      <c r="K113" t="s">
        <v>57</v>
      </c>
      <c r="L113" t="s">
        <v>1422</v>
      </c>
      <c r="O113">
        <v>50</v>
      </c>
      <c r="P113" t="s">
        <v>1303</v>
      </c>
      <c r="T113">
        <v>25</v>
      </c>
      <c r="V113">
        <v>50</v>
      </c>
      <c r="W113" t="s">
        <v>1436</v>
      </c>
      <c r="X113" t="s">
        <v>114</v>
      </c>
      <c r="Y113">
        <v>15</v>
      </c>
      <c r="AB113" t="s">
        <v>1438</v>
      </c>
      <c r="AC113" t="s">
        <v>210</v>
      </c>
      <c r="AD113" t="s">
        <v>1439</v>
      </c>
      <c r="AE113" t="s">
        <v>63</v>
      </c>
      <c r="AH113">
        <v>7</v>
      </c>
      <c r="AI113">
        <v>5</v>
      </c>
      <c r="AJ113" t="s">
        <v>201</v>
      </c>
      <c r="AK113">
        <v>2</v>
      </c>
      <c r="AL113" t="s">
        <v>82</v>
      </c>
      <c r="AM113">
        <v>2</v>
      </c>
      <c r="AN113" t="s">
        <v>82</v>
      </c>
      <c r="AU113">
        <v>10</v>
      </c>
      <c r="AV113" t="s">
        <v>115</v>
      </c>
      <c r="BA113">
        <v>7</v>
      </c>
    </row>
    <row r="114" spans="1:53" x14ac:dyDescent="0.3">
      <c r="A114" t="s">
        <v>1421</v>
      </c>
      <c r="C114" t="s">
        <v>1416</v>
      </c>
      <c r="D114" t="s">
        <v>81</v>
      </c>
      <c r="E114">
        <v>10000000</v>
      </c>
      <c r="H114">
        <v>2</v>
      </c>
      <c r="I114" t="s">
        <v>56</v>
      </c>
      <c r="J114">
        <v>2.0000000000000001E-4</v>
      </c>
      <c r="K114" t="s">
        <v>57</v>
      </c>
      <c r="L114" t="s">
        <v>1422</v>
      </c>
      <c r="O114">
        <v>50</v>
      </c>
      <c r="P114" t="s">
        <v>1303</v>
      </c>
      <c r="T114">
        <v>25</v>
      </c>
      <c r="V114">
        <v>50</v>
      </c>
      <c r="W114" t="s">
        <v>1436</v>
      </c>
      <c r="X114" t="s">
        <v>114</v>
      </c>
      <c r="Y114">
        <v>15</v>
      </c>
      <c r="AB114" t="s">
        <v>1432</v>
      </c>
      <c r="AC114" t="s">
        <v>210</v>
      </c>
      <c r="AD114" t="s">
        <v>1425</v>
      </c>
      <c r="AE114" t="s">
        <v>63</v>
      </c>
      <c r="AH114">
        <v>7</v>
      </c>
      <c r="AI114">
        <v>5</v>
      </c>
      <c r="AJ114" t="s">
        <v>201</v>
      </c>
      <c r="AK114">
        <v>2</v>
      </c>
      <c r="AL114" t="s">
        <v>82</v>
      </c>
      <c r="AM114">
        <v>2</v>
      </c>
      <c r="AN114" t="s">
        <v>82</v>
      </c>
      <c r="AU114">
        <v>10</v>
      </c>
      <c r="AV114" t="s">
        <v>115</v>
      </c>
      <c r="BA114">
        <v>7</v>
      </c>
    </row>
    <row r="115" spans="1:53" x14ac:dyDescent="0.3">
      <c r="A115" t="s">
        <v>1421</v>
      </c>
      <c r="C115" t="s">
        <v>1416</v>
      </c>
      <c r="D115" t="s">
        <v>81</v>
      </c>
      <c r="E115">
        <v>10000000</v>
      </c>
      <c r="H115">
        <v>2</v>
      </c>
      <c r="I115" t="s">
        <v>56</v>
      </c>
      <c r="J115">
        <v>2.0000000000000001E-4</v>
      </c>
      <c r="K115" t="s">
        <v>57</v>
      </c>
      <c r="L115" t="s">
        <v>1422</v>
      </c>
      <c r="O115">
        <v>50</v>
      </c>
      <c r="P115" t="s">
        <v>1303</v>
      </c>
      <c r="T115">
        <v>25</v>
      </c>
      <c r="V115">
        <v>50</v>
      </c>
      <c r="W115" t="s">
        <v>1440</v>
      </c>
      <c r="X115" t="s">
        <v>114</v>
      </c>
      <c r="Y115">
        <v>15</v>
      </c>
      <c r="AB115" t="s">
        <v>1430</v>
      </c>
      <c r="AC115" t="s">
        <v>210</v>
      </c>
      <c r="AD115" t="s">
        <v>1431</v>
      </c>
      <c r="AE115" t="s">
        <v>63</v>
      </c>
      <c r="AH115">
        <v>7</v>
      </c>
      <c r="AI115">
        <v>3</v>
      </c>
      <c r="AJ115" t="s">
        <v>201</v>
      </c>
      <c r="AK115">
        <v>2</v>
      </c>
      <c r="AL115" t="s">
        <v>82</v>
      </c>
      <c r="AM115">
        <v>2</v>
      </c>
      <c r="AN115" t="s">
        <v>82</v>
      </c>
      <c r="AU115">
        <v>10</v>
      </c>
      <c r="AV115" t="s">
        <v>115</v>
      </c>
      <c r="BA115">
        <v>7</v>
      </c>
    </row>
    <row r="116" spans="1:53" x14ac:dyDescent="0.3">
      <c r="A116" t="s">
        <v>1421</v>
      </c>
      <c r="C116" t="s">
        <v>1416</v>
      </c>
      <c r="D116" t="s">
        <v>81</v>
      </c>
      <c r="E116">
        <v>10000000</v>
      </c>
      <c r="H116">
        <v>2</v>
      </c>
      <c r="I116" t="s">
        <v>56</v>
      </c>
      <c r="J116">
        <v>2.0000000000000001E-4</v>
      </c>
      <c r="K116" t="s">
        <v>57</v>
      </c>
      <c r="L116" t="s">
        <v>1422</v>
      </c>
      <c r="O116">
        <v>50</v>
      </c>
      <c r="P116" t="s">
        <v>1303</v>
      </c>
      <c r="T116">
        <v>25</v>
      </c>
      <c r="V116">
        <v>50</v>
      </c>
      <c r="W116" t="s">
        <v>1440</v>
      </c>
      <c r="X116" t="s">
        <v>114</v>
      </c>
      <c r="Y116">
        <v>15</v>
      </c>
      <c r="AB116" t="s">
        <v>1430</v>
      </c>
      <c r="AC116" t="s">
        <v>210</v>
      </c>
      <c r="AD116" t="s">
        <v>1431</v>
      </c>
      <c r="AE116" t="s">
        <v>63</v>
      </c>
      <c r="AH116">
        <v>7</v>
      </c>
      <c r="AI116">
        <v>5</v>
      </c>
      <c r="AJ116" t="s">
        <v>201</v>
      </c>
      <c r="AK116">
        <v>2</v>
      </c>
      <c r="AL116" t="s">
        <v>82</v>
      </c>
      <c r="AM116">
        <v>2</v>
      </c>
      <c r="AN116" t="s">
        <v>82</v>
      </c>
      <c r="AU116">
        <v>10</v>
      </c>
      <c r="AV116" t="s">
        <v>115</v>
      </c>
      <c r="BA116">
        <v>7</v>
      </c>
    </row>
    <row r="117" spans="1:53" x14ac:dyDescent="0.3">
      <c r="A117" t="s">
        <v>1421</v>
      </c>
      <c r="C117" t="s">
        <v>1416</v>
      </c>
      <c r="D117" t="s">
        <v>81</v>
      </c>
      <c r="E117">
        <v>10000000</v>
      </c>
      <c r="H117">
        <v>2</v>
      </c>
      <c r="I117" t="s">
        <v>56</v>
      </c>
      <c r="J117">
        <v>2.0000000000000001E-4</v>
      </c>
      <c r="K117" t="s">
        <v>57</v>
      </c>
      <c r="L117" t="s">
        <v>1422</v>
      </c>
      <c r="O117">
        <v>50</v>
      </c>
      <c r="P117" t="s">
        <v>1303</v>
      </c>
      <c r="T117">
        <v>25</v>
      </c>
      <c r="V117">
        <v>50</v>
      </c>
      <c r="W117" t="s">
        <v>1440</v>
      </c>
      <c r="X117" t="s">
        <v>114</v>
      </c>
      <c r="Y117">
        <v>15</v>
      </c>
      <c r="AB117" t="s">
        <v>1434</v>
      </c>
      <c r="AC117" t="s">
        <v>210</v>
      </c>
      <c r="AD117" t="s">
        <v>1439</v>
      </c>
      <c r="AE117" t="s">
        <v>63</v>
      </c>
      <c r="AH117">
        <v>7</v>
      </c>
      <c r="AI117">
        <v>5</v>
      </c>
      <c r="AJ117" t="s">
        <v>201</v>
      </c>
      <c r="AK117">
        <v>2</v>
      </c>
      <c r="AL117" t="s">
        <v>82</v>
      </c>
      <c r="AM117">
        <v>2</v>
      </c>
      <c r="AN117" t="s">
        <v>82</v>
      </c>
      <c r="AU117">
        <v>10</v>
      </c>
      <c r="AV117" t="s">
        <v>115</v>
      </c>
      <c r="BA117">
        <v>7</v>
      </c>
    </row>
    <row r="118" spans="1:53" x14ac:dyDescent="0.3">
      <c r="A118" t="s">
        <v>1421</v>
      </c>
      <c r="C118" t="s">
        <v>1416</v>
      </c>
      <c r="D118" t="s">
        <v>81</v>
      </c>
      <c r="E118">
        <v>10000000</v>
      </c>
      <c r="H118">
        <v>2</v>
      </c>
      <c r="I118" t="s">
        <v>56</v>
      </c>
      <c r="J118">
        <v>2.0000000000000001E-4</v>
      </c>
      <c r="K118" t="s">
        <v>57</v>
      </c>
      <c r="L118" t="s">
        <v>1422</v>
      </c>
      <c r="O118">
        <v>50</v>
      </c>
      <c r="P118" t="s">
        <v>1303</v>
      </c>
      <c r="T118">
        <v>25</v>
      </c>
      <c r="V118">
        <v>50</v>
      </c>
      <c r="W118" t="s">
        <v>1441</v>
      </c>
      <c r="X118" t="s">
        <v>114</v>
      </c>
      <c r="Y118">
        <v>15</v>
      </c>
      <c r="AB118" t="s">
        <v>1430</v>
      </c>
      <c r="AC118" t="s">
        <v>210</v>
      </c>
      <c r="AD118" t="s">
        <v>1431</v>
      </c>
      <c r="AE118" t="s">
        <v>63</v>
      </c>
      <c r="AH118">
        <v>7</v>
      </c>
      <c r="AI118">
        <v>3</v>
      </c>
      <c r="AJ118" t="s">
        <v>201</v>
      </c>
      <c r="AK118">
        <v>2</v>
      </c>
      <c r="AL118" t="s">
        <v>82</v>
      </c>
      <c r="AM118">
        <v>2</v>
      </c>
      <c r="AN118" t="s">
        <v>82</v>
      </c>
      <c r="AU118">
        <v>10</v>
      </c>
      <c r="AV118" t="s">
        <v>115</v>
      </c>
      <c r="BA118">
        <v>7</v>
      </c>
    </row>
    <row r="119" spans="1:53" x14ac:dyDescent="0.3">
      <c r="A119" t="s">
        <v>1421</v>
      </c>
      <c r="C119" t="s">
        <v>1416</v>
      </c>
      <c r="D119" t="s">
        <v>81</v>
      </c>
      <c r="E119">
        <v>10000000</v>
      </c>
      <c r="H119">
        <v>2</v>
      </c>
      <c r="I119" t="s">
        <v>56</v>
      </c>
      <c r="J119">
        <v>2.0000000000000001E-4</v>
      </c>
      <c r="K119" t="s">
        <v>57</v>
      </c>
      <c r="L119" t="s">
        <v>1422</v>
      </c>
      <c r="O119">
        <v>50</v>
      </c>
      <c r="P119" t="s">
        <v>1303</v>
      </c>
      <c r="T119">
        <v>25</v>
      </c>
      <c r="V119">
        <v>50</v>
      </c>
      <c r="W119" t="s">
        <v>1441</v>
      </c>
      <c r="X119" t="s">
        <v>114</v>
      </c>
      <c r="Y119">
        <v>15</v>
      </c>
      <c r="AB119" t="s">
        <v>1430</v>
      </c>
      <c r="AC119" t="s">
        <v>210</v>
      </c>
      <c r="AD119" t="s">
        <v>1431</v>
      </c>
      <c r="AE119" t="s">
        <v>63</v>
      </c>
      <c r="AH119">
        <v>7</v>
      </c>
      <c r="AI119">
        <v>5</v>
      </c>
      <c r="AJ119" t="s">
        <v>201</v>
      </c>
      <c r="AK119">
        <v>2</v>
      </c>
      <c r="AL119" t="s">
        <v>82</v>
      </c>
      <c r="AM119">
        <v>2</v>
      </c>
      <c r="AN119" t="s">
        <v>82</v>
      </c>
      <c r="AU119">
        <v>10</v>
      </c>
      <c r="AV119" t="s">
        <v>115</v>
      </c>
      <c r="BA119">
        <v>7</v>
      </c>
    </row>
    <row r="120" spans="1:53" x14ac:dyDescent="0.3">
      <c r="A120" t="s">
        <v>1421</v>
      </c>
      <c r="C120" t="s">
        <v>1416</v>
      </c>
      <c r="D120" t="s">
        <v>81</v>
      </c>
      <c r="E120">
        <v>10000000</v>
      </c>
      <c r="H120">
        <v>2</v>
      </c>
      <c r="I120" t="s">
        <v>56</v>
      </c>
      <c r="J120">
        <v>2.0000000000000001E-4</v>
      </c>
      <c r="K120" t="s">
        <v>57</v>
      </c>
      <c r="L120" t="s">
        <v>1422</v>
      </c>
      <c r="O120">
        <v>50</v>
      </c>
      <c r="P120" t="s">
        <v>1303</v>
      </c>
      <c r="T120">
        <v>25</v>
      </c>
      <c r="V120">
        <v>50</v>
      </c>
      <c r="W120" t="s">
        <v>1441</v>
      </c>
      <c r="X120" t="s">
        <v>114</v>
      </c>
      <c r="Y120">
        <v>15</v>
      </c>
      <c r="AB120" t="s">
        <v>1430</v>
      </c>
      <c r="AC120" t="s">
        <v>210</v>
      </c>
      <c r="AD120" t="s">
        <v>1431</v>
      </c>
      <c r="AE120" t="s">
        <v>63</v>
      </c>
      <c r="AH120">
        <v>7</v>
      </c>
      <c r="AI120">
        <v>5</v>
      </c>
      <c r="AJ120" t="s">
        <v>201</v>
      </c>
      <c r="AK120">
        <v>2</v>
      </c>
      <c r="AL120" t="s">
        <v>82</v>
      </c>
      <c r="AM120">
        <v>2</v>
      </c>
      <c r="AN120" t="s">
        <v>82</v>
      </c>
      <c r="AU120">
        <v>10</v>
      </c>
      <c r="AV120" t="s">
        <v>115</v>
      </c>
      <c r="BA120">
        <v>7</v>
      </c>
    </row>
    <row r="121" spans="1:53" x14ac:dyDescent="0.3">
      <c r="A121" t="s">
        <v>1421</v>
      </c>
      <c r="C121" t="s">
        <v>1416</v>
      </c>
      <c r="D121" t="s">
        <v>81</v>
      </c>
      <c r="E121">
        <v>10000000</v>
      </c>
      <c r="H121">
        <v>2</v>
      </c>
      <c r="I121" t="s">
        <v>56</v>
      </c>
      <c r="J121">
        <v>2.0000000000000001E-4</v>
      </c>
      <c r="K121" t="s">
        <v>57</v>
      </c>
      <c r="L121" t="s">
        <v>1422</v>
      </c>
      <c r="O121">
        <v>50</v>
      </c>
      <c r="P121" t="s">
        <v>1303</v>
      </c>
      <c r="T121">
        <v>25</v>
      </c>
      <c r="V121">
        <v>50</v>
      </c>
      <c r="W121" t="s">
        <v>1423</v>
      </c>
      <c r="X121" t="s">
        <v>114</v>
      </c>
      <c r="Y121">
        <v>15</v>
      </c>
      <c r="AB121" t="s">
        <v>1442</v>
      </c>
      <c r="AC121" t="s">
        <v>210</v>
      </c>
      <c r="AD121" t="s">
        <v>1443</v>
      </c>
      <c r="AE121" t="s">
        <v>63</v>
      </c>
      <c r="AH121">
        <v>7</v>
      </c>
      <c r="AI121">
        <v>3</v>
      </c>
      <c r="AJ121" t="s">
        <v>201</v>
      </c>
      <c r="AK121">
        <v>2</v>
      </c>
      <c r="AL121" t="s">
        <v>82</v>
      </c>
      <c r="AM121">
        <v>2</v>
      </c>
      <c r="AN121" t="s">
        <v>82</v>
      </c>
      <c r="AU121">
        <v>10</v>
      </c>
      <c r="AV121" t="s">
        <v>115</v>
      </c>
      <c r="BA121">
        <v>7</v>
      </c>
    </row>
    <row r="122" spans="1:53" x14ac:dyDescent="0.3">
      <c r="A122" t="s">
        <v>1421</v>
      </c>
      <c r="C122" t="s">
        <v>1416</v>
      </c>
      <c r="D122" t="s">
        <v>81</v>
      </c>
      <c r="E122">
        <v>100000</v>
      </c>
      <c r="H122">
        <v>2</v>
      </c>
      <c r="I122" t="s">
        <v>56</v>
      </c>
      <c r="J122">
        <v>2.0000000000000001E-4</v>
      </c>
      <c r="K122" t="s">
        <v>57</v>
      </c>
      <c r="L122" t="s">
        <v>1422</v>
      </c>
      <c r="O122">
        <v>50</v>
      </c>
      <c r="P122" t="s">
        <v>1303</v>
      </c>
      <c r="T122">
        <v>25</v>
      </c>
      <c r="V122">
        <v>50</v>
      </c>
      <c r="W122" t="s">
        <v>1423</v>
      </c>
      <c r="X122" t="s">
        <v>114</v>
      </c>
      <c r="Y122">
        <v>15</v>
      </c>
      <c r="AB122" t="s">
        <v>1442</v>
      </c>
      <c r="AC122" t="s">
        <v>210</v>
      </c>
      <c r="AD122" t="s">
        <v>1444</v>
      </c>
      <c r="AE122" t="s">
        <v>63</v>
      </c>
      <c r="AH122">
        <v>7</v>
      </c>
      <c r="AI122">
        <v>5</v>
      </c>
      <c r="AJ122" t="s">
        <v>201</v>
      </c>
      <c r="AK122">
        <v>2</v>
      </c>
      <c r="AL122" t="s">
        <v>82</v>
      </c>
      <c r="AM122">
        <v>2</v>
      </c>
      <c r="AN122" t="s">
        <v>82</v>
      </c>
      <c r="AU122">
        <v>10</v>
      </c>
      <c r="AV122" t="s">
        <v>115</v>
      </c>
      <c r="BA122">
        <v>7</v>
      </c>
    </row>
    <row r="123" spans="1:53" x14ac:dyDescent="0.3">
      <c r="A123" t="s">
        <v>1421</v>
      </c>
      <c r="C123" t="s">
        <v>1416</v>
      </c>
      <c r="D123" t="s">
        <v>81</v>
      </c>
      <c r="E123">
        <v>100000</v>
      </c>
      <c r="H123">
        <v>2</v>
      </c>
      <c r="I123" t="s">
        <v>56</v>
      </c>
      <c r="J123">
        <v>2.0000000000000001E-4</v>
      </c>
      <c r="K123" t="s">
        <v>57</v>
      </c>
      <c r="L123" t="s">
        <v>1422</v>
      </c>
      <c r="O123">
        <v>50</v>
      </c>
      <c r="P123" t="s">
        <v>1303</v>
      </c>
      <c r="T123">
        <v>25</v>
      </c>
      <c r="V123">
        <v>50</v>
      </c>
      <c r="W123" t="s">
        <v>1423</v>
      </c>
      <c r="X123" t="s">
        <v>114</v>
      </c>
      <c r="Y123">
        <v>15</v>
      </c>
      <c r="AB123" t="s">
        <v>1445</v>
      </c>
      <c r="AC123" t="s">
        <v>210</v>
      </c>
      <c r="AD123" t="s">
        <v>1427</v>
      </c>
      <c r="AE123" t="s">
        <v>63</v>
      </c>
      <c r="AH123">
        <v>7</v>
      </c>
      <c r="AI123">
        <v>5</v>
      </c>
      <c r="AJ123" t="s">
        <v>201</v>
      </c>
      <c r="AK123">
        <v>2</v>
      </c>
      <c r="AL123" t="s">
        <v>82</v>
      </c>
      <c r="AM123">
        <v>2</v>
      </c>
      <c r="AN123" t="s">
        <v>82</v>
      </c>
      <c r="AU123">
        <v>10</v>
      </c>
      <c r="AV123" t="s">
        <v>115</v>
      </c>
      <c r="BA123">
        <v>7</v>
      </c>
    </row>
    <row r="124" spans="1:53" x14ac:dyDescent="0.3">
      <c r="A124" t="s">
        <v>1421</v>
      </c>
      <c r="C124" t="s">
        <v>1416</v>
      </c>
      <c r="D124" t="s">
        <v>81</v>
      </c>
      <c r="E124">
        <v>100000</v>
      </c>
      <c r="H124">
        <v>2</v>
      </c>
      <c r="I124" t="s">
        <v>56</v>
      </c>
      <c r="J124">
        <v>2.0000000000000001E-4</v>
      </c>
      <c r="K124" t="s">
        <v>57</v>
      </c>
      <c r="L124" t="s">
        <v>1422</v>
      </c>
      <c r="O124">
        <v>50</v>
      </c>
      <c r="P124" t="s">
        <v>1303</v>
      </c>
      <c r="T124">
        <v>25</v>
      </c>
      <c r="V124">
        <v>50</v>
      </c>
      <c r="W124" t="s">
        <v>1429</v>
      </c>
      <c r="X124" t="s">
        <v>114</v>
      </c>
      <c r="Y124">
        <v>15</v>
      </c>
      <c r="AB124" t="s">
        <v>1430</v>
      </c>
      <c r="AC124" t="s">
        <v>210</v>
      </c>
      <c r="AD124" t="s">
        <v>1431</v>
      </c>
      <c r="AE124" t="s">
        <v>63</v>
      </c>
      <c r="AH124">
        <v>7</v>
      </c>
      <c r="AI124">
        <v>3</v>
      </c>
      <c r="AJ124" t="s">
        <v>201</v>
      </c>
      <c r="AK124">
        <v>2</v>
      </c>
      <c r="AL124" t="s">
        <v>82</v>
      </c>
      <c r="AM124">
        <v>2</v>
      </c>
      <c r="AN124" t="s">
        <v>82</v>
      </c>
      <c r="AT124" t="s">
        <v>150</v>
      </c>
      <c r="AU124">
        <v>10</v>
      </c>
      <c r="AV124" t="s">
        <v>115</v>
      </c>
      <c r="BA124">
        <v>7</v>
      </c>
    </row>
    <row r="125" spans="1:53" x14ac:dyDescent="0.3">
      <c r="A125" t="s">
        <v>1421</v>
      </c>
      <c r="C125" t="s">
        <v>1416</v>
      </c>
      <c r="D125" t="s">
        <v>81</v>
      </c>
      <c r="E125">
        <v>1000</v>
      </c>
      <c r="H125">
        <v>2</v>
      </c>
      <c r="I125" t="s">
        <v>56</v>
      </c>
      <c r="J125">
        <v>2.0000000000000001E-4</v>
      </c>
      <c r="K125" t="s">
        <v>57</v>
      </c>
      <c r="L125" t="s">
        <v>1422</v>
      </c>
      <c r="O125">
        <v>50</v>
      </c>
      <c r="P125" t="s">
        <v>1303</v>
      </c>
      <c r="T125">
        <v>25</v>
      </c>
      <c r="V125">
        <v>50</v>
      </c>
      <c r="W125" t="s">
        <v>1429</v>
      </c>
      <c r="X125" t="s">
        <v>114</v>
      </c>
      <c r="Y125">
        <v>15</v>
      </c>
      <c r="AB125" t="s">
        <v>1430</v>
      </c>
      <c r="AC125" t="s">
        <v>210</v>
      </c>
      <c r="AD125" t="s">
        <v>1431</v>
      </c>
      <c r="AE125" t="s">
        <v>63</v>
      </c>
      <c r="AH125">
        <v>7</v>
      </c>
      <c r="AI125">
        <v>5</v>
      </c>
      <c r="AJ125" t="s">
        <v>201</v>
      </c>
      <c r="AK125">
        <v>2</v>
      </c>
      <c r="AL125" t="s">
        <v>82</v>
      </c>
      <c r="AM125">
        <v>2</v>
      </c>
      <c r="AN125" t="s">
        <v>82</v>
      </c>
      <c r="AT125" t="s">
        <v>150</v>
      </c>
      <c r="AU125">
        <v>10</v>
      </c>
      <c r="AV125" t="s">
        <v>115</v>
      </c>
      <c r="BA125">
        <v>7</v>
      </c>
    </row>
    <row r="126" spans="1:53" x14ac:dyDescent="0.3">
      <c r="A126" t="s">
        <v>1421</v>
      </c>
      <c r="C126" t="s">
        <v>1416</v>
      </c>
      <c r="D126" t="s">
        <v>81</v>
      </c>
      <c r="E126">
        <v>1000</v>
      </c>
      <c r="H126">
        <v>2</v>
      </c>
      <c r="I126" t="s">
        <v>56</v>
      </c>
      <c r="J126">
        <v>2.0000000000000001E-4</v>
      </c>
      <c r="K126" t="s">
        <v>57</v>
      </c>
      <c r="L126" t="s">
        <v>1422</v>
      </c>
      <c r="O126">
        <v>50</v>
      </c>
      <c r="P126" t="s">
        <v>1303</v>
      </c>
      <c r="T126">
        <v>25</v>
      </c>
      <c r="V126">
        <v>50</v>
      </c>
      <c r="W126" t="s">
        <v>1429</v>
      </c>
      <c r="X126" t="s">
        <v>114</v>
      </c>
      <c r="Y126">
        <v>15</v>
      </c>
      <c r="AB126" t="s">
        <v>1430</v>
      </c>
      <c r="AC126" t="s">
        <v>210</v>
      </c>
      <c r="AD126" t="s">
        <v>1431</v>
      </c>
      <c r="AE126" t="s">
        <v>63</v>
      </c>
      <c r="AH126">
        <v>7</v>
      </c>
      <c r="AI126">
        <v>5</v>
      </c>
      <c r="AJ126" t="s">
        <v>201</v>
      </c>
      <c r="AK126">
        <v>2</v>
      </c>
      <c r="AL126" t="s">
        <v>82</v>
      </c>
      <c r="AM126">
        <v>2</v>
      </c>
      <c r="AN126" t="s">
        <v>82</v>
      </c>
      <c r="AT126" t="s">
        <v>150</v>
      </c>
      <c r="AU126">
        <v>10</v>
      </c>
      <c r="AV126" t="s">
        <v>115</v>
      </c>
      <c r="BA126">
        <v>7</v>
      </c>
    </row>
    <row r="127" spans="1:53" x14ac:dyDescent="0.3">
      <c r="A127" t="s">
        <v>1421</v>
      </c>
      <c r="C127" t="s">
        <v>1416</v>
      </c>
      <c r="D127" t="s">
        <v>81</v>
      </c>
      <c r="E127">
        <v>1000</v>
      </c>
      <c r="H127">
        <v>2</v>
      </c>
      <c r="I127" t="s">
        <v>56</v>
      </c>
      <c r="J127">
        <v>2.0000000000000001E-4</v>
      </c>
      <c r="K127" t="s">
        <v>57</v>
      </c>
      <c r="L127" t="s">
        <v>1422</v>
      </c>
      <c r="O127">
        <v>50</v>
      </c>
      <c r="P127" t="s">
        <v>1303</v>
      </c>
      <c r="T127">
        <v>25</v>
      </c>
      <c r="V127">
        <v>50</v>
      </c>
      <c r="W127" t="s">
        <v>1433</v>
      </c>
      <c r="X127" t="s">
        <v>114</v>
      </c>
      <c r="Y127">
        <v>15</v>
      </c>
      <c r="AB127" t="s">
        <v>1430</v>
      </c>
      <c r="AC127" t="s">
        <v>210</v>
      </c>
      <c r="AD127" t="s">
        <v>1431</v>
      </c>
      <c r="AE127" t="s">
        <v>63</v>
      </c>
      <c r="AH127">
        <v>7</v>
      </c>
      <c r="AI127">
        <v>3</v>
      </c>
      <c r="AJ127" t="s">
        <v>201</v>
      </c>
      <c r="AK127">
        <v>2</v>
      </c>
      <c r="AL127" t="s">
        <v>82</v>
      </c>
      <c r="AM127">
        <v>2</v>
      </c>
      <c r="AN127" t="s">
        <v>82</v>
      </c>
      <c r="AT127" t="s">
        <v>65</v>
      </c>
      <c r="AU127">
        <v>10</v>
      </c>
      <c r="AV127" t="s">
        <v>115</v>
      </c>
      <c r="BA127">
        <v>7</v>
      </c>
    </row>
    <row r="128" spans="1:53" x14ac:dyDescent="0.3">
      <c r="A128" t="s">
        <v>1421</v>
      </c>
      <c r="C128" t="s">
        <v>1416</v>
      </c>
      <c r="D128" t="s">
        <v>81</v>
      </c>
      <c r="E128">
        <v>1000</v>
      </c>
      <c r="H128">
        <v>2</v>
      </c>
      <c r="I128" t="s">
        <v>56</v>
      </c>
      <c r="J128">
        <v>2.0000000000000001E-4</v>
      </c>
      <c r="K128" t="s">
        <v>57</v>
      </c>
      <c r="L128" t="s">
        <v>1422</v>
      </c>
      <c r="O128">
        <v>50</v>
      </c>
      <c r="P128" t="s">
        <v>1303</v>
      </c>
      <c r="T128">
        <v>25</v>
      </c>
      <c r="V128">
        <v>50</v>
      </c>
      <c r="W128" t="s">
        <v>1433</v>
      </c>
      <c r="X128" t="s">
        <v>114</v>
      </c>
      <c r="Y128">
        <v>15</v>
      </c>
      <c r="AB128" t="s">
        <v>1430</v>
      </c>
      <c r="AC128" t="s">
        <v>210</v>
      </c>
      <c r="AD128" t="s">
        <v>1431</v>
      </c>
      <c r="AE128" t="s">
        <v>63</v>
      </c>
      <c r="AH128">
        <v>7</v>
      </c>
      <c r="AI128">
        <v>5</v>
      </c>
      <c r="AJ128" t="s">
        <v>201</v>
      </c>
      <c r="AK128">
        <v>2</v>
      </c>
      <c r="AL128" t="s">
        <v>82</v>
      </c>
      <c r="AM128">
        <v>2</v>
      </c>
      <c r="AN128" t="s">
        <v>82</v>
      </c>
      <c r="AT128" t="s">
        <v>65</v>
      </c>
      <c r="AU128">
        <v>10</v>
      </c>
      <c r="AV128" t="s">
        <v>115</v>
      </c>
      <c r="BA128">
        <v>7</v>
      </c>
    </row>
    <row r="129" spans="1:53" x14ac:dyDescent="0.3">
      <c r="A129" t="s">
        <v>1421</v>
      </c>
      <c r="C129" t="s">
        <v>1416</v>
      </c>
      <c r="D129" t="s">
        <v>81</v>
      </c>
      <c r="E129">
        <v>10000000</v>
      </c>
      <c r="H129">
        <v>2</v>
      </c>
      <c r="I129" t="s">
        <v>56</v>
      </c>
      <c r="J129">
        <v>2.0000000000000001E-4</v>
      </c>
      <c r="K129" t="s">
        <v>57</v>
      </c>
      <c r="L129" t="s">
        <v>1422</v>
      </c>
      <c r="O129">
        <v>50</v>
      </c>
      <c r="P129" t="s">
        <v>1303</v>
      </c>
      <c r="T129">
        <v>25</v>
      </c>
      <c r="V129">
        <v>50</v>
      </c>
      <c r="W129" t="s">
        <v>1433</v>
      </c>
      <c r="X129" t="s">
        <v>114</v>
      </c>
      <c r="Y129">
        <v>15</v>
      </c>
      <c r="AB129" t="s">
        <v>1430</v>
      </c>
      <c r="AC129" t="s">
        <v>210</v>
      </c>
      <c r="AD129" t="s">
        <v>1431</v>
      </c>
      <c r="AE129" t="s">
        <v>63</v>
      </c>
      <c r="AH129">
        <v>7</v>
      </c>
      <c r="AI129">
        <v>5</v>
      </c>
      <c r="AJ129" t="s">
        <v>201</v>
      </c>
      <c r="AK129">
        <v>2</v>
      </c>
      <c r="AL129" t="s">
        <v>82</v>
      </c>
      <c r="AM129">
        <v>2</v>
      </c>
      <c r="AN129" t="s">
        <v>82</v>
      </c>
      <c r="AT129" t="s">
        <v>65</v>
      </c>
      <c r="AU129">
        <v>10</v>
      </c>
      <c r="AV129" t="s">
        <v>115</v>
      </c>
      <c r="BA129">
        <v>7</v>
      </c>
    </row>
    <row r="130" spans="1:53" x14ac:dyDescent="0.3">
      <c r="A130" t="s">
        <v>1421</v>
      </c>
      <c r="C130" t="s">
        <v>1416</v>
      </c>
      <c r="D130" t="s">
        <v>81</v>
      </c>
      <c r="E130">
        <v>10000000</v>
      </c>
      <c r="H130">
        <v>2</v>
      </c>
      <c r="I130" t="s">
        <v>56</v>
      </c>
      <c r="J130">
        <v>2.0000000000000001E-4</v>
      </c>
      <c r="K130" t="s">
        <v>57</v>
      </c>
      <c r="L130" t="s">
        <v>1422</v>
      </c>
      <c r="O130">
        <v>50</v>
      </c>
      <c r="P130" t="s">
        <v>1303</v>
      </c>
      <c r="T130">
        <v>25</v>
      </c>
      <c r="V130">
        <v>50</v>
      </c>
      <c r="W130" t="s">
        <v>1435</v>
      </c>
      <c r="X130" t="s">
        <v>114</v>
      </c>
      <c r="Y130">
        <v>15</v>
      </c>
      <c r="AB130" t="s">
        <v>1438</v>
      </c>
      <c r="AC130" t="s">
        <v>210</v>
      </c>
      <c r="AD130" t="s">
        <v>1446</v>
      </c>
      <c r="AE130" t="s">
        <v>63</v>
      </c>
      <c r="AH130">
        <v>7</v>
      </c>
      <c r="AI130">
        <v>3</v>
      </c>
      <c r="AJ130" t="s">
        <v>201</v>
      </c>
      <c r="AK130">
        <v>2</v>
      </c>
      <c r="AL130" t="s">
        <v>82</v>
      </c>
      <c r="AM130">
        <v>2</v>
      </c>
      <c r="AN130" t="s">
        <v>82</v>
      </c>
      <c r="AU130">
        <v>10</v>
      </c>
      <c r="AV130" t="s">
        <v>115</v>
      </c>
      <c r="BA130">
        <v>7</v>
      </c>
    </row>
    <row r="131" spans="1:53" x14ac:dyDescent="0.3">
      <c r="A131" t="s">
        <v>1421</v>
      </c>
      <c r="C131" t="s">
        <v>1416</v>
      </c>
      <c r="D131" t="s">
        <v>81</v>
      </c>
      <c r="E131">
        <v>10000000</v>
      </c>
      <c r="H131">
        <v>2</v>
      </c>
      <c r="I131" t="s">
        <v>56</v>
      </c>
      <c r="J131">
        <v>2.0000000000000001E-4</v>
      </c>
      <c r="K131" t="s">
        <v>57</v>
      </c>
      <c r="L131" t="s">
        <v>1422</v>
      </c>
      <c r="O131">
        <v>50</v>
      </c>
      <c r="P131" t="s">
        <v>1303</v>
      </c>
      <c r="T131">
        <v>25</v>
      </c>
      <c r="V131">
        <v>50</v>
      </c>
      <c r="W131" t="s">
        <v>1435</v>
      </c>
      <c r="X131" t="s">
        <v>114</v>
      </c>
      <c r="Y131">
        <v>15</v>
      </c>
      <c r="AB131" t="s">
        <v>1430</v>
      </c>
      <c r="AC131" t="s">
        <v>210</v>
      </c>
      <c r="AD131" t="s">
        <v>1431</v>
      </c>
      <c r="AE131" t="s">
        <v>63</v>
      </c>
      <c r="AH131">
        <v>7</v>
      </c>
      <c r="AI131">
        <v>5</v>
      </c>
      <c r="AJ131" t="s">
        <v>201</v>
      </c>
      <c r="AK131">
        <v>2</v>
      </c>
      <c r="AL131" t="s">
        <v>82</v>
      </c>
      <c r="AM131">
        <v>2</v>
      </c>
      <c r="AN131" t="s">
        <v>82</v>
      </c>
      <c r="AU131">
        <v>10</v>
      </c>
      <c r="AV131" t="s">
        <v>115</v>
      </c>
      <c r="BA131">
        <v>7</v>
      </c>
    </row>
    <row r="132" spans="1:53" x14ac:dyDescent="0.3">
      <c r="A132" t="s">
        <v>1421</v>
      </c>
      <c r="C132" t="s">
        <v>1416</v>
      </c>
      <c r="D132" t="s">
        <v>81</v>
      </c>
      <c r="E132">
        <v>10000000</v>
      </c>
      <c r="H132">
        <v>2</v>
      </c>
      <c r="I132" t="s">
        <v>56</v>
      </c>
      <c r="J132">
        <v>2.0000000000000001E-4</v>
      </c>
      <c r="K132" t="s">
        <v>57</v>
      </c>
      <c r="L132" t="s">
        <v>1422</v>
      </c>
      <c r="O132">
        <v>50</v>
      </c>
      <c r="P132" t="s">
        <v>1303</v>
      </c>
      <c r="T132">
        <v>25</v>
      </c>
      <c r="V132">
        <v>50</v>
      </c>
      <c r="W132" t="s">
        <v>1435</v>
      </c>
      <c r="X132" t="s">
        <v>114</v>
      </c>
      <c r="Y132">
        <v>15</v>
      </c>
      <c r="AB132" t="s">
        <v>1430</v>
      </c>
      <c r="AC132" t="s">
        <v>210</v>
      </c>
      <c r="AD132" t="s">
        <v>1431</v>
      </c>
      <c r="AE132" t="s">
        <v>63</v>
      </c>
      <c r="AH132">
        <v>7</v>
      </c>
      <c r="AI132">
        <v>5</v>
      </c>
      <c r="AJ132" t="s">
        <v>201</v>
      </c>
      <c r="AK132">
        <v>2</v>
      </c>
      <c r="AL132" t="s">
        <v>82</v>
      </c>
      <c r="AM132">
        <v>2</v>
      </c>
      <c r="AN132" t="s">
        <v>82</v>
      </c>
      <c r="AU132">
        <v>10</v>
      </c>
      <c r="AV132" t="s">
        <v>115</v>
      </c>
      <c r="BA132">
        <v>7</v>
      </c>
    </row>
    <row r="133" spans="1:53" x14ac:dyDescent="0.3">
      <c r="A133" t="s">
        <v>1421</v>
      </c>
      <c r="C133" t="s">
        <v>1416</v>
      </c>
      <c r="D133" t="s">
        <v>81</v>
      </c>
      <c r="E133">
        <v>10000000</v>
      </c>
      <c r="H133">
        <v>2</v>
      </c>
      <c r="I133" t="s">
        <v>56</v>
      </c>
      <c r="J133">
        <v>2.0000000000000001E-4</v>
      </c>
      <c r="K133" t="s">
        <v>57</v>
      </c>
      <c r="L133" t="s">
        <v>1422</v>
      </c>
      <c r="O133">
        <v>50</v>
      </c>
      <c r="P133" t="s">
        <v>1303</v>
      </c>
      <c r="T133">
        <v>25</v>
      </c>
      <c r="V133">
        <v>50</v>
      </c>
      <c r="W133" t="s">
        <v>1436</v>
      </c>
      <c r="X133" t="s">
        <v>114</v>
      </c>
      <c r="Y133">
        <v>15</v>
      </c>
      <c r="AB133" t="s">
        <v>1447</v>
      </c>
      <c r="AC133" t="s">
        <v>210</v>
      </c>
      <c r="AD133" t="s">
        <v>1425</v>
      </c>
      <c r="AE133" t="s">
        <v>63</v>
      </c>
      <c r="AH133">
        <v>7</v>
      </c>
      <c r="AI133">
        <v>3</v>
      </c>
      <c r="AJ133" t="s">
        <v>201</v>
      </c>
      <c r="AK133">
        <v>2</v>
      </c>
      <c r="AL133" t="s">
        <v>82</v>
      </c>
      <c r="AM133">
        <v>2</v>
      </c>
      <c r="AN133" t="s">
        <v>82</v>
      </c>
      <c r="AU133">
        <v>10</v>
      </c>
      <c r="AV133" t="s">
        <v>115</v>
      </c>
      <c r="BA133">
        <v>7</v>
      </c>
    </row>
    <row r="134" spans="1:53" x14ac:dyDescent="0.3">
      <c r="A134" t="s">
        <v>1421</v>
      </c>
      <c r="C134" t="s">
        <v>1416</v>
      </c>
      <c r="D134" t="s">
        <v>81</v>
      </c>
      <c r="E134">
        <v>10000000</v>
      </c>
      <c r="H134">
        <v>2</v>
      </c>
      <c r="I134" t="s">
        <v>56</v>
      </c>
      <c r="J134">
        <v>2.0000000000000001E-4</v>
      </c>
      <c r="K134" t="s">
        <v>57</v>
      </c>
      <c r="L134" t="s">
        <v>1422</v>
      </c>
      <c r="O134">
        <v>50</v>
      </c>
      <c r="P134" t="s">
        <v>1303</v>
      </c>
      <c r="T134">
        <v>25</v>
      </c>
      <c r="V134">
        <v>50</v>
      </c>
      <c r="W134" t="s">
        <v>1436</v>
      </c>
      <c r="X134" t="s">
        <v>114</v>
      </c>
      <c r="Y134">
        <v>15</v>
      </c>
      <c r="AB134" t="s">
        <v>1448</v>
      </c>
      <c r="AC134" t="s">
        <v>210</v>
      </c>
      <c r="AD134" t="s">
        <v>1439</v>
      </c>
      <c r="AE134" t="s">
        <v>63</v>
      </c>
      <c r="AH134">
        <v>7</v>
      </c>
      <c r="AI134">
        <v>5</v>
      </c>
      <c r="AJ134" t="s">
        <v>201</v>
      </c>
      <c r="AK134">
        <v>2</v>
      </c>
      <c r="AL134" t="s">
        <v>82</v>
      </c>
      <c r="AM134">
        <v>2</v>
      </c>
      <c r="AN134" t="s">
        <v>82</v>
      </c>
      <c r="AU134">
        <v>10</v>
      </c>
      <c r="AV134" t="s">
        <v>115</v>
      </c>
      <c r="BA134">
        <v>7</v>
      </c>
    </row>
    <row r="135" spans="1:53" x14ac:dyDescent="0.3">
      <c r="A135" t="s">
        <v>1421</v>
      </c>
      <c r="C135" t="s">
        <v>1416</v>
      </c>
      <c r="D135" t="s">
        <v>81</v>
      </c>
      <c r="E135">
        <v>10000000</v>
      </c>
      <c r="H135">
        <v>2</v>
      </c>
      <c r="I135" t="s">
        <v>56</v>
      </c>
      <c r="J135">
        <v>2.0000000000000001E-4</v>
      </c>
      <c r="K135" t="s">
        <v>57</v>
      </c>
      <c r="L135" t="s">
        <v>1422</v>
      </c>
      <c r="O135">
        <v>50</v>
      </c>
      <c r="P135" t="s">
        <v>1303</v>
      </c>
      <c r="T135">
        <v>25</v>
      </c>
      <c r="V135">
        <v>50</v>
      </c>
      <c r="W135" t="s">
        <v>1436</v>
      </c>
      <c r="X135" t="s">
        <v>114</v>
      </c>
      <c r="Y135">
        <v>15</v>
      </c>
      <c r="AB135" t="s">
        <v>1449</v>
      </c>
      <c r="AC135" t="s">
        <v>210</v>
      </c>
      <c r="AD135" t="s">
        <v>1443</v>
      </c>
      <c r="AE135" t="s">
        <v>63</v>
      </c>
      <c r="AH135">
        <v>7</v>
      </c>
      <c r="AI135">
        <v>5</v>
      </c>
      <c r="AJ135" t="s">
        <v>201</v>
      </c>
      <c r="AK135">
        <v>2</v>
      </c>
      <c r="AL135" t="s">
        <v>82</v>
      </c>
      <c r="AM135">
        <v>2</v>
      </c>
      <c r="AN135" t="s">
        <v>82</v>
      </c>
      <c r="AU135">
        <v>10</v>
      </c>
      <c r="AV135" t="s">
        <v>115</v>
      </c>
      <c r="BA135">
        <v>7</v>
      </c>
    </row>
    <row r="136" spans="1:53" x14ac:dyDescent="0.3">
      <c r="A136" t="s">
        <v>1421</v>
      </c>
      <c r="C136" t="s">
        <v>1416</v>
      </c>
      <c r="D136" t="s">
        <v>81</v>
      </c>
      <c r="E136">
        <v>10000000</v>
      </c>
      <c r="H136">
        <v>2</v>
      </c>
      <c r="I136" t="s">
        <v>56</v>
      </c>
      <c r="J136">
        <v>2.0000000000000001E-4</v>
      </c>
      <c r="K136" t="s">
        <v>57</v>
      </c>
      <c r="L136" t="s">
        <v>1422</v>
      </c>
      <c r="O136">
        <v>50</v>
      </c>
      <c r="P136" t="s">
        <v>1303</v>
      </c>
      <c r="T136">
        <v>25</v>
      </c>
      <c r="V136">
        <v>50</v>
      </c>
      <c r="W136" t="s">
        <v>1440</v>
      </c>
      <c r="X136" t="s">
        <v>114</v>
      </c>
      <c r="Y136">
        <v>15</v>
      </c>
      <c r="AB136" t="s">
        <v>1450</v>
      </c>
      <c r="AC136" t="s">
        <v>210</v>
      </c>
      <c r="AD136" t="s">
        <v>1451</v>
      </c>
      <c r="AE136" t="s">
        <v>63</v>
      </c>
      <c r="AH136">
        <v>7</v>
      </c>
      <c r="AI136">
        <v>3</v>
      </c>
      <c r="AJ136" t="s">
        <v>201</v>
      </c>
      <c r="AK136">
        <v>2</v>
      </c>
      <c r="AL136" t="s">
        <v>82</v>
      </c>
      <c r="AM136">
        <v>2</v>
      </c>
      <c r="AN136" t="s">
        <v>82</v>
      </c>
      <c r="AU136">
        <v>10</v>
      </c>
      <c r="AV136" t="s">
        <v>115</v>
      </c>
      <c r="BA136">
        <v>7</v>
      </c>
    </row>
    <row r="137" spans="1:53" x14ac:dyDescent="0.3">
      <c r="A137" t="s">
        <v>1421</v>
      </c>
      <c r="C137" t="s">
        <v>1416</v>
      </c>
      <c r="D137" t="s">
        <v>81</v>
      </c>
      <c r="E137">
        <v>10000000</v>
      </c>
      <c r="H137">
        <v>2</v>
      </c>
      <c r="I137" t="s">
        <v>56</v>
      </c>
      <c r="J137">
        <v>2.0000000000000001E-4</v>
      </c>
      <c r="K137" t="s">
        <v>57</v>
      </c>
      <c r="L137" t="s">
        <v>1422</v>
      </c>
      <c r="O137">
        <v>50</v>
      </c>
      <c r="P137" t="s">
        <v>1303</v>
      </c>
      <c r="T137">
        <v>25</v>
      </c>
      <c r="V137">
        <v>50</v>
      </c>
      <c r="W137" t="s">
        <v>1440</v>
      </c>
      <c r="X137" t="s">
        <v>114</v>
      </c>
      <c r="Y137">
        <v>15</v>
      </c>
      <c r="AB137" t="s">
        <v>1438</v>
      </c>
      <c r="AC137" t="s">
        <v>210</v>
      </c>
      <c r="AD137" t="s">
        <v>1446</v>
      </c>
      <c r="AE137" t="s">
        <v>63</v>
      </c>
      <c r="AH137">
        <v>7</v>
      </c>
      <c r="AI137">
        <v>5</v>
      </c>
      <c r="AJ137" t="s">
        <v>201</v>
      </c>
      <c r="AK137">
        <v>2</v>
      </c>
      <c r="AL137" t="s">
        <v>82</v>
      </c>
      <c r="AM137">
        <v>2</v>
      </c>
      <c r="AN137" t="s">
        <v>82</v>
      </c>
      <c r="AU137">
        <v>10</v>
      </c>
      <c r="AV137" t="s">
        <v>115</v>
      </c>
      <c r="BA137">
        <v>7</v>
      </c>
    </row>
    <row r="138" spans="1:53" x14ac:dyDescent="0.3">
      <c r="A138" t="s">
        <v>1421</v>
      </c>
      <c r="C138" t="s">
        <v>1416</v>
      </c>
      <c r="D138" t="s">
        <v>81</v>
      </c>
      <c r="E138">
        <v>10000000</v>
      </c>
      <c r="H138">
        <v>2</v>
      </c>
      <c r="I138" t="s">
        <v>56</v>
      </c>
      <c r="J138">
        <v>2.0000000000000001E-4</v>
      </c>
      <c r="K138" t="s">
        <v>57</v>
      </c>
      <c r="L138" t="s">
        <v>1422</v>
      </c>
      <c r="O138">
        <v>50</v>
      </c>
      <c r="P138" t="s">
        <v>1303</v>
      </c>
      <c r="T138">
        <v>25</v>
      </c>
      <c r="V138">
        <v>50</v>
      </c>
      <c r="W138" t="s">
        <v>1440</v>
      </c>
      <c r="X138" t="s">
        <v>114</v>
      </c>
      <c r="Y138">
        <v>15</v>
      </c>
      <c r="AB138" t="s">
        <v>1430</v>
      </c>
      <c r="AC138" t="s">
        <v>210</v>
      </c>
      <c r="AD138" t="s">
        <v>1431</v>
      </c>
      <c r="AE138" t="s">
        <v>63</v>
      </c>
      <c r="AH138">
        <v>7</v>
      </c>
      <c r="AI138">
        <v>5</v>
      </c>
      <c r="AJ138" t="s">
        <v>201</v>
      </c>
      <c r="AK138">
        <v>2</v>
      </c>
      <c r="AL138" t="s">
        <v>82</v>
      </c>
      <c r="AM138">
        <v>2</v>
      </c>
      <c r="AN138" t="s">
        <v>82</v>
      </c>
      <c r="AU138">
        <v>10</v>
      </c>
      <c r="AV138" t="s">
        <v>115</v>
      </c>
      <c r="BA138">
        <v>7</v>
      </c>
    </row>
    <row r="139" spans="1:53" x14ac:dyDescent="0.3">
      <c r="A139" t="s">
        <v>1421</v>
      </c>
      <c r="C139" t="s">
        <v>1416</v>
      </c>
      <c r="D139" t="s">
        <v>81</v>
      </c>
      <c r="E139">
        <v>10000000</v>
      </c>
      <c r="H139">
        <v>2</v>
      </c>
      <c r="I139" t="s">
        <v>56</v>
      </c>
      <c r="J139">
        <v>2.0000000000000001E-4</v>
      </c>
      <c r="K139" t="s">
        <v>57</v>
      </c>
      <c r="L139" t="s">
        <v>1422</v>
      </c>
      <c r="O139">
        <v>50</v>
      </c>
      <c r="P139" t="s">
        <v>1303</v>
      </c>
      <c r="T139">
        <v>25</v>
      </c>
      <c r="V139">
        <v>50</v>
      </c>
      <c r="W139" t="s">
        <v>1441</v>
      </c>
      <c r="X139" t="s">
        <v>114</v>
      </c>
      <c r="Y139">
        <v>15</v>
      </c>
      <c r="AB139" t="s">
        <v>1430</v>
      </c>
      <c r="AC139" t="s">
        <v>210</v>
      </c>
      <c r="AD139" t="s">
        <v>1431</v>
      </c>
      <c r="AE139" t="s">
        <v>63</v>
      </c>
      <c r="AH139">
        <v>7</v>
      </c>
      <c r="AI139">
        <v>3</v>
      </c>
      <c r="AJ139" t="s">
        <v>201</v>
      </c>
      <c r="AK139">
        <v>2</v>
      </c>
      <c r="AL139" t="s">
        <v>82</v>
      </c>
      <c r="AM139">
        <v>2</v>
      </c>
      <c r="AN139" t="s">
        <v>82</v>
      </c>
      <c r="AU139">
        <v>10</v>
      </c>
      <c r="AV139" t="s">
        <v>115</v>
      </c>
      <c r="BA139">
        <v>7</v>
      </c>
    </row>
    <row r="140" spans="1:53" x14ac:dyDescent="0.3">
      <c r="A140" t="s">
        <v>1421</v>
      </c>
      <c r="C140" t="s">
        <v>1416</v>
      </c>
      <c r="D140" t="s">
        <v>81</v>
      </c>
      <c r="E140">
        <v>10000000</v>
      </c>
      <c r="H140">
        <v>2</v>
      </c>
      <c r="I140" t="s">
        <v>56</v>
      </c>
      <c r="J140">
        <v>2.0000000000000001E-4</v>
      </c>
      <c r="K140" t="s">
        <v>57</v>
      </c>
      <c r="L140" t="s">
        <v>1422</v>
      </c>
      <c r="O140">
        <v>50</v>
      </c>
      <c r="P140" t="s">
        <v>1303</v>
      </c>
      <c r="T140">
        <v>25</v>
      </c>
      <c r="V140">
        <v>50</v>
      </c>
      <c r="W140" t="s">
        <v>1441</v>
      </c>
      <c r="X140" t="s">
        <v>114</v>
      </c>
      <c r="Y140">
        <v>15</v>
      </c>
      <c r="AB140" t="s">
        <v>1432</v>
      </c>
      <c r="AC140" t="s">
        <v>210</v>
      </c>
      <c r="AD140" t="s">
        <v>1425</v>
      </c>
      <c r="AE140" t="s">
        <v>63</v>
      </c>
      <c r="AH140">
        <v>7</v>
      </c>
      <c r="AI140">
        <v>5</v>
      </c>
      <c r="AJ140" t="s">
        <v>201</v>
      </c>
      <c r="AK140">
        <v>2</v>
      </c>
      <c r="AL140" t="s">
        <v>82</v>
      </c>
      <c r="AM140">
        <v>2</v>
      </c>
      <c r="AN140" t="s">
        <v>82</v>
      </c>
      <c r="AU140">
        <v>10</v>
      </c>
      <c r="AV140" t="s">
        <v>115</v>
      </c>
      <c r="BA140">
        <v>7</v>
      </c>
    </row>
    <row r="141" spans="1:53" x14ac:dyDescent="0.3">
      <c r="A141" t="s">
        <v>1421</v>
      </c>
      <c r="C141" t="s">
        <v>1416</v>
      </c>
      <c r="D141" t="s">
        <v>81</v>
      </c>
      <c r="E141">
        <v>10000000</v>
      </c>
      <c r="H141">
        <v>2</v>
      </c>
      <c r="I141" t="s">
        <v>56</v>
      </c>
      <c r="J141">
        <v>2.0000000000000001E-4</v>
      </c>
      <c r="K141" t="s">
        <v>57</v>
      </c>
      <c r="L141" t="s">
        <v>1422</v>
      </c>
      <c r="O141">
        <v>50</v>
      </c>
      <c r="P141" t="s">
        <v>1303</v>
      </c>
      <c r="T141">
        <v>25</v>
      </c>
      <c r="V141">
        <v>50</v>
      </c>
      <c r="W141" t="s">
        <v>1441</v>
      </c>
      <c r="X141" t="s">
        <v>114</v>
      </c>
      <c r="Y141">
        <v>15</v>
      </c>
      <c r="AB141" t="s">
        <v>1438</v>
      </c>
      <c r="AC141" t="s">
        <v>210</v>
      </c>
      <c r="AD141" t="s">
        <v>1439</v>
      </c>
      <c r="AE141" t="s">
        <v>63</v>
      </c>
      <c r="AH141">
        <v>7</v>
      </c>
      <c r="AI141">
        <v>5</v>
      </c>
      <c r="AJ141" t="s">
        <v>201</v>
      </c>
      <c r="AK141">
        <v>2</v>
      </c>
      <c r="AL141" t="s">
        <v>82</v>
      </c>
      <c r="AM141">
        <v>2</v>
      </c>
      <c r="AN141" t="s">
        <v>82</v>
      </c>
      <c r="AU141">
        <v>10</v>
      </c>
      <c r="AV141" t="s">
        <v>115</v>
      </c>
      <c r="BA141">
        <v>7</v>
      </c>
    </row>
    <row r="142" spans="1:53" x14ac:dyDescent="0.3">
      <c r="A142" t="s">
        <v>1421</v>
      </c>
      <c r="C142" t="s">
        <v>1416</v>
      </c>
      <c r="D142" t="s">
        <v>81</v>
      </c>
      <c r="E142">
        <v>10000000</v>
      </c>
      <c r="H142">
        <v>2</v>
      </c>
      <c r="I142" t="s">
        <v>56</v>
      </c>
      <c r="J142">
        <v>2.0000000000000001E-4</v>
      </c>
      <c r="K142" t="s">
        <v>57</v>
      </c>
      <c r="L142" t="s">
        <v>1422</v>
      </c>
      <c r="O142">
        <v>50</v>
      </c>
      <c r="P142" t="s">
        <v>1303</v>
      </c>
      <c r="T142">
        <v>25</v>
      </c>
      <c r="V142">
        <v>50</v>
      </c>
      <c r="W142" t="s">
        <v>1423</v>
      </c>
      <c r="X142" t="s">
        <v>114</v>
      </c>
      <c r="Y142">
        <v>15</v>
      </c>
      <c r="AB142" t="s">
        <v>1432</v>
      </c>
      <c r="AC142" t="s">
        <v>210</v>
      </c>
      <c r="AD142" t="s">
        <v>1452</v>
      </c>
      <c r="AE142" t="s">
        <v>63</v>
      </c>
      <c r="AH142">
        <v>7</v>
      </c>
      <c r="AI142">
        <v>3</v>
      </c>
      <c r="AJ142" t="s">
        <v>201</v>
      </c>
      <c r="AK142">
        <v>2</v>
      </c>
      <c r="AL142" t="s">
        <v>82</v>
      </c>
      <c r="AM142">
        <v>2</v>
      </c>
      <c r="AN142" t="s">
        <v>82</v>
      </c>
      <c r="AU142">
        <v>10</v>
      </c>
      <c r="AV142" t="s">
        <v>115</v>
      </c>
      <c r="BA142">
        <v>7</v>
      </c>
    </row>
    <row r="143" spans="1:53" x14ac:dyDescent="0.3">
      <c r="A143" t="s">
        <v>1421</v>
      </c>
      <c r="C143" t="s">
        <v>1416</v>
      </c>
      <c r="D143" t="s">
        <v>81</v>
      </c>
      <c r="E143">
        <v>10000000</v>
      </c>
      <c r="H143">
        <v>2</v>
      </c>
      <c r="I143" t="s">
        <v>56</v>
      </c>
      <c r="J143">
        <v>2.0000000000000001E-4</v>
      </c>
      <c r="K143" t="s">
        <v>57</v>
      </c>
      <c r="L143" t="s">
        <v>1422</v>
      </c>
      <c r="O143">
        <v>50</v>
      </c>
      <c r="P143" t="s">
        <v>1303</v>
      </c>
      <c r="T143">
        <v>25</v>
      </c>
      <c r="V143">
        <v>50</v>
      </c>
      <c r="W143" t="s">
        <v>1423</v>
      </c>
      <c r="X143" t="s">
        <v>114</v>
      </c>
      <c r="Y143">
        <v>15</v>
      </c>
      <c r="AB143" t="s">
        <v>1430</v>
      </c>
      <c r="AC143" t="s">
        <v>210</v>
      </c>
      <c r="AD143" t="s">
        <v>1431</v>
      </c>
      <c r="AE143" t="s">
        <v>63</v>
      </c>
      <c r="AH143">
        <v>7</v>
      </c>
      <c r="AI143">
        <v>5</v>
      </c>
      <c r="AJ143" t="s">
        <v>201</v>
      </c>
      <c r="AK143">
        <v>2</v>
      </c>
      <c r="AL143" t="s">
        <v>82</v>
      </c>
      <c r="AM143">
        <v>2</v>
      </c>
      <c r="AN143" t="s">
        <v>82</v>
      </c>
      <c r="AU143">
        <v>10</v>
      </c>
      <c r="AV143" t="s">
        <v>115</v>
      </c>
      <c r="BA143">
        <v>7</v>
      </c>
    </row>
    <row r="144" spans="1:53" x14ac:dyDescent="0.3">
      <c r="A144" t="s">
        <v>1421</v>
      </c>
      <c r="C144" t="s">
        <v>1416</v>
      </c>
      <c r="D144" t="s">
        <v>81</v>
      </c>
      <c r="E144">
        <v>10000000</v>
      </c>
      <c r="H144">
        <v>2</v>
      </c>
      <c r="I144" t="s">
        <v>56</v>
      </c>
      <c r="J144">
        <v>2.0000000000000001E-4</v>
      </c>
      <c r="K144" t="s">
        <v>57</v>
      </c>
      <c r="L144" t="s">
        <v>1422</v>
      </c>
      <c r="O144">
        <v>50</v>
      </c>
      <c r="P144" t="s">
        <v>1303</v>
      </c>
      <c r="T144">
        <v>25</v>
      </c>
      <c r="V144">
        <v>50</v>
      </c>
      <c r="W144" t="s">
        <v>1423</v>
      </c>
      <c r="X144" t="s">
        <v>114</v>
      </c>
      <c r="Y144">
        <v>15</v>
      </c>
      <c r="AB144" t="s">
        <v>1430</v>
      </c>
      <c r="AC144" t="s">
        <v>210</v>
      </c>
      <c r="AD144" t="s">
        <v>1431</v>
      </c>
      <c r="AE144" t="s">
        <v>63</v>
      </c>
      <c r="AH144">
        <v>7</v>
      </c>
      <c r="AI144">
        <v>5</v>
      </c>
      <c r="AJ144" t="s">
        <v>201</v>
      </c>
      <c r="AK144">
        <v>2</v>
      </c>
      <c r="AL144" t="s">
        <v>82</v>
      </c>
      <c r="AM144">
        <v>2</v>
      </c>
      <c r="AN144" t="s">
        <v>82</v>
      </c>
      <c r="AU144">
        <v>10</v>
      </c>
      <c r="AV144" t="s">
        <v>115</v>
      </c>
      <c r="BA144">
        <v>7</v>
      </c>
    </row>
    <row r="145" spans="1:53" x14ac:dyDescent="0.3">
      <c r="A145" t="s">
        <v>1421</v>
      </c>
      <c r="C145" t="s">
        <v>1416</v>
      </c>
      <c r="D145" t="s">
        <v>81</v>
      </c>
      <c r="E145">
        <v>100000000</v>
      </c>
      <c r="H145">
        <v>2</v>
      </c>
      <c r="I145" t="s">
        <v>56</v>
      </c>
      <c r="J145">
        <v>2.0000000000000001E-4</v>
      </c>
      <c r="K145" t="s">
        <v>57</v>
      </c>
      <c r="L145" t="s">
        <v>1422</v>
      </c>
      <c r="O145">
        <v>50</v>
      </c>
      <c r="P145" t="s">
        <v>1303</v>
      </c>
      <c r="T145">
        <v>25</v>
      </c>
      <c r="V145">
        <v>50</v>
      </c>
      <c r="W145" t="s">
        <v>1429</v>
      </c>
      <c r="X145" t="s">
        <v>114</v>
      </c>
      <c r="Y145">
        <v>15</v>
      </c>
      <c r="AB145" t="s">
        <v>1430</v>
      </c>
      <c r="AC145" t="s">
        <v>210</v>
      </c>
      <c r="AD145" t="s">
        <v>1431</v>
      </c>
      <c r="AE145" t="s">
        <v>63</v>
      </c>
      <c r="AH145">
        <v>7</v>
      </c>
      <c r="AI145">
        <v>3</v>
      </c>
      <c r="AJ145" t="s">
        <v>201</v>
      </c>
      <c r="AK145">
        <v>2</v>
      </c>
      <c r="AL145" t="s">
        <v>82</v>
      </c>
      <c r="AM145">
        <v>2</v>
      </c>
      <c r="AN145" t="s">
        <v>82</v>
      </c>
      <c r="AT145" t="s">
        <v>150</v>
      </c>
      <c r="AU145">
        <v>10</v>
      </c>
      <c r="AV145" t="s">
        <v>115</v>
      </c>
      <c r="BA145">
        <v>7</v>
      </c>
    </row>
    <row r="146" spans="1:53" x14ac:dyDescent="0.3">
      <c r="A146" t="s">
        <v>1421</v>
      </c>
      <c r="C146" t="s">
        <v>1416</v>
      </c>
      <c r="D146" t="s">
        <v>81</v>
      </c>
      <c r="E146">
        <v>100000000</v>
      </c>
      <c r="H146">
        <v>2</v>
      </c>
      <c r="I146" t="s">
        <v>56</v>
      </c>
      <c r="J146">
        <v>2.0000000000000001E-4</v>
      </c>
      <c r="K146" t="s">
        <v>57</v>
      </c>
      <c r="L146" t="s">
        <v>1422</v>
      </c>
      <c r="O146">
        <v>50</v>
      </c>
      <c r="P146" t="s">
        <v>1303</v>
      </c>
      <c r="T146">
        <v>25</v>
      </c>
      <c r="V146">
        <v>50</v>
      </c>
      <c r="W146" t="s">
        <v>1429</v>
      </c>
      <c r="X146" t="s">
        <v>114</v>
      </c>
      <c r="Y146">
        <v>15</v>
      </c>
      <c r="AB146" t="s">
        <v>1430</v>
      </c>
      <c r="AC146" t="s">
        <v>210</v>
      </c>
      <c r="AD146" t="s">
        <v>1431</v>
      </c>
      <c r="AE146" t="s">
        <v>63</v>
      </c>
      <c r="AH146">
        <v>7</v>
      </c>
      <c r="AI146">
        <v>5</v>
      </c>
      <c r="AJ146" t="s">
        <v>201</v>
      </c>
      <c r="AK146">
        <v>2</v>
      </c>
      <c r="AL146" t="s">
        <v>82</v>
      </c>
      <c r="AM146">
        <v>2</v>
      </c>
      <c r="AN146" t="s">
        <v>82</v>
      </c>
      <c r="AT146" t="s">
        <v>150</v>
      </c>
      <c r="AU146">
        <v>10</v>
      </c>
      <c r="AV146" t="s">
        <v>115</v>
      </c>
      <c r="BA146">
        <v>7</v>
      </c>
    </row>
    <row r="147" spans="1:53" x14ac:dyDescent="0.3">
      <c r="A147" t="s">
        <v>1421</v>
      </c>
      <c r="C147" t="s">
        <v>1416</v>
      </c>
      <c r="D147" t="s">
        <v>81</v>
      </c>
      <c r="E147">
        <v>100000000</v>
      </c>
      <c r="H147">
        <v>2</v>
      </c>
      <c r="I147" t="s">
        <v>56</v>
      </c>
      <c r="J147">
        <v>2.0000000000000001E-4</v>
      </c>
      <c r="K147" t="s">
        <v>57</v>
      </c>
      <c r="L147" t="s">
        <v>1422</v>
      </c>
      <c r="O147">
        <v>50</v>
      </c>
      <c r="P147" t="s">
        <v>1303</v>
      </c>
      <c r="T147">
        <v>25</v>
      </c>
      <c r="V147">
        <v>50</v>
      </c>
      <c r="W147" t="s">
        <v>1429</v>
      </c>
      <c r="X147" t="s">
        <v>114</v>
      </c>
      <c r="Y147">
        <v>15</v>
      </c>
      <c r="AB147" t="s">
        <v>1430</v>
      </c>
      <c r="AC147" t="s">
        <v>210</v>
      </c>
      <c r="AD147" t="s">
        <v>1431</v>
      </c>
      <c r="AE147" t="s">
        <v>63</v>
      </c>
      <c r="AH147">
        <v>7</v>
      </c>
      <c r="AI147">
        <v>5</v>
      </c>
      <c r="AJ147" t="s">
        <v>201</v>
      </c>
      <c r="AK147">
        <v>2</v>
      </c>
      <c r="AL147" t="s">
        <v>82</v>
      </c>
      <c r="AM147">
        <v>2</v>
      </c>
      <c r="AN147" t="s">
        <v>82</v>
      </c>
      <c r="AT147" t="s">
        <v>150</v>
      </c>
      <c r="AU147">
        <v>10</v>
      </c>
      <c r="AV147" t="s">
        <v>115</v>
      </c>
      <c r="BA147">
        <v>7</v>
      </c>
    </row>
    <row r="148" spans="1:53" x14ac:dyDescent="0.3">
      <c r="A148" t="s">
        <v>1421</v>
      </c>
      <c r="C148" t="s">
        <v>1416</v>
      </c>
      <c r="D148" t="s">
        <v>81</v>
      </c>
      <c r="E148">
        <v>100000000</v>
      </c>
      <c r="H148">
        <v>2</v>
      </c>
      <c r="I148" t="s">
        <v>56</v>
      </c>
      <c r="J148">
        <v>2.0000000000000001E-4</v>
      </c>
      <c r="K148" t="s">
        <v>57</v>
      </c>
      <c r="L148" t="s">
        <v>1422</v>
      </c>
      <c r="O148">
        <v>50</v>
      </c>
      <c r="P148" t="s">
        <v>1303</v>
      </c>
      <c r="T148">
        <v>25</v>
      </c>
      <c r="V148">
        <v>50</v>
      </c>
      <c r="W148" t="s">
        <v>1433</v>
      </c>
      <c r="X148" t="s">
        <v>114</v>
      </c>
      <c r="Y148">
        <v>15</v>
      </c>
      <c r="AB148" t="s">
        <v>1430</v>
      </c>
      <c r="AC148" t="s">
        <v>210</v>
      </c>
      <c r="AD148" t="s">
        <v>1431</v>
      </c>
      <c r="AE148" t="s">
        <v>63</v>
      </c>
      <c r="AH148">
        <v>7</v>
      </c>
      <c r="AI148">
        <v>3</v>
      </c>
      <c r="AJ148" t="s">
        <v>201</v>
      </c>
      <c r="AK148">
        <v>2</v>
      </c>
      <c r="AL148" t="s">
        <v>82</v>
      </c>
      <c r="AM148">
        <v>2</v>
      </c>
      <c r="AN148" t="s">
        <v>82</v>
      </c>
      <c r="AT148" t="s">
        <v>65</v>
      </c>
      <c r="AU148">
        <v>10</v>
      </c>
      <c r="AV148" t="s">
        <v>115</v>
      </c>
      <c r="BA148">
        <v>7</v>
      </c>
    </row>
    <row r="149" spans="1:53" x14ac:dyDescent="0.3">
      <c r="A149" t="s">
        <v>1421</v>
      </c>
      <c r="C149" t="s">
        <v>1416</v>
      </c>
      <c r="D149" t="s">
        <v>81</v>
      </c>
      <c r="E149">
        <v>100000000</v>
      </c>
      <c r="H149">
        <v>2</v>
      </c>
      <c r="I149" t="s">
        <v>56</v>
      </c>
      <c r="J149">
        <v>2.0000000000000001E-4</v>
      </c>
      <c r="K149" t="s">
        <v>57</v>
      </c>
      <c r="L149" t="s">
        <v>1422</v>
      </c>
      <c r="O149">
        <v>50</v>
      </c>
      <c r="P149" t="s">
        <v>1303</v>
      </c>
      <c r="T149">
        <v>25</v>
      </c>
      <c r="V149">
        <v>50</v>
      </c>
      <c r="W149" t="s">
        <v>1433</v>
      </c>
      <c r="X149" t="s">
        <v>114</v>
      </c>
      <c r="Y149">
        <v>15</v>
      </c>
      <c r="AB149" t="s">
        <v>1430</v>
      </c>
      <c r="AC149" t="s">
        <v>210</v>
      </c>
      <c r="AD149" t="s">
        <v>1431</v>
      </c>
      <c r="AE149" t="s">
        <v>63</v>
      </c>
      <c r="AH149">
        <v>7</v>
      </c>
      <c r="AI149">
        <v>5</v>
      </c>
      <c r="AJ149" t="s">
        <v>201</v>
      </c>
      <c r="AK149">
        <v>2</v>
      </c>
      <c r="AL149" t="s">
        <v>82</v>
      </c>
      <c r="AM149">
        <v>2</v>
      </c>
      <c r="AN149" t="s">
        <v>82</v>
      </c>
      <c r="AT149" t="s">
        <v>65</v>
      </c>
      <c r="AU149">
        <v>10</v>
      </c>
      <c r="AV149" t="s">
        <v>115</v>
      </c>
      <c r="BA149">
        <v>7</v>
      </c>
    </row>
    <row r="150" spans="1:53" x14ac:dyDescent="0.3">
      <c r="A150" t="s">
        <v>1421</v>
      </c>
      <c r="C150" t="s">
        <v>1416</v>
      </c>
      <c r="D150" t="s">
        <v>81</v>
      </c>
      <c r="E150">
        <v>100000000</v>
      </c>
      <c r="H150">
        <v>2</v>
      </c>
      <c r="I150" t="s">
        <v>56</v>
      </c>
      <c r="J150">
        <v>2.0000000000000001E-4</v>
      </c>
      <c r="K150" t="s">
        <v>57</v>
      </c>
      <c r="L150" t="s">
        <v>1422</v>
      </c>
      <c r="O150">
        <v>50</v>
      </c>
      <c r="P150" t="s">
        <v>1303</v>
      </c>
      <c r="T150">
        <v>25</v>
      </c>
      <c r="V150">
        <v>50</v>
      </c>
      <c r="W150" t="s">
        <v>1433</v>
      </c>
      <c r="X150" t="s">
        <v>114</v>
      </c>
      <c r="Y150">
        <v>15</v>
      </c>
      <c r="AB150" t="s">
        <v>1430</v>
      </c>
      <c r="AC150" t="s">
        <v>210</v>
      </c>
      <c r="AD150" t="s">
        <v>1431</v>
      </c>
      <c r="AE150" t="s">
        <v>63</v>
      </c>
      <c r="AH150">
        <v>7</v>
      </c>
      <c r="AI150">
        <v>5</v>
      </c>
      <c r="AJ150" t="s">
        <v>201</v>
      </c>
      <c r="AK150">
        <v>2</v>
      </c>
      <c r="AL150" t="s">
        <v>82</v>
      </c>
      <c r="AM150">
        <v>2</v>
      </c>
      <c r="AN150" t="s">
        <v>82</v>
      </c>
      <c r="AT150" t="s">
        <v>65</v>
      </c>
      <c r="AU150">
        <v>10</v>
      </c>
      <c r="AV150" t="s">
        <v>115</v>
      </c>
      <c r="BA150">
        <v>7</v>
      </c>
    </row>
    <row r="151" spans="1:53" x14ac:dyDescent="0.3">
      <c r="A151" t="s">
        <v>1421</v>
      </c>
      <c r="C151" t="s">
        <v>1416</v>
      </c>
      <c r="D151" t="s">
        <v>81</v>
      </c>
      <c r="E151">
        <v>10000000</v>
      </c>
      <c r="H151">
        <v>2</v>
      </c>
      <c r="I151" t="s">
        <v>56</v>
      </c>
      <c r="J151">
        <v>2.0000000000000001E-4</v>
      </c>
      <c r="K151" t="s">
        <v>57</v>
      </c>
      <c r="L151" t="s">
        <v>1422</v>
      </c>
      <c r="O151">
        <v>50</v>
      </c>
      <c r="P151" t="s">
        <v>1303</v>
      </c>
      <c r="T151">
        <v>25</v>
      </c>
      <c r="V151">
        <v>50</v>
      </c>
      <c r="W151" t="s">
        <v>1435</v>
      </c>
      <c r="X151" t="s">
        <v>114</v>
      </c>
      <c r="Y151">
        <v>15</v>
      </c>
      <c r="AB151" t="s">
        <v>1430</v>
      </c>
      <c r="AC151" t="s">
        <v>210</v>
      </c>
      <c r="AD151" t="s">
        <v>1431</v>
      </c>
      <c r="AE151" t="s">
        <v>63</v>
      </c>
      <c r="AH151">
        <v>7</v>
      </c>
      <c r="AI151">
        <v>3</v>
      </c>
      <c r="AJ151" t="s">
        <v>201</v>
      </c>
      <c r="AK151">
        <v>2</v>
      </c>
      <c r="AL151" t="s">
        <v>82</v>
      </c>
      <c r="AM151">
        <v>2</v>
      </c>
      <c r="AN151" t="s">
        <v>82</v>
      </c>
      <c r="AU151">
        <v>10</v>
      </c>
      <c r="AV151" t="s">
        <v>115</v>
      </c>
      <c r="BA151">
        <v>7</v>
      </c>
    </row>
    <row r="152" spans="1:53" x14ac:dyDescent="0.3">
      <c r="A152" t="s">
        <v>1421</v>
      </c>
      <c r="C152" t="s">
        <v>1416</v>
      </c>
      <c r="D152" t="s">
        <v>81</v>
      </c>
      <c r="E152">
        <v>10000000</v>
      </c>
      <c r="H152">
        <v>2</v>
      </c>
      <c r="I152" t="s">
        <v>56</v>
      </c>
      <c r="J152">
        <v>2.0000000000000001E-4</v>
      </c>
      <c r="K152" t="s">
        <v>57</v>
      </c>
      <c r="L152" t="s">
        <v>1422</v>
      </c>
      <c r="O152">
        <v>50</v>
      </c>
      <c r="P152" t="s">
        <v>1303</v>
      </c>
      <c r="T152">
        <v>25</v>
      </c>
      <c r="V152">
        <v>50</v>
      </c>
      <c r="W152" t="s">
        <v>1435</v>
      </c>
      <c r="X152" t="s">
        <v>114</v>
      </c>
      <c r="Y152">
        <v>15</v>
      </c>
      <c r="AB152" t="s">
        <v>1430</v>
      </c>
      <c r="AC152" t="s">
        <v>210</v>
      </c>
      <c r="AD152" t="s">
        <v>1431</v>
      </c>
      <c r="AE152" t="s">
        <v>63</v>
      </c>
      <c r="AH152">
        <v>7</v>
      </c>
      <c r="AI152">
        <v>5</v>
      </c>
      <c r="AJ152" t="s">
        <v>201</v>
      </c>
      <c r="AK152">
        <v>2</v>
      </c>
      <c r="AL152" t="s">
        <v>82</v>
      </c>
      <c r="AM152">
        <v>2</v>
      </c>
      <c r="AN152" t="s">
        <v>82</v>
      </c>
      <c r="AU152">
        <v>10</v>
      </c>
      <c r="AV152" t="s">
        <v>115</v>
      </c>
      <c r="BA152">
        <v>7</v>
      </c>
    </row>
    <row r="153" spans="1:53" x14ac:dyDescent="0.3">
      <c r="A153" t="s">
        <v>1421</v>
      </c>
      <c r="C153" t="s">
        <v>1416</v>
      </c>
      <c r="D153" t="s">
        <v>81</v>
      </c>
      <c r="E153">
        <v>10000000</v>
      </c>
      <c r="H153">
        <v>2</v>
      </c>
      <c r="I153" t="s">
        <v>56</v>
      </c>
      <c r="J153">
        <v>2.0000000000000001E-4</v>
      </c>
      <c r="K153" t="s">
        <v>57</v>
      </c>
      <c r="L153" t="s">
        <v>1422</v>
      </c>
      <c r="O153">
        <v>50</v>
      </c>
      <c r="P153" t="s">
        <v>1303</v>
      </c>
      <c r="T153">
        <v>25</v>
      </c>
      <c r="V153">
        <v>50</v>
      </c>
      <c r="W153" t="s">
        <v>1435</v>
      </c>
      <c r="X153" t="s">
        <v>114</v>
      </c>
      <c r="Y153">
        <v>15</v>
      </c>
      <c r="AB153" t="s">
        <v>1430</v>
      </c>
      <c r="AC153" t="s">
        <v>210</v>
      </c>
      <c r="AD153" t="s">
        <v>1431</v>
      </c>
      <c r="AE153" t="s">
        <v>63</v>
      </c>
      <c r="AH153">
        <v>7</v>
      </c>
      <c r="AI153">
        <v>5</v>
      </c>
      <c r="AJ153" t="s">
        <v>201</v>
      </c>
      <c r="AK153">
        <v>2</v>
      </c>
      <c r="AL153" t="s">
        <v>82</v>
      </c>
      <c r="AM153">
        <v>2</v>
      </c>
      <c r="AN153" t="s">
        <v>82</v>
      </c>
      <c r="AU153">
        <v>10</v>
      </c>
      <c r="AV153" t="s">
        <v>115</v>
      </c>
      <c r="BA153">
        <v>7</v>
      </c>
    </row>
    <row r="154" spans="1:53" x14ac:dyDescent="0.3">
      <c r="A154" t="s">
        <v>1421</v>
      </c>
      <c r="C154" t="s">
        <v>1416</v>
      </c>
      <c r="D154" t="s">
        <v>81</v>
      </c>
      <c r="E154">
        <v>10000000</v>
      </c>
      <c r="H154">
        <v>2</v>
      </c>
      <c r="I154" t="s">
        <v>56</v>
      </c>
      <c r="J154">
        <v>2.0000000000000001E-4</v>
      </c>
      <c r="K154" t="s">
        <v>57</v>
      </c>
      <c r="L154" t="s">
        <v>1422</v>
      </c>
      <c r="O154">
        <v>50</v>
      </c>
      <c r="P154" t="s">
        <v>1303</v>
      </c>
      <c r="T154">
        <v>25</v>
      </c>
      <c r="V154">
        <v>50</v>
      </c>
      <c r="W154" t="s">
        <v>1436</v>
      </c>
      <c r="X154" t="s">
        <v>114</v>
      </c>
      <c r="Y154">
        <v>15</v>
      </c>
      <c r="AB154" t="s">
        <v>1430</v>
      </c>
      <c r="AC154" t="s">
        <v>210</v>
      </c>
      <c r="AD154" t="s">
        <v>1431</v>
      </c>
      <c r="AE154" t="s">
        <v>63</v>
      </c>
      <c r="AH154">
        <v>7</v>
      </c>
      <c r="AI154">
        <v>3</v>
      </c>
      <c r="AJ154" t="s">
        <v>201</v>
      </c>
      <c r="AK154">
        <v>2</v>
      </c>
      <c r="AL154" t="s">
        <v>82</v>
      </c>
      <c r="AM154">
        <v>2</v>
      </c>
      <c r="AN154" t="s">
        <v>82</v>
      </c>
      <c r="AU154">
        <v>10</v>
      </c>
      <c r="AV154" t="s">
        <v>115</v>
      </c>
      <c r="BA154">
        <v>7</v>
      </c>
    </row>
    <row r="155" spans="1:53" x14ac:dyDescent="0.3">
      <c r="A155" t="s">
        <v>1421</v>
      </c>
      <c r="C155" t="s">
        <v>1416</v>
      </c>
      <c r="D155" t="s">
        <v>81</v>
      </c>
      <c r="E155">
        <v>10000000</v>
      </c>
      <c r="H155">
        <v>2</v>
      </c>
      <c r="I155" t="s">
        <v>56</v>
      </c>
      <c r="J155">
        <v>2.0000000000000001E-4</v>
      </c>
      <c r="K155" t="s">
        <v>57</v>
      </c>
      <c r="L155" t="s">
        <v>1422</v>
      </c>
      <c r="O155">
        <v>50</v>
      </c>
      <c r="P155" t="s">
        <v>1303</v>
      </c>
      <c r="T155">
        <v>25</v>
      </c>
      <c r="V155">
        <v>50</v>
      </c>
      <c r="W155" t="s">
        <v>1436</v>
      </c>
      <c r="X155" t="s">
        <v>114</v>
      </c>
      <c r="Y155">
        <v>15</v>
      </c>
      <c r="AB155" t="s">
        <v>1449</v>
      </c>
      <c r="AC155" t="s">
        <v>210</v>
      </c>
      <c r="AD155" t="s">
        <v>1453</v>
      </c>
      <c r="AE155" t="s">
        <v>63</v>
      </c>
      <c r="AH155">
        <v>7</v>
      </c>
      <c r="AI155">
        <v>5</v>
      </c>
      <c r="AJ155" t="s">
        <v>201</v>
      </c>
      <c r="AK155">
        <v>2</v>
      </c>
      <c r="AL155" t="s">
        <v>82</v>
      </c>
      <c r="AM155">
        <v>2</v>
      </c>
      <c r="AN155" t="s">
        <v>82</v>
      </c>
      <c r="AU155">
        <v>10</v>
      </c>
      <c r="AV155" t="s">
        <v>115</v>
      </c>
      <c r="BA155">
        <v>7</v>
      </c>
    </row>
    <row r="156" spans="1:53" x14ac:dyDescent="0.3">
      <c r="A156" t="s">
        <v>1421</v>
      </c>
      <c r="C156" t="s">
        <v>1416</v>
      </c>
      <c r="D156" t="s">
        <v>81</v>
      </c>
      <c r="E156">
        <v>10000000</v>
      </c>
      <c r="H156">
        <v>2</v>
      </c>
      <c r="I156" t="s">
        <v>56</v>
      </c>
      <c r="J156">
        <v>2.0000000000000001E-4</v>
      </c>
      <c r="K156" t="s">
        <v>57</v>
      </c>
      <c r="L156" t="s">
        <v>1422</v>
      </c>
      <c r="O156">
        <v>50</v>
      </c>
      <c r="P156" t="s">
        <v>1303</v>
      </c>
      <c r="T156">
        <v>25</v>
      </c>
      <c r="V156">
        <v>50</v>
      </c>
      <c r="W156" t="s">
        <v>1436</v>
      </c>
      <c r="X156" t="s">
        <v>114</v>
      </c>
      <c r="Y156">
        <v>15</v>
      </c>
      <c r="AB156" t="s">
        <v>1454</v>
      </c>
      <c r="AC156" t="s">
        <v>210</v>
      </c>
      <c r="AD156" t="s">
        <v>1453</v>
      </c>
      <c r="AE156" t="s">
        <v>63</v>
      </c>
      <c r="AH156">
        <v>7</v>
      </c>
      <c r="AI156">
        <v>5</v>
      </c>
      <c r="AJ156" t="s">
        <v>201</v>
      </c>
      <c r="AK156">
        <v>2</v>
      </c>
      <c r="AL156" t="s">
        <v>82</v>
      </c>
      <c r="AM156">
        <v>2</v>
      </c>
      <c r="AN156" t="s">
        <v>82</v>
      </c>
      <c r="AU156">
        <v>10</v>
      </c>
      <c r="AV156" t="s">
        <v>115</v>
      </c>
      <c r="BA156">
        <v>7</v>
      </c>
    </row>
    <row r="157" spans="1:53" x14ac:dyDescent="0.3">
      <c r="A157" t="s">
        <v>1421</v>
      </c>
      <c r="C157" t="s">
        <v>1416</v>
      </c>
      <c r="D157" t="s">
        <v>81</v>
      </c>
      <c r="E157">
        <v>10000000</v>
      </c>
      <c r="H157">
        <v>2</v>
      </c>
      <c r="I157" t="s">
        <v>56</v>
      </c>
      <c r="J157">
        <v>2.0000000000000001E-4</v>
      </c>
      <c r="K157" t="s">
        <v>57</v>
      </c>
      <c r="L157" t="s">
        <v>1422</v>
      </c>
      <c r="O157">
        <v>50</v>
      </c>
      <c r="P157" t="s">
        <v>1303</v>
      </c>
      <c r="T157">
        <v>25</v>
      </c>
      <c r="V157">
        <v>50</v>
      </c>
      <c r="W157" t="s">
        <v>1440</v>
      </c>
      <c r="X157" t="s">
        <v>114</v>
      </c>
      <c r="Y157">
        <v>15</v>
      </c>
      <c r="AB157" t="s">
        <v>1430</v>
      </c>
      <c r="AC157" t="s">
        <v>210</v>
      </c>
      <c r="AD157" t="s">
        <v>1431</v>
      </c>
      <c r="AE157" t="s">
        <v>63</v>
      </c>
      <c r="AH157">
        <v>7</v>
      </c>
      <c r="AI157">
        <v>3</v>
      </c>
      <c r="AJ157" t="s">
        <v>201</v>
      </c>
      <c r="AK157">
        <v>2</v>
      </c>
      <c r="AL157" t="s">
        <v>82</v>
      </c>
      <c r="AM157">
        <v>2</v>
      </c>
      <c r="AN157" t="s">
        <v>82</v>
      </c>
      <c r="AU157">
        <v>10</v>
      </c>
      <c r="AV157" t="s">
        <v>115</v>
      </c>
      <c r="BA157">
        <v>7</v>
      </c>
    </row>
    <row r="158" spans="1:53" x14ac:dyDescent="0.3">
      <c r="A158" t="s">
        <v>1421</v>
      </c>
      <c r="C158" t="s">
        <v>1416</v>
      </c>
      <c r="D158" t="s">
        <v>81</v>
      </c>
      <c r="E158">
        <v>10000000</v>
      </c>
      <c r="H158">
        <v>2</v>
      </c>
      <c r="I158" t="s">
        <v>56</v>
      </c>
      <c r="J158">
        <v>2.0000000000000001E-4</v>
      </c>
      <c r="K158" t="s">
        <v>57</v>
      </c>
      <c r="L158" t="s">
        <v>1422</v>
      </c>
      <c r="O158">
        <v>50</v>
      </c>
      <c r="P158" t="s">
        <v>1303</v>
      </c>
      <c r="T158">
        <v>25</v>
      </c>
      <c r="V158">
        <v>50</v>
      </c>
      <c r="W158" t="s">
        <v>1440</v>
      </c>
      <c r="X158" t="s">
        <v>114</v>
      </c>
      <c r="Y158">
        <v>15</v>
      </c>
      <c r="AB158" t="s">
        <v>1430</v>
      </c>
      <c r="AC158" t="s">
        <v>210</v>
      </c>
      <c r="AD158" t="s">
        <v>1431</v>
      </c>
      <c r="AE158" t="s">
        <v>63</v>
      </c>
      <c r="AH158">
        <v>7</v>
      </c>
      <c r="AI158">
        <v>5</v>
      </c>
      <c r="AJ158" t="s">
        <v>201</v>
      </c>
      <c r="AK158">
        <v>2</v>
      </c>
      <c r="AL158" t="s">
        <v>82</v>
      </c>
      <c r="AM158">
        <v>2</v>
      </c>
      <c r="AN158" t="s">
        <v>82</v>
      </c>
      <c r="AU158">
        <v>10</v>
      </c>
      <c r="AV158" t="s">
        <v>115</v>
      </c>
      <c r="BA158">
        <v>7</v>
      </c>
    </row>
    <row r="159" spans="1:53" x14ac:dyDescent="0.3">
      <c r="A159" t="s">
        <v>1421</v>
      </c>
      <c r="C159" t="s">
        <v>1416</v>
      </c>
      <c r="D159" t="s">
        <v>81</v>
      </c>
      <c r="E159">
        <v>10000000</v>
      </c>
      <c r="H159">
        <v>2</v>
      </c>
      <c r="I159" t="s">
        <v>56</v>
      </c>
      <c r="J159">
        <v>2.0000000000000001E-4</v>
      </c>
      <c r="K159" t="s">
        <v>57</v>
      </c>
      <c r="L159" t="s">
        <v>1422</v>
      </c>
      <c r="O159">
        <v>50</v>
      </c>
      <c r="P159" t="s">
        <v>1303</v>
      </c>
      <c r="T159">
        <v>25</v>
      </c>
      <c r="V159">
        <v>50</v>
      </c>
      <c r="W159" t="s">
        <v>1440</v>
      </c>
      <c r="X159" t="s">
        <v>114</v>
      </c>
      <c r="Y159">
        <v>15</v>
      </c>
      <c r="AB159" t="s">
        <v>1430</v>
      </c>
      <c r="AC159" t="s">
        <v>210</v>
      </c>
      <c r="AD159" t="s">
        <v>1431</v>
      </c>
      <c r="AE159" t="s">
        <v>63</v>
      </c>
      <c r="AH159">
        <v>7</v>
      </c>
      <c r="AI159">
        <v>5</v>
      </c>
      <c r="AJ159" t="s">
        <v>201</v>
      </c>
      <c r="AK159">
        <v>2</v>
      </c>
      <c r="AL159" t="s">
        <v>82</v>
      </c>
      <c r="AM159">
        <v>2</v>
      </c>
      <c r="AN159" t="s">
        <v>82</v>
      </c>
      <c r="AU159">
        <v>10</v>
      </c>
      <c r="AV159" t="s">
        <v>115</v>
      </c>
      <c r="BA159">
        <v>7</v>
      </c>
    </row>
    <row r="160" spans="1:53" x14ac:dyDescent="0.3">
      <c r="A160" t="s">
        <v>1421</v>
      </c>
      <c r="C160" t="s">
        <v>1416</v>
      </c>
      <c r="D160" t="s">
        <v>81</v>
      </c>
      <c r="E160">
        <v>10000000</v>
      </c>
      <c r="H160">
        <v>2</v>
      </c>
      <c r="I160" t="s">
        <v>56</v>
      </c>
      <c r="J160">
        <v>2.0000000000000001E-4</v>
      </c>
      <c r="K160" t="s">
        <v>57</v>
      </c>
      <c r="L160" t="s">
        <v>1422</v>
      </c>
      <c r="O160">
        <v>50</v>
      </c>
      <c r="P160" t="s">
        <v>1303</v>
      </c>
      <c r="T160">
        <v>25</v>
      </c>
      <c r="V160">
        <v>50</v>
      </c>
      <c r="W160" t="s">
        <v>1441</v>
      </c>
      <c r="X160" t="s">
        <v>114</v>
      </c>
      <c r="Y160">
        <v>15</v>
      </c>
      <c r="AB160" t="s">
        <v>1430</v>
      </c>
      <c r="AC160" t="s">
        <v>210</v>
      </c>
      <c r="AD160" t="s">
        <v>1431</v>
      </c>
      <c r="AE160" t="s">
        <v>63</v>
      </c>
      <c r="AH160">
        <v>7</v>
      </c>
      <c r="AI160">
        <v>3</v>
      </c>
      <c r="AJ160" t="s">
        <v>201</v>
      </c>
      <c r="AK160">
        <v>2</v>
      </c>
      <c r="AL160" t="s">
        <v>82</v>
      </c>
      <c r="AM160">
        <v>2</v>
      </c>
      <c r="AN160" t="s">
        <v>82</v>
      </c>
      <c r="AU160">
        <v>10</v>
      </c>
      <c r="AV160" t="s">
        <v>115</v>
      </c>
      <c r="BA160">
        <v>7</v>
      </c>
    </row>
    <row r="161" spans="1:53" x14ac:dyDescent="0.3">
      <c r="A161" t="s">
        <v>1421</v>
      </c>
      <c r="C161" t="s">
        <v>1416</v>
      </c>
      <c r="D161" t="s">
        <v>81</v>
      </c>
      <c r="E161">
        <v>10000000</v>
      </c>
      <c r="H161">
        <v>2</v>
      </c>
      <c r="I161" t="s">
        <v>56</v>
      </c>
      <c r="J161">
        <v>2.0000000000000001E-4</v>
      </c>
      <c r="K161" t="s">
        <v>57</v>
      </c>
      <c r="L161" t="s">
        <v>1422</v>
      </c>
      <c r="O161">
        <v>50</v>
      </c>
      <c r="P161" t="s">
        <v>1303</v>
      </c>
      <c r="T161">
        <v>25</v>
      </c>
      <c r="V161">
        <v>50</v>
      </c>
      <c r="W161" t="s">
        <v>1441</v>
      </c>
      <c r="X161" t="s">
        <v>114</v>
      </c>
      <c r="Y161">
        <v>15</v>
      </c>
      <c r="AB161" t="s">
        <v>1430</v>
      </c>
      <c r="AC161" t="s">
        <v>210</v>
      </c>
      <c r="AD161" t="s">
        <v>1431</v>
      </c>
      <c r="AE161" t="s">
        <v>63</v>
      </c>
      <c r="AH161">
        <v>7</v>
      </c>
      <c r="AI161">
        <v>5</v>
      </c>
      <c r="AJ161" t="s">
        <v>201</v>
      </c>
      <c r="AK161">
        <v>2</v>
      </c>
      <c r="AL161" t="s">
        <v>82</v>
      </c>
      <c r="AM161">
        <v>2</v>
      </c>
      <c r="AN161" t="s">
        <v>82</v>
      </c>
      <c r="AU161">
        <v>10</v>
      </c>
      <c r="AV161" t="s">
        <v>115</v>
      </c>
      <c r="BA161">
        <v>7</v>
      </c>
    </row>
    <row r="162" spans="1:53" x14ac:dyDescent="0.3">
      <c r="A162" t="s">
        <v>1421</v>
      </c>
      <c r="C162" t="s">
        <v>1416</v>
      </c>
      <c r="D162" t="s">
        <v>81</v>
      </c>
      <c r="E162">
        <v>10000000</v>
      </c>
      <c r="H162">
        <v>2</v>
      </c>
      <c r="I162" t="s">
        <v>56</v>
      </c>
      <c r="J162">
        <v>2.0000000000000001E-4</v>
      </c>
      <c r="K162" t="s">
        <v>57</v>
      </c>
      <c r="L162" t="s">
        <v>1422</v>
      </c>
      <c r="O162">
        <v>50</v>
      </c>
      <c r="P162" t="s">
        <v>1303</v>
      </c>
      <c r="T162">
        <v>25</v>
      </c>
      <c r="V162">
        <v>50</v>
      </c>
      <c r="W162" t="s">
        <v>1441</v>
      </c>
      <c r="X162" t="s">
        <v>114</v>
      </c>
      <c r="Y162">
        <v>15</v>
      </c>
      <c r="AB162" t="s">
        <v>1430</v>
      </c>
      <c r="AC162" t="s">
        <v>210</v>
      </c>
      <c r="AD162" t="s">
        <v>1431</v>
      </c>
      <c r="AE162" t="s">
        <v>63</v>
      </c>
      <c r="AH162">
        <v>7</v>
      </c>
      <c r="AI162">
        <v>5</v>
      </c>
      <c r="AJ162" t="s">
        <v>201</v>
      </c>
      <c r="AK162">
        <v>2</v>
      </c>
      <c r="AL162" t="s">
        <v>82</v>
      </c>
      <c r="AM162">
        <v>2</v>
      </c>
      <c r="AN162" t="s">
        <v>82</v>
      </c>
      <c r="AU162">
        <v>10</v>
      </c>
      <c r="AV162" t="s">
        <v>115</v>
      </c>
      <c r="BA162">
        <v>7</v>
      </c>
    </row>
    <row r="163" spans="1:53" x14ac:dyDescent="0.3">
      <c r="A163" t="s">
        <v>1455</v>
      </c>
      <c r="C163" t="s">
        <v>1416</v>
      </c>
      <c r="D163" t="s">
        <v>81</v>
      </c>
      <c r="E163">
        <v>10000000</v>
      </c>
      <c r="H163">
        <v>0.78500000000000003</v>
      </c>
      <c r="I163" t="s">
        <v>56</v>
      </c>
      <c r="J163">
        <v>7.8500000000000011E-5</v>
      </c>
      <c r="K163" t="s">
        <v>57</v>
      </c>
      <c r="L163" t="s">
        <v>112</v>
      </c>
      <c r="O163">
        <v>0.47353359595488198</v>
      </c>
      <c r="P163" t="s">
        <v>59</v>
      </c>
      <c r="T163">
        <v>10</v>
      </c>
      <c r="V163">
        <v>50</v>
      </c>
      <c r="W163" t="s">
        <v>388</v>
      </c>
      <c r="X163" t="s">
        <v>114</v>
      </c>
      <c r="Y163">
        <v>10</v>
      </c>
      <c r="AB163">
        <v>0.275062671051723</v>
      </c>
      <c r="AC163" t="s">
        <v>85</v>
      </c>
      <c r="AI163" t="s">
        <v>988</v>
      </c>
      <c r="AK163">
        <v>0.1</v>
      </c>
      <c r="AL163" t="s">
        <v>82</v>
      </c>
      <c r="AM163">
        <v>0.1</v>
      </c>
      <c r="AN163" t="s">
        <v>82</v>
      </c>
      <c r="AT163" t="s">
        <v>65</v>
      </c>
      <c r="AU163">
        <v>1.2738853503184711</v>
      </c>
      <c r="AV163" t="s">
        <v>115</v>
      </c>
    </row>
    <row r="164" spans="1:53" x14ac:dyDescent="0.3">
      <c r="A164" t="s">
        <v>1455</v>
      </c>
      <c r="C164" t="s">
        <v>1416</v>
      </c>
      <c r="D164" t="s">
        <v>81</v>
      </c>
      <c r="E164">
        <v>10000000</v>
      </c>
      <c r="H164">
        <v>0.78500000000000003</v>
      </c>
      <c r="I164" t="s">
        <v>56</v>
      </c>
      <c r="J164">
        <v>7.8500000000000011E-5</v>
      </c>
      <c r="K164" t="s">
        <v>57</v>
      </c>
      <c r="L164" t="s">
        <v>112</v>
      </c>
      <c r="O164">
        <v>0.98646699543643013</v>
      </c>
      <c r="P164" t="s">
        <v>59</v>
      </c>
      <c r="T164">
        <v>10</v>
      </c>
      <c r="V164">
        <v>50</v>
      </c>
      <c r="W164" t="s">
        <v>388</v>
      </c>
      <c r="X164" t="s">
        <v>114</v>
      </c>
      <c r="Y164">
        <v>10</v>
      </c>
      <c r="AB164">
        <v>1.77369425726179</v>
      </c>
      <c r="AC164" t="s">
        <v>85</v>
      </c>
      <c r="AI164" t="s">
        <v>988</v>
      </c>
      <c r="AK164">
        <v>0.1</v>
      </c>
      <c r="AL164" t="s">
        <v>82</v>
      </c>
      <c r="AM164">
        <v>0.1</v>
      </c>
      <c r="AN164" t="s">
        <v>82</v>
      </c>
      <c r="AT164" t="s">
        <v>65</v>
      </c>
      <c r="AU164">
        <v>1.2738853503184711</v>
      </c>
      <c r="AV164" t="s">
        <v>115</v>
      </c>
    </row>
    <row r="165" spans="1:53" x14ac:dyDescent="0.3">
      <c r="A165" t="s">
        <v>1455</v>
      </c>
      <c r="C165" t="s">
        <v>1416</v>
      </c>
      <c r="D165" t="s">
        <v>81</v>
      </c>
      <c r="E165">
        <v>100000000</v>
      </c>
      <c r="H165">
        <v>0.78500000000000003</v>
      </c>
      <c r="I165" t="s">
        <v>56</v>
      </c>
      <c r="J165">
        <v>7.8500000000000011E-5</v>
      </c>
      <c r="K165" t="s">
        <v>57</v>
      </c>
      <c r="L165" t="s">
        <v>112</v>
      </c>
      <c r="O165">
        <v>1.4784125742935199</v>
      </c>
      <c r="P165" t="s">
        <v>59</v>
      </c>
      <c r="T165">
        <v>10</v>
      </c>
      <c r="V165">
        <v>50</v>
      </c>
      <c r="W165" t="s">
        <v>388</v>
      </c>
      <c r="X165" t="s">
        <v>114</v>
      </c>
      <c r="Y165">
        <v>10</v>
      </c>
      <c r="AB165">
        <v>3.9789793243025602</v>
      </c>
      <c r="AC165" t="s">
        <v>85</v>
      </c>
      <c r="AI165" t="s">
        <v>988</v>
      </c>
      <c r="AK165">
        <v>0.1</v>
      </c>
      <c r="AL165" t="s">
        <v>82</v>
      </c>
      <c r="AM165">
        <v>0.1</v>
      </c>
      <c r="AN165" t="s">
        <v>82</v>
      </c>
      <c r="AT165" t="s">
        <v>65</v>
      </c>
      <c r="AU165">
        <v>1.2738853503184711</v>
      </c>
      <c r="AV165" t="s">
        <v>115</v>
      </c>
    </row>
    <row r="166" spans="1:53" x14ac:dyDescent="0.3">
      <c r="A166" t="s">
        <v>1455</v>
      </c>
      <c r="C166" t="s">
        <v>1416</v>
      </c>
      <c r="D166" t="s">
        <v>81</v>
      </c>
      <c r="E166">
        <v>100000000</v>
      </c>
      <c r="H166">
        <v>0.78500000000000003</v>
      </c>
      <c r="I166" t="s">
        <v>56</v>
      </c>
      <c r="J166">
        <v>7.8500000000000011E-5</v>
      </c>
      <c r="K166" t="s">
        <v>57</v>
      </c>
      <c r="L166" t="s">
        <v>112</v>
      </c>
      <c r="O166">
        <v>1.9915168201546101</v>
      </c>
      <c r="P166" t="s">
        <v>59</v>
      </c>
      <c r="T166">
        <v>10</v>
      </c>
      <c r="V166">
        <v>50</v>
      </c>
      <c r="W166" t="s">
        <v>388</v>
      </c>
      <c r="X166" t="s">
        <v>114</v>
      </c>
      <c r="Y166">
        <v>10</v>
      </c>
      <c r="AB166">
        <v>5.30091304247832</v>
      </c>
      <c r="AC166" t="s">
        <v>85</v>
      </c>
      <c r="AI166" t="s">
        <v>988</v>
      </c>
      <c r="AK166">
        <v>0.1</v>
      </c>
      <c r="AL166" t="s">
        <v>82</v>
      </c>
      <c r="AM166">
        <v>0.1</v>
      </c>
      <c r="AN166" t="s">
        <v>82</v>
      </c>
      <c r="AT166" t="s">
        <v>65</v>
      </c>
      <c r="AU166">
        <v>1.2738853503184711</v>
      </c>
      <c r="AV166" t="s">
        <v>115</v>
      </c>
    </row>
    <row r="167" spans="1:53" x14ac:dyDescent="0.3">
      <c r="A167" t="s">
        <v>1455</v>
      </c>
      <c r="C167" t="s">
        <v>1416</v>
      </c>
      <c r="D167" t="s">
        <v>81</v>
      </c>
      <c r="E167">
        <v>100000000</v>
      </c>
      <c r="H167">
        <v>0.78500000000000003</v>
      </c>
      <c r="I167" t="s">
        <v>56</v>
      </c>
      <c r="J167">
        <v>7.8500000000000011E-5</v>
      </c>
      <c r="K167" t="s">
        <v>57</v>
      </c>
      <c r="L167" t="s">
        <v>112</v>
      </c>
      <c r="O167">
        <v>2.4845269033765001</v>
      </c>
      <c r="P167" t="s">
        <v>59</v>
      </c>
      <c r="T167">
        <v>10</v>
      </c>
      <c r="V167">
        <v>50</v>
      </c>
      <c r="W167" t="s">
        <v>388</v>
      </c>
      <c r="X167" t="s">
        <v>114</v>
      </c>
      <c r="Y167">
        <v>10</v>
      </c>
      <c r="AB167">
        <v>6.4052344702283701</v>
      </c>
      <c r="AC167" t="s">
        <v>85</v>
      </c>
      <c r="AI167" t="s">
        <v>988</v>
      </c>
      <c r="AK167">
        <v>0.1</v>
      </c>
      <c r="AL167" t="s">
        <v>82</v>
      </c>
      <c r="AM167">
        <v>0.1</v>
      </c>
      <c r="AN167" t="s">
        <v>82</v>
      </c>
      <c r="AT167" t="s">
        <v>65</v>
      </c>
      <c r="AU167">
        <v>1.2738853503184711</v>
      </c>
      <c r="AV167" t="s">
        <v>115</v>
      </c>
    </row>
    <row r="168" spans="1:53" x14ac:dyDescent="0.3">
      <c r="A168" t="s">
        <v>1455</v>
      </c>
      <c r="C168" t="s">
        <v>1416</v>
      </c>
      <c r="D168" t="s">
        <v>81</v>
      </c>
      <c r="E168">
        <v>100000000</v>
      </c>
      <c r="H168">
        <v>0.78500000000000003</v>
      </c>
      <c r="I168" t="s">
        <v>56</v>
      </c>
      <c r="J168">
        <v>7.8500000000000011E-5</v>
      </c>
      <c r="K168" t="s">
        <v>57</v>
      </c>
      <c r="L168" t="s">
        <v>112</v>
      </c>
      <c r="O168">
        <v>3.966737524107391</v>
      </c>
      <c r="P168" t="s">
        <v>59</v>
      </c>
      <c r="T168">
        <v>10</v>
      </c>
      <c r="V168">
        <v>50</v>
      </c>
      <c r="W168" t="s">
        <v>388</v>
      </c>
      <c r="X168" t="s">
        <v>114</v>
      </c>
      <c r="Y168">
        <v>10</v>
      </c>
      <c r="AB168">
        <v>6.4288999793013</v>
      </c>
      <c r="AC168" t="s">
        <v>85</v>
      </c>
      <c r="AI168" t="s">
        <v>988</v>
      </c>
      <c r="AK168">
        <v>0.1</v>
      </c>
      <c r="AL168" t="s">
        <v>82</v>
      </c>
      <c r="AM168">
        <v>0.1</v>
      </c>
      <c r="AN168" t="s">
        <v>82</v>
      </c>
      <c r="AT168" t="s">
        <v>65</v>
      </c>
      <c r="AU168">
        <v>1.2738853503184711</v>
      </c>
      <c r="AV168" t="s">
        <v>115</v>
      </c>
    </row>
    <row r="169" spans="1:53" x14ac:dyDescent="0.3">
      <c r="A169" t="s">
        <v>1455</v>
      </c>
      <c r="C169" t="s">
        <v>1416</v>
      </c>
      <c r="D169" t="s">
        <v>81</v>
      </c>
      <c r="E169">
        <v>100000000</v>
      </c>
      <c r="H169">
        <v>0.78500000000000003</v>
      </c>
      <c r="I169" t="s">
        <v>56</v>
      </c>
      <c r="J169">
        <v>7.8500000000000011E-5</v>
      </c>
      <c r="K169" t="s">
        <v>57</v>
      </c>
      <c r="L169" t="s">
        <v>112</v>
      </c>
      <c r="O169">
        <v>0.22967010221213099</v>
      </c>
      <c r="P169" t="s">
        <v>59</v>
      </c>
      <c r="T169">
        <v>20</v>
      </c>
      <c r="V169">
        <v>50</v>
      </c>
      <c r="W169" t="s">
        <v>388</v>
      </c>
      <c r="X169" t="s">
        <v>114</v>
      </c>
      <c r="Y169">
        <v>10</v>
      </c>
      <c r="AB169">
        <v>0.490881074492307</v>
      </c>
      <c r="AC169" t="s">
        <v>85</v>
      </c>
      <c r="AI169" t="s">
        <v>988</v>
      </c>
      <c r="AK169">
        <v>0.1</v>
      </c>
      <c r="AL169" t="s">
        <v>82</v>
      </c>
      <c r="AM169">
        <v>0.1</v>
      </c>
      <c r="AN169" t="s">
        <v>82</v>
      </c>
      <c r="AT169" t="s">
        <v>65</v>
      </c>
      <c r="AU169">
        <v>1.2738853503184711</v>
      </c>
      <c r="AV169" t="s">
        <v>115</v>
      </c>
    </row>
    <row r="170" spans="1:53" x14ac:dyDescent="0.3">
      <c r="A170" t="s">
        <v>1455</v>
      </c>
      <c r="C170" t="s">
        <v>1416</v>
      </c>
      <c r="D170" t="s">
        <v>81</v>
      </c>
      <c r="E170">
        <v>100000000</v>
      </c>
      <c r="H170">
        <v>0.78500000000000003</v>
      </c>
      <c r="I170" t="s">
        <v>56</v>
      </c>
      <c r="J170">
        <v>7.8500000000000011E-5</v>
      </c>
      <c r="K170" t="s">
        <v>57</v>
      </c>
      <c r="L170" t="s">
        <v>112</v>
      </c>
      <c r="O170">
        <v>0.47069491764875798</v>
      </c>
      <c r="P170" t="s">
        <v>59</v>
      </c>
      <c r="T170">
        <v>20</v>
      </c>
      <c r="V170">
        <v>50</v>
      </c>
      <c r="W170" t="s">
        <v>388</v>
      </c>
      <c r="X170" t="s">
        <v>114</v>
      </c>
      <c r="Y170">
        <v>10</v>
      </c>
      <c r="AB170">
        <v>3.2109657091603201</v>
      </c>
      <c r="AC170" t="s">
        <v>85</v>
      </c>
      <c r="AI170" t="s">
        <v>988</v>
      </c>
      <c r="AK170">
        <v>0.1</v>
      </c>
      <c r="AL170" t="s">
        <v>82</v>
      </c>
      <c r="AM170">
        <v>0.1</v>
      </c>
      <c r="AN170" t="s">
        <v>82</v>
      </c>
      <c r="AT170" t="s">
        <v>65</v>
      </c>
      <c r="AU170">
        <v>1.2738853503184711</v>
      </c>
      <c r="AV170" t="s">
        <v>115</v>
      </c>
    </row>
    <row r="171" spans="1:53" x14ac:dyDescent="0.3">
      <c r="A171" t="s">
        <v>1455</v>
      </c>
      <c r="C171" t="s">
        <v>1416</v>
      </c>
      <c r="D171" t="s">
        <v>81</v>
      </c>
      <c r="E171">
        <v>100000000</v>
      </c>
      <c r="H171">
        <v>0.78500000000000003</v>
      </c>
      <c r="I171" t="s">
        <v>56</v>
      </c>
      <c r="J171">
        <v>7.8500000000000011E-5</v>
      </c>
      <c r="K171" t="s">
        <v>57</v>
      </c>
      <c r="L171" t="s">
        <v>112</v>
      </c>
      <c r="O171">
        <v>0.96896181254866498</v>
      </c>
      <c r="P171" t="s">
        <v>59</v>
      </c>
      <c r="T171">
        <v>20</v>
      </c>
      <c r="V171">
        <v>50</v>
      </c>
      <c r="W171" t="s">
        <v>388</v>
      </c>
      <c r="X171" t="s">
        <v>114</v>
      </c>
      <c r="Y171">
        <v>10</v>
      </c>
      <c r="AB171">
        <v>5.87842965893147</v>
      </c>
      <c r="AC171" t="s">
        <v>85</v>
      </c>
      <c r="AI171" t="s">
        <v>988</v>
      </c>
      <c r="AK171">
        <v>0.1</v>
      </c>
      <c r="AL171" t="s">
        <v>82</v>
      </c>
      <c r="AM171">
        <v>0.1</v>
      </c>
      <c r="AN171" t="s">
        <v>82</v>
      </c>
      <c r="AT171" t="s">
        <v>65</v>
      </c>
      <c r="AU171">
        <v>1.2738853503184711</v>
      </c>
      <c r="AV171" t="s">
        <v>115</v>
      </c>
    </row>
    <row r="172" spans="1:53" x14ac:dyDescent="0.3">
      <c r="A172" t="s">
        <v>1455</v>
      </c>
      <c r="C172" t="s">
        <v>1416</v>
      </c>
      <c r="D172" t="s">
        <v>81</v>
      </c>
      <c r="E172">
        <v>100000000</v>
      </c>
      <c r="H172">
        <v>0.78500000000000003</v>
      </c>
      <c r="I172" t="s">
        <v>56</v>
      </c>
      <c r="J172">
        <v>7.8500000000000011E-5</v>
      </c>
      <c r="K172" t="s">
        <v>57</v>
      </c>
      <c r="L172" t="s">
        <v>112</v>
      </c>
      <c r="O172">
        <v>1.4692788640029799</v>
      </c>
      <c r="P172" t="s">
        <v>59</v>
      </c>
      <c r="T172">
        <v>20</v>
      </c>
      <c r="V172">
        <v>50</v>
      </c>
      <c r="W172" t="s">
        <v>388</v>
      </c>
      <c r="X172" t="s">
        <v>114</v>
      </c>
      <c r="Y172">
        <v>10</v>
      </c>
      <c r="AB172">
        <v>6.4255191922908699</v>
      </c>
      <c r="AC172" t="s">
        <v>85</v>
      </c>
      <c r="AI172" t="s">
        <v>988</v>
      </c>
      <c r="AK172">
        <v>0.1</v>
      </c>
      <c r="AL172" t="s">
        <v>82</v>
      </c>
      <c r="AM172">
        <v>0.1</v>
      </c>
      <c r="AN172" t="s">
        <v>82</v>
      </c>
      <c r="AT172" t="s">
        <v>65</v>
      </c>
      <c r="AU172">
        <v>1.2738853503184711</v>
      </c>
      <c r="AV172" t="s">
        <v>115</v>
      </c>
    </row>
    <row r="173" spans="1:53" x14ac:dyDescent="0.3">
      <c r="A173" t="s">
        <v>1455</v>
      </c>
      <c r="C173" t="s">
        <v>1416</v>
      </c>
      <c r="D173" t="s">
        <v>81</v>
      </c>
      <c r="E173">
        <v>100000000</v>
      </c>
      <c r="H173">
        <v>0.78500000000000003</v>
      </c>
      <c r="I173" t="s">
        <v>56</v>
      </c>
      <c r="J173">
        <v>7.8500000000000011E-5</v>
      </c>
      <c r="K173" t="s">
        <v>57</v>
      </c>
      <c r="L173" t="s">
        <v>112</v>
      </c>
      <c r="O173">
        <v>8.7013375300213205E-2</v>
      </c>
      <c r="P173" t="s">
        <v>59</v>
      </c>
      <c r="T173">
        <v>30</v>
      </c>
      <c r="V173">
        <v>50</v>
      </c>
      <c r="W173" t="s">
        <v>388</v>
      </c>
      <c r="X173" t="s">
        <v>114</v>
      </c>
      <c r="Y173">
        <v>10</v>
      </c>
      <c r="AB173">
        <v>1.0336008831443499</v>
      </c>
      <c r="AC173" t="s">
        <v>85</v>
      </c>
      <c r="AI173" t="s">
        <v>988</v>
      </c>
      <c r="AK173">
        <v>0.1</v>
      </c>
      <c r="AL173" t="s">
        <v>82</v>
      </c>
      <c r="AM173">
        <v>0.1</v>
      </c>
      <c r="AN173" t="s">
        <v>82</v>
      </c>
      <c r="AT173" t="s">
        <v>65</v>
      </c>
      <c r="AU173">
        <v>1.2738853503184711</v>
      </c>
      <c r="AV173" t="s">
        <v>115</v>
      </c>
    </row>
    <row r="174" spans="1:53" x14ac:dyDescent="0.3">
      <c r="A174" t="s">
        <v>1455</v>
      </c>
      <c r="C174" t="s">
        <v>1416</v>
      </c>
      <c r="D174" t="s">
        <v>81</v>
      </c>
      <c r="E174">
        <v>100000000</v>
      </c>
      <c r="H174">
        <v>0.78500000000000003</v>
      </c>
      <c r="I174" t="s">
        <v>56</v>
      </c>
      <c r="J174">
        <v>7.8500000000000011E-5</v>
      </c>
      <c r="K174" t="s">
        <v>57</v>
      </c>
      <c r="L174" t="s">
        <v>112</v>
      </c>
      <c r="O174">
        <v>0.22533323257777499</v>
      </c>
      <c r="P174" t="s">
        <v>59</v>
      </c>
      <c r="T174">
        <v>30</v>
      </c>
      <c r="V174">
        <v>50</v>
      </c>
      <c r="W174" t="s">
        <v>388</v>
      </c>
      <c r="X174" t="s">
        <v>114</v>
      </c>
      <c r="Y174">
        <v>10</v>
      </c>
      <c r="AB174">
        <v>4.9762884938248702</v>
      </c>
      <c r="AC174" t="s">
        <v>85</v>
      </c>
      <c r="AI174" t="s">
        <v>988</v>
      </c>
      <c r="AK174">
        <v>0.1</v>
      </c>
      <c r="AL174" t="s">
        <v>82</v>
      </c>
      <c r="AM174">
        <v>0.1</v>
      </c>
      <c r="AN174" t="s">
        <v>82</v>
      </c>
      <c r="AT174" t="s">
        <v>65</v>
      </c>
      <c r="AU174">
        <v>1.2738853503184711</v>
      </c>
      <c r="AV174" t="s">
        <v>115</v>
      </c>
    </row>
    <row r="175" spans="1:53" x14ac:dyDescent="0.3">
      <c r="A175" t="s">
        <v>1455</v>
      </c>
      <c r="C175" t="s">
        <v>1416</v>
      </c>
      <c r="D175" t="s">
        <v>81</v>
      </c>
      <c r="E175">
        <v>100000000</v>
      </c>
      <c r="H175">
        <v>0.78500000000000003</v>
      </c>
      <c r="I175" t="s">
        <v>56</v>
      </c>
      <c r="J175">
        <v>7.8500000000000011E-5</v>
      </c>
      <c r="K175" t="s">
        <v>57</v>
      </c>
      <c r="L175" t="s">
        <v>112</v>
      </c>
      <c r="O175">
        <v>0.481169114917188</v>
      </c>
      <c r="P175" t="s">
        <v>59</v>
      </c>
      <c r="T175">
        <v>30</v>
      </c>
      <c r="V175">
        <v>50</v>
      </c>
      <c r="W175" t="s">
        <v>388</v>
      </c>
      <c r="X175" t="s">
        <v>114</v>
      </c>
      <c r="Y175">
        <v>10</v>
      </c>
      <c r="AB175">
        <v>6.3780271842873901</v>
      </c>
      <c r="AC175" t="s">
        <v>85</v>
      </c>
      <c r="AI175" t="s">
        <v>988</v>
      </c>
      <c r="AK175">
        <v>0.1</v>
      </c>
      <c r="AL175" t="s">
        <v>82</v>
      </c>
      <c r="AM175">
        <v>0.1</v>
      </c>
      <c r="AN175" t="s">
        <v>82</v>
      </c>
      <c r="AT175" t="s">
        <v>65</v>
      </c>
      <c r="AU175">
        <v>1.2738853503184711</v>
      </c>
      <c r="AV175" t="s">
        <v>115</v>
      </c>
    </row>
    <row r="176" spans="1:53" x14ac:dyDescent="0.3">
      <c r="A176" t="s">
        <v>1455</v>
      </c>
      <c r="C176" t="s">
        <v>1416</v>
      </c>
      <c r="D176" t="s">
        <v>81</v>
      </c>
      <c r="E176">
        <v>100000000</v>
      </c>
      <c r="H176">
        <v>0.78500000000000003</v>
      </c>
      <c r="I176" t="s">
        <v>56</v>
      </c>
      <c r="J176">
        <v>7.8500000000000011E-5</v>
      </c>
      <c r="K176" t="s">
        <v>57</v>
      </c>
      <c r="L176" t="s">
        <v>112</v>
      </c>
      <c r="O176">
        <v>0.98871428242877812</v>
      </c>
      <c r="P176" t="s">
        <v>59</v>
      </c>
      <c r="T176">
        <v>30</v>
      </c>
      <c r="V176">
        <v>50</v>
      </c>
      <c r="W176" t="s">
        <v>388</v>
      </c>
      <c r="X176" t="s">
        <v>114</v>
      </c>
      <c r="Y176">
        <v>10</v>
      </c>
      <c r="AB176">
        <v>6.44943768542581</v>
      </c>
      <c r="AC176" t="s">
        <v>85</v>
      </c>
      <c r="AI176" t="s">
        <v>988</v>
      </c>
      <c r="AK176">
        <v>0.1</v>
      </c>
      <c r="AL176" t="s">
        <v>82</v>
      </c>
      <c r="AM176">
        <v>0.1</v>
      </c>
      <c r="AN176" t="s">
        <v>82</v>
      </c>
      <c r="AT176" t="s">
        <v>65</v>
      </c>
      <c r="AU176">
        <v>1.2738853503184711</v>
      </c>
      <c r="AV176" t="s">
        <v>115</v>
      </c>
    </row>
    <row r="177" spans="1:48" x14ac:dyDescent="0.3">
      <c r="A177" t="s">
        <v>1455</v>
      </c>
      <c r="B177" t="s">
        <v>1456</v>
      </c>
      <c r="C177" t="s">
        <v>1416</v>
      </c>
      <c r="D177" t="s">
        <v>81</v>
      </c>
      <c r="E177">
        <v>100000000</v>
      </c>
      <c r="H177">
        <v>0.78500000000000003</v>
      </c>
      <c r="I177" t="s">
        <v>56</v>
      </c>
      <c r="J177">
        <v>7.8500000000000011E-5</v>
      </c>
      <c r="K177" t="s">
        <v>57</v>
      </c>
      <c r="L177" t="s">
        <v>112</v>
      </c>
      <c r="O177">
        <v>0.47926418227735301</v>
      </c>
      <c r="P177" t="s">
        <v>59</v>
      </c>
      <c r="T177">
        <v>10</v>
      </c>
      <c r="V177">
        <v>50</v>
      </c>
      <c r="W177" t="s">
        <v>1457</v>
      </c>
      <c r="X177" t="s">
        <v>114</v>
      </c>
      <c r="Y177">
        <v>10</v>
      </c>
      <c r="AB177">
        <v>0.32419020416452399</v>
      </c>
      <c r="AC177" t="s">
        <v>85</v>
      </c>
      <c r="AI177" t="s">
        <v>988</v>
      </c>
      <c r="AK177">
        <v>0.1</v>
      </c>
      <c r="AL177" t="s">
        <v>82</v>
      </c>
      <c r="AM177">
        <v>0.1</v>
      </c>
      <c r="AN177" t="s">
        <v>82</v>
      </c>
      <c r="AU177">
        <v>1.2738853503184711</v>
      </c>
      <c r="AV177" t="s">
        <v>115</v>
      </c>
    </row>
    <row r="178" spans="1:48" x14ac:dyDescent="0.3">
      <c r="A178" t="s">
        <v>1455</v>
      </c>
      <c r="B178" t="s">
        <v>1456</v>
      </c>
      <c r="C178" t="s">
        <v>1416</v>
      </c>
      <c r="D178" t="s">
        <v>81</v>
      </c>
      <c r="E178">
        <v>100000000</v>
      </c>
      <c r="H178">
        <v>0.78500000000000003</v>
      </c>
      <c r="I178" t="s">
        <v>56</v>
      </c>
      <c r="J178">
        <v>7.8500000000000011E-5</v>
      </c>
      <c r="K178" t="s">
        <v>57</v>
      </c>
      <c r="L178" t="s">
        <v>112</v>
      </c>
      <c r="O178">
        <v>1.00470040256409</v>
      </c>
      <c r="P178" t="s">
        <v>59</v>
      </c>
      <c r="T178">
        <v>10</v>
      </c>
      <c r="V178">
        <v>50</v>
      </c>
      <c r="W178" t="s">
        <v>1457</v>
      </c>
      <c r="X178" t="s">
        <v>114</v>
      </c>
      <c r="Y178">
        <v>10</v>
      </c>
      <c r="AB178">
        <v>1.58346244427484</v>
      </c>
      <c r="AC178" t="s">
        <v>85</v>
      </c>
      <c r="AI178" t="s">
        <v>988</v>
      </c>
      <c r="AK178">
        <v>0.1</v>
      </c>
      <c r="AL178" t="s">
        <v>82</v>
      </c>
      <c r="AM178">
        <v>0.1</v>
      </c>
      <c r="AN178" t="s">
        <v>82</v>
      </c>
      <c r="AU178">
        <v>1.2738853503184711</v>
      </c>
      <c r="AV178" t="s">
        <v>115</v>
      </c>
    </row>
    <row r="179" spans="1:48" x14ac:dyDescent="0.3">
      <c r="A179" t="s">
        <v>1455</v>
      </c>
      <c r="B179" t="s">
        <v>1456</v>
      </c>
      <c r="C179" t="s">
        <v>1416</v>
      </c>
      <c r="D179" t="s">
        <v>81</v>
      </c>
      <c r="E179">
        <v>100000000</v>
      </c>
      <c r="H179">
        <v>0.78500000000000003</v>
      </c>
      <c r="I179" t="s">
        <v>56</v>
      </c>
      <c r="J179">
        <v>7.8500000000000011E-5</v>
      </c>
      <c r="K179" t="s">
        <v>57</v>
      </c>
      <c r="L179" t="s">
        <v>112</v>
      </c>
      <c r="O179">
        <v>1.49144592244172</v>
      </c>
      <c r="P179" t="s">
        <v>59</v>
      </c>
      <c r="T179">
        <v>10</v>
      </c>
      <c r="V179">
        <v>50</v>
      </c>
      <c r="W179" t="s">
        <v>1457</v>
      </c>
      <c r="X179" t="s">
        <v>114</v>
      </c>
      <c r="Y179">
        <v>10</v>
      </c>
      <c r="AB179">
        <v>2.9987421919271</v>
      </c>
      <c r="AC179" t="s">
        <v>85</v>
      </c>
      <c r="AI179" t="s">
        <v>988</v>
      </c>
      <c r="AK179">
        <v>0.1</v>
      </c>
      <c r="AL179" t="s">
        <v>82</v>
      </c>
      <c r="AM179">
        <v>0.1</v>
      </c>
      <c r="AN179" t="s">
        <v>82</v>
      </c>
      <c r="AU179">
        <v>1.2738853503184711</v>
      </c>
      <c r="AV179" t="s">
        <v>115</v>
      </c>
    </row>
    <row r="180" spans="1:48" x14ac:dyDescent="0.3">
      <c r="A180" t="s">
        <v>1455</v>
      </c>
      <c r="B180" t="s">
        <v>1456</v>
      </c>
      <c r="C180" t="s">
        <v>1416</v>
      </c>
      <c r="D180" t="s">
        <v>81</v>
      </c>
      <c r="E180">
        <v>100000000</v>
      </c>
      <c r="H180">
        <v>0.78500000000000003</v>
      </c>
      <c r="I180" t="s">
        <v>56</v>
      </c>
      <c r="J180">
        <v>7.8500000000000011E-5</v>
      </c>
      <c r="K180" t="s">
        <v>57</v>
      </c>
      <c r="L180" t="s">
        <v>112</v>
      </c>
      <c r="O180">
        <v>2.0174717402626201</v>
      </c>
      <c r="P180" t="s">
        <v>59</v>
      </c>
      <c r="T180">
        <v>10</v>
      </c>
      <c r="V180">
        <v>50</v>
      </c>
      <c r="W180" t="s">
        <v>1457</v>
      </c>
      <c r="X180" t="s">
        <v>114</v>
      </c>
      <c r="Y180">
        <v>10</v>
      </c>
      <c r="AB180">
        <v>4.8956641652445301</v>
      </c>
      <c r="AC180" t="s">
        <v>85</v>
      </c>
      <c r="AI180" t="s">
        <v>988</v>
      </c>
      <c r="AK180">
        <v>0.1</v>
      </c>
      <c r="AL180" t="s">
        <v>82</v>
      </c>
      <c r="AM180">
        <v>0.1</v>
      </c>
      <c r="AN180" t="s">
        <v>82</v>
      </c>
      <c r="AU180">
        <v>1.2738853503184711</v>
      </c>
      <c r="AV180" t="s">
        <v>115</v>
      </c>
    </row>
    <row r="181" spans="1:48" x14ac:dyDescent="0.3">
      <c r="A181" t="s">
        <v>1455</v>
      </c>
      <c r="B181" t="s">
        <v>1456</v>
      </c>
      <c r="C181" t="s">
        <v>1416</v>
      </c>
      <c r="D181" t="s">
        <v>81</v>
      </c>
      <c r="E181">
        <v>100000000</v>
      </c>
      <c r="H181">
        <v>0.78500000000000003</v>
      </c>
      <c r="I181" t="s">
        <v>56</v>
      </c>
      <c r="J181">
        <v>7.8500000000000011E-5</v>
      </c>
      <c r="K181" t="s">
        <v>57</v>
      </c>
      <c r="L181" t="s">
        <v>112</v>
      </c>
      <c r="O181">
        <v>2.9961643404860201</v>
      </c>
      <c r="P181" t="s">
        <v>59</v>
      </c>
      <c r="T181">
        <v>10</v>
      </c>
      <c r="V181">
        <v>50</v>
      </c>
      <c r="W181" t="s">
        <v>1457</v>
      </c>
      <c r="X181" t="s">
        <v>114</v>
      </c>
      <c r="Y181">
        <v>10</v>
      </c>
      <c r="AB181">
        <v>6.3517113068429198</v>
      </c>
      <c r="AC181" t="s">
        <v>85</v>
      </c>
      <c r="AI181" t="s">
        <v>988</v>
      </c>
      <c r="AK181">
        <v>0.1</v>
      </c>
      <c r="AL181" t="s">
        <v>82</v>
      </c>
      <c r="AM181">
        <v>0.1</v>
      </c>
      <c r="AN181" t="s">
        <v>82</v>
      </c>
      <c r="AU181">
        <v>1.2738853503184711</v>
      </c>
      <c r="AV181" t="s">
        <v>115</v>
      </c>
    </row>
    <row r="182" spans="1:48" x14ac:dyDescent="0.3">
      <c r="A182" t="s">
        <v>1455</v>
      </c>
      <c r="B182" t="s">
        <v>1456</v>
      </c>
      <c r="C182" t="s">
        <v>1416</v>
      </c>
      <c r="D182" t="s">
        <v>81</v>
      </c>
      <c r="E182">
        <v>100000000</v>
      </c>
      <c r="H182">
        <v>0.78500000000000003</v>
      </c>
      <c r="I182" t="s">
        <v>56</v>
      </c>
      <c r="J182">
        <v>7.8500000000000011E-5</v>
      </c>
      <c r="K182" t="s">
        <v>57</v>
      </c>
      <c r="L182" t="s">
        <v>112</v>
      </c>
      <c r="O182">
        <v>3.980019194675271</v>
      </c>
      <c r="P182" t="s">
        <v>59</v>
      </c>
      <c r="T182">
        <v>10</v>
      </c>
      <c r="V182">
        <v>50</v>
      </c>
      <c r="W182" t="s">
        <v>1457</v>
      </c>
      <c r="X182" t="s">
        <v>114</v>
      </c>
      <c r="Y182">
        <v>10</v>
      </c>
      <c r="AB182">
        <v>6.3907361125214104</v>
      </c>
      <c r="AC182" t="s">
        <v>85</v>
      </c>
      <c r="AI182" t="s">
        <v>988</v>
      </c>
      <c r="AK182">
        <v>0.1</v>
      </c>
      <c r="AL182" t="s">
        <v>82</v>
      </c>
      <c r="AM182">
        <v>0.1</v>
      </c>
      <c r="AN182" t="s">
        <v>82</v>
      </c>
      <c r="AU182">
        <v>1.2738853503184711</v>
      </c>
      <c r="AV182" t="s">
        <v>115</v>
      </c>
    </row>
    <row r="183" spans="1:48" x14ac:dyDescent="0.3">
      <c r="A183" t="s">
        <v>1455</v>
      </c>
      <c r="B183" t="s">
        <v>1456</v>
      </c>
      <c r="C183" t="s">
        <v>1416</v>
      </c>
      <c r="D183" t="s">
        <v>81</v>
      </c>
      <c r="E183">
        <v>100000000</v>
      </c>
      <c r="H183">
        <v>0.78500000000000003</v>
      </c>
      <c r="I183" t="s">
        <v>56</v>
      </c>
      <c r="J183">
        <v>7.8500000000000011E-5</v>
      </c>
      <c r="K183" t="s">
        <v>57</v>
      </c>
      <c r="L183" t="s">
        <v>112</v>
      </c>
      <c r="O183">
        <v>0.259684958384239</v>
      </c>
      <c r="P183" t="s">
        <v>59</v>
      </c>
      <c r="T183">
        <v>20</v>
      </c>
      <c r="V183">
        <v>50</v>
      </c>
      <c r="W183" t="s">
        <v>1457</v>
      </c>
      <c r="X183" t="s">
        <v>114</v>
      </c>
      <c r="Y183">
        <v>10</v>
      </c>
      <c r="AB183">
        <v>0.849259563763335</v>
      </c>
      <c r="AC183" t="s">
        <v>85</v>
      </c>
      <c r="AI183" t="s">
        <v>988</v>
      </c>
      <c r="AK183">
        <v>0.1</v>
      </c>
      <c r="AL183" t="s">
        <v>82</v>
      </c>
      <c r="AM183">
        <v>0.1</v>
      </c>
      <c r="AN183" t="s">
        <v>82</v>
      </c>
      <c r="AU183">
        <v>1.2738853503184711</v>
      </c>
      <c r="AV183" t="s">
        <v>115</v>
      </c>
    </row>
    <row r="184" spans="1:48" x14ac:dyDescent="0.3">
      <c r="A184" t="s">
        <v>1455</v>
      </c>
      <c r="B184" t="s">
        <v>1456</v>
      </c>
      <c r="C184" t="s">
        <v>1416</v>
      </c>
      <c r="D184" t="s">
        <v>81</v>
      </c>
      <c r="E184">
        <v>100000000</v>
      </c>
      <c r="H184">
        <v>0.78500000000000003</v>
      </c>
      <c r="I184" t="s">
        <v>56</v>
      </c>
      <c r="J184">
        <v>7.8500000000000011E-5</v>
      </c>
      <c r="K184" t="s">
        <v>57</v>
      </c>
      <c r="L184" t="s">
        <v>112</v>
      </c>
      <c r="O184">
        <v>0.47516320387299898</v>
      </c>
      <c r="P184" t="s">
        <v>59</v>
      </c>
      <c r="T184">
        <v>20</v>
      </c>
      <c r="V184">
        <v>50</v>
      </c>
      <c r="W184" t="s">
        <v>1457</v>
      </c>
      <c r="X184" t="s">
        <v>114</v>
      </c>
      <c r="Y184">
        <v>10</v>
      </c>
      <c r="AB184">
        <v>2.8889820598572502</v>
      </c>
      <c r="AC184" t="s">
        <v>85</v>
      </c>
      <c r="AI184" t="s">
        <v>988</v>
      </c>
      <c r="AK184">
        <v>0.1</v>
      </c>
      <c r="AL184" t="s">
        <v>82</v>
      </c>
      <c r="AM184">
        <v>0.1</v>
      </c>
      <c r="AN184" t="s">
        <v>82</v>
      </c>
      <c r="AU184">
        <v>1.2738853503184711</v>
      </c>
      <c r="AV184" t="s">
        <v>115</v>
      </c>
    </row>
    <row r="185" spans="1:48" x14ac:dyDescent="0.3">
      <c r="A185" t="s">
        <v>1455</v>
      </c>
      <c r="B185" t="s">
        <v>1456</v>
      </c>
      <c r="C185" t="s">
        <v>1416</v>
      </c>
      <c r="D185" t="s">
        <v>81</v>
      </c>
      <c r="E185">
        <v>100000000</v>
      </c>
      <c r="H185">
        <v>0.78500000000000003</v>
      </c>
      <c r="I185" t="s">
        <v>56</v>
      </c>
      <c r="J185">
        <v>7.8500000000000011E-5</v>
      </c>
      <c r="K185" t="s">
        <v>57</v>
      </c>
      <c r="L185" t="s">
        <v>112</v>
      </c>
      <c r="O185">
        <v>0.98261014828378002</v>
      </c>
      <c r="P185" t="s">
        <v>59</v>
      </c>
      <c r="T185">
        <v>20</v>
      </c>
      <c r="V185">
        <v>50</v>
      </c>
      <c r="W185" t="s">
        <v>1457</v>
      </c>
      <c r="X185" t="s">
        <v>114</v>
      </c>
      <c r="Y185">
        <v>10</v>
      </c>
      <c r="AB185">
        <v>5.6928524401149003</v>
      </c>
      <c r="AC185" t="s">
        <v>85</v>
      </c>
      <c r="AI185" t="s">
        <v>988</v>
      </c>
      <c r="AK185">
        <v>0.1</v>
      </c>
      <c r="AL185" t="s">
        <v>82</v>
      </c>
      <c r="AM185">
        <v>0.1</v>
      </c>
      <c r="AN185" t="s">
        <v>82</v>
      </c>
      <c r="AU185">
        <v>1.2738853503184711</v>
      </c>
      <c r="AV185" t="s">
        <v>115</v>
      </c>
    </row>
    <row r="186" spans="1:48" x14ac:dyDescent="0.3">
      <c r="A186" t="s">
        <v>1455</v>
      </c>
      <c r="B186" t="s">
        <v>1456</v>
      </c>
      <c r="C186" t="s">
        <v>1416</v>
      </c>
      <c r="D186" t="s">
        <v>81</v>
      </c>
      <c r="E186">
        <v>100000000</v>
      </c>
      <c r="H186">
        <v>0.78500000000000003</v>
      </c>
      <c r="I186" t="s">
        <v>56</v>
      </c>
      <c r="J186">
        <v>7.8500000000000011E-5</v>
      </c>
      <c r="K186" t="s">
        <v>57</v>
      </c>
      <c r="L186" t="s">
        <v>112</v>
      </c>
      <c r="O186">
        <v>1.49459044262397</v>
      </c>
      <c r="P186" t="s">
        <v>59</v>
      </c>
      <c r="T186">
        <v>20</v>
      </c>
      <c r="V186">
        <v>50</v>
      </c>
      <c r="W186" t="s">
        <v>1457</v>
      </c>
      <c r="X186" t="s">
        <v>114</v>
      </c>
      <c r="Y186">
        <v>10</v>
      </c>
      <c r="AB186">
        <v>6.3995407690317103</v>
      </c>
      <c r="AC186" t="s">
        <v>85</v>
      </c>
      <c r="AI186" t="s">
        <v>988</v>
      </c>
      <c r="AK186">
        <v>0.1</v>
      </c>
      <c r="AL186" t="s">
        <v>82</v>
      </c>
      <c r="AM186">
        <v>0.1</v>
      </c>
      <c r="AN186" t="s">
        <v>82</v>
      </c>
      <c r="AU186">
        <v>1.2738853503184711</v>
      </c>
      <c r="AV186" t="s">
        <v>115</v>
      </c>
    </row>
    <row r="187" spans="1:48" x14ac:dyDescent="0.3">
      <c r="A187" t="s">
        <v>1455</v>
      </c>
      <c r="B187" t="s">
        <v>1456</v>
      </c>
      <c r="C187" t="s">
        <v>1416</v>
      </c>
      <c r="D187" t="s">
        <v>81</v>
      </c>
      <c r="E187">
        <v>100000000</v>
      </c>
      <c r="H187">
        <v>0.78500000000000003</v>
      </c>
      <c r="I187" t="s">
        <v>56</v>
      </c>
      <c r="J187">
        <v>7.8500000000000011E-5</v>
      </c>
      <c r="K187" t="s">
        <v>57</v>
      </c>
      <c r="L187" t="s">
        <v>112</v>
      </c>
      <c r="O187">
        <v>1.9930099936782</v>
      </c>
      <c r="P187" t="s">
        <v>59</v>
      </c>
      <c r="T187">
        <v>20</v>
      </c>
      <c r="V187">
        <v>50</v>
      </c>
      <c r="W187" t="s">
        <v>1457</v>
      </c>
      <c r="X187" t="s">
        <v>114</v>
      </c>
      <c r="Y187">
        <v>10</v>
      </c>
      <c r="AB187">
        <v>6.4402852341848602</v>
      </c>
      <c r="AC187" t="s">
        <v>85</v>
      </c>
      <c r="AI187" t="s">
        <v>988</v>
      </c>
      <c r="AK187">
        <v>0.1</v>
      </c>
      <c r="AL187" t="s">
        <v>82</v>
      </c>
      <c r="AM187">
        <v>0.1</v>
      </c>
      <c r="AN187" t="s">
        <v>82</v>
      </c>
      <c r="AU187">
        <v>1.2738853503184711</v>
      </c>
      <c r="AV187" t="s">
        <v>115</v>
      </c>
    </row>
    <row r="188" spans="1:48" x14ac:dyDescent="0.3">
      <c r="A188" t="s">
        <v>1455</v>
      </c>
      <c r="B188" t="s">
        <v>1456</v>
      </c>
      <c r="C188" t="s">
        <v>1416</v>
      </c>
      <c r="D188" t="s">
        <v>81</v>
      </c>
      <c r="E188">
        <v>100000000</v>
      </c>
      <c r="H188">
        <v>0.78500000000000003</v>
      </c>
      <c r="I188" t="s">
        <v>56</v>
      </c>
      <c r="J188">
        <v>7.8500000000000011E-5</v>
      </c>
      <c r="K188" t="s">
        <v>57</v>
      </c>
      <c r="L188" t="s">
        <v>112</v>
      </c>
      <c r="O188">
        <v>9.7349103975525098E-2</v>
      </c>
      <c r="P188" t="s">
        <v>59</v>
      </c>
      <c r="T188">
        <v>30</v>
      </c>
      <c r="V188">
        <v>50</v>
      </c>
      <c r="W188" t="s">
        <v>1457</v>
      </c>
      <c r="X188" t="s">
        <v>114</v>
      </c>
      <c r="Y188">
        <v>10</v>
      </c>
      <c r="AB188">
        <v>0.28303302073745501</v>
      </c>
      <c r="AC188" t="s">
        <v>85</v>
      </c>
      <c r="AI188" t="s">
        <v>988</v>
      </c>
      <c r="AK188">
        <v>0.1</v>
      </c>
      <c r="AL188" t="s">
        <v>82</v>
      </c>
      <c r="AM188">
        <v>0.1</v>
      </c>
      <c r="AN188" t="s">
        <v>82</v>
      </c>
      <c r="AU188">
        <v>1.2738853503184711</v>
      </c>
      <c r="AV188" t="s">
        <v>115</v>
      </c>
    </row>
    <row r="189" spans="1:48" x14ac:dyDescent="0.3">
      <c r="A189" t="s">
        <v>1455</v>
      </c>
      <c r="B189" t="s">
        <v>1456</v>
      </c>
      <c r="C189" t="s">
        <v>1416</v>
      </c>
      <c r="D189" t="s">
        <v>81</v>
      </c>
      <c r="E189">
        <v>100000000</v>
      </c>
      <c r="H189">
        <v>0.78500000000000003</v>
      </c>
      <c r="I189" t="s">
        <v>56</v>
      </c>
      <c r="J189">
        <v>7.8500000000000011E-5</v>
      </c>
      <c r="K189" t="s">
        <v>57</v>
      </c>
      <c r="L189" t="s">
        <v>112</v>
      </c>
      <c r="O189">
        <v>0.25511230195255002</v>
      </c>
      <c r="P189" t="s">
        <v>59</v>
      </c>
      <c r="T189">
        <v>30</v>
      </c>
      <c r="V189">
        <v>50</v>
      </c>
      <c r="W189" t="s">
        <v>1457</v>
      </c>
      <c r="X189" t="s">
        <v>114</v>
      </c>
      <c r="Y189">
        <v>10</v>
      </c>
      <c r="AB189">
        <v>2.9039316328903602</v>
      </c>
      <c r="AC189" t="s">
        <v>85</v>
      </c>
      <c r="AI189" t="s">
        <v>988</v>
      </c>
      <c r="AK189">
        <v>0.1</v>
      </c>
      <c r="AL189" t="s">
        <v>82</v>
      </c>
      <c r="AM189">
        <v>0.1</v>
      </c>
      <c r="AN189" t="s">
        <v>82</v>
      </c>
      <c r="AU189">
        <v>1.2738853503184711</v>
      </c>
      <c r="AV189" t="s">
        <v>115</v>
      </c>
    </row>
    <row r="190" spans="1:48" x14ac:dyDescent="0.3">
      <c r="A190" t="s">
        <v>1455</v>
      </c>
      <c r="B190" t="s">
        <v>1456</v>
      </c>
      <c r="C190" t="s">
        <v>1416</v>
      </c>
      <c r="D190" t="s">
        <v>81</v>
      </c>
      <c r="E190">
        <v>100000000</v>
      </c>
      <c r="H190">
        <v>0.78500000000000003</v>
      </c>
      <c r="I190" t="s">
        <v>56</v>
      </c>
      <c r="J190">
        <v>7.8500000000000011E-5</v>
      </c>
      <c r="K190" t="s">
        <v>57</v>
      </c>
      <c r="L190" t="s">
        <v>112</v>
      </c>
      <c r="O190">
        <v>0.50427621989367499</v>
      </c>
      <c r="P190" t="s">
        <v>59</v>
      </c>
      <c r="T190">
        <v>30</v>
      </c>
      <c r="V190">
        <v>50</v>
      </c>
      <c r="W190" t="s">
        <v>1457</v>
      </c>
      <c r="X190" t="s">
        <v>114</v>
      </c>
      <c r="Y190">
        <v>10</v>
      </c>
      <c r="AB190">
        <v>6.3747088862175003</v>
      </c>
      <c r="AC190" t="s">
        <v>85</v>
      </c>
      <c r="AI190" t="s">
        <v>988</v>
      </c>
      <c r="AK190">
        <v>0.1</v>
      </c>
      <c r="AL190" t="s">
        <v>82</v>
      </c>
      <c r="AM190">
        <v>0.1</v>
      </c>
      <c r="AN190" t="s">
        <v>82</v>
      </c>
      <c r="AU190">
        <v>1.2738853503184711</v>
      </c>
      <c r="AV190" t="s">
        <v>115</v>
      </c>
    </row>
    <row r="191" spans="1:48" x14ac:dyDescent="0.3">
      <c r="A191" t="s">
        <v>1455</v>
      </c>
      <c r="B191" t="s">
        <v>1456</v>
      </c>
      <c r="C191" t="s">
        <v>1416</v>
      </c>
      <c r="D191" t="s">
        <v>81</v>
      </c>
      <c r="E191">
        <v>100000000</v>
      </c>
      <c r="H191">
        <v>0.78500000000000003</v>
      </c>
      <c r="I191" t="s">
        <v>56</v>
      </c>
      <c r="J191">
        <v>7.8500000000000011E-5</v>
      </c>
      <c r="K191" t="s">
        <v>57</v>
      </c>
      <c r="L191" t="s">
        <v>112</v>
      </c>
      <c r="O191">
        <v>1.00268266878048</v>
      </c>
      <c r="P191" t="s">
        <v>59</v>
      </c>
      <c r="T191">
        <v>30</v>
      </c>
      <c r="V191">
        <v>50</v>
      </c>
      <c r="W191" t="s">
        <v>1457</v>
      </c>
      <c r="X191" t="s">
        <v>114</v>
      </c>
      <c r="Y191">
        <v>10</v>
      </c>
      <c r="AB191">
        <v>6.4012833572993699</v>
      </c>
      <c r="AC191" t="s">
        <v>85</v>
      </c>
      <c r="AI191" t="s">
        <v>988</v>
      </c>
      <c r="AK191">
        <v>0.1</v>
      </c>
      <c r="AL191" t="s">
        <v>82</v>
      </c>
      <c r="AM191">
        <v>0.1</v>
      </c>
      <c r="AN191" t="s">
        <v>82</v>
      </c>
      <c r="AU191">
        <v>1.2738853503184711</v>
      </c>
      <c r="AV191" t="s">
        <v>115</v>
      </c>
    </row>
    <row r="192" spans="1:48" x14ac:dyDescent="0.3">
      <c r="A192" t="s">
        <v>1455</v>
      </c>
      <c r="B192" t="s">
        <v>1458</v>
      </c>
      <c r="C192" t="s">
        <v>1416</v>
      </c>
      <c r="D192" t="s">
        <v>81</v>
      </c>
      <c r="E192">
        <v>100000000</v>
      </c>
      <c r="H192">
        <v>0.78500000000000003</v>
      </c>
      <c r="I192" t="s">
        <v>56</v>
      </c>
      <c r="J192">
        <v>7.8500000000000011E-5</v>
      </c>
      <c r="K192" t="s">
        <v>57</v>
      </c>
      <c r="L192" t="s">
        <v>112</v>
      </c>
      <c r="O192">
        <v>0.99647101579721298</v>
      </c>
      <c r="P192" t="s">
        <v>59</v>
      </c>
      <c r="T192">
        <v>10</v>
      </c>
      <c r="V192">
        <v>50</v>
      </c>
      <c r="W192" t="s">
        <v>1459</v>
      </c>
      <c r="X192" t="s">
        <v>114</v>
      </c>
      <c r="Y192">
        <v>10</v>
      </c>
      <c r="AB192">
        <v>0.82477693355387904</v>
      </c>
      <c r="AC192" t="s">
        <v>85</v>
      </c>
      <c r="AI192" t="s">
        <v>988</v>
      </c>
      <c r="AK192">
        <v>0.1</v>
      </c>
      <c r="AL192" t="s">
        <v>82</v>
      </c>
      <c r="AM192">
        <v>0.1</v>
      </c>
      <c r="AN192" t="s">
        <v>82</v>
      </c>
      <c r="AU192">
        <v>1.2738853503184711</v>
      </c>
      <c r="AV192" t="s">
        <v>115</v>
      </c>
    </row>
    <row r="193" spans="1:48" x14ac:dyDescent="0.3">
      <c r="A193" t="s">
        <v>1455</v>
      </c>
      <c r="B193" t="s">
        <v>1458</v>
      </c>
      <c r="C193" t="s">
        <v>1416</v>
      </c>
      <c r="D193" t="s">
        <v>81</v>
      </c>
      <c r="E193">
        <v>100000000</v>
      </c>
      <c r="H193">
        <v>0.78500000000000003</v>
      </c>
      <c r="I193" t="s">
        <v>56</v>
      </c>
      <c r="J193">
        <v>7.8500000000000011E-5</v>
      </c>
      <c r="K193" t="s">
        <v>57</v>
      </c>
      <c r="L193" t="s">
        <v>112</v>
      </c>
      <c r="O193">
        <v>1.4935313278015301</v>
      </c>
      <c r="P193" t="s">
        <v>59</v>
      </c>
      <c r="T193">
        <v>10</v>
      </c>
      <c r="V193">
        <v>50</v>
      </c>
      <c r="W193" t="s">
        <v>1459</v>
      </c>
      <c r="X193" t="s">
        <v>114</v>
      </c>
      <c r="Y193">
        <v>10</v>
      </c>
      <c r="AB193">
        <v>2.3876685947578</v>
      </c>
      <c r="AC193" t="s">
        <v>85</v>
      </c>
      <c r="AI193" t="s">
        <v>988</v>
      </c>
      <c r="AK193">
        <v>0.1</v>
      </c>
      <c r="AL193" t="s">
        <v>82</v>
      </c>
      <c r="AM193">
        <v>0.1</v>
      </c>
      <c r="AN193" t="s">
        <v>82</v>
      </c>
      <c r="AU193">
        <v>1.2738853503184711</v>
      </c>
      <c r="AV193" t="s">
        <v>115</v>
      </c>
    </row>
    <row r="194" spans="1:48" x14ac:dyDescent="0.3">
      <c r="A194" t="s">
        <v>1455</v>
      </c>
      <c r="B194" t="s">
        <v>1458</v>
      </c>
      <c r="C194" t="s">
        <v>1416</v>
      </c>
      <c r="D194" t="s">
        <v>81</v>
      </c>
      <c r="E194">
        <v>100000000</v>
      </c>
      <c r="H194">
        <v>0.78500000000000003</v>
      </c>
      <c r="I194" t="s">
        <v>56</v>
      </c>
      <c r="J194">
        <v>7.8500000000000011E-5</v>
      </c>
      <c r="K194" t="s">
        <v>57</v>
      </c>
      <c r="L194" t="s">
        <v>112</v>
      </c>
      <c r="O194">
        <v>2.01141909999015</v>
      </c>
      <c r="P194" t="s">
        <v>59</v>
      </c>
      <c r="T194">
        <v>10</v>
      </c>
      <c r="V194">
        <v>50</v>
      </c>
      <c r="W194" t="s">
        <v>1459</v>
      </c>
      <c r="X194" t="s">
        <v>114</v>
      </c>
      <c r="Y194">
        <v>10</v>
      </c>
      <c r="AB194">
        <v>4.0751683824753</v>
      </c>
      <c r="AC194" t="s">
        <v>85</v>
      </c>
      <c r="AI194" t="s">
        <v>988</v>
      </c>
      <c r="AK194">
        <v>0.1</v>
      </c>
      <c r="AL194" t="s">
        <v>82</v>
      </c>
      <c r="AM194">
        <v>0.1</v>
      </c>
      <c r="AN194" t="s">
        <v>82</v>
      </c>
      <c r="AU194">
        <v>1.2738853503184711</v>
      </c>
      <c r="AV194" t="s">
        <v>115</v>
      </c>
    </row>
    <row r="195" spans="1:48" x14ac:dyDescent="0.3">
      <c r="A195" t="s">
        <v>1455</v>
      </c>
      <c r="B195" t="s">
        <v>1458</v>
      </c>
      <c r="C195" t="s">
        <v>1416</v>
      </c>
      <c r="D195" t="s">
        <v>81</v>
      </c>
      <c r="E195">
        <v>100000000</v>
      </c>
      <c r="H195">
        <v>0.78500000000000003</v>
      </c>
      <c r="I195" t="s">
        <v>56</v>
      </c>
      <c r="J195">
        <v>7.8500000000000011E-5</v>
      </c>
      <c r="K195" t="s">
        <v>57</v>
      </c>
      <c r="L195" t="s">
        <v>112</v>
      </c>
      <c r="O195">
        <v>2.5070936318647901</v>
      </c>
      <c r="P195" t="s">
        <v>59</v>
      </c>
      <c r="T195">
        <v>10</v>
      </c>
      <c r="V195">
        <v>50</v>
      </c>
      <c r="W195" t="s">
        <v>1459</v>
      </c>
      <c r="X195" t="s">
        <v>114</v>
      </c>
      <c r="Y195">
        <v>10</v>
      </c>
      <c r="AB195">
        <v>4.93113895502667</v>
      </c>
      <c r="AC195" t="s">
        <v>85</v>
      </c>
      <c r="AI195" t="s">
        <v>988</v>
      </c>
      <c r="AK195">
        <v>0.1</v>
      </c>
      <c r="AL195" t="s">
        <v>82</v>
      </c>
      <c r="AM195">
        <v>0.1</v>
      </c>
      <c r="AN195" t="s">
        <v>82</v>
      </c>
      <c r="AU195">
        <v>1.2738853503184711</v>
      </c>
      <c r="AV195" t="s">
        <v>115</v>
      </c>
    </row>
    <row r="196" spans="1:48" x14ac:dyDescent="0.3">
      <c r="A196" t="s">
        <v>1455</v>
      </c>
      <c r="B196" t="s">
        <v>1458</v>
      </c>
      <c r="C196" t="s">
        <v>1416</v>
      </c>
      <c r="D196" t="s">
        <v>81</v>
      </c>
      <c r="E196">
        <v>100000000</v>
      </c>
      <c r="H196">
        <v>0.78500000000000003</v>
      </c>
      <c r="I196" t="s">
        <v>56</v>
      </c>
      <c r="J196">
        <v>7.8500000000000011E-5</v>
      </c>
      <c r="K196" t="s">
        <v>57</v>
      </c>
      <c r="L196" t="s">
        <v>112</v>
      </c>
      <c r="O196">
        <v>2.99712994066279</v>
      </c>
      <c r="P196" t="s">
        <v>59</v>
      </c>
      <c r="T196">
        <v>10</v>
      </c>
      <c r="V196">
        <v>50</v>
      </c>
      <c r="W196" t="s">
        <v>1459</v>
      </c>
      <c r="X196" t="s">
        <v>114</v>
      </c>
      <c r="Y196">
        <v>10</v>
      </c>
      <c r="AB196">
        <v>6.4109109806092501</v>
      </c>
      <c r="AC196" t="s">
        <v>85</v>
      </c>
      <c r="AI196" t="s">
        <v>988</v>
      </c>
      <c r="AK196">
        <v>0.1</v>
      </c>
      <c r="AL196" t="s">
        <v>82</v>
      </c>
      <c r="AM196">
        <v>0.1</v>
      </c>
      <c r="AN196" t="s">
        <v>82</v>
      </c>
      <c r="AU196">
        <v>1.2738853503184711</v>
      </c>
      <c r="AV196" t="s">
        <v>115</v>
      </c>
    </row>
    <row r="197" spans="1:48" x14ac:dyDescent="0.3">
      <c r="A197" t="s">
        <v>1455</v>
      </c>
      <c r="B197" t="s">
        <v>1458</v>
      </c>
      <c r="C197" t="s">
        <v>1416</v>
      </c>
      <c r="D197" t="s">
        <v>81</v>
      </c>
      <c r="E197">
        <v>100000000</v>
      </c>
      <c r="H197">
        <v>0.78500000000000003</v>
      </c>
      <c r="I197" t="s">
        <v>56</v>
      </c>
      <c r="J197">
        <v>7.8500000000000011E-5</v>
      </c>
      <c r="K197" t="s">
        <v>57</v>
      </c>
      <c r="L197" t="s">
        <v>112</v>
      </c>
      <c r="O197">
        <v>4.0056110509172198</v>
      </c>
      <c r="P197" t="s">
        <v>59</v>
      </c>
      <c r="T197">
        <v>10</v>
      </c>
      <c r="V197">
        <v>50</v>
      </c>
      <c r="W197" t="s">
        <v>1459</v>
      </c>
      <c r="X197" t="s">
        <v>114</v>
      </c>
      <c r="Y197">
        <v>10</v>
      </c>
      <c r="AB197">
        <v>6.3623373491520399</v>
      </c>
      <c r="AC197" t="s">
        <v>85</v>
      </c>
      <c r="AI197" t="s">
        <v>988</v>
      </c>
      <c r="AK197">
        <v>0.1</v>
      </c>
      <c r="AL197" t="s">
        <v>82</v>
      </c>
      <c r="AM197">
        <v>0.1</v>
      </c>
      <c r="AN197" t="s">
        <v>82</v>
      </c>
      <c r="AU197">
        <v>1.2738853503184711</v>
      </c>
      <c r="AV197" t="s">
        <v>115</v>
      </c>
    </row>
    <row r="198" spans="1:48" x14ac:dyDescent="0.3">
      <c r="A198" t="s">
        <v>1455</v>
      </c>
      <c r="B198" t="s">
        <v>1458</v>
      </c>
      <c r="C198" t="s">
        <v>1416</v>
      </c>
      <c r="D198" t="s">
        <v>81</v>
      </c>
      <c r="E198">
        <v>100000000</v>
      </c>
      <c r="H198">
        <v>0.78500000000000003</v>
      </c>
      <c r="I198" t="s">
        <v>56</v>
      </c>
      <c r="J198">
        <v>7.8500000000000011E-5</v>
      </c>
      <c r="K198" t="s">
        <v>57</v>
      </c>
      <c r="L198" t="s">
        <v>112</v>
      </c>
      <c r="O198">
        <v>0.234088153278151</v>
      </c>
      <c r="P198" t="s">
        <v>59</v>
      </c>
      <c r="T198">
        <v>20</v>
      </c>
      <c r="V198">
        <v>50</v>
      </c>
      <c r="W198" t="s">
        <v>1459</v>
      </c>
      <c r="X198" t="s">
        <v>114</v>
      </c>
      <c r="Y198">
        <v>10</v>
      </c>
      <c r="AB198">
        <v>0.41421919101688098</v>
      </c>
      <c r="AC198" t="s">
        <v>85</v>
      </c>
      <c r="AI198" t="s">
        <v>988</v>
      </c>
      <c r="AK198">
        <v>0.1</v>
      </c>
      <c r="AL198" t="s">
        <v>82</v>
      </c>
      <c r="AM198">
        <v>0.1</v>
      </c>
      <c r="AN198" t="s">
        <v>82</v>
      </c>
      <c r="AU198">
        <v>1.2738853503184711</v>
      </c>
      <c r="AV198" t="s">
        <v>115</v>
      </c>
    </row>
    <row r="199" spans="1:48" x14ac:dyDescent="0.3">
      <c r="A199" t="s">
        <v>1455</v>
      </c>
      <c r="B199" t="s">
        <v>1458</v>
      </c>
      <c r="C199" t="s">
        <v>1416</v>
      </c>
      <c r="D199" t="s">
        <v>81</v>
      </c>
      <c r="E199">
        <v>100000000</v>
      </c>
      <c r="H199">
        <v>0.78500000000000003</v>
      </c>
      <c r="I199" t="s">
        <v>56</v>
      </c>
      <c r="J199">
        <v>7.8500000000000011E-5</v>
      </c>
      <c r="K199" t="s">
        <v>57</v>
      </c>
      <c r="L199" t="s">
        <v>112</v>
      </c>
      <c r="O199">
        <v>0.50674718683236997</v>
      </c>
      <c r="P199" t="s">
        <v>59</v>
      </c>
      <c r="T199">
        <v>20</v>
      </c>
      <c r="V199">
        <v>50</v>
      </c>
      <c r="W199" t="s">
        <v>1459</v>
      </c>
      <c r="X199" t="s">
        <v>114</v>
      </c>
      <c r="Y199">
        <v>10</v>
      </c>
      <c r="AB199">
        <v>3.0044086828635201</v>
      </c>
      <c r="AC199" t="s">
        <v>85</v>
      </c>
      <c r="AI199" t="s">
        <v>988</v>
      </c>
      <c r="AK199">
        <v>0.1</v>
      </c>
      <c r="AL199" t="s">
        <v>82</v>
      </c>
      <c r="AM199">
        <v>0.1</v>
      </c>
      <c r="AN199" t="s">
        <v>82</v>
      </c>
      <c r="AU199">
        <v>1.2738853503184711</v>
      </c>
      <c r="AV199" t="s">
        <v>115</v>
      </c>
    </row>
    <row r="200" spans="1:48" x14ac:dyDescent="0.3">
      <c r="A200" t="s">
        <v>1455</v>
      </c>
      <c r="B200" t="s">
        <v>1458</v>
      </c>
      <c r="C200" t="s">
        <v>1416</v>
      </c>
      <c r="D200" t="s">
        <v>81</v>
      </c>
      <c r="E200">
        <v>100000000</v>
      </c>
      <c r="H200">
        <v>0.78500000000000003</v>
      </c>
      <c r="I200" t="s">
        <v>56</v>
      </c>
      <c r="J200">
        <v>7.8500000000000011E-5</v>
      </c>
      <c r="K200" t="s">
        <v>57</v>
      </c>
      <c r="L200" t="s">
        <v>112</v>
      </c>
      <c r="O200">
        <v>0.99136264982898492</v>
      </c>
      <c r="P200" t="s">
        <v>59</v>
      </c>
      <c r="T200">
        <v>20</v>
      </c>
      <c r="V200">
        <v>50</v>
      </c>
      <c r="W200" t="s">
        <v>1459</v>
      </c>
      <c r="X200" t="s">
        <v>114</v>
      </c>
      <c r="Y200">
        <v>10</v>
      </c>
      <c r="AB200">
        <v>5.2188717440110803</v>
      </c>
      <c r="AC200" t="s">
        <v>85</v>
      </c>
      <c r="AI200" t="s">
        <v>988</v>
      </c>
      <c r="AK200">
        <v>0.1</v>
      </c>
      <c r="AL200" t="s">
        <v>82</v>
      </c>
      <c r="AM200">
        <v>0.1</v>
      </c>
      <c r="AN200" t="s">
        <v>82</v>
      </c>
      <c r="AU200">
        <v>1.2738853503184711</v>
      </c>
      <c r="AV200" t="s">
        <v>115</v>
      </c>
    </row>
    <row r="201" spans="1:48" x14ac:dyDescent="0.3">
      <c r="A201" t="s">
        <v>1455</v>
      </c>
      <c r="B201" t="s">
        <v>1458</v>
      </c>
      <c r="C201" t="s">
        <v>1416</v>
      </c>
      <c r="D201" t="s">
        <v>81</v>
      </c>
      <c r="E201">
        <v>100000000</v>
      </c>
      <c r="H201">
        <v>0.78500000000000003</v>
      </c>
      <c r="I201" t="s">
        <v>56</v>
      </c>
      <c r="J201">
        <v>7.8500000000000011E-5</v>
      </c>
      <c r="K201" t="s">
        <v>57</v>
      </c>
      <c r="L201" t="s">
        <v>112</v>
      </c>
      <c r="O201">
        <v>1.52196699261936</v>
      </c>
      <c r="P201" t="s">
        <v>59</v>
      </c>
      <c r="T201">
        <v>20</v>
      </c>
      <c r="V201">
        <v>50</v>
      </c>
      <c r="W201" t="s">
        <v>1459</v>
      </c>
      <c r="X201" t="s">
        <v>114</v>
      </c>
      <c r="Y201">
        <v>10</v>
      </c>
      <c r="AB201">
        <v>6.3934121099521404</v>
      </c>
      <c r="AC201" t="s">
        <v>85</v>
      </c>
      <c r="AI201" t="s">
        <v>988</v>
      </c>
      <c r="AK201">
        <v>0.1</v>
      </c>
      <c r="AL201" t="s">
        <v>82</v>
      </c>
      <c r="AM201">
        <v>0.1</v>
      </c>
      <c r="AN201" t="s">
        <v>82</v>
      </c>
      <c r="AU201">
        <v>1.2738853503184711</v>
      </c>
      <c r="AV201" t="s">
        <v>115</v>
      </c>
    </row>
    <row r="202" spans="1:48" x14ac:dyDescent="0.3">
      <c r="A202" t="s">
        <v>1455</v>
      </c>
      <c r="B202" t="s">
        <v>1458</v>
      </c>
      <c r="C202" t="s">
        <v>1416</v>
      </c>
      <c r="D202" t="s">
        <v>81</v>
      </c>
      <c r="E202">
        <v>100000000</v>
      </c>
      <c r="H202">
        <v>0.78500000000000003</v>
      </c>
      <c r="I202" t="s">
        <v>56</v>
      </c>
      <c r="J202">
        <v>7.8500000000000011E-5</v>
      </c>
      <c r="K202" t="s">
        <v>57</v>
      </c>
      <c r="L202" t="s">
        <v>112</v>
      </c>
      <c r="O202">
        <v>2.02978747974824</v>
      </c>
      <c r="P202" t="s">
        <v>59</v>
      </c>
      <c r="T202">
        <v>20</v>
      </c>
      <c r="V202">
        <v>50</v>
      </c>
      <c r="W202" t="s">
        <v>1459</v>
      </c>
      <c r="X202" t="s">
        <v>114</v>
      </c>
      <c r="Y202">
        <v>10</v>
      </c>
      <c r="AB202">
        <v>6.445338106576</v>
      </c>
      <c r="AC202" t="s">
        <v>85</v>
      </c>
      <c r="AI202" t="s">
        <v>988</v>
      </c>
      <c r="AK202">
        <v>0.1</v>
      </c>
      <c r="AL202" t="s">
        <v>82</v>
      </c>
      <c r="AM202">
        <v>0.1</v>
      </c>
      <c r="AN202" t="s">
        <v>82</v>
      </c>
      <c r="AU202">
        <v>1.2738853503184711</v>
      </c>
      <c r="AV202" t="s">
        <v>115</v>
      </c>
    </row>
    <row r="203" spans="1:48" x14ac:dyDescent="0.3">
      <c r="A203" t="s">
        <v>1455</v>
      </c>
      <c r="B203" t="s">
        <v>1458</v>
      </c>
      <c r="C203" t="s">
        <v>1416</v>
      </c>
      <c r="D203" t="s">
        <v>81</v>
      </c>
      <c r="E203">
        <v>100000000</v>
      </c>
      <c r="H203">
        <v>0.78500000000000003</v>
      </c>
      <c r="I203" t="s">
        <v>56</v>
      </c>
      <c r="J203">
        <v>7.8500000000000011E-5</v>
      </c>
      <c r="K203" t="s">
        <v>57</v>
      </c>
      <c r="L203" t="s">
        <v>112</v>
      </c>
      <c r="O203">
        <v>0.25185874552933002</v>
      </c>
      <c r="P203" t="s">
        <v>59</v>
      </c>
      <c r="T203">
        <v>30</v>
      </c>
      <c r="V203">
        <v>50</v>
      </c>
      <c r="W203" t="s">
        <v>1459</v>
      </c>
      <c r="X203" t="s">
        <v>114</v>
      </c>
      <c r="Y203">
        <v>10</v>
      </c>
      <c r="AB203">
        <v>2.4794425631497901</v>
      </c>
      <c r="AC203" t="s">
        <v>85</v>
      </c>
      <c r="AI203" t="s">
        <v>988</v>
      </c>
      <c r="AK203">
        <v>0.1</v>
      </c>
      <c r="AL203" t="s">
        <v>82</v>
      </c>
      <c r="AM203">
        <v>0.1</v>
      </c>
      <c r="AN203" t="s">
        <v>82</v>
      </c>
      <c r="AU203">
        <v>1.2738853503184711</v>
      </c>
      <c r="AV203" t="s">
        <v>115</v>
      </c>
    </row>
    <row r="204" spans="1:48" x14ac:dyDescent="0.3">
      <c r="A204" t="s">
        <v>1455</v>
      </c>
      <c r="B204" t="s">
        <v>1458</v>
      </c>
      <c r="C204" t="s">
        <v>1416</v>
      </c>
      <c r="D204" t="s">
        <v>81</v>
      </c>
      <c r="E204">
        <v>100000000</v>
      </c>
      <c r="H204">
        <v>0.78500000000000003</v>
      </c>
      <c r="I204" t="s">
        <v>56</v>
      </c>
      <c r="J204">
        <v>7.8500000000000011E-5</v>
      </c>
      <c r="K204" t="s">
        <v>57</v>
      </c>
      <c r="L204" t="s">
        <v>112</v>
      </c>
      <c r="O204">
        <v>0.48476490987334198</v>
      </c>
      <c r="P204" t="s">
        <v>59</v>
      </c>
      <c r="T204">
        <v>30</v>
      </c>
      <c r="V204">
        <v>50</v>
      </c>
      <c r="W204" t="s">
        <v>1459</v>
      </c>
      <c r="X204" t="s">
        <v>114</v>
      </c>
      <c r="Y204">
        <v>10</v>
      </c>
      <c r="AB204">
        <v>5.79069964913948</v>
      </c>
      <c r="AC204" t="s">
        <v>85</v>
      </c>
      <c r="AI204" t="s">
        <v>988</v>
      </c>
      <c r="AK204">
        <v>0.1</v>
      </c>
      <c r="AL204" t="s">
        <v>82</v>
      </c>
      <c r="AM204">
        <v>0.1</v>
      </c>
      <c r="AN204" t="s">
        <v>82</v>
      </c>
      <c r="AU204">
        <v>1.2738853503184711</v>
      </c>
      <c r="AV204" t="s">
        <v>115</v>
      </c>
    </row>
    <row r="205" spans="1:48" x14ac:dyDescent="0.3">
      <c r="A205" t="s">
        <v>1455</v>
      </c>
      <c r="B205" t="s">
        <v>1458</v>
      </c>
      <c r="C205" t="s">
        <v>1416</v>
      </c>
      <c r="D205" t="s">
        <v>81</v>
      </c>
      <c r="E205">
        <v>100000000</v>
      </c>
      <c r="H205">
        <v>0.78500000000000003</v>
      </c>
      <c r="I205" t="s">
        <v>56</v>
      </c>
      <c r="J205">
        <v>7.8500000000000011E-5</v>
      </c>
      <c r="K205" t="s">
        <v>57</v>
      </c>
      <c r="L205" t="s">
        <v>112</v>
      </c>
      <c r="O205">
        <v>1.0142823662875</v>
      </c>
      <c r="P205" t="s">
        <v>59</v>
      </c>
      <c r="T205">
        <v>30</v>
      </c>
      <c r="V205">
        <v>50</v>
      </c>
      <c r="W205" t="s">
        <v>1459</v>
      </c>
      <c r="X205" t="s">
        <v>114</v>
      </c>
      <c r="Y205">
        <v>10</v>
      </c>
      <c r="AB205">
        <v>6.4107921024118601</v>
      </c>
      <c r="AC205" t="s">
        <v>85</v>
      </c>
      <c r="AI205" t="s">
        <v>988</v>
      </c>
      <c r="AK205">
        <v>0.1</v>
      </c>
      <c r="AL205" t="s">
        <v>82</v>
      </c>
      <c r="AM205">
        <v>0.1</v>
      </c>
      <c r="AN205" t="s">
        <v>82</v>
      </c>
      <c r="AU205">
        <v>1.2738853503184711</v>
      </c>
      <c r="AV205" t="s">
        <v>115</v>
      </c>
    </row>
    <row r="206" spans="1:48" x14ac:dyDescent="0.3">
      <c r="A206" t="s">
        <v>1455</v>
      </c>
      <c r="B206" t="s">
        <v>1460</v>
      </c>
      <c r="C206" t="s">
        <v>1416</v>
      </c>
      <c r="D206" t="s">
        <v>81</v>
      </c>
      <c r="E206">
        <v>100000000</v>
      </c>
      <c r="H206">
        <v>0.78500000000000003</v>
      </c>
      <c r="I206" t="s">
        <v>56</v>
      </c>
      <c r="J206">
        <v>7.8500000000000011E-5</v>
      </c>
      <c r="K206" t="s">
        <v>57</v>
      </c>
      <c r="L206" t="s">
        <v>112</v>
      </c>
      <c r="O206">
        <v>0.47357799335798001</v>
      </c>
      <c r="P206" t="s">
        <v>59</v>
      </c>
      <c r="T206">
        <v>10</v>
      </c>
      <c r="V206">
        <v>50</v>
      </c>
      <c r="W206" t="s">
        <v>1461</v>
      </c>
      <c r="X206" t="s">
        <v>114</v>
      </c>
      <c r="Y206">
        <v>10</v>
      </c>
      <c r="AB206">
        <v>0.37218813905930298</v>
      </c>
      <c r="AC206" t="s">
        <v>85</v>
      </c>
      <c r="AI206" t="s">
        <v>988</v>
      </c>
      <c r="AK206">
        <v>0.1</v>
      </c>
      <c r="AL206" t="s">
        <v>82</v>
      </c>
      <c r="AM206">
        <v>0.1</v>
      </c>
      <c r="AN206" t="s">
        <v>82</v>
      </c>
      <c r="AU206">
        <v>1.2738853503184711</v>
      </c>
      <c r="AV206" t="s">
        <v>115</v>
      </c>
    </row>
    <row r="207" spans="1:48" x14ac:dyDescent="0.3">
      <c r="A207" t="s">
        <v>1455</v>
      </c>
      <c r="B207" t="s">
        <v>1460</v>
      </c>
      <c r="C207" t="s">
        <v>1416</v>
      </c>
      <c r="D207" t="s">
        <v>81</v>
      </c>
      <c r="E207">
        <v>100000000</v>
      </c>
      <c r="H207">
        <v>0.78500000000000003</v>
      </c>
      <c r="I207" t="s">
        <v>56</v>
      </c>
      <c r="J207">
        <v>7.8500000000000011E-5</v>
      </c>
      <c r="K207" t="s">
        <v>57</v>
      </c>
      <c r="L207" t="s">
        <v>112</v>
      </c>
      <c r="O207">
        <v>0.98825725904211204</v>
      </c>
      <c r="P207" t="s">
        <v>59</v>
      </c>
      <c r="T207">
        <v>10</v>
      </c>
      <c r="V207">
        <v>50</v>
      </c>
      <c r="W207" t="s">
        <v>1461</v>
      </c>
      <c r="X207" t="s">
        <v>114</v>
      </c>
      <c r="Y207">
        <v>10</v>
      </c>
      <c r="AB207">
        <v>1.6319018404907799</v>
      </c>
      <c r="AC207" t="s">
        <v>85</v>
      </c>
      <c r="AI207" t="s">
        <v>988</v>
      </c>
      <c r="AK207">
        <v>0.1</v>
      </c>
      <c r="AL207" t="s">
        <v>82</v>
      </c>
      <c r="AM207">
        <v>0.1</v>
      </c>
      <c r="AN207" t="s">
        <v>82</v>
      </c>
      <c r="AU207">
        <v>1.2738853503184711</v>
      </c>
      <c r="AV207" t="s">
        <v>115</v>
      </c>
    </row>
    <row r="208" spans="1:48" x14ac:dyDescent="0.3">
      <c r="A208" t="s">
        <v>1455</v>
      </c>
      <c r="B208" t="s">
        <v>1460</v>
      </c>
      <c r="C208" t="s">
        <v>1416</v>
      </c>
      <c r="D208" t="s">
        <v>81</v>
      </c>
      <c r="E208">
        <v>100000000</v>
      </c>
      <c r="H208">
        <v>0.78500000000000003</v>
      </c>
      <c r="I208" t="s">
        <v>56</v>
      </c>
      <c r="J208">
        <v>7.8500000000000011E-5</v>
      </c>
      <c r="K208" t="s">
        <v>57</v>
      </c>
      <c r="L208" t="s">
        <v>112</v>
      </c>
      <c r="O208">
        <v>1.4910896874087001</v>
      </c>
      <c r="P208" t="s">
        <v>59</v>
      </c>
      <c r="T208">
        <v>10</v>
      </c>
      <c r="V208">
        <v>50</v>
      </c>
      <c r="W208" t="s">
        <v>1461</v>
      </c>
      <c r="X208" t="s">
        <v>114</v>
      </c>
      <c r="Y208">
        <v>10</v>
      </c>
      <c r="AB208">
        <v>3.5787321063394502</v>
      </c>
      <c r="AC208" t="s">
        <v>85</v>
      </c>
      <c r="AI208" t="s">
        <v>988</v>
      </c>
      <c r="AK208">
        <v>0.1</v>
      </c>
      <c r="AL208" t="s">
        <v>82</v>
      </c>
      <c r="AM208">
        <v>0.1</v>
      </c>
      <c r="AN208" t="s">
        <v>82</v>
      </c>
      <c r="AU208">
        <v>1.2738853503184711</v>
      </c>
      <c r="AV208" t="s">
        <v>115</v>
      </c>
    </row>
    <row r="209" spans="1:48" x14ac:dyDescent="0.3">
      <c r="A209" t="s">
        <v>1455</v>
      </c>
      <c r="B209" t="s">
        <v>1460</v>
      </c>
      <c r="C209" t="s">
        <v>1416</v>
      </c>
      <c r="D209" t="s">
        <v>81</v>
      </c>
      <c r="E209">
        <v>100000000</v>
      </c>
      <c r="H209">
        <v>0.78500000000000003</v>
      </c>
      <c r="I209" t="s">
        <v>56</v>
      </c>
      <c r="J209">
        <v>7.8500000000000011E-5</v>
      </c>
      <c r="K209" t="s">
        <v>57</v>
      </c>
      <c r="L209" t="s">
        <v>112</v>
      </c>
      <c r="O209">
        <v>1.99263266409447</v>
      </c>
      <c r="P209" t="s">
        <v>59</v>
      </c>
      <c r="T209">
        <v>10</v>
      </c>
      <c r="V209">
        <v>50</v>
      </c>
      <c r="W209" t="s">
        <v>1461</v>
      </c>
      <c r="X209" t="s">
        <v>114</v>
      </c>
      <c r="Y209">
        <v>10</v>
      </c>
      <c r="AB209">
        <v>4.8384458077709498</v>
      </c>
      <c r="AC209" t="s">
        <v>85</v>
      </c>
      <c r="AI209" t="s">
        <v>988</v>
      </c>
      <c r="AK209">
        <v>0.1</v>
      </c>
      <c r="AL209" t="s">
        <v>82</v>
      </c>
      <c r="AM209">
        <v>0.1</v>
      </c>
      <c r="AN209" t="s">
        <v>82</v>
      </c>
      <c r="AU209">
        <v>1.2738853503184711</v>
      </c>
      <c r="AV209" t="s">
        <v>115</v>
      </c>
    </row>
    <row r="210" spans="1:48" x14ac:dyDescent="0.3">
      <c r="A210" t="s">
        <v>1455</v>
      </c>
      <c r="B210" t="s">
        <v>1460</v>
      </c>
      <c r="C210" t="s">
        <v>1416</v>
      </c>
      <c r="D210" t="s">
        <v>81</v>
      </c>
      <c r="E210">
        <v>100000000</v>
      </c>
      <c r="H210">
        <v>0.78500000000000003</v>
      </c>
      <c r="I210" t="s">
        <v>56</v>
      </c>
      <c r="J210">
        <v>7.8500000000000011E-5</v>
      </c>
      <c r="K210" t="s">
        <v>57</v>
      </c>
      <c r="L210" t="s">
        <v>112</v>
      </c>
      <c r="O210">
        <v>3.0067864110597302</v>
      </c>
      <c r="P210" t="s">
        <v>59</v>
      </c>
      <c r="T210">
        <v>10</v>
      </c>
      <c r="V210">
        <v>50</v>
      </c>
      <c r="W210" t="s">
        <v>1461</v>
      </c>
      <c r="X210" t="s">
        <v>114</v>
      </c>
      <c r="Y210">
        <v>10</v>
      </c>
      <c r="AB210">
        <v>6.2556237218813902</v>
      </c>
      <c r="AC210" t="s">
        <v>85</v>
      </c>
      <c r="AI210" t="s">
        <v>988</v>
      </c>
      <c r="AK210">
        <v>0.1</v>
      </c>
      <c r="AL210" t="s">
        <v>82</v>
      </c>
      <c r="AM210">
        <v>0.1</v>
      </c>
      <c r="AN210" t="s">
        <v>82</v>
      </c>
      <c r="AU210">
        <v>1.2738853503184711</v>
      </c>
      <c r="AV210" t="s">
        <v>115</v>
      </c>
    </row>
    <row r="211" spans="1:48" x14ac:dyDescent="0.3">
      <c r="A211" t="s">
        <v>1455</v>
      </c>
      <c r="B211" t="s">
        <v>1460</v>
      </c>
      <c r="C211" t="s">
        <v>1416</v>
      </c>
      <c r="D211" t="s">
        <v>81</v>
      </c>
      <c r="E211">
        <v>100000000</v>
      </c>
      <c r="H211">
        <v>0.78500000000000003</v>
      </c>
      <c r="I211" t="s">
        <v>56</v>
      </c>
      <c r="J211">
        <v>7.8500000000000011E-5</v>
      </c>
      <c r="K211" t="s">
        <v>57</v>
      </c>
      <c r="L211" t="s">
        <v>112</v>
      </c>
      <c r="O211">
        <v>4.01208860950769</v>
      </c>
      <c r="P211" t="s">
        <v>59</v>
      </c>
      <c r="T211">
        <v>10</v>
      </c>
      <c r="V211">
        <v>50</v>
      </c>
      <c r="W211" t="s">
        <v>1461</v>
      </c>
      <c r="X211" t="s">
        <v>114</v>
      </c>
      <c r="Y211">
        <v>10</v>
      </c>
      <c r="AB211">
        <v>6.45603271983639</v>
      </c>
      <c r="AC211" t="s">
        <v>85</v>
      </c>
      <c r="AI211" t="s">
        <v>988</v>
      </c>
      <c r="AK211">
        <v>0.1</v>
      </c>
      <c r="AL211" t="s">
        <v>82</v>
      </c>
      <c r="AM211">
        <v>0.1</v>
      </c>
      <c r="AN211" t="s">
        <v>82</v>
      </c>
      <c r="AU211">
        <v>1.2738853503184711</v>
      </c>
      <c r="AV211" t="s">
        <v>115</v>
      </c>
    </row>
    <row r="212" spans="1:48" x14ac:dyDescent="0.3">
      <c r="A212" t="s">
        <v>1455</v>
      </c>
      <c r="B212" t="s">
        <v>1460</v>
      </c>
      <c r="C212" t="s">
        <v>1416</v>
      </c>
      <c r="D212" t="s">
        <v>81</v>
      </c>
      <c r="E212">
        <v>100000000</v>
      </c>
      <c r="H212">
        <v>0.78500000000000003</v>
      </c>
      <c r="I212" t="s">
        <v>56</v>
      </c>
      <c r="J212">
        <v>7.8500000000000011E-5</v>
      </c>
      <c r="K212" t="s">
        <v>57</v>
      </c>
      <c r="L212" t="s">
        <v>112</v>
      </c>
      <c r="O212">
        <v>0.47998495639705702</v>
      </c>
      <c r="P212" t="s">
        <v>59</v>
      </c>
      <c r="T212">
        <v>20</v>
      </c>
      <c r="V212">
        <v>50</v>
      </c>
      <c r="W212" t="s">
        <v>1461</v>
      </c>
      <c r="X212" t="s">
        <v>114</v>
      </c>
      <c r="Y212">
        <v>10</v>
      </c>
      <c r="AB212">
        <v>0.28629856850715701</v>
      </c>
      <c r="AC212" t="s">
        <v>85</v>
      </c>
      <c r="AI212" t="s">
        <v>988</v>
      </c>
      <c r="AK212">
        <v>0.1</v>
      </c>
      <c r="AL212" t="s">
        <v>82</v>
      </c>
      <c r="AM212">
        <v>0.1</v>
      </c>
      <c r="AN212" t="s">
        <v>82</v>
      </c>
      <c r="AU212">
        <v>1.2738853503184711</v>
      </c>
      <c r="AV212" t="s">
        <v>115</v>
      </c>
    </row>
    <row r="213" spans="1:48" x14ac:dyDescent="0.3">
      <c r="A213" t="s">
        <v>1455</v>
      </c>
      <c r="B213" t="s">
        <v>1460</v>
      </c>
      <c r="C213" t="s">
        <v>1416</v>
      </c>
      <c r="D213" t="s">
        <v>81</v>
      </c>
      <c r="E213">
        <v>100000000</v>
      </c>
      <c r="H213">
        <v>0.78500000000000003</v>
      </c>
      <c r="I213" t="s">
        <v>56</v>
      </c>
      <c r="J213">
        <v>7.8500000000000011E-5</v>
      </c>
      <c r="K213" t="s">
        <v>57</v>
      </c>
      <c r="L213" t="s">
        <v>112</v>
      </c>
      <c r="O213">
        <v>0.99371056510891387</v>
      </c>
      <c r="P213" t="s">
        <v>59</v>
      </c>
      <c r="T213">
        <v>20</v>
      </c>
      <c r="V213">
        <v>50</v>
      </c>
      <c r="W213" t="s">
        <v>1461</v>
      </c>
      <c r="X213" t="s">
        <v>114</v>
      </c>
      <c r="Y213">
        <v>10</v>
      </c>
      <c r="AB213">
        <v>4.5378323108384402</v>
      </c>
      <c r="AC213" t="s">
        <v>85</v>
      </c>
      <c r="AI213" t="s">
        <v>988</v>
      </c>
      <c r="AK213">
        <v>0.1</v>
      </c>
      <c r="AL213" t="s">
        <v>82</v>
      </c>
      <c r="AM213">
        <v>0.1</v>
      </c>
      <c r="AN213" t="s">
        <v>82</v>
      </c>
      <c r="AU213">
        <v>1.2738853503184711</v>
      </c>
      <c r="AV213" t="s">
        <v>115</v>
      </c>
    </row>
    <row r="214" spans="1:48" x14ac:dyDescent="0.3">
      <c r="A214" t="s">
        <v>1455</v>
      </c>
      <c r="B214" t="s">
        <v>1460</v>
      </c>
      <c r="C214" t="s">
        <v>1416</v>
      </c>
      <c r="D214" t="s">
        <v>81</v>
      </c>
      <c r="E214">
        <v>100000000</v>
      </c>
      <c r="H214">
        <v>0.78500000000000003</v>
      </c>
      <c r="I214" t="s">
        <v>56</v>
      </c>
      <c r="J214">
        <v>7.8500000000000011E-5</v>
      </c>
      <c r="K214" t="s">
        <v>57</v>
      </c>
      <c r="L214" t="s">
        <v>112</v>
      </c>
      <c r="O214">
        <v>1.49643553916877</v>
      </c>
      <c r="P214" t="s">
        <v>59</v>
      </c>
      <c r="T214">
        <v>20</v>
      </c>
      <c r="V214">
        <v>50</v>
      </c>
      <c r="W214" t="s">
        <v>1461</v>
      </c>
      <c r="X214" t="s">
        <v>114</v>
      </c>
      <c r="Y214">
        <v>10</v>
      </c>
      <c r="AB214">
        <v>6.4274028629856801</v>
      </c>
      <c r="AC214" t="s">
        <v>85</v>
      </c>
      <c r="AI214" t="s">
        <v>988</v>
      </c>
      <c r="AK214">
        <v>0.1</v>
      </c>
      <c r="AL214" t="s">
        <v>82</v>
      </c>
      <c r="AM214">
        <v>0.1</v>
      </c>
      <c r="AN214" t="s">
        <v>82</v>
      </c>
      <c r="AU214">
        <v>1.2738853503184711</v>
      </c>
      <c r="AV214" t="s">
        <v>115</v>
      </c>
    </row>
    <row r="215" spans="1:48" x14ac:dyDescent="0.3">
      <c r="A215" t="s">
        <v>1455</v>
      </c>
      <c r="B215" t="s">
        <v>1460</v>
      </c>
      <c r="C215" t="s">
        <v>1416</v>
      </c>
      <c r="D215" t="s">
        <v>81</v>
      </c>
      <c r="E215">
        <v>100000000</v>
      </c>
      <c r="H215">
        <v>0.78500000000000003</v>
      </c>
      <c r="I215" t="s">
        <v>56</v>
      </c>
      <c r="J215">
        <v>7.8500000000000011E-5</v>
      </c>
      <c r="K215" t="s">
        <v>57</v>
      </c>
      <c r="L215" t="s">
        <v>112</v>
      </c>
      <c r="O215">
        <v>2.0284015164489002</v>
      </c>
      <c r="P215" t="s">
        <v>59</v>
      </c>
      <c r="T215">
        <v>20</v>
      </c>
      <c r="V215">
        <v>50</v>
      </c>
      <c r="W215" t="s">
        <v>1461</v>
      </c>
      <c r="X215" t="s">
        <v>114</v>
      </c>
      <c r="Y215">
        <v>10</v>
      </c>
      <c r="AB215">
        <v>6.3987730061349604</v>
      </c>
      <c r="AC215" t="s">
        <v>85</v>
      </c>
      <c r="AI215" t="s">
        <v>988</v>
      </c>
      <c r="AK215">
        <v>0.1</v>
      </c>
      <c r="AL215" t="s">
        <v>82</v>
      </c>
      <c r="AM215">
        <v>0.1</v>
      </c>
      <c r="AN215" t="s">
        <v>82</v>
      </c>
      <c r="AU215">
        <v>1.2738853503184711</v>
      </c>
      <c r="AV215" t="s">
        <v>115</v>
      </c>
    </row>
    <row r="216" spans="1:48" x14ac:dyDescent="0.3">
      <c r="A216" t="s">
        <v>1455</v>
      </c>
      <c r="B216" t="s">
        <v>1460</v>
      </c>
      <c r="C216" t="s">
        <v>1416</v>
      </c>
      <c r="D216" t="s">
        <v>81</v>
      </c>
      <c r="E216">
        <v>100000000</v>
      </c>
      <c r="H216">
        <v>0.78500000000000003</v>
      </c>
      <c r="I216" t="s">
        <v>56</v>
      </c>
      <c r="J216">
        <v>7.8500000000000011E-5</v>
      </c>
      <c r="K216" t="s">
        <v>57</v>
      </c>
      <c r="L216" t="s">
        <v>112</v>
      </c>
      <c r="O216">
        <v>0.23039546542825501</v>
      </c>
      <c r="P216" t="s">
        <v>59</v>
      </c>
      <c r="T216">
        <v>30</v>
      </c>
      <c r="V216">
        <v>50</v>
      </c>
      <c r="W216" t="s">
        <v>1461</v>
      </c>
      <c r="X216" t="s">
        <v>114</v>
      </c>
      <c r="Y216">
        <v>10</v>
      </c>
      <c r="AB216">
        <v>0.28629856850715701</v>
      </c>
      <c r="AC216" t="s">
        <v>85</v>
      </c>
      <c r="AI216" t="s">
        <v>988</v>
      </c>
      <c r="AK216">
        <v>0.1</v>
      </c>
      <c r="AL216" t="s">
        <v>82</v>
      </c>
      <c r="AM216">
        <v>0.1</v>
      </c>
      <c r="AN216" t="s">
        <v>82</v>
      </c>
      <c r="AU216">
        <v>1.2738853503184711</v>
      </c>
      <c r="AV216" t="s">
        <v>115</v>
      </c>
    </row>
    <row r="217" spans="1:48" x14ac:dyDescent="0.3">
      <c r="A217" t="s">
        <v>1455</v>
      </c>
      <c r="B217" t="s">
        <v>1460</v>
      </c>
      <c r="C217" t="s">
        <v>1416</v>
      </c>
      <c r="D217" t="s">
        <v>81</v>
      </c>
      <c r="E217">
        <v>100000000</v>
      </c>
      <c r="H217">
        <v>0.78500000000000003</v>
      </c>
      <c r="I217" t="s">
        <v>56</v>
      </c>
      <c r="J217">
        <v>7.8500000000000011E-5</v>
      </c>
      <c r="K217" t="s">
        <v>57</v>
      </c>
      <c r="L217" t="s">
        <v>112</v>
      </c>
      <c r="O217">
        <v>0.48678144129804701</v>
      </c>
      <c r="P217" t="s">
        <v>59</v>
      </c>
      <c r="T217">
        <v>30</v>
      </c>
      <c r="V217">
        <v>50</v>
      </c>
      <c r="W217" t="s">
        <v>1461</v>
      </c>
      <c r="X217" t="s">
        <v>114</v>
      </c>
      <c r="Y217">
        <v>10</v>
      </c>
      <c r="AB217">
        <v>3.9079754601226901</v>
      </c>
      <c r="AC217" t="s">
        <v>85</v>
      </c>
      <c r="AI217" t="s">
        <v>988</v>
      </c>
      <c r="AK217">
        <v>0.1</v>
      </c>
      <c r="AL217" t="s">
        <v>82</v>
      </c>
      <c r="AM217">
        <v>0.1</v>
      </c>
      <c r="AN217" t="s">
        <v>82</v>
      </c>
      <c r="AU217">
        <v>1.2738853503184711</v>
      </c>
      <c r="AV217" t="s">
        <v>115</v>
      </c>
    </row>
    <row r="218" spans="1:48" x14ac:dyDescent="0.3">
      <c r="A218" t="s">
        <v>1455</v>
      </c>
      <c r="B218" t="s">
        <v>1460</v>
      </c>
      <c r="C218" t="s">
        <v>1416</v>
      </c>
      <c r="D218" t="s">
        <v>81</v>
      </c>
      <c r="E218">
        <v>100000000</v>
      </c>
      <c r="H218">
        <v>0.78500000000000003</v>
      </c>
      <c r="I218" t="s">
        <v>56</v>
      </c>
      <c r="J218">
        <v>7.8500000000000011E-5</v>
      </c>
      <c r="K218" t="s">
        <v>57</v>
      </c>
      <c r="L218" t="s">
        <v>112</v>
      </c>
      <c r="O218">
        <v>0.99052723127188891</v>
      </c>
      <c r="P218" t="s">
        <v>59</v>
      </c>
      <c r="T218">
        <v>30</v>
      </c>
      <c r="V218">
        <v>50</v>
      </c>
      <c r="W218" t="s">
        <v>1461</v>
      </c>
      <c r="X218" t="s">
        <v>114</v>
      </c>
      <c r="Y218">
        <v>10</v>
      </c>
      <c r="AB218">
        <v>6.34151329243352</v>
      </c>
      <c r="AC218" t="s">
        <v>85</v>
      </c>
      <c r="AI218" t="s">
        <v>988</v>
      </c>
      <c r="AK218">
        <v>0.1</v>
      </c>
      <c r="AL218" t="s">
        <v>82</v>
      </c>
      <c r="AM218">
        <v>0.1</v>
      </c>
      <c r="AN218" t="s">
        <v>82</v>
      </c>
      <c r="AU218">
        <v>1.2738853503184711</v>
      </c>
      <c r="AV218" t="s">
        <v>115</v>
      </c>
    </row>
    <row r="219" spans="1:48" x14ac:dyDescent="0.3">
      <c r="A219" t="s">
        <v>1455</v>
      </c>
      <c r="B219" t="s">
        <v>1460</v>
      </c>
      <c r="C219" t="s">
        <v>1416</v>
      </c>
      <c r="D219" t="s">
        <v>81</v>
      </c>
      <c r="E219">
        <v>100000000</v>
      </c>
      <c r="H219">
        <v>0.78500000000000003</v>
      </c>
      <c r="I219" t="s">
        <v>56</v>
      </c>
      <c r="J219">
        <v>7.8500000000000011E-5</v>
      </c>
      <c r="K219" t="s">
        <v>57</v>
      </c>
      <c r="L219" t="s">
        <v>112</v>
      </c>
      <c r="O219">
        <v>1.5094106467070201</v>
      </c>
      <c r="P219" t="s">
        <v>59</v>
      </c>
      <c r="T219">
        <v>30</v>
      </c>
      <c r="V219">
        <v>50</v>
      </c>
      <c r="W219" t="s">
        <v>1461</v>
      </c>
      <c r="X219" t="s">
        <v>114</v>
      </c>
      <c r="Y219">
        <v>10</v>
      </c>
      <c r="AB219">
        <v>6.34151329243352</v>
      </c>
      <c r="AC219" t="s">
        <v>85</v>
      </c>
      <c r="AI219" t="s">
        <v>988</v>
      </c>
      <c r="AK219">
        <v>0.1</v>
      </c>
      <c r="AL219" t="s">
        <v>82</v>
      </c>
      <c r="AM219">
        <v>0.1</v>
      </c>
      <c r="AN219" t="s">
        <v>82</v>
      </c>
      <c r="AU219">
        <v>1.2738853503184711</v>
      </c>
      <c r="AV219" t="s">
        <v>115</v>
      </c>
    </row>
    <row r="220" spans="1:48" x14ac:dyDescent="0.3">
      <c r="A220" t="s">
        <v>1455</v>
      </c>
      <c r="C220" t="s">
        <v>1416</v>
      </c>
      <c r="D220" t="s">
        <v>81</v>
      </c>
      <c r="E220">
        <v>100000000</v>
      </c>
      <c r="H220">
        <v>0.78500000000000003</v>
      </c>
      <c r="I220" t="s">
        <v>56</v>
      </c>
      <c r="J220">
        <v>7.8500000000000011E-5</v>
      </c>
      <c r="K220" t="s">
        <v>57</v>
      </c>
      <c r="L220" t="s">
        <v>112</v>
      </c>
      <c r="O220">
        <v>2.5025631243890101</v>
      </c>
      <c r="P220" t="s">
        <v>59</v>
      </c>
      <c r="T220">
        <v>10</v>
      </c>
      <c r="V220">
        <v>50</v>
      </c>
      <c r="W220" t="s">
        <v>388</v>
      </c>
      <c r="X220" t="s">
        <v>114</v>
      </c>
      <c r="Y220">
        <v>10</v>
      </c>
      <c r="AB220">
        <v>2.1027872487542001</v>
      </c>
      <c r="AC220" t="s">
        <v>85</v>
      </c>
      <c r="AI220" t="s">
        <v>988</v>
      </c>
      <c r="AK220">
        <v>0.1</v>
      </c>
      <c r="AL220" t="s">
        <v>82</v>
      </c>
      <c r="AM220">
        <v>0.1</v>
      </c>
      <c r="AN220" t="s">
        <v>82</v>
      </c>
      <c r="AT220" t="s">
        <v>65</v>
      </c>
      <c r="AU220">
        <v>1.2738853503184711</v>
      </c>
      <c r="AV220" t="s">
        <v>115</v>
      </c>
    </row>
    <row r="221" spans="1:48" x14ac:dyDescent="0.3">
      <c r="A221" t="s">
        <v>1455</v>
      </c>
      <c r="C221" t="s">
        <v>1416</v>
      </c>
      <c r="D221" t="s">
        <v>81</v>
      </c>
      <c r="E221">
        <v>100000000</v>
      </c>
      <c r="H221">
        <v>0.78500000000000003</v>
      </c>
      <c r="I221" t="s">
        <v>56</v>
      </c>
      <c r="J221">
        <v>7.8500000000000011E-5</v>
      </c>
      <c r="K221" t="s">
        <v>57</v>
      </c>
      <c r="L221" t="s">
        <v>112</v>
      </c>
      <c r="O221">
        <v>4.9941243992411</v>
      </c>
      <c r="P221" t="s">
        <v>59</v>
      </c>
      <c r="T221">
        <v>10</v>
      </c>
      <c r="V221">
        <v>50</v>
      </c>
      <c r="W221" t="s">
        <v>388</v>
      </c>
      <c r="X221" t="s">
        <v>114</v>
      </c>
      <c r="Y221">
        <v>10</v>
      </c>
      <c r="AB221">
        <v>2.1796571374073102</v>
      </c>
      <c r="AC221" t="s">
        <v>85</v>
      </c>
      <c r="AI221" t="s">
        <v>988</v>
      </c>
      <c r="AK221">
        <v>0.1</v>
      </c>
      <c r="AL221" t="s">
        <v>82</v>
      </c>
      <c r="AM221">
        <v>0.1</v>
      </c>
      <c r="AN221" t="s">
        <v>82</v>
      </c>
      <c r="AT221" t="s">
        <v>65</v>
      </c>
      <c r="AU221">
        <v>1.2738853503184711</v>
      </c>
      <c r="AV221" t="s">
        <v>115</v>
      </c>
    </row>
    <row r="222" spans="1:48" x14ac:dyDescent="0.3">
      <c r="A222" t="s">
        <v>1455</v>
      </c>
      <c r="C222" t="s">
        <v>1416</v>
      </c>
      <c r="D222" t="s">
        <v>81</v>
      </c>
      <c r="E222">
        <v>100000000</v>
      </c>
      <c r="H222">
        <v>0.78500000000000003</v>
      </c>
      <c r="I222" t="s">
        <v>56</v>
      </c>
      <c r="J222">
        <v>7.8500000000000011E-5</v>
      </c>
      <c r="K222" t="s">
        <v>57</v>
      </c>
      <c r="L222" t="s">
        <v>112</v>
      </c>
      <c r="O222">
        <v>9.9033676559248204E-2</v>
      </c>
      <c r="P222" t="s">
        <v>59</v>
      </c>
      <c r="T222">
        <v>20</v>
      </c>
      <c r="V222">
        <v>50</v>
      </c>
      <c r="W222" t="s">
        <v>388</v>
      </c>
      <c r="X222" t="s">
        <v>114</v>
      </c>
      <c r="Y222">
        <v>10</v>
      </c>
      <c r="AB222">
        <v>4.2472282492072102</v>
      </c>
      <c r="AC222" t="s">
        <v>85</v>
      </c>
      <c r="AI222" t="s">
        <v>988</v>
      </c>
      <c r="AK222">
        <v>0.1</v>
      </c>
      <c r="AL222" t="s">
        <v>82</v>
      </c>
      <c r="AM222">
        <v>0.1</v>
      </c>
      <c r="AN222" t="s">
        <v>82</v>
      </c>
      <c r="AT222" t="s">
        <v>65</v>
      </c>
      <c r="AU222">
        <v>1.2738853503184711</v>
      </c>
      <c r="AV222" t="s">
        <v>115</v>
      </c>
    </row>
    <row r="223" spans="1:48" x14ac:dyDescent="0.3">
      <c r="A223" t="s">
        <v>1455</v>
      </c>
      <c r="C223" t="s">
        <v>1416</v>
      </c>
      <c r="D223" t="s">
        <v>81</v>
      </c>
      <c r="E223">
        <v>100000000</v>
      </c>
      <c r="H223">
        <v>0.78500000000000003</v>
      </c>
      <c r="I223" t="s">
        <v>56</v>
      </c>
      <c r="J223">
        <v>7.8500000000000011E-5</v>
      </c>
      <c r="K223" t="s">
        <v>57</v>
      </c>
      <c r="L223" t="s">
        <v>112</v>
      </c>
      <c r="O223">
        <v>0.50230425734109296</v>
      </c>
      <c r="P223" t="s">
        <v>59</v>
      </c>
      <c r="T223">
        <v>20</v>
      </c>
      <c r="V223">
        <v>50</v>
      </c>
      <c r="W223" t="s">
        <v>388</v>
      </c>
      <c r="X223" t="s">
        <v>114</v>
      </c>
      <c r="Y223">
        <v>10</v>
      </c>
      <c r="AB223">
        <v>6.09041272263417</v>
      </c>
      <c r="AC223" t="s">
        <v>85</v>
      </c>
      <c r="AI223" t="s">
        <v>988</v>
      </c>
      <c r="AK223">
        <v>0.1</v>
      </c>
      <c r="AL223" t="s">
        <v>82</v>
      </c>
      <c r="AM223">
        <v>0.1</v>
      </c>
      <c r="AN223" t="s">
        <v>82</v>
      </c>
      <c r="AT223" t="s">
        <v>65</v>
      </c>
      <c r="AU223">
        <v>1.2738853503184711</v>
      </c>
      <c r="AV223" t="s">
        <v>115</v>
      </c>
    </row>
    <row r="224" spans="1:48" x14ac:dyDescent="0.3">
      <c r="A224" t="s">
        <v>1455</v>
      </c>
      <c r="C224" t="s">
        <v>1416</v>
      </c>
      <c r="D224" t="s">
        <v>81</v>
      </c>
      <c r="E224">
        <v>100000000</v>
      </c>
      <c r="H224">
        <v>0.78500000000000003</v>
      </c>
      <c r="I224" t="s">
        <v>56</v>
      </c>
      <c r="J224">
        <v>7.8500000000000011E-5</v>
      </c>
      <c r="K224" t="s">
        <v>57</v>
      </c>
      <c r="L224" t="s">
        <v>112</v>
      </c>
      <c r="O224">
        <v>1.0061583108243699</v>
      </c>
      <c r="P224" t="s">
        <v>59</v>
      </c>
      <c r="T224">
        <v>20</v>
      </c>
      <c r="V224">
        <v>50</v>
      </c>
      <c r="W224" t="s">
        <v>388</v>
      </c>
      <c r="X224" t="s">
        <v>114</v>
      </c>
      <c r="Y224">
        <v>10</v>
      </c>
      <c r="AB224">
        <v>6.4522782003290304</v>
      </c>
      <c r="AC224" t="s">
        <v>85</v>
      </c>
      <c r="AI224" t="s">
        <v>988</v>
      </c>
      <c r="AK224">
        <v>0.1</v>
      </c>
      <c r="AL224" t="s">
        <v>82</v>
      </c>
      <c r="AM224">
        <v>0.1</v>
      </c>
      <c r="AN224" t="s">
        <v>82</v>
      </c>
      <c r="AT224" t="s">
        <v>65</v>
      </c>
      <c r="AU224">
        <v>1.2738853503184711</v>
      </c>
      <c r="AV224" t="s">
        <v>115</v>
      </c>
    </row>
    <row r="225" spans="1:48" x14ac:dyDescent="0.3">
      <c r="A225" t="s">
        <v>1455</v>
      </c>
      <c r="C225" t="s">
        <v>1416</v>
      </c>
      <c r="D225" t="s">
        <v>81</v>
      </c>
      <c r="E225">
        <v>100000000</v>
      </c>
      <c r="H225">
        <v>0.78500000000000003</v>
      </c>
      <c r="I225" t="s">
        <v>56</v>
      </c>
      <c r="J225">
        <v>7.8500000000000011E-5</v>
      </c>
      <c r="K225" t="s">
        <v>57</v>
      </c>
      <c r="L225" t="s">
        <v>112</v>
      </c>
      <c r="O225">
        <v>2.5163750438541101</v>
      </c>
      <c r="P225" t="s">
        <v>59</v>
      </c>
      <c r="T225">
        <v>20</v>
      </c>
      <c r="V225">
        <v>50</v>
      </c>
      <c r="W225" t="s">
        <v>388</v>
      </c>
      <c r="X225" t="s">
        <v>114</v>
      </c>
      <c r="Y225">
        <v>10</v>
      </c>
      <c r="AB225">
        <v>6.4340859779213604</v>
      </c>
      <c r="AC225" t="s">
        <v>85</v>
      </c>
      <c r="AI225" t="s">
        <v>988</v>
      </c>
      <c r="AK225">
        <v>0.1</v>
      </c>
      <c r="AL225" t="s">
        <v>82</v>
      </c>
      <c r="AM225">
        <v>0.1</v>
      </c>
      <c r="AN225" t="s">
        <v>82</v>
      </c>
      <c r="AT225" t="s">
        <v>65</v>
      </c>
      <c r="AU225">
        <v>1.2738853503184711</v>
      </c>
      <c r="AV225" t="s">
        <v>115</v>
      </c>
    </row>
    <row r="226" spans="1:48" x14ac:dyDescent="0.3">
      <c r="A226" t="s">
        <v>1455</v>
      </c>
      <c r="C226" t="s">
        <v>1416</v>
      </c>
      <c r="D226" t="s">
        <v>81</v>
      </c>
      <c r="E226">
        <v>100000000</v>
      </c>
      <c r="H226">
        <v>0.78500000000000003</v>
      </c>
      <c r="I226" t="s">
        <v>56</v>
      </c>
      <c r="J226">
        <v>7.8500000000000011E-5</v>
      </c>
      <c r="K226" t="s">
        <v>57</v>
      </c>
      <c r="L226" t="s">
        <v>112</v>
      </c>
      <c r="O226">
        <v>5.0078511650720099</v>
      </c>
      <c r="P226" t="s">
        <v>59</v>
      </c>
      <c r="T226">
        <v>20</v>
      </c>
      <c r="V226">
        <v>50</v>
      </c>
      <c r="W226" t="s">
        <v>388</v>
      </c>
      <c r="X226" t="s">
        <v>114</v>
      </c>
      <c r="Y226">
        <v>10</v>
      </c>
      <c r="AB226">
        <v>6.4410958250876202</v>
      </c>
      <c r="AC226" t="s">
        <v>85</v>
      </c>
      <c r="AI226" t="s">
        <v>988</v>
      </c>
      <c r="AK226">
        <v>0.1</v>
      </c>
      <c r="AL226" t="s">
        <v>82</v>
      </c>
      <c r="AM226">
        <v>0.1</v>
      </c>
      <c r="AN226" t="s">
        <v>82</v>
      </c>
      <c r="AT226" t="s">
        <v>65</v>
      </c>
      <c r="AU226">
        <v>1.2738853503184711</v>
      </c>
      <c r="AV226" t="s">
        <v>115</v>
      </c>
    </row>
    <row r="227" spans="1:48" x14ac:dyDescent="0.3">
      <c r="A227" t="s">
        <v>1455</v>
      </c>
      <c r="C227" t="s">
        <v>1416</v>
      </c>
      <c r="D227" t="s">
        <v>81</v>
      </c>
      <c r="E227">
        <v>100000000</v>
      </c>
      <c r="H227">
        <v>0.78500000000000003</v>
      </c>
      <c r="I227" t="s">
        <v>56</v>
      </c>
      <c r="J227">
        <v>7.8500000000000011E-5</v>
      </c>
      <c r="K227" t="s">
        <v>57</v>
      </c>
      <c r="L227" t="s">
        <v>112</v>
      </c>
      <c r="O227">
        <v>8.39785140350221E-2</v>
      </c>
      <c r="P227" t="s">
        <v>59</v>
      </c>
      <c r="T227">
        <v>30</v>
      </c>
      <c r="V227">
        <v>50</v>
      </c>
      <c r="W227" t="s">
        <v>388</v>
      </c>
      <c r="X227" t="s">
        <v>114</v>
      </c>
      <c r="Y227">
        <v>10</v>
      </c>
      <c r="AB227">
        <v>5.8959729143320301</v>
      </c>
      <c r="AC227" t="s">
        <v>85</v>
      </c>
      <c r="AI227" t="s">
        <v>988</v>
      </c>
      <c r="AK227">
        <v>0.1</v>
      </c>
      <c r="AL227" t="s">
        <v>82</v>
      </c>
      <c r="AM227">
        <v>0.1</v>
      </c>
      <c r="AN227" t="s">
        <v>82</v>
      </c>
      <c r="AT227" t="s">
        <v>65</v>
      </c>
      <c r="AU227">
        <v>1.2738853503184711</v>
      </c>
      <c r="AV227" t="s">
        <v>115</v>
      </c>
    </row>
    <row r="228" spans="1:48" x14ac:dyDescent="0.3">
      <c r="A228" t="s">
        <v>1455</v>
      </c>
      <c r="C228" t="s">
        <v>1416</v>
      </c>
      <c r="D228" t="s">
        <v>81</v>
      </c>
      <c r="E228">
        <v>100000000</v>
      </c>
      <c r="H228">
        <v>0.78500000000000003</v>
      </c>
      <c r="I228" t="s">
        <v>56</v>
      </c>
      <c r="J228">
        <v>7.8500000000000011E-5</v>
      </c>
      <c r="K228" t="s">
        <v>57</v>
      </c>
      <c r="L228" t="s">
        <v>112</v>
      </c>
      <c r="O228">
        <v>0.99754076304468398</v>
      </c>
      <c r="P228" t="s">
        <v>59</v>
      </c>
      <c r="T228">
        <v>30</v>
      </c>
      <c r="V228">
        <v>50</v>
      </c>
      <c r="W228" t="s">
        <v>388</v>
      </c>
      <c r="X228" t="s">
        <v>114</v>
      </c>
      <c r="Y228">
        <v>10</v>
      </c>
      <c r="AB228">
        <v>6.3824420018597401</v>
      </c>
      <c r="AC228" t="s">
        <v>85</v>
      </c>
      <c r="AI228" t="s">
        <v>988</v>
      </c>
      <c r="AK228">
        <v>0.1</v>
      </c>
      <c r="AL228" t="s">
        <v>82</v>
      </c>
      <c r="AM228">
        <v>0.1</v>
      </c>
      <c r="AN228" t="s">
        <v>82</v>
      </c>
      <c r="AT228" t="s">
        <v>65</v>
      </c>
      <c r="AU228">
        <v>1.2738853503184711</v>
      </c>
      <c r="AV228" t="s">
        <v>115</v>
      </c>
    </row>
    <row r="229" spans="1:48" x14ac:dyDescent="0.3">
      <c r="A229" t="s">
        <v>1455</v>
      </c>
      <c r="C229" t="s">
        <v>1416</v>
      </c>
      <c r="D229" t="s">
        <v>81</v>
      </c>
      <c r="E229">
        <v>100000000</v>
      </c>
      <c r="H229">
        <v>0.78500000000000003</v>
      </c>
      <c r="I229" t="s">
        <v>56</v>
      </c>
      <c r="J229">
        <v>7.8500000000000011E-5</v>
      </c>
      <c r="K229" t="s">
        <v>57</v>
      </c>
      <c r="L229" t="s">
        <v>112</v>
      </c>
      <c r="O229">
        <v>2.5163409824004401</v>
      </c>
      <c r="P229" t="s">
        <v>59</v>
      </c>
      <c r="T229">
        <v>30</v>
      </c>
      <c r="V229">
        <v>50</v>
      </c>
      <c r="W229" t="s">
        <v>388</v>
      </c>
      <c r="X229" t="s">
        <v>114</v>
      </c>
      <c r="Y229">
        <v>10</v>
      </c>
      <c r="AB229">
        <v>6.4061419613266102</v>
      </c>
      <c r="AC229" t="s">
        <v>85</v>
      </c>
      <c r="AI229" t="s">
        <v>988</v>
      </c>
      <c r="AK229">
        <v>0.1</v>
      </c>
      <c r="AL229" t="s">
        <v>82</v>
      </c>
      <c r="AM229">
        <v>0.1</v>
      </c>
      <c r="AN229" t="s">
        <v>82</v>
      </c>
      <c r="AT229" t="s">
        <v>65</v>
      </c>
      <c r="AU229">
        <v>1.2738853503184711</v>
      </c>
      <c r="AV229" t="s">
        <v>115</v>
      </c>
    </row>
    <row r="230" spans="1:48" x14ac:dyDescent="0.3">
      <c r="A230" t="s">
        <v>1455</v>
      </c>
      <c r="C230" t="s">
        <v>1416</v>
      </c>
      <c r="D230" t="s">
        <v>81</v>
      </c>
      <c r="E230">
        <v>100000000</v>
      </c>
      <c r="H230">
        <v>0.78500000000000003</v>
      </c>
      <c r="I230" t="s">
        <v>56</v>
      </c>
      <c r="J230">
        <v>7.8500000000000011E-5</v>
      </c>
      <c r="K230" t="s">
        <v>57</v>
      </c>
      <c r="L230" t="s">
        <v>112</v>
      </c>
      <c r="O230">
        <v>5.02481376900203</v>
      </c>
      <c r="P230" t="s">
        <v>59</v>
      </c>
      <c r="T230">
        <v>30</v>
      </c>
      <c r="V230">
        <v>50</v>
      </c>
      <c r="W230" t="s">
        <v>388</v>
      </c>
      <c r="X230" t="s">
        <v>114</v>
      </c>
      <c r="Y230">
        <v>10</v>
      </c>
      <c r="AB230">
        <v>6.3572160892682401</v>
      </c>
      <c r="AC230" t="s">
        <v>85</v>
      </c>
      <c r="AI230" t="s">
        <v>988</v>
      </c>
      <c r="AK230">
        <v>0.1</v>
      </c>
      <c r="AL230" t="s">
        <v>82</v>
      </c>
      <c r="AM230">
        <v>0.1</v>
      </c>
      <c r="AN230" t="s">
        <v>82</v>
      </c>
      <c r="AT230" t="s">
        <v>65</v>
      </c>
      <c r="AU230">
        <v>1.2738853503184711</v>
      </c>
      <c r="AV230" t="s">
        <v>115</v>
      </c>
    </row>
    <row r="231" spans="1:48" x14ac:dyDescent="0.3">
      <c r="A231" t="s">
        <v>1455</v>
      </c>
      <c r="B231" t="s">
        <v>1456</v>
      </c>
      <c r="C231" t="s">
        <v>1416</v>
      </c>
      <c r="D231" t="s">
        <v>81</v>
      </c>
      <c r="E231">
        <v>100000000</v>
      </c>
      <c r="H231">
        <v>0.78500000000000003</v>
      </c>
      <c r="I231" t="s">
        <v>56</v>
      </c>
      <c r="J231">
        <v>7.8500000000000011E-5</v>
      </c>
      <c r="K231" t="s">
        <v>57</v>
      </c>
      <c r="L231" t="s">
        <v>112</v>
      </c>
      <c r="O231">
        <v>2.5</v>
      </c>
      <c r="P231" t="s">
        <v>59</v>
      </c>
      <c r="T231">
        <v>10</v>
      </c>
      <c r="V231">
        <v>50</v>
      </c>
      <c r="W231" t="s">
        <v>1457</v>
      </c>
      <c r="X231" t="s">
        <v>114</v>
      </c>
      <c r="Y231">
        <v>10</v>
      </c>
      <c r="AB231">
        <v>2.3724339150025702</v>
      </c>
      <c r="AC231" t="s">
        <v>85</v>
      </c>
      <c r="AI231" t="s">
        <v>988</v>
      </c>
      <c r="AK231">
        <v>0.1</v>
      </c>
      <c r="AL231" t="s">
        <v>82</v>
      </c>
      <c r="AM231">
        <v>0.1</v>
      </c>
      <c r="AN231" t="s">
        <v>82</v>
      </c>
      <c r="AU231">
        <v>1.2738853503184711</v>
      </c>
      <c r="AV231" t="s">
        <v>115</v>
      </c>
    </row>
    <row r="232" spans="1:48" x14ac:dyDescent="0.3">
      <c r="A232" t="s">
        <v>1455</v>
      </c>
      <c r="B232" t="s">
        <v>1456</v>
      </c>
      <c r="C232" t="s">
        <v>1416</v>
      </c>
      <c r="D232" t="s">
        <v>81</v>
      </c>
      <c r="E232">
        <v>100000000</v>
      </c>
      <c r="H232">
        <v>0.78500000000000003</v>
      </c>
      <c r="I232" t="s">
        <v>56</v>
      </c>
      <c r="J232">
        <v>7.8500000000000011E-5</v>
      </c>
      <c r="K232" t="s">
        <v>57</v>
      </c>
      <c r="L232" t="s">
        <v>112</v>
      </c>
      <c r="O232">
        <v>5.0167224080267401</v>
      </c>
      <c r="P232" t="s">
        <v>59</v>
      </c>
      <c r="T232">
        <v>10</v>
      </c>
      <c r="V232">
        <v>50</v>
      </c>
      <c r="W232" t="s">
        <v>1457</v>
      </c>
      <c r="X232" t="s">
        <v>114</v>
      </c>
      <c r="Y232">
        <v>10</v>
      </c>
      <c r="AB232">
        <v>2.9434656665873602</v>
      </c>
      <c r="AC232" t="s">
        <v>85</v>
      </c>
      <c r="AI232" t="s">
        <v>988</v>
      </c>
      <c r="AK232">
        <v>0.1</v>
      </c>
      <c r="AL232" t="s">
        <v>82</v>
      </c>
      <c r="AM232">
        <v>0.1</v>
      </c>
      <c r="AN232" t="s">
        <v>82</v>
      </c>
      <c r="AU232">
        <v>1.2738853503184711</v>
      </c>
      <c r="AV232" t="s">
        <v>115</v>
      </c>
    </row>
    <row r="233" spans="1:48" x14ac:dyDescent="0.3">
      <c r="A233" t="s">
        <v>1455</v>
      </c>
      <c r="B233" t="s">
        <v>1456</v>
      </c>
      <c r="C233" t="s">
        <v>1416</v>
      </c>
      <c r="D233" t="s">
        <v>81</v>
      </c>
      <c r="E233">
        <v>100000000</v>
      </c>
      <c r="H233">
        <v>0.78500000000000003</v>
      </c>
      <c r="I233" t="s">
        <v>56</v>
      </c>
      <c r="J233">
        <v>7.8500000000000011E-5</v>
      </c>
      <c r="K233" t="s">
        <v>57</v>
      </c>
      <c r="L233" t="s">
        <v>112</v>
      </c>
      <c r="O233">
        <v>9.1973244147157102E-2</v>
      </c>
      <c r="P233" t="s">
        <v>59</v>
      </c>
      <c r="T233">
        <v>20</v>
      </c>
      <c r="V233">
        <v>50</v>
      </c>
      <c r="W233" t="s">
        <v>1457</v>
      </c>
      <c r="X233" t="s">
        <v>114</v>
      </c>
      <c r="Y233">
        <v>10</v>
      </c>
      <c r="AB233">
        <v>1.8154098039490001</v>
      </c>
      <c r="AC233" t="s">
        <v>85</v>
      </c>
      <c r="AI233" t="s">
        <v>988</v>
      </c>
      <c r="AK233">
        <v>0.1</v>
      </c>
      <c r="AL233" t="s">
        <v>82</v>
      </c>
      <c r="AM233">
        <v>0.1</v>
      </c>
      <c r="AN233" t="s">
        <v>82</v>
      </c>
      <c r="AU233">
        <v>1.2738853503184711</v>
      </c>
      <c r="AV233" t="s">
        <v>115</v>
      </c>
    </row>
    <row r="234" spans="1:48" x14ac:dyDescent="0.3">
      <c r="A234" t="s">
        <v>1455</v>
      </c>
      <c r="B234" t="s">
        <v>1456</v>
      </c>
      <c r="C234" t="s">
        <v>1416</v>
      </c>
      <c r="D234" t="s">
        <v>81</v>
      </c>
      <c r="E234">
        <v>100000000</v>
      </c>
      <c r="H234">
        <v>0.78500000000000003</v>
      </c>
      <c r="I234" t="s">
        <v>56</v>
      </c>
      <c r="J234">
        <v>7.8500000000000011E-5</v>
      </c>
      <c r="K234" t="s">
        <v>57</v>
      </c>
      <c r="L234" t="s">
        <v>112</v>
      </c>
      <c r="O234">
        <v>0.50167224080267503</v>
      </c>
      <c r="P234" t="s">
        <v>59</v>
      </c>
      <c r="T234">
        <v>20</v>
      </c>
      <c r="V234">
        <v>50</v>
      </c>
      <c r="W234" t="s">
        <v>1457</v>
      </c>
      <c r="X234" t="s">
        <v>114</v>
      </c>
      <c r="Y234">
        <v>10</v>
      </c>
      <c r="AB234">
        <v>4.7418801863953703</v>
      </c>
      <c r="AC234" t="s">
        <v>85</v>
      </c>
      <c r="AI234" t="s">
        <v>988</v>
      </c>
      <c r="AK234">
        <v>0.1</v>
      </c>
      <c r="AL234" t="s">
        <v>82</v>
      </c>
      <c r="AM234">
        <v>0.1</v>
      </c>
      <c r="AN234" t="s">
        <v>82</v>
      </c>
      <c r="AU234">
        <v>1.2738853503184711</v>
      </c>
      <c r="AV234" t="s">
        <v>115</v>
      </c>
    </row>
    <row r="235" spans="1:48" x14ac:dyDescent="0.3">
      <c r="A235" t="s">
        <v>1455</v>
      </c>
      <c r="B235" t="s">
        <v>1456</v>
      </c>
      <c r="C235" t="s">
        <v>1416</v>
      </c>
      <c r="D235" t="s">
        <v>81</v>
      </c>
      <c r="E235">
        <v>100000000</v>
      </c>
      <c r="H235">
        <v>0.78500000000000003</v>
      </c>
      <c r="I235" t="s">
        <v>56</v>
      </c>
      <c r="J235">
        <v>7.8500000000000011E-5</v>
      </c>
      <c r="K235" t="s">
        <v>57</v>
      </c>
      <c r="L235" t="s">
        <v>112</v>
      </c>
      <c r="O235">
        <v>1.0117056856187201</v>
      </c>
      <c r="P235" t="s">
        <v>59</v>
      </c>
      <c r="T235">
        <v>20</v>
      </c>
      <c r="V235">
        <v>50</v>
      </c>
      <c r="W235" t="s">
        <v>1457</v>
      </c>
      <c r="X235" t="s">
        <v>114</v>
      </c>
      <c r="Y235">
        <v>10</v>
      </c>
      <c r="AB235">
        <v>5.5882649277228102</v>
      </c>
      <c r="AC235" t="s">
        <v>85</v>
      </c>
      <c r="AI235" t="s">
        <v>988</v>
      </c>
      <c r="AK235">
        <v>0.1</v>
      </c>
      <c r="AL235" t="s">
        <v>82</v>
      </c>
      <c r="AM235">
        <v>0.1</v>
      </c>
      <c r="AN235" t="s">
        <v>82</v>
      </c>
      <c r="AU235">
        <v>1.2738853503184711</v>
      </c>
      <c r="AV235" t="s">
        <v>115</v>
      </c>
    </row>
    <row r="236" spans="1:48" x14ac:dyDescent="0.3">
      <c r="A236" t="s">
        <v>1455</v>
      </c>
      <c r="B236" t="s">
        <v>1456</v>
      </c>
      <c r="C236" t="s">
        <v>1416</v>
      </c>
      <c r="D236" t="s">
        <v>81</v>
      </c>
      <c r="E236">
        <v>100000000</v>
      </c>
      <c r="H236">
        <v>0.78500000000000003</v>
      </c>
      <c r="I236" t="s">
        <v>56</v>
      </c>
      <c r="J236">
        <v>7.8500000000000011E-5</v>
      </c>
      <c r="K236" t="s">
        <v>57</v>
      </c>
      <c r="L236" t="s">
        <v>112</v>
      </c>
      <c r="O236">
        <v>2.50836120401337</v>
      </c>
      <c r="P236" t="s">
        <v>59</v>
      </c>
      <c r="T236">
        <v>20</v>
      </c>
      <c r="V236">
        <v>50</v>
      </c>
      <c r="W236" t="s">
        <v>1457</v>
      </c>
      <c r="X236" t="s">
        <v>114</v>
      </c>
      <c r="Y236">
        <v>10</v>
      </c>
      <c r="AB236">
        <v>6.1213389121338802</v>
      </c>
      <c r="AC236" t="s">
        <v>85</v>
      </c>
      <c r="AI236" t="s">
        <v>988</v>
      </c>
      <c r="AK236">
        <v>0.1</v>
      </c>
      <c r="AL236" t="s">
        <v>82</v>
      </c>
      <c r="AM236">
        <v>0.1</v>
      </c>
      <c r="AN236" t="s">
        <v>82</v>
      </c>
      <c r="AU236">
        <v>1.2738853503184711</v>
      </c>
      <c r="AV236" t="s">
        <v>115</v>
      </c>
    </row>
    <row r="237" spans="1:48" x14ac:dyDescent="0.3">
      <c r="A237" t="s">
        <v>1455</v>
      </c>
      <c r="B237" t="s">
        <v>1456</v>
      </c>
      <c r="C237" t="s">
        <v>1416</v>
      </c>
      <c r="D237" t="s">
        <v>81</v>
      </c>
      <c r="E237">
        <v>100000000</v>
      </c>
      <c r="H237">
        <v>0.78500000000000003</v>
      </c>
      <c r="I237" t="s">
        <v>56</v>
      </c>
      <c r="J237">
        <v>7.8500000000000011E-5</v>
      </c>
      <c r="K237" t="s">
        <v>57</v>
      </c>
      <c r="L237" t="s">
        <v>112</v>
      </c>
      <c r="O237">
        <v>5.0836120401337803</v>
      </c>
      <c r="P237" t="s">
        <v>59</v>
      </c>
      <c r="T237">
        <v>20</v>
      </c>
      <c r="V237">
        <v>50</v>
      </c>
      <c r="W237" t="s">
        <v>1457</v>
      </c>
      <c r="X237" t="s">
        <v>114</v>
      </c>
      <c r="Y237">
        <v>10</v>
      </c>
      <c r="AB237">
        <v>6.34056338422356</v>
      </c>
      <c r="AC237" t="s">
        <v>85</v>
      </c>
      <c r="AI237" t="s">
        <v>988</v>
      </c>
      <c r="AK237">
        <v>0.1</v>
      </c>
      <c r="AL237" t="s">
        <v>82</v>
      </c>
      <c r="AM237">
        <v>0.1</v>
      </c>
      <c r="AN237" t="s">
        <v>82</v>
      </c>
      <c r="AU237">
        <v>1.2738853503184711</v>
      </c>
      <c r="AV237" t="s">
        <v>115</v>
      </c>
    </row>
    <row r="238" spans="1:48" x14ac:dyDescent="0.3">
      <c r="A238" t="s">
        <v>1455</v>
      </c>
      <c r="B238" t="s">
        <v>1456</v>
      </c>
      <c r="C238" t="s">
        <v>1416</v>
      </c>
      <c r="D238" t="s">
        <v>81</v>
      </c>
      <c r="E238">
        <v>100000000</v>
      </c>
      <c r="H238">
        <v>0.78500000000000003</v>
      </c>
      <c r="I238" t="s">
        <v>56</v>
      </c>
      <c r="J238">
        <v>7.8500000000000011E-5</v>
      </c>
      <c r="K238" t="s">
        <v>57</v>
      </c>
      <c r="L238" t="s">
        <v>112</v>
      </c>
      <c r="O238">
        <v>0.108695652173913</v>
      </c>
      <c r="P238" t="s">
        <v>59</v>
      </c>
      <c r="T238">
        <v>30</v>
      </c>
      <c r="V238">
        <v>50</v>
      </c>
      <c r="W238" t="s">
        <v>1457</v>
      </c>
      <c r="X238" t="s">
        <v>114</v>
      </c>
      <c r="Y238">
        <v>10</v>
      </c>
      <c r="AB238">
        <v>1.50778046766767</v>
      </c>
      <c r="AC238" t="s">
        <v>85</v>
      </c>
      <c r="AI238" t="s">
        <v>988</v>
      </c>
      <c r="AK238">
        <v>0.1</v>
      </c>
      <c r="AL238" t="s">
        <v>82</v>
      </c>
      <c r="AM238">
        <v>0.1</v>
      </c>
      <c r="AN238" t="s">
        <v>82</v>
      </c>
      <c r="AU238">
        <v>1.2738853503184711</v>
      </c>
      <c r="AV238" t="s">
        <v>115</v>
      </c>
    </row>
    <row r="239" spans="1:48" x14ac:dyDescent="0.3">
      <c r="A239" t="s">
        <v>1455</v>
      </c>
      <c r="B239" t="s">
        <v>1456</v>
      </c>
      <c r="C239" t="s">
        <v>1416</v>
      </c>
      <c r="D239" t="s">
        <v>81</v>
      </c>
      <c r="E239">
        <v>100000000</v>
      </c>
      <c r="H239">
        <v>0.78500000000000003</v>
      </c>
      <c r="I239" t="s">
        <v>56</v>
      </c>
      <c r="J239">
        <v>7.8500000000000011E-5</v>
      </c>
      <c r="K239" t="s">
        <v>57</v>
      </c>
      <c r="L239" t="s">
        <v>112</v>
      </c>
      <c r="O239">
        <v>0.47658862876253999</v>
      </c>
      <c r="P239" t="s">
        <v>59</v>
      </c>
      <c r="T239">
        <v>30</v>
      </c>
      <c r="V239">
        <v>50</v>
      </c>
      <c r="W239" t="s">
        <v>1457</v>
      </c>
      <c r="X239" t="s">
        <v>114</v>
      </c>
      <c r="Y239">
        <v>10</v>
      </c>
      <c r="AB239">
        <v>4.9763367431186101</v>
      </c>
      <c r="AC239" t="s">
        <v>85</v>
      </c>
      <c r="AI239" t="s">
        <v>988</v>
      </c>
      <c r="AK239">
        <v>0.1</v>
      </c>
      <c r="AL239" t="s">
        <v>82</v>
      </c>
      <c r="AM239">
        <v>0.1</v>
      </c>
      <c r="AN239" t="s">
        <v>82</v>
      </c>
      <c r="AU239">
        <v>1.2738853503184711</v>
      </c>
      <c r="AV239" t="s">
        <v>115</v>
      </c>
    </row>
    <row r="240" spans="1:48" x14ac:dyDescent="0.3">
      <c r="A240" t="s">
        <v>1455</v>
      </c>
      <c r="B240" t="s">
        <v>1456</v>
      </c>
      <c r="C240" t="s">
        <v>1416</v>
      </c>
      <c r="D240" t="s">
        <v>81</v>
      </c>
      <c r="E240">
        <v>100000000</v>
      </c>
      <c r="H240">
        <v>0.78500000000000003</v>
      </c>
      <c r="I240" t="s">
        <v>56</v>
      </c>
      <c r="J240">
        <v>7.8500000000000011E-5</v>
      </c>
      <c r="K240" t="s">
        <v>57</v>
      </c>
      <c r="L240" t="s">
        <v>112</v>
      </c>
      <c r="O240">
        <v>1.0117056856187201</v>
      </c>
      <c r="P240" t="s">
        <v>59</v>
      </c>
      <c r="T240">
        <v>30</v>
      </c>
      <c r="V240">
        <v>50</v>
      </c>
      <c r="W240" t="s">
        <v>1457</v>
      </c>
      <c r="X240" t="s">
        <v>114</v>
      </c>
      <c r="Y240">
        <v>10</v>
      </c>
      <c r="AB240">
        <v>5.9250850114048204</v>
      </c>
      <c r="AC240" t="s">
        <v>85</v>
      </c>
      <c r="AI240" t="s">
        <v>988</v>
      </c>
      <c r="AK240">
        <v>0.1</v>
      </c>
      <c r="AL240" t="s">
        <v>82</v>
      </c>
      <c r="AM240">
        <v>0.1</v>
      </c>
      <c r="AN240" t="s">
        <v>82</v>
      </c>
      <c r="AU240">
        <v>1.2738853503184711</v>
      </c>
      <c r="AV240" t="s">
        <v>115</v>
      </c>
    </row>
    <row r="241" spans="1:48" x14ac:dyDescent="0.3">
      <c r="A241" t="s">
        <v>1455</v>
      </c>
      <c r="B241" t="s">
        <v>1456</v>
      </c>
      <c r="C241" t="s">
        <v>1416</v>
      </c>
      <c r="D241" t="s">
        <v>81</v>
      </c>
      <c r="E241">
        <v>100000000</v>
      </c>
      <c r="H241">
        <v>0.78500000000000003</v>
      </c>
      <c r="I241" t="s">
        <v>56</v>
      </c>
      <c r="J241">
        <v>7.8500000000000011E-5</v>
      </c>
      <c r="K241" t="s">
        <v>57</v>
      </c>
      <c r="L241" t="s">
        <v>112</v>
      </c>
      <c r="O241">
        <v>2.5167224080267401</v>
      </c>
      <c r="P241" t="s">
        <v>59</v>
      </c>
      <c r="T241">
        <v>30</v>
      </c>
      <c r="V241">
        <v>50</v>
      </c>
      <c r="W241" t="s">
        <v>1457</v>
      </c>
      <c r="X241" t="s">
        <v>114</v>
      </c>
      <c r="Y241">
        <v>10</v>
      </c>
      <c r="AB241">
        <v>6.3702439092651799</v>
      </c>
      <c r="AC241" t="s">
        <v>85</v>
      </c>
      <c r="AI241" t="s">
        <v>988</v>
      </c>
      <c r="AK241">
        <v>0.1</v>
      </c>
      <c r="AL241" t="s">
        <v>82</v>
      </c>
      <c r="AM241">
        <v>0.1</v>
      </c>
      <c r="AN241" t="s">
        <v>82</v>
      </c>
      <c r="AU241">
        <v>1.2738853503184711</v>
      </c>
      <c r="AV241" t="s">
        <v>115</v>
      </c>
    </row>
    <row r="242" spans="1:48" x14ac:dyDescent="0.3">
      <c r="A242" t="s">
        <v>1455</v>
      </c>
      <c r="B242" t="s">
        <v>1456</v>
      </c>
      <c r="C242" t="s">
        <v>1416</v>
      </c>
      <c r="D242" t="s">
        <v>81</v>
      </c>
      <c r="E242">
        <v>100000000</v>
      </c>
      <c r="H242">
        <v>0.78500000000000003</v>
      </c>
      <c r="I242" t="s">
        <v>56</v>
      </c>
      <c r="J242">
        <v>7.8500000000000011E-5</v>
      </c>
      <c r="K242" t="s">
        <v>57</v>
      </c>
      <c r="L242" t="s">
        <v>112</v>
      </c>
      <c r="O242">
        <v>5.0083612040133598</v>
      </c>
      <c r="P242" t="s">
        <v>59</v>
      </c>
      <c r="T242">
        <v>30</v>
      </c>
      <c r="V242">
        <v>50</v>
      </c>
      <c r="W242" t="s">
        <v>1457</v>
      </c>
      <c r="X242" t="s">
        <v>114</v>
      </c>
      <c r="Y242">
        <v>10</v>
      </c>
      <c r="AB242">
        <v>6.35564853556484</v>
      </c>
      <c r="AC242" t="s">
        <v>85</v>
      </c>
      <c r="AI242" t="s">
        <v>988</v>
      </c>
      <c r="AK242">
        <v>0.1</v>
      </c>
      <c r="AL242" t="s">
        <v>82</v>
      </c>
      <c r="AM242">
        <v>0.1</v>
      </c>
      <c r="AN242" t="s">
        <v>82</v>
      </c>
      <c r="AU242">
        <v>1.2738853503184711</v>
      </c>
      <c r="AV242" t="s">
        <v>115</v>
      </c>
    </row>
    <row r="243" spans="1:48" x14ac:dyDescent="0.3">
      <c r="A243" t="s">
        <v>1455</v>
      </c>
      <c r="B243" t="s">
        <v>1458</v>
      </c>
      <c r="C243" t="s">
        <v>1416</v>
      </c>
      <c r="D243" t="s">
        <v>81</v>
      </c>
      <c r="E243">
        <v>100000000</v>
      </c>
      <c r="H243">
        <v>0.78500000000000003</v>
      </c>
      <c r="I243" t="s">
        <v>56</v>
      </c>
      <c r="J243">
        <v>7.8500000000000011E-5</v>
      </c>
      <c r="K243" t="s">
        <v>57</v>
      </c>
      <c r="L243" t="s">
        <v>112</v>
      </c>
      <c r="O243">
        <v>2.5090441379984001</v>
      </c>
      <c r="P243" t="s">
        <v>59</v>
      </c>
      <c r="T243">
        <v>10</v>
      </c>
      <c r="V243">
        <v>50</v>
      </c>
      <c r="W243" t="s">
        <v>1459</v>
      </c>
      <c r="X243" t="s">
        <v>114</v>
      </c>
      <c r="Y243">
        <v>10</v>
      </c>
      <c r="AB243">
        <v>1.3835658813760701</v>
      </c>
      <c r="AC243" t="s">
        <v>85</v>
      </c>
      <c r="AI243" t="s">
        <v>988</v>
      </c>
      <c r="AK243">
        <v>0.1</v>
      </c>
      <c r="AL243" t="s">
        <v>82</v>
      </c>
      <c r="AM243">
        <v>0.1</v>
      </c>
      <c r="AN243" t="s">
        <v>82</v>
      </c>
      <c r="AU243">
        <v>1.2738853503184711</v>
      </c>
      <c r="AV243" t="s">
        <v>115</v>
      </c>
    </row>
    <row r="244" spans="1:48" x14ac:dyDescent="0.3">
      <c r="A244" t="s">
        <v>1455</v>
      </c>
      <c r="B244" t="s">
        <v>1458</v>
      </c>
      <c r="C244" t="s">
        <v>1416</v>
      </c>
      <c r="D244" t="s">
        <v>81</v>
      </c>
      <c r="E244">
        <v>100000000</v>
      </c>
      <c r="H244">
        <v>0.78500000000000003</v>
      </c>
      <c r="I244" t="s">
        <v>56</v>
      </c>
      <c r="J244">
        <v>7.8500000000000011E-5</v>
      </c>
      <c r="K244" t="s">
        <v>57</v>
      </c>
      <c r="L244" t="s">
        <v>112</v>
      </c>
      <c r="O244">
        <v>5.0048843229514199</v>
      </c>
      <c r="P244" t="s">
        <v>59</v>
      </c>
      <c r="T244">
        <v>10</v>
      </c>
      <c r="V244">
        <v>50</v>
      </c>
      <c r="W244" t="s">
        <v>1459</v>
      </c>
      <c r="X244" t="s">
        <v>114</v>
      </c>
      <c r="Y244">
        <v>10</v>
      </c>
      <c r="AB244">
        <v>1.3835430878689601</v>
      </c>
      <c r="AC244" t="s">
        <v>85</v>
      </c>
      <c r="AI244" t="s">
        <v>988</v>
      </c>
      <c r="AK244">
        <v>0.1</v>
      </c>
      <c r="AL244" t="s">
        <v>82</v>
      </c>
      <c r="AM244">
        <v>0.1</v>
      </c>
      <c r="AN244" t="s">
        <v>82</v>
      </c>
      <c r="AU244">
        <v>1.2738853503184711</v>
      </c>
      <c r="AV244" t="s">
        <v>115</v>
      </c>
    </row>
    <row r="245" spans="1:48" x14ac:dyDescent="0.3">
      <c r="A245" t="s">
        <v>1455</v>
      </c>
      <c r="B245" t="s">
        <v>1458</v>
      </c>
      <c r="C245" t="s">
        <v>1416</v>
      </c>
      <c r="D245" t="s">
        <v>81</v>
      </c>
      <c r="E245">
        <v>100000000</v>
      </c>
      <c r="H245">
        <v>0.78500000000000003</v>
      </c>
      <c r="I245" t="s">
        <v>56</v>
      </c>
      <c r="J245">
        <v>7.8500000000000011E-5</v>
      </c>
      <c r="K245" t="s">
        <v>57</v>
      </c>
      <c r="L245" t="s">
        <v>112</v>
      </c>
      <c r="O245">
        <v>0.499959297308738</v>
      </c>
      <c r="P245" t="s">
        <v>59</v>
      </c>
      <c r="T245">
        <v>20</v>
      </c>
      <c r="V245">
        <v>50</v>
      </c>
      <c r="W245" t="s">
        <v>1459</v>
      </c>
      <c r="X245" t="s">
        <v>114</v>
      </c>
      <c r="Y245">
        <v>10</v>
      </c>
      <c r="AB245">
        <v>0.23557089594764</v>
      </c>
      <c r="AC245" t="s">
        <v>85</v>
      </c>
      <c r="AI245" t="s">
        <v>988</v>
      </c>
      <c r="AK245">
        <v>0.1</v>
      </c>
      <c r="AL245" t="s">
        <v>82</v>
      </c>
      <c r="AM245">
        <v>0.1</v>
      </c>
      <c r="AN245" t="s">
        <v>82</v>
      </c>
      <c r="AU245">
        <v>1.2738853503184711</v>
      </c>
      <c r="AV245" t="s">
        <v>115</v>
      </c>
    </row>
    <row r="246" spans="1:48" x14ac:dyDescent="0.3">
      <c r="A246" t="s">
        <v>1455</v>
      </c>
      <c r="B246" t="s">
        <v>1458</v>
      </c>
      <c r="C246" t="s">
        <v>1416</v>
      </c>
      <c r="D246" t="s">
        <v>81</v>
      </c>
      <c r="E246">
        <v>100000000</v>
      </c>
      <c r="H246">
        <v>0.78500000000000003</v>
      </c>
      <c r="I246" t="s">
        <v>56</v>
      </c>
      <c r="J246">
        <v>7.8500000000000011E-5</v>
      </c>
      <c r="K246" t="s">
        <v>57</v>
      </c>
      <c r="L246" t="s">
        <v>112</v>
      </c>
      <c r="O246">
        <v>0.99531104996662301</v>
      </c>
      <c r="P246" t="s">
        <v>59</v>
      </c>
      <c r="T246">
        <v>20</v>
      </c>
      <c r="V246">
        <v>50</v>
      </c>
      <c r="W246" t="s">
        <v>1459</v>
      </c>
      <c r="X246" t="s">
        <v>114</v>
      </c>
      <c r="Y246">
        <v>10</v>
      </c>
      <c r="AB246">
        <v>1.49855912472932</v>
      </c>
      <c r="AC246" t="s">
        <v>85</v>
      </c>
      <c r="AI246" t="s">
        <v>988</v>
      </c>
      <c r="AK246">
        <v>0.1</v>
      </c>
      <c r="AL246" t="s">
        <v>82</v>
      </c>
      <c r="AM246">
        <v>0.1</v>
      </c>
      <c r="AN246" t="s">
        <v>82</v>
      </c>
      <c r="AU246">
        <v>1.2738853503184711</v>
      </c>
      <c r="AV246" t="s">
        <v>115</v>
      </c>
    </row>
    <row r="247" spans="1:48" x14ac:dyDescent="0.3">
      <c r="A247" t="s">
        <v>1455</v>
      </c>
      <c r="B247" t="s">
        <v>1458</v>
      </c>
      <c r="C247" t="s">
        <v>1416</v>
      </c>
      <c r="D247" t="s">
        <v>81</v>
      </c>
      <c r="E247">
        <v>100000000</v>
      </c>
      <c r="H247">
        <v>0.78500000000000003</v>
      </c>
      <c r="I247" t="s">
        <v>56</v>
      </c>
      <c r="J247">
        <v>7.8500000000000011E-5</v>
      </c>
      <c r="K247" t="s">
        <v>57</v>
      </c>
      <c r="L247" t="s">
        <v>112</v>
      </c>
      <c r="O247">
        <v>1.4945214177561299</v>
      </c>
      <c r="P247" t="s">
        <v>59</v>
      </c>
      <c r="T247">
        <v>20</v>
      </c>
      <c r="V247">
        <v>50</v>
      </c>
      <c r="W247" t="s">
        <v>1459</v>
      </c>
      <c r="X247" t="s">
        <v>114</v>
      </c>
      <c r="Y247">
        <v>10</v>
      </c>
      <c r="AB247">
        <v>3.8437602774295301</v>
      </c>
      <c r="AC247" t="s">
        <v>85</v>
      </c>
      <c r="AI247" t="s">
        <v>988</v>
      </c>
      <c r="AK247">
        <v>0.1</v>
      </c>
      <c r="AL247" t="s">
        <v>82</v>
      </c>
      <c r="AM247">
        <v>0.1</v>
      </c>
      <c r="AN247" t="s">
        <v>82</v>
      </c>
      <c r="AU247">
        <v>1.2738853503184711</v>
      </c>
      <c r="AV247" t="s">
        <v>115</v>
      </c>
    </row>
    <row r="248" spans="1:48" x14ac:dyDescent="0.3">
      <c r="A248" t="s">
        <v>1455</v>
      </c>
      <c r="B248" t="s">
        <v>1458</v>
      </c>
      <c r="C248" t="s">
        <v>1416</v>
      </c>
      <c r="D248" t="s">
        <v>81</v>
      </c>
      <c r="E248">
        <v>100000000</v>
      </c>
      <c r="H248">
        <v>0.78500000000000003</v>
      </c>
      <c r="I248" t="s">
        <v>56</v>
      </c>
      <c r="J248">
        <v>7.8500000000000011E-5</v>
      </c>
      <c r="K248" t="s">
        <v>57</v>
      </c>
      <c r="L248" t="s">
        <v>112</v>
      </c>
      <c r="O248">
        <v>2.5403363670405801</v>
      </c>
      <c r="P248" t="s">
        <v>59</v>
      </c>
      <c r="T248">
        <v>20</v>
      </c>
      <c r="V248">
        <v>50</v>
      </c>
      <c r="W248" t="s">
        <v>1459</v>
      </c>
      <c r="X248" t="s">
        <v>114</v>
      </c>
      <c r="Y248">
        <v>10</v>
      </c>
      <c r="AB248">
        <v>5.4933263867406801</v>
      </c>
      <c r="AC248" t="s">
        <v>85</v>
      </c>
      <c r="AI248" t="s">
        <v>988</v>
      </c>
      <c r="AK248">
        <v>0.1</v>
      </c>
      <c r="AL248" t="s">
        <v>82</v>
      </c>
      <c r="AM248">
        <v>0.1</v>
      </c>
      <c r="AN248" t="s">
        <v>82</v>
      </c>
      <c r="AU248">
        <v>1.2738853503184711</v>
      </c>
      <c r="AV248" t="s">
        <v>115</v>
      </c>
    </row>
    <row r="249" spans="1:48" x14ac:dyDescent="0.3">
      <c r="A249" t="s">
        <v>1455</v>
      </c>
      <c r="B249" t="s">
        <v>1458</v>
      </c>
      <c r="C249" t="s">
        <v>1416</v>
      </c>
      <c r="D249" t="s">
        <v>81</v>
      </c>
      <c r="E249">
        <v>100000000</v>
      </c>
      <c r="H249">
        <v>0.78500000000000003</v>
      </c>
      <c r="I249" t="s">
        <v>56</v>
      </c>
      <c r="J249">
        <v>7.8500000000000011E-5</v>
      </c>
      <c r="K249" t="s">
        <v>57</v>
      </c>
      <c r="L249" t="s">
        <v>112</v>
      </c>
      <c r="O249">
        <v>4.98816365738102</v>
      </c>
      <c r="P249" t="s">
        <v>59</v>
      </c>
      <c r="T249">
        <v>20</v>
      </c>
      <c r="V249">
        <v>50</v>
      </c>
      <c r="W249" t="s">
        <v>1459</v>
      </c>
      <c r="X249" t="s">
        <v>114</v>
      </c>
      <c r="Y249">
        <v>10</v>
      </c>
      <c r="AB249">
        <v>6.0272870842220003</v>
      </c>
      <c r="AC249" t="s">
        <v>85</v>
      </c>
      <c r="AI249" t="s">
        <v>988</v>
      </c>
      <c r="AK249">
        <v>0.1</v>
      </c>
      <c r="AL249" t="s">
        <v>82</v>
      </c>
      <c r="AM249">
        <v>0.1</v>
      </c>
      <c r="AN249" t="s">
        <v>82</v>
      </c>
      <c r="AU249">
        <v>1.2738853503184711</v>
      </c>
      <c r="AV249" t="s">
        <v>115</v>
      </c>
    </row>
    <row r="250" spans="1:48" x14ac:dyDescent="0.3">
      <c r="A250" t="s">
        <v>1455</v>
      </c>
      <c r="B250" t="s">
        <v>1458</v>
      </c>
      <c r="C250" t="s">
        <v>1416</v>
      </c>
      <c r="D250" t="s">
        <v>81</v>
      </c>
      <c r="E250">
        <v>100000000</v>
      </c>
      <c r="H250">
        <v>0.78500000000000003</v>
      </c>
      <c r="I250" t="s">
        <v>56</v>
      </c>
      <c r="J250">
        <v>7.8500000000000011E-5</v>
      </c>
      <c r="K250" t="s">
        <v>57</v>
      </c>
      <c r="L250" t="s">
        <v>112</v>
      </c>
      <c r="O250">
        <v>0.49124892137867998</v>
      </c>
      <c r="P250" t="s">
        <v>59</v>
      </c>
      <c r="T250">
        <v>30</v>
      </c>
      <c r="V250">
        <v>50</v>
      </c>
      <c r="W250" t="s">
        <v>1459</v>
      </c>
      <c r="X250" t="s">
        <v>114</v>
      </c>
      <c r="Y250">
        <v>10</v>
      </c>
      <c r="AB250">
        <v>0.125934126764461</v>
      </c>
      <c r="AC250" t="s">
        <v>85</v>
      </c>
      <c r="AI250" t="s">
        <v>988</v>
      </c>
      <c r="AK250">
        <v>0.1</v>
      </c>
      <c r="AL250" t="s">
        <v>82</v>
      </c>
      <c r="AM250">
        <v>0.1</v>
      </c>
      <c r="AN250" t="s">
        <v>82</v>
      </c>
      <c r="AU250">
        <v>1.2738853503184711</v>
      </c>
      <c r="AV250" t="s">
        <v>115</v>
      </c>
    </row>
    <row r="251" spans="1:48" x14ac:dyDescent="0.3">
      <c r="A251" t="s">
        <v>1455</v>
      </c>
      <c r="B251" t="s">
        <v>1458</v>
      </c>
      <c r="C251" t="s">
        <v>1416</v>
      </c>
      <c r="D251" t="s">
        <v>81</v>
      </c>
      <c r="E251">
        <v>100000000</v>
      </c>
      <c r="H251">
        <v>0.78500000000000003</v>
      </c>
      <c r="I251" t="s">
        <v>56</v>
      </c>
      <c r="J251">
        <v>7.8500000000000011E-5</v>
      </c>
      <c r="K251" t="s">
        <v>57</v>
      </c>
      <c r="L251" t="s">
        <v>112</v>
      </c>
      <c r="O251">
        <v>1.04342163103824</v>
      </c>
      <c r="P251" t="s">
        <v>59</v>
      </c>
      <c r="T251">
        <v>30</v>
      </c>
      <c r="V251">
        <v>50</v>
      </c>
      <c r="W251" t="s">
        <v>1459</v>
      </c>
      <c r="X251" t="s">
        <v>114</v>
      </c>
      <c r="Y251">
        <v>10</v>
      </c>
      <c r="AB251">
        <v>0.99197342928314303</v>
      </c>
      <c r="AC251" t="s">
        <v>85</v>
      </c>
      <c r="AI251" t="s">
        <v>988</v>
      </c>
      <c r="AK251">
        <v>0.1</v>
      </c>
      <c r="AL251" t="s">
        <v>82</v>
      </c>
      <c r="AM251">
        <v>0.1</v>
      </c>
      <c r="AN251" t="s">
        <v>82</v>
      </c>
      <c r="AU251">
        <v>1.2738853503184711</v>
      </c>
      <c r="AV251" t="s">
        <v>115</v>
      </c>
    </row>
    <row r="252" spans="1:48" x14ac:dyDescent="0.3">
      <c r="A252" t="s">
        <v>1455</v>
      </c>
      <c r="B252" t="s">
        <v>1458</v>
      </c>
      <c r="C252" t="s">
        <v>1416</v>
      </c>
      <c r="D252" t="s">
        <v>81</v>
      </c>
      <c r="E252">
        <v>100000000</v>
      </c>
      <c r="H252">
        <v>0.78500000000000003</v>
      </c>
      <c r="I252" t="s">
        <v>56</v>
      </c>
      <c r="J252">
        <v>7.8500000000000011E-5</v>
      </c>
      <c r="K252" t="s">
        <v>57</v>
      </c>
      <c r="L252" t="s">
        <v>112</v>
      </c>
      <c r="O252">
        <v>1.4898324677227499</v>
      </c>
      <c r="P252" t="s">
        <v>59</v>
      </c>
      <c r="T252">
        <v>30</v>
      </c>
      <c r="V252">
        <v>50</v>
      </c>
      <c r="W252" t="s">
        <v>1459</v>
      </c>
      <c r="X252" t="s">
        <v>114</v>
      </c>
      <c r="Y252">
        <v>10</v>
      </c>
      <c r="AB252">
        <v>2.5286660914019601</v>
      </c>
      <c r="AC252" t="s">
        <v>85</v>
      </c>
      <c r="AI252" t="s">
        <v>988</v>
      </c>
      <c r="AK252">
        <v>0.1</v>
      </c>
      <c r="AL252" t="s">
        <v>82</v>
      </c>
      <c r="AM252">
        <v>0.1</v>
      </c>
      <c r="AN252" t="s">
        <v>82</v>
      </c>
      <c r="AU252">
        <v>1.2738853503184711</v>
      </c>
      <c r="AV252" t="s">
        <v>115</v>
      </c>
    </row>
    <row r="253" spans="1:48" x14ac:dyDescent="0.3">
      <c r="A253" t="s">
        <v>1455</v>
      </c>
      <c r="B253" t="s">
        <v>1458</v>
      </c>
      <c r="C253" t="s">
        <v>1416</v>
      </c>
      <c r="D253" t="s">
        <v>81</v>
      </c>
      <c r="E253">
        <v>100000000</v>
      </c>
      <c r="H253">
        <v>0.78500000000000003</v>
      </c>
      <c r="I253" t="s">
        <v>56</v>
      </c>
      <c r="J253">
        <v>7.8500000000000011E-5</v>
      </c>
      <c r="K253" t="s">
        <v>57</v>
      </c>
      <c r="L253" t="s">
        <v>112</v>
      </c>
      <c r="O253">
        <v>2.5049575877957002</v>
      </c>
      <c r="P253" t="s">
        <v>59</v>
      </c>
      <c r="T253">
        <v>30</v>
      </c>
      <c r="V253">
        <v>50</v>
      </c>
      <c r="W253" t="s">
        <v>1459</v>
      </c>
      <c r="X253" t="s">
        <v>114</v>
      </c>
      <c r="Y253">
        <v>10</v>
      </c>
      <c r="AB253">
        <v>4.9040914345256503</v>
      </c>
      <c r="AC253" t="s">
        <v>85</v>
      </c>
      <c r="AI253" t="s">
        <v>988</v>
      </c>
      <c r="AK253">
        <v>0.1</v>
      </c>
      <c r="AL253" t="s">
        <v>82</v>
      </c>
      <c r="AM253">
        <v>0.1</v>
      </c>
      <c r="AN253" t="s">
        <v>82</v>
      </c>
      <c r="AU253">
        <v>1.2738853503184711</v>
      </c>
      <c r="AV253" t="s">
        <v>115</v>
      </c>
    </row>
    <row r="254" spans="1:48" x14ac:dyDescent="0.3">
      <c r="A254" t="s">
        <v>1455</v>
      </c>
      <c r="B254" t="s">
        <v>1458</v>
      </c>
      <c r="C254" t="s">
        <v>1416</v>
      </c>
      <c r="D254" t="s">
        <v>81</v>
      </c>
      <c r="E254">
        <v>100000000</v>
      </c>
      <c r="H254">
        <v>0.78500000000000003</v>
      </c>
      <c r="I254" t="s">
        <v>56</v>
      </c>
      <c r="J254">
        <v>7.8500000000000011E-5</v>
      </c>
      <c r="K254" t="s">
        <v>57</v>
      </c>
      <c r="L254" t="s">
        <v>112</v>
      </c>
      <c r="O254">
        <v>5.0124387424496399</v>
      </c>
      <c r="P254" t="s">
        <v>59</v>
      </c>
      <c r="T254">
        <v>30</v>
      </c>
      <c r="V254">
        <v>50</v>
      </c>
      <c r="W254" t="s">
        <v>1459</v>
      </c>
      <c r="X254" t="s">
        <v>114</v>
      </c>
      <c r="Y254">
        <v>10</v>
      </c>
      <c r="AB254">
        <v>5.8356392764689504</v>
      </c>
      <c r="AC254" t="s">
        <v>85</v>
      </c>
      <c r="AI254" t="s">
        <v>988</v>
      </c>
      <c r="AK254">
        <v>0.1</v>
      </c>
      <c r="AL254" t="s">
        <v>82</v>
      </c>
      <c r="AM254">
        <v>0.1</v>
      </c>
      <c r="AN254" t="s">
        <v>82</v>
      </c>
      <c r="AU254">
        <v>1.2738853503184711</v>
      </c>
      <c r="AV254" t="s">
        <v>115</v>
      </c>
    </row>
    <row r="255" spans="1:48" x14ac:dyDescent="0.3">
      <c r="A255" t="s">
        <v>1455</v>
      </c>
      <c r="B255" t="s">
        <v>1460</v>
      </c>
      <c r="C255" t="s">
        <v>1416</v>
      </c>
      <c r="D255" t="s">
        <v>81</v>
      </c>
      <c r="E255">
        <v>100000000</v>
      </c>
      <c r="H255">
        <v>0.78500000000000003</v>
      </c>
      <c r="I255" t="s">
        <v>56</v>
      </c>
      <c r="J255">
        <v>7.8500000000000011E-5</v>
      </c>
      <c r="K255" t="s">
        <v>57</v>
      </c>
      <c r="L255" t="s">
        <v>112</v>
      </c>
      <c r="O255">
        <v>2.4871355060034301</v>
      </c>
      <c r="P255" t="s">
        <v>59</v>
      </c>
      <c r="T255">
        <v>10</v>
      </c>
      <c r="V255">
        <v>50</v>
      </c>
      <c r="W255" t="s">
        <v>1461</v>
      </c>
      <c r="X255" t="s">
        <v>114</v>
      </c>
      <c r="Y255">
        <v>10</v>
      </c>
      <c r="AB255">
        <v>0.56673960612691299</v>
      </c>
      <c r="AC255" t="s">
        <v>85</v>
      </c>
      <c r="AI255" t="s">
        <v>988</v>
      </c>
      <c r="AK255">
        <v>0.1</v>
      </c>
      <c r="AL255" t="s">
        <v>82</v>
      </c>
      <c r="AM255">
        <v>0.1</v>
      </c>
      <c r="AN255" t="s">
        <v>82</v>
      </c>
      <c r="AU255">
        <v>1.2738853503184711</v>
      </c>
      <c r="AV255" t="s">
        <v>115</v>
      </c>
    </row>
    <row r="256" spans="1:48" x14ac:dyDescent="0.3">
      <c r="A256" t="s">
        <v>1455</v>
      </c>
      <c r="B256" t="s">
        <v>1460</v>
      </c>
      <c r="C256" t="s">
        <v>1416</v>
      </c>
      <c r="D256" t="s">
        <v>81</v>
      </c>
      <c r="E256">
        <v>100000000</v>
      </c>
      <c r="H256">
        <v>0.78500000000000003</v>
      </c>
      <c r="I256" t="s">
        <v>56</v>
      </c>
      <c r="J256">
        <v>7.8500000000000011E-5</v>
      </c>
      <c r="K256" t="s">
        <v>57</v>
      </c>
      <c r="L256" t="s">
        <v>112</v>
      </c>
      <c r="O256">
        <v>5.0171526586620798</v>
      </c>
      <c r="P256" t="s">
        <v>59</v>
      </c>
      <c r="T256">
        <v>10</v>
      </c>
      <c r="V256">
        <v>50</v>
      </c>
      <c r="W256" t="s">
        <v>1461</v>
      </c>
      <c r="X256" t="s">
        <v>114</v>
      </c>
      <c r="Y256">
        <v>10</v>
      </c>
      <c r="AB256">
        <v>0.84245076586433099</v>
      </c>
      <c r="AC256" t="s">
        <v>85</v>
      </c>
      <c r="AI256" t="s">
        <v>988</v>
      </c>
      <c r="AK256">
        <v>0.1</v>
      </c>
      <c r="AL256" t="s">
        <v>82</v>
      </c>
      <c r="AM256">
        <v>0.1</v>
      </c>
      <c r="AN256" t="s">
        <v>82</v>
      </c>
      <c r="AU256">
        <v>1.2738853503184711</v>
      </c>
      <c r="AV256" t="s">
        <v>115</v>
      </c>
    </row>
    <row r="257" spans="1:48" x14ac:dyDescent="0.3">
      <c r="A257" t="s">
        <v>1455</v>
      </c>
      <c r="B257" t="s">
        <v>1460</v>
      </c>
      <c r="C257" t="s">
        <v>1416</v>
      </c>
      <c r="D257" t="s">
        <v>81</v>
      </c>
      <c r="E257">
        <v>100000000</v>
      </c>
      <c r="H257">
        <v>0.78500000000000003</v>
      </c>
      <c r="I257" t="s">
        <v>56</v>
      </c>
      <c r="J257">
        <v>7.8500000000000011E-5</v>
      </c>
      <c r="K257" t="s">
        <v>57</v>
      </c>
      <c r="L257" t="s">
        <v>112</v>
      </c>
      <c r="O257">
        <v>2.5042881646655202</v>
      </c>
      <c r="P257" t="s">
        <v>59</v>
      </c>
      <c r="T257">
        <v>20</v>
      </c>
      <c r="V257">
        <v>50</v>
      </c>
      <c r="W257" t="s">
        <v>1461</v>
      </c>
      <c r="X257" t="s">
        <v>114</v>
      </c>
      <c r="Y257">
        <v>10</v>
      </c>
      <c r="AB257">
        <v>0.75054704595185895</v>
      </c>
      <c r="AC257" t="s">
        <v>85</v>
      </c>
      <c r="AI257" t="s">
        <v>988</v>
      </c>
      <c r="AK257">
        <v>0.1</v>
      </c>
      <c r="AL257" t="s">
        <v>82</v>
      </c>
      <c r="AM257">
        <v>0.1</v>
      </c>
      <c r="AN257" t="s">
        <v>82</v>
      </c>
      <c r="AU257">
        <v>1.2738853503184711</v>
      </c>
      <c r="AV257" t="s">
        <v>115</v>
      </c>
    </row>
    <row r="258" spans="1:48" x14ac:dyDescent="0.3">
      <c r="A258" t="s">
        <v>1455</v>
      </c>
      <c r="B258" t="s">
        <v>1460</v>
      </c>
      <c r="C258" t="s">
        <v>1416</v>
      </c>
      <c r="D258" t="s">
        <v>81</v>
      </c>
      <c r="E258">
        <v>100000000</v>
      </c>
      <c r="H258">
        <v>0.78500000000000003</v>
      </c>
      <c r="I258" t="s">
        <v>56</v>
      </c>
      <c r="J258">
        <v>7.8500000000000011E-5</v>
      </c>
      <c r="K258" t="s">
        <v>57</v>
      </c>
      <c r="L258" t="s">
        <v>112</v>
      </c>
      <c r="O258">
        <v>5</v>
      </c>
      <c r="P258" t="s">
        <v>59</v>
      </c>
      <c r="T258">
        <v>20</v>
      </c>
      <c r="V258">
        <v>50</v>
      </c>
      <c r="W258" t="s">
        <v>1461</v>
      </c>
      <c r="X258" t="s">
        <v>114</v>
      </c>
      <c r="Y258">
        <v>10</v>
      </c>
      <c r="AB258">
        <v>1.0109409190371901</v>
      </c>
      <c r="AC258" t="s">
        <v>85</v>
      </c>
      <c r="AI258" t="s">
        <v>988</v>
      </c>
      <c r="AK258">
        <v>0.1</v>
      </c>
      <c r="AL258" t="s">
        <v>82</v>
      </c>
      <c r="AM258">
        <v>0.1</v>
      </c>
      <c r="AN258" t="s">
        <v>82</v>
      </c>
      <c r="AU258">
        <v>1.2738853503184711</v>
      </c>
      <c r="AV258" t="s">
        <v>115</v>
      </c>
    </row>
    <row r="259" spans="1:48" x14ac:dyDescent="0.3">
      <c r="A259" t="s">
        <v>1455</v>
      </c>
      <c r="B259" t="s">
        <v>1460</v>
      </c>
      <c r="C259" t="s">
        <v>1416</v>
      </c>
      <c r="D259" t="s">
        <v>81</v>
      </c>
      <c r="E259">
        <v>100000000</v>
      </c>
      <c r="H259">
        <v>0.78500000000000003</v>
      </c>
      <c r="I259" t="s">
        <v>56</v>
      </c>
      <c r="J259">
        <v>7.8500000000000011E-5</v>
      </c>
      <c r="K259" t="s">
        <v>57</v>
      </c>
      <c r="L259" t="s">
        <v>112</v>
      </c>
      <c r="O259">
        <v>2.4871355060034301</v>
      </c>
      <c r="P259" t="s">
        <v>59</v>
      </c>
      <c r="T259">
        <v>30</v>
      </c>
      <c r="V259">
        <v>50</v>
      </c>
      <c r="W259" t="s">
        <v>1461</v>
      </c>
      <c r="X259" t="s">
        <v>114</v>
      </c>
      <c r="Y259">
        <v>10</v>
      </c>
      <c r="AB259">
        <v>0.88840262582056695</v>
      </c>
      <c r="AC259" t="s">
        <v>85</v>
      </c>
      <c r="AI259" t="s">
        <v>988</v>
      </c>
      <c r="AK259">
        <v>0.1</v>
      </c>
      <c r="AL259" t="s">
        <v>82</v>
      </c>
      <c r="AM259">
        <v>0.1</v>
      </c>
      <c r="AN259" t="s">
        <v>82</v>
      </c>
      <c r="AU259">
        <v>1.2738853503184711</v>
      </c>
      <c r="AV259" t="s">
        <v>115</v>
      </c>
    </row>
    <row r="260" spans="1:48" x14ac:dyDescent="0.3">
      <c r="A260" t="s">
        <v>1455</v>
      </c>
      <c r="B260" t="s">
        <v>1460</v>
      </c>
      <c r="C260" t="s">
        <v>1416</v>
      </c>
      <c r="D260" t="s">
        <v>81</v>
      </c>
      <c r="E260">
        <v>100000000</v>
      </c>
      <c r="H260">
        <v>0.78500000000000003</v>
      </c>
      <c r="I260" t="s">
        <v>56</v>
      </c>
      <c r="J260">
        <v>7.8500000000000011E-5</v>
      </c>
      <c r="K260" t="s">
        <v>57</v>
      </c>
      <c r="L260" t="s">
        <v>112</v>
      </c>
      <c r="O260">
        <v>4.98284734133789</v>
      </c>
      <c r="P260" t="s">
        <v>59</v>
      </c>
      <c r="T260">
        <v>30</v>
      </c>
      <c r="V260">
        <v>50</v>
      </c>
      <c r="W260" t="s">
        <v>1461</v>
      </c>
      <c r="X260" t="s">
        <v>114</v>
      </c>
      <c r="Y260">
        <v>10</v>
      </c>
      <c r="AB260">
        <v>1.4245076586433201</v>
      </c>
      <c r="AC260" t="s">
        <v>85</v>
      </c>
      <c r="AI260" t="s">
        <v>988</v>
      </c>
      <c r="AK260">
        <v>0.1</v>
      </c>
      <c r="AL260" t="s">
        <v>82</v>
      </c>
      <c r="AM260">
        <v>0.1</v>
      </c>
      <c r="AN260" t="s">
        <v>82</v>
      </c>
      <c r="AU260">
        <v>1.2738853503184711</v>
      </c>
      <c r="AV260" t="s">
        <v>115</v>
      </c>
    </row>
    <row r="261" spans="1:48" x14ac:dyDescent="0.3">
      <c r="A261" t="s">
        <v>1455</v>
      </c>
      <c r="C261" t="s">
        <v>1416</v>
      </c>
      <c r="D261" t="s">
        <v>81</v>
      </c>
      <c r="E261">
        <v>100000000</v>
      </c>
      <c r="H261">
        <v>0.78500000000000003</v>
      </c>
      <c r="I261" t="s">
        <v>56</v>
      </c>
      <c r="J261">
        <v>7.8500000000000011E-5</v>
      </c>
      <c r="K261" t="s">
        <v>57</v>
      </c>
      <c r="L261" t="s">
        <v>112</v>
      </c>
      <c r="O261">
        <v>10.0654992411023</v>
      </c>
      <c r="P261" t="s">
        <v>59</v>
      </c>
      <c r="T261">
        <v>10</v>
      </c>
      <c r="V261">
        <v>50</v>
      </c>
      <c r="W261" t="s">
        <v>388</v>
      </c>
      <c r="X261" t="s">
        <v>114</v>
      </c>
      <c r="Y261">
        <v>10</v>
      </c>
      <c r="AB261">
        <v>0.27539469764670699</v>
      </c>
      <c r="AC261" t="s">
        <v>85</v>
      </c>
      <c r="AI261" t="s">
        <v>988</v>
      </c>
      <c r="AK261">
        <v>0.1</v>
      </c>
      <c r="AL261" t="s">
        <v>82</v>
      </c>
      <c r="AM261">
        <v>0.1</v>
      </c>
      <c r="AN261" t="s">
        <v>82</v>
      </c>
      <c r="AT261" t="s">
        <v>65</v>
      </c>
      <c r="AU261">
        <v>1.2738853503184711</v>
      </c>
      <c r="AV261" t="s">
        <v>115</v>
      </c>
    </row>
    <row r="262" spans="1:48" x14ac:dyDescent="0.3">
      <c r="A262" t="s">
        <v>1455</v>
      </c>
      <c r="C262" t="s">
        <v>1416</v>
      </c>
      <c r="D262" t="s">
        <v>81</v>
      </c>
      <c r="E262">
        <v>100000000</v>
      </c>
      <c r="H262">
        <v>0.78500000000000003</v>
      </c>
      <c r="I262" t="s">
        <v>56</v>
      </c>
      <c r="J262">
        <v>7.8500000000000011E-5</v>
      </c>
      <c r="K262" t="s">
        <v>57</v>
      </c>
      <c r="L262" t="s">
        <v>112</v>
      </c>
      <c r="O262">
        <v>19.9916308495396</v>
      </c>
      <c r="P262" t="s">
        <v>59</v>
      </c>
      <c r="T262">
        <v>10</v>
      </c>
      <c r="V262">
        <v>50</v>
      </c>
      <c r="W262" t="s">
        <v>388</v>
      </c>
      <c r="X262" t="s">
        <v>114</v>
      </c>
      <c r="Y262">
        <v>10</v>
      </c>
      <c r="AB262">
        <v>1.2465494985602099</v>
      </c>
      <c r="AC262" t="s">
        <v>85</v>
      </c>
      <c r="AI262" t="s">
        <v>988</v>
      </c>
      <c r="AK262">
        <v>0.1</v>
      </c>
      <c r="AL262" t="s">
        <v>82</v>
      </c>
      <c r="AM262">
        <v>0.1</v>
      </c>
      <c r="AN262" t="s">
        <v>82</v>
      </c>
      <c r="AT262" t="s">
        <v>65</v>
      </c>
      <c r="AU262">
        <v>1.2738853503184711</v>
      </c>
      <c r="AV262" t="s">
        <v>115</v>
      </c>
    </row>
    <row r="263" spans="1:48" x14ac:dyDescent="0.3">
      <c r="A263" t="s">
        <v>1455</v>
      </c>
      <c r="C263" t="s">
        <v>1416</v>
      </c>
      <c r="D263" t="s">
        <v>81</v>
      </c>
      <c r="E263">
        <v>100000000</v>
      </c>
      <c r="H263">
        <v>0.78500000000000003</v>
      </c>
      <c r="I263" t="s">
        <v>56</v>
      </c>
      <c r="J263">
        <v>7.8500000000000011E-5</v>
      </c>
      <c r="K263" t="s">
        <v>57</v>
      </c>
      <c r="L263" t="s">
        <v>112</v>
      </c>
      <c r="O263">
        <v>30.255897414074301</v>
      </c>
      <c r="P263" t="s">
        <v>59</v>
      </c>
      <c r="T263">
        <v>10</v>
      </c>
      <c r="V263">
        <v>50</v>
      </c>
      <c r="W263" t="s">
        <v>388</v>
      </c>
      <c r="X263" t="s">
        <v>114</v>
      </c>
      <c r="Y263">
        <v>10</v>
      </c>
      <c r="AB263">
        <v>3.73716612054413</v>
      </c>
      <c r="AC263" t="s">
        <v>85</v>
      </c>
      <c r="AI263" t="s">
        <v>988</v>
      </c>
      <c r="AK263">
        <v>0.1</v>
      </c>
      <c r="AL263" t="s">
        <v>82</v>
      </c>
      <c r="AM263">
        <v>0.1</v>
      </c>
      <c r="AN263" t="s">
        <v>82</v>
      </c>
      <c r="AT263" t="s">
        <v>65</v>
      </c>
      <c r="AU263">
        <v>1.2738853503184711</v>
      </c>
      <c r="AV263" t="s">
        <v>115</v>
      </c>
    </row>
    <row r="264" spans="1:48" x14ac:dyDescent="0.3">
      <c r="A264" t="s">
        <v>1455</v>
      </c>
      <c r="C264" t="s">
        <v>1416</v>
      </c>
      <c r="D264" t="s">
        <v>81</v>
      </c>
      <c r="E264">
        <v>100000000</v>
      </c>
      <c r="H264">
        <v>0.78500000000000003</v>
      </c>
      <c r="I264" t="s">
        <v>56</v>
      </c>
      <c r="J264">
        <v>7.8500000000000011E-5</v>
      </c>
      <c r="K264" t="s">
        <v>57</v>
      </c>
      <c r="L264" t="s">
        <v>112</v>
      </c>
      <c r="O264">
        <v>35.278806190334301</v>
      </c>
      <c r="P264" t="s">
        <v>59</v>
      </c>
      <c r="T264">
        <v>10</v>
      </c>
      <c r="V264">
        <v>50</v>
      </c>
      <c r="W264" t="s">
        <v>388</v>
      </c>
      <c r="X264" t="s">
        <v>114</v>
      </c>
      <c r="Y264">
        <v>10</v>
      </c>
      <c r="AB264">
        <v>6.2957998212689699</v>
      </c>
      <c r="AC264" t="s">
        <v>85</v>
      </c>
      <c r="AI264" t="s">
        <v>988</v>
      </c>
      <c r="AK264">
        <v>0.1</v>
      </c>
      <c r="AL264" t="s">
        <v>82</v>
      </c>
      <c r="AM264">
        <v>0.1</v>
      </c>
      <c r="AN264" t="s">
        <v>82</v>
      </c>
      <c r="AT264" t="s">
        <v>65</v>
      </c>
      <c r="AU264">
        <v>1.2738853503184711</v>
      </c>
      <c r="AV264" t="s">
        <v>115</v>
      </c>
    </row>
    <row r="265" spans="1:48" x14ac:dyDescent="0.3">
      <c r="A265" t="s">
        <v>1455</v>
      </c>
      <c r="C265" t="s">
        <v>1416</v>
      </c>
      <c r="D265" t="s">
        <v>81</v>
      </c>
      <c r="E265">
        <v>100000000</v>
      </c>
      <c r="H265">
        <v>0.78500000000000003</v>
      </c>
      <c r="I265" t="s">
        <v>56</v>
      </c>
      <c r="J265">
        <v>7.8500000000000011E-5</v>
      </c>
      <c r="K265" t="s">
        <v>57</v>
      </c>
      <c r="L265" t="s">
        <v>112</v>
      </c>
      <c r="O265">
        <v>40.349589344227297</v>
      </c>
      <c r="P265" t="s">
        <v>59</v>
      </c>
      <c r="T265">
        <v>10</v>
      </c>
      <c r="V265">
        <v>50</v>
      </c>
      <c r="W265" t="s">
        <v>388</v>
      </c>
      <c r="X265" t="s">
        <v>114</v>
      </c>
      <c r="Y265">
        <v>10</v>
      </c>
      <c r="AB265">
        <v>6.3128785622083203</v>
      </c>
      <c r="AC265" t="s">
        <v>85</v>
      </c>
      <c r="AI265" t="s">
        <v>988</v>
      </c>
      <c r="AK265">
        <v>0.1</v>
      </c>
      <c r="AL265" t="s">
        <v>82</v>
      </c>
      <c r="AM265">
        <v>0.1</v>
      </c>
      <c r="AN265" t="s">
        <v>82</v>
      </c>
      <c r="AT265" t="s">
        <v>65</v>
      </c>
      <c r="AU265">
        <v>1.2738853503184711</v>
      </c>
      <c r="AV265" t="s">
        <v>115</v>
      </c>
    </row>
    <row r="266" spans="1:48" x14ac:dyDescent="0.3">
      <c r="A266" t="s">
        <v>1455</v>
      </c>
      <c r="C266" t="s">
        <v>1416</v>
      </c>
      <c r="D266" t="s">
        <v>81</v>
      </c>
      <c r="E266">
        <v>100000000</v>
      </c>
      <c r="H266">
        <v>0.78500000000000003</v>
      </c>
      <c r="I266" t="s">
        <v>56</v>
      </c>
      <c r="J266">
        <v>7.8500000000000011E-5</v>
      </c>
      <c r="K266" t="s">
        <v>57</v>
      </c>
      <c r="L266" t="s">
        <v>112</v>
      </c>
      <c r="O266">
        <v>45.332248180773497</v>
      </c>
      <c r="P266" t="s">
        <v>59</v>
      </c>
      <c r="T266">
        <v>10</v>
      </c>
      <c r="V266">
        <v>50</v>
      </c>
      <c r="W266" t="s">
        <v>388</v>
      </c>
      <c r="X266" t="s">
        <v>114</v>
      </c>
      <c r="Y266">
        <v>10</v>
      </c>
      <c r="AB266">
        <v>6.3157084698639601</v>
      </c>
      <c r="AC266" t="s">
        <v>85</v>
      </c>
      <c r="AI266" t="s">
        <v>988</v>
      </c>
      <c r="AK266">
        <v>0.1</v>
      </c>
      <c r="AL266" t="s">
        <v>82</v>
      </c>
      <c r="AM266">
        <v>0.1</v>
      </c>
      <c r="AN266" t="s">
        <v>82</v>
      </c>
      <c r="AT266" t="s">
        <v>65</v>
      </c>
      <c r="AU266">
        <v>1.2738853503184711</v>
      </c>
      <c r="AV266" t="s">
        <v>115</v>
      </c>
    </row>
    <row r="267" spans="1:48" x14ac:dyDescent="0.3">
      <c r="A267" t="s">
        <v>1455</v>
      </c>
      <c r="C267" t="s">
        <v>1416</v>
      </c>
      <c r="D267" t="s">
        <v>81</v>
      </c>
      <c r="E267">
        <v>100000000</v>
      </c>
      <c r="H267">
        <v>0.78500000000000003</v>
      </c>
      <c r="I267" t="s">
        <v>56</v>
      </c>
      <c r="J267">
        <v>7.8500000000000011E-5</v>
      </c>
      <c r="K267" t="s">
        <v>57</v>
      </c>
      <c r="L267" t="s">
        <v>112</v>
      </c>
      <c r="O267">
        <v>50.314197767280803</v>
      </c>
      <c r="P267" t="s">
        <v>59</v>
      </c>
      <c r="T267">
        <v>10</v>
      </c>
      <c r="V267">
        <v>50</v>
      </c>
      <c r="W267" t="s">
        <v>388</v>
      </c>
      <c r="X267" t="s">
        <v>114</v>
      </c>
      <c r="Y267">
        <v>10</v>
      </c>
      <c r="AB267">
        <v>6.3043391917386504</v>
      </c>
      <c r="AC267" t="s">
        <v>85</v>
      </c>
      <c r="AI267" t="s">
        <v>988</v>
      </c>
      <c r="AK267">
        <v>0.1</v>
      </c>
      <c r="AL267" t="s">
        <v>82</v>
      </c>
      <c r="AM267">
        <v>0.1</v>
      </c>
      <c r="AN267" t="s">
        <v>82</v>
      </c>
      <c r="AT267" t="s">
        <v>65</v>
      </c>
      <c r="AU267">
        <v>1.2738853503184711</v>
      </c>
      <c r="AV267" t="s">
        <v>115</v>
      </c>
    </row>
    <row r="268" spans="1:48" x14ac:dyDescent="0.3">
      <c r="A268" t="s">
        <v>1455</v>
      </c>
      <c r="C268" t="s">
        <v>1416</v>
      </c>
      <c r="D268" t="s">
        <v>81</v>
      </c>
      <c r="E268">
        <v>100000000</v>
      </c>
      <c r="H268">
        <v>0.78500000000000003</v>
      </c>
      <c r="I268" t="s">
        <v>56</v>
      </c>
      <c r="J268">
        <v>7.8500000000000011E-5</v>
      </c>
      <c r="K268" t="s">
        <v>57</v>
      </c>
      <c r="L268" t="s">
        <v>112</v>
      </c>
      <c r="O268">
        <v>5.35217810686978</v>
      </c>
      <c r="P268" t="s">
        <v>59</v>
      </c>
      <c r="T268">
        <v>20</v>
      </c>
      <c r="V268">
        <v>50</v>
      </c>
      <c r="W268" t="s">
        <v>388</v>
      </c>
      <c r="X268" t="s">
        <v>114</v>
      </c>
      <c r="Y268">
        <v>10</v>
      </c>
      <c r="AB268">
        <v>0.41470559030880699</v>
      </c>
      <c r="AC268" t="s">
        <v>85</v>
      </c>
      <c r="AI268" t="s">
        <v>988</v>
      </c>
      <c r="AK268">
        <v>0.1</v>
      </c>
      <c r="AL268" t="s">
        <v>82</v>
      </c>
      <c r="AM268">
        <v>0.1</v>
      </c>
      <c r="AN268" t="s">
        <v>82</v>
      </c>
      <c r="AT268" t="s">
        <v>65</v>
      </c>
      <c r="AU268">
        <v>1.2738853503184711</v>
      </c>
      <c r="AV268" t="s">
        <v>115</v>
      </c>
    </row>
    <row r="269" spans="1:48" x14ac:dyDescent="0.3">
      <c r="A269" t="s">
        <v>1455</v>
      </c>
      <c r="C269" t="s">
        <v>1416</v>
      </c>
      <c r="D269" t="s">
        <v>81</v>
      </c>
      <c r="E269">
        <v>100000000</v>
      </c>
      <c r="H269">
        <v>0.78500000000000003</v>
      </c>
      <c r="I269" t="s">
        <v>56</v>
      </c>
      <c r="J269">
        <v>7.8500000000000011E-5</v>
      </c>
      <c r="K269" t="s">
        <v>57</v>
      </c>
      <c r="L269" t="s">
        <v>112</v>
      </c>
      <c r="O269">
        <v>10.004149112728101</v>
      </c>
      <c r="P269" t="s">
        <v>59</v>
      </c>
      <c r="T269">
        <v>20</v>
      </c>
      <c r="V269">
        <v>50</v>
      </c>
      <c r="W269" t="s">
        <v>388</v>
      </c>
      <c r="X269" t="s">
        <v>114</v>
      </c>
      <c r="Y269">
        <v>10</v>
      </c>
      <c r="AB269">
        <v>2.5471651275940701</v>
      </c>
      <c r="AC269" t="s">
        <v>85</v>
      </c>
      <c r="AI269" t="s">
        <v>988</v>
      </c>
      <c r="AK269">
        <v>0.1</v>
      </c>
      <c r="AL269" t="s">
        <v>82</v>
      </c>
      <c r="AM269">
        <v>0.1</v>
      </c>
      <c r="AN269" t="s">
        <v>82</v>
      </c>
      <c r="AT269" t="s">
        <v>65</v>
      </c>
      <c r="AU269">
        <v>1.2738853503184711</v>
      </c>
      <c r="AV269" t="s">
        <v>115</v>
      </c>
    </row>
    <row r="270" spans="1:48" x14ac:dyDescent="0.3">
      <c r="A270" t="s">
        <v>1455</v>
      </c>
      <c r="C270" t="s">
        <v>1416</v>
      </c>
      <c r="D270" t="s">
        <v>81</v>
      </c>
      <c r="E270">
        <v>100000000</v>
      </c>
      <c r="H270">
        <v>0.78500000000000003</v>
      </c>
      <c r="I270" t="s">
        <v>56</v>
      </c>
      <c r="J270">
        <v>7.8500000000000011E-5</v>
      </c>
      <c r="K270" t="s">
        <v>57</v>
      </c>
      <c r="L270" t="s">
        <v>112</v>
      </c>
      <c r="O270">
        <v>15.2417833382979</v>
      </c>
      <c r="P270" t="s">
        <v>59</v>
      </c>
      <c r="T270">
        <v>20</v>
      </c>
      <c r="V270">
        <v>50</v>
      </c>
      <c r="W270" t="s">
        <v>388</v>
      </c>
      <c r="X270" t="s">
        <v>114</v>
      </c>
      <c r="Y270">
        <v>10</v>
      </c>
      <c r="AB270">
        <v>4.15460232350312</v>
      </c>
      <c r="AC270" t="s">
        <v>85</v>
      </c>
      <c r="AI270" t="s">
        <v>988</v>
      </c>
      <c r="AK270">
        <v>0.1</v>
      </c>
      <c r="AL270" t="s">
        <v>82</v>
      </c>
      <c r="AM270">
        <v>0.1</v>
      </c>
      <c r="AN270" t="s">
        <v>82</v>
      </c>
      <c r="AT270" t="s">
        <v>65</v>
      </c>
      <c r="AU270">
        <v>1.2738853503184711</v>
      </c>
      <c r="AV270" t="s">
        <v>115</v>
      </c>
    </row>
    <row r="271" spans="1:48" x14ac:dyDescent="0.3">
      <c r="A271" t="s">
        <v>1455</v>
      </c>
      <c r="C271" t="s">
        <v>1416</v>
      </c>
      <c r="D271" t="s">
        <v>81</v>
      </c>
      <c r="E271">
        <v>100000000</v>
      </c>
      <c r="H271">
        <v>0.78500000000000003</v>
      </c>
      <c r="I271" t="s">
        <v>56</v>
      </c>
      <c r="J271">
        <v>7.8500000000000011E-5</v>
      </c>
      <c r="K271" t="s">
        <v>57</v>
      </c>
      <c r="L271" t="s">
        <v>112</v>
      </c>
      <c r="O271">
        <v>25.489027901896399</v>
      </c>
      <c r="P271" t="s">
        <v>59</v>
      </c>
      <c r="T271">
        <v>20</v>
      </c>
      <c r="V271">
        <v>50</v>
      </c>
      <c r="W271" t="s">
        <v>388</v>
      </c>
      <c r="X271" t="s">
        <v>114</v>
      </c>
      <c r="Y271">
        <v>10</v>
      </c>
      <c r="AB271">
        <v>6.3044384867441101</v>
      </c>
      <c r="AC271" t="s">
        <v>85</v>
      </c>
      <c r="AI271" t="s">
        <v>988</v>
      </c>
      <c r="AK271">
        <v>0.1</v>
      </c>
      <c r="AL271" t="s">
        <v>82</v>
      </c>
      <c r="AM271">
        <v>0.1</v>
      </c>
      <c r="AN271" t="s">
        <v>82</v>
      </c>
      <c r="AT271" t="s">
        <v>65</v>
      </c>
      <c r="AU271">
        <v>1.2738853503184711</v>
      </c>
      <c r="AV271" t="s">
        <v>115</v>
      </c>
    </row>
    <row r="272" spans="1:48" x14ac:dyDescent="0.3">
      <c r="A272" t="s">
        <v>1455</v>
      </c>
      <c r="C272" t="s">
        <v>1416</v>
      </c>
      <c r="D272" t="s">
        <v>81</v>
      </c>
      <c r="E272">
        <v>100000000</v>
      </c>
      <c r="H272">
        <v>0.78500000000000003</v>
      </c>
      <c r="I272" t="s">
        <v>56</v>
      </c>
      <c r="J272">
        <v>7.8500000000000011E-5</v>
      </c>
      <c r="K272" t="s">
        <v>57</v>
      </c>
      <c r="L272" t="s">
        <v>112</v>
      </c>
      <c r="O272">
        <v>30.384271671134901</v>
      </c>
      <c r="P272" t="s">
        <v>59</v>
      </c>
      <c r="T272">
        <v>20</v>
      </c>
      <c r="V272">
        <v>50</v>
      </c>
      <c r="W272" t="s">
        <v>388</v>
      </c>
      <c r="X272" t="s">
        <v>114</v>
      </c>
      <c r="Y272">
        <v>10</v>
      </c>
      <c r="AB272">
        <v>6.3072187468970302</v>
      </c>
      <c r="AC272" t="s">
        <v>85</v>
      </c>
      <c r="AI272" t="s">
        <v>988</v>
      </c>
      <c r="AK272">
        <v>0.1</v>
      </c>
      <c r="AL272" t="s">
        <v>82</v>
      </c>
      <c r="AM272">
        <v>0.1</v>
      </c>
      <c r="AN272" t="s">
        <v>82</v>
      </c>
      <c r="AT272" t="s">
        <v>65</v>
      </c>
      <c r="AU272">
        <v>1.2738853503184711</v>
      </c>
      <c r="AV272" t="s">
        <v>115</v>
      </c>
    </row>
    <row r="273" spans="1:48" x14ac:dyDescent="0.3">
      <c r="A273" t="s">
        <v>1455</v>
      </c>
      <c r="C273" t="s">
        <v>1416</v>
      </c>
      <c r="D273" t="s">
        <v>81</v>
      </c>
      <c r="E273">
        <v>100000000</v>
      </c>
      <c r="H273">
        <v>0.78500000000000003</v>
      </c>
      <c r="I273" t="s">
        <v>56</v>
      </c>
      <c r="J273">
        <v>7.8500000000000011E-5</v>
      </c>
      <c r="K273" t="s">
        <v>57</v>
      </c>
      <c r="L273" t="s">
        <v>112</v>
      </c>
      <c r="O273">
        <v>35.366930507680998</v>
      </c>
      <c r="P273" t="s">
        <v>59</v>
      </c>
      <c r="T273">
        <v>20</v>
      </c>
      <c r="V273">
        <v>50</v>
      </c>
      <c r="W273" t="s">
        <v>388</v>
      </c>
      <c r="X273" t="s">
        <v>114</v>
      </c>
      <c r="Y273">
        <v>10</v>
      </c>
      <c r="AB273">
        <v>6.3100486545526602</v>
      </c>
      <c r="AC273" t="s">
        <v>85</v>
      </c>
      <c r="AI273" t="s">
        <v>988</v>
      </c>
      <c r="AK273">
        <v>0.1</v>
      </c>
      <c r="AL273" t="s">
        <v>82</v>
      </c>
      <c r="AM273">
        <v>0.1</v>
      </c>
      <c r="AN273" t="s">
        <v>82</v>
      </c>
      <c r="AT273" t="s">
        <v>65</v>
      </c>
      <c r="AU273">
        <v>1.2738853503184711</v>
      </c>
      <c r="AV273" t="s">
        <v>115</v>
      </c>
    </row>
    <row r="274" spans="1:48" x14ac:dyDescent="0.3">
      <c r="A274" t="s">
        <v>1455</v>
      </c>
      <c r="C274" t="s">
        <v>1416</v>
      </c>
      <c r="D274" t="s">
        <v>81</v>
      </c>
      <c r="E274">
        <v>100000000</v>
      </c>
      <c r="H274">
        <v>0.78500000000000003</v>
      </c>
      <c r="I274" t="s">
        <v>56</v>
      </c>
      <c r="J274">
        <v>7.8500000000000011E-5</v>
      </c>
      <c r="K274" t="s">
        <v>57</v>
      </c>
      <c r="L274" t="s">
        <v>112</v>
      </c>
      <c r="O274">
        <v>4.9406357717349501</v>
      </c>
      <c r="P274" t="s">
        <v>59</v>
      </c>
      <c r="T274">
        <v>30</v>
      </c>
      <c r="V274">
        <v>50</v>
      </c>
      <c r="W274" t="s">
        <v>388</v>
      </c>
      <c r="X274" t="s">
        <v>114</v>
      </c>
      <c r="Y274">
        <v>10</v>
      </c>
      <c r="AB274">
        <v>0.92562804090954098</v>
      </c>
      <c r="AC274" t="s">
        <v>85</v>
      </c>
      <c r="AI274" t="s">
        <v>988</v>
      </c>
      <c r="AK274">
        <v>0.1</v>
      </c>
      <c r="AL274" t="s">
        <v>82</v>
      </c>
      <c r="AM274">
        <v>0.1</v>
      </c>
      <c r="AN274" t="s">
        <v>82</v>
      </c>
      <c r="AT274" t="s">
        <v>65</v>
      </c>
      <c r="AU274">
        <v>1.2738853503184711</v>
      </c>
      <c r="AV274" t="s">
        <v>115</v>
      </c>
    </row>
    <row r="275" spans="1:48" x14ac:dyDescent="0.3">
      <c r="A275" t="s">
        <v>1455</v>
      </c>
      <c r="C275" t="s">
        <v>1416</v>
      </c>
      <c r="D275" t="s">
        <v>81</v>
      </c>
      <c r="E275">
        <v>100000000</v>
      </c>
      <c r="H275">
        <v>0.78500000000000003</v>
      </c>
      <c r="I275" t="s">
        <v>56</v>
      </c>
      <c r="J275">
        <v>7.8500000000000011E-5</v>
      </c>
      <c r="K275" t="s">
        <v>57</v>
      </c>
      <c r="L275" t="s">
        <v>112</v>
      </c>
      <c r="O275">
        <v>10.403279572180301</v>
      </c>
      <c r="P275" t="s">
        <v>59</v>
      </c>
      <c r="T275">
        <v>30</v>
      </c>
      <c r="V275">
        <v>50</v>
      </c>
      <c r="W275" t="s">
        <v>388</v>
      </c>
      <c r="X275" t="s">
        <v>114</v>
      </c>
      <c r="Y275">
        <v>10</v>
      </c>
      <c r="AB275">
        <v>5.2877569258266304</v>
      </c>
      <c r="AC275" t="s">
        <v>85</v>
      </c>
      <c r="AI275" t="s">
        <v>988</v>
      </c>
      <c r="AK275">
        <v>0.1</v>
      </c>
      <c r="AL275" t="s">
        <v>82</v>
      </c>
      <c r="AM275">
        <v>0.1</v>
      </c>
      <c r="AN275" t="s">
        <v>82</v>
      </c>
      <c r="AT275" t="s">
        <v>65</v>
      </c>
      <c r="AU275">
        <v>1.2738853503184711</v>
      </c>
      <c r="AV275" t="s">
        <v>115</v>
      </c>
    </row>
    <row r="276" spans="1:48" x14ac:dyDescent="0.3">
      <c r="A276" t="s">
        <v>1455</v>
      </c>
      <c r="C276" t="s">
        <v>1416</v>
      </c>
      <c r="D276" t="s">
        <v>81</v>
      </c>
      <c r="E276">
        <v>100000000</v>
      </c>
      <c r="H276">
        <v>0.78500000000000003</v>
      </c>
      <c r="I276" t="s">
        <v>56</v>
      </c>
      <c r="J276">
        <v>7.8500000000000011E-5</v>
      </c>
      <c r="K276" t="s">
        <v>57</v>
      </c>
      <c r="L276" t="s">
        <v>112</v>
      </c>
      <c r="O276">
        <v>15.4334581613401</v>
      </c>
      <c r="P276" t="s">
        <v>59</v>
      </c>
      <c r="T276">
        <v>30</v>
      </c>
      <c r="V276">
        <v>50</v>
      </c>
      <c r="W276" t="s">
        <v>388</v>
      </c>
      <c r="X276" t="s">
        <v>114</v>
      </c>
      <c r="Y276">
        <v>10</v>
      </c>
      <c r="AB276">
        <v>6.2419322808062701</v>
      </c>
      <c r="AC276" t="s">
        <v>85</v>
      </c>
      <c r="AI276" t="s">
        <v>988</v>
      </c>
      <c r="AK276">
        <v>0.1</v>
      </c>
      <c r="AL276" t="s">
        <v>82</v>
      </c>
      <c r="AM276">
        <v>0.1</v>
      </c>
      <c r="AN276" t="s">
        <v>82</v>
      </c>
      <c r="AT276" t="s">
        <v>65</v>
      </c>
      <c r="AU276">
        <v>1.2738853503184711</v>
      </c>
      <c r="AV276" t="s">
        <v>115</v>
      </c>
    </row>
    <row r="277" spans="1:48" x14ac:dyDescent="0.3">
      <c r="A277" t="s">
        <v>1455</v>
      </c>
      <c r="C277" t="s">
        <v>1416</v>
      </c>
      <c r="D277" t="s">
        <v>81</v>
      </c>
      <c r="E277">
        <v>100000000</v>
      </c>
      <c r="H277">
        <v>0.78500000000000003</v>
      </c>
      <c r="I277" t="s">
        <v>56</v>
      </c>
      <c r="J277">
        <v>7.8500000000000011E-5</v>
      </c>
      <c r="K277" t="s">
        <v>57</v>
      </c>
      <c r="L277" t="s">
        <v>112</v>
      </c>
      <c r="O277">
        <v>20.416116997886402</v>
      </c>
      <c r="P277" t="s">
        <v>59</v>
      </c>
      <c r="T277">
        <v>30</v>
      </c>
      <c r="V277">
        <v>50</v>
      </c>
      <c r="W277" t="s">
        <v>388</v>
      </c>
      <c r="X277" t="s">
        <v>114</v>
      </c>
      <c r="Y277">
        <v>10</v>
      </c>
      <c r="AB277">
        <v>6.2447621884619</v>
      </c>
      <c r="AC277" t="s">
        <v>85</v>
      </c>
      <c r="AI277" t="s">
        <v>988</v>
      </c>
      <c r="AK277">
        <v>0.1</v>
      </c>
      <c r="AL277" t="s">
        <v>82</v>
      </c>
      <c r="AM277">
        <v>0.1</v>
      </c>
      <c r="AN277" t="s">
        <v>82</v>
      </c>
      <c r="AT277" t="s">
        <v>65</v>
      </c>
      <c r="AU277">
        <v>1.2738853503184711</v>
      </c>
      <c r="AV277" t="s">
        <v>115</v>
      </c>
    </row>
    <row r="278" spans="1:48" x14ac:dyDescent="0.3">
      <c r="A278" t="s">
        <v>1455</v>
      </c>
      <c r="B278" t="s">
        <v>1456</v>
      </c>
      <c r="C278" t="s">
        <v>1416</v>
      </c>
      <c r="D278" t="s">
        <v>81</v>
      </c>
      <c r="E278">
        <v>100000000</v>
      </c>
      <c r="H278">
        <v>0.78500000000000003</v>
      </c>
      <c r="I278" t="s">
        <v>56</v>
      </c>
      <c r="J278">
        <v>7.8500000000000011E-5</v>
      </c>
      <c r="K278" t="s">
        <v>57</v>
      </c>
      <c r="L278" t="s">
        <v>112</v>
      </c>
      <c r="O278">
        <v>9.8352749973419105</v>
      </c>
      <c r="P278" t="s">
        <v>59</v>
      </c>
      <c r="T278">
        <v>10</v>
      </c>
      <c r="V278">
        <v>50</v>
      </c>
      <c r="W278" t="s">
        <v>1457</v>
      </c>
      <c r="X278" t="s">
        <v>114</v>
      </c>
      <c r="Y278">
        <v>10</v>
      </c>
      <c r="AB278">
        <v>0.38510260188040302</v>
      </c>
      <c r="AC278" t="s">
        <v>85</v>
      </c>
      <c r="AI278" t="s">
        <v>988</v>
      </c>
      <c r="AK278">
        <v>0.1</v>
      </c>
      <c r="AL278" t="s">
        <v>82</v>
      </c>
      <c r="AM278">
        <v>0.1</v>
      </c>
      <c r="AN278" t="s">
        <v>82</v>
      </c>
      <c r="AU278">
        <v>1.2738853503184711</v>
      </c>
      <c r="AV278" t="s">
        <v>115</v>
      </c>
    </row>
    <row r="279" spans="1:48" x14ac:dyDescent="0.3">
      <c r="A279" t="s">
        <v>1455</v>
      </c>
      <c r="B279" t="s">
        <v>1456</v>
      </c>
      <c r="C279" t="s">
        <v>1416</v>
      </c>
      <c r="D279" t="s">
        <v>81</v>
      </c>
      <c r="E279">
        <v>100000000</v>
      </c>
      <c r="H279">
        <v>0.78500000000000003</v>
      </c>
      <c r="I279" t="s">
        <v>56</v>
      </c>
      <c r="J279">
        <v>7.8500000000000011E-5</v>
      </c>
      <c r="K279" t="s">
        <v>57</v>
      </c>
      <c r="L279" t="s">
        <v>112</v>
      </c>
      <c r="O279">
        <v>19.9283837355893</v>
      </c>
      <c r="P279" t="s">
        <v>59</v>
      </c>
      <c r="T279">
        <v>10</v>
      </c>
      <c r="V279">
        <v>50</v>
      </c>
      <c r="W279" t="s">
        <v>1457</v>
      </c>
      <c r="X279" t="s">
        <v>114</v>
      </c>
      <c r="Y279">
        <v>10</v>
      </c>
      <c r="AB279">
        <v>0.63272931634187402</v>
      </c>
      <c r="AC279" t="s">
        <v>85</v>
      </c>
      <c r="AI279" t="s">
        <v>988</v>
      </c>
      <c r="AK279">
        <v>0.1</v>
      </c>
      <c r="AL279" t="s">
        <v>82</v>
      </c>
      <c r="AM279">
        <v>0.1</v>
      </c>
      <c r="AN279" t="s">
        <v>82</v>
      </c>
      <c r="AU279">
        <v>1.2738853503184711</v>
      </c>
      <c r="AV279" t="s">
        <v>115</v>
      </c>
    </row>
    <row r="280" spans="1:48" x14ac:dyDescent="0.3">
      <c r="A280" t="s">
        <v>1455</v>
      </c>
      <c r="B280" t="s">
        <v>1456</v>
      </c>
      <c r="C280" t="s">
        <v>1416</v>
      </c>
      <c r="D280" t="s">
        <v>81</v>
      </c>
      <c r="E280">
        <v>100000000</v>
      </c>
      <c r="H280">
        <v>0.78500000000000003</v>
      </c>
      <c r="I280" t="s">
        <v>56</v>
      </c>
      <c r="J280">
        <v>7.8500000000000011E-5</v>
      </c>
      <c r="K280" t="s">
        <v>57</v>
      </c>
      <c r="L280" t="s">
        <v>112</v>
      </c>
      <c r="O280">
        <v>29.829351276637599</v>
      </c>
      <c r="P280" t="s">
        <v>59</v>
      </c>
      <c r="T280">
        <v>10</v>
      </c>
      <c r="V280">
        <v>50</v>
      </c>
      <c r="W280" t="s">
        <v>1457</v>
      </c>
      <c r="X280" t="s">
        <v>114</v>
      </c>
      <c r="Y280">
        <v>10</v>
      </c>
      <c r="AB280">
        <v>3.6466728435378202</v>
      </c>
      <c r="AC280" t="s">
        <v>85</v>
      </c>
      <c r="AI280" t="s">
        <v>988</v>
      </c>
      <c r="AK280">
        <v>0.1</v>
      </c>
      <c r="AL280" t="s">
        <v>82</v>
      </c>
      <c r="AM280">
        <v>0.1</v>
      </c>
      <c r="AN280" t="s">
        <v>82</v>
      </c>
      <c r="AU280">
        <v>1.2738853503184711</v>
      </c>
      <c r="AV280" t="s">
        <v>115</v>
      </c>
    </row>
    <row r="281" spans="1:48" x14ac:dyDescent="0.3">
      <c r="A281" t="s">
        <v>1455</v>
      </c>
      <c r="B281" t="s">
        <v>1456</v>
      </c>
      <c r="C281" t="s">
        <v>1416</v>
      </c>
      <c r="D281" t="s">
        <v>81</v>
      </c>
      <c r="E281">
        <v>100000000</v>
      </c>
      <c r="H281">
        <v>0.78500000000000003</v>
      </c>
      <c r="I281" t="s">
        <v>56</v>
      </c>
      <c r="J281">
        <v>7.8500000000000011E-5</v>
      </c>
      <c r="K281" t="s">
        <v>57</v>
      </c>
      <c r="L281" t="s">
        <v>112</v>
      </c>
      <c r="O281">
        <v>40.069413855430803</v>
      </c>
      <c r="P281" t="s">
        <v>59</v>
      </c>
      <c r="T281">
        <v>10</v>
      </c>
      <c r="V281">
        <v>50</v>
      </c>
      <c r="W281" t="s">
        <v>1457</v>
      </c>
      <c r="X281" t="s">
        <v>114</v>
      </c>
      <c r="Y281">
        <v>10</v>
      </c>
      <c r="AB281">
        <v>6.3091916399592902</v>
      </c>
      <c r="AC281" t="s">
        <v>85</v>
      </c>
      <c r="AI281" t="s">
        <v>988</v>
      </c>
      <c r="AK281">
        <v>0.1</v>
      </c>
      <c r="AL281" t="s">
        <v>82</v>
      </c>
      <c r="AM281">
        <v>0.1</v>
      </c>
      <c r="AN281" t="s">
        <v>82</v>
      </c>
      <c r="AU281">
        <v>1.2738853503184711</v>
      </c>
      <c r="AV281" t="s">
        <v>115</v>
      </c>
    </row>
    <row r="282" spans="1:48" x14ac:dyDescent="0.3">
      <c r="A282" t="s">
        <v>1455</v>
      </c>
      <c r="B282" t="s">
        <v>1456</v>
      </c>
      <c r="C282" t="s">
        <v>1416</v>
      </c>
      <c r="D282" t="s">
        <v>81</v>
      </c>
      <c r="E282">
        <v>100000000</v>
      </c>
      <c r="H282">
        <v>0.78500000000000003</v>
      </c>
      <c r="I282" t="s">
        <v>56</v>
      </c>
      <c r="J282">
        <v>7.8500000000000011E-5</v>
      </c>
      <c r="K282" t="s">
        <v>57</v>
      </c>
      <c r="L282" t="s">
        <v>112</v>
      </c>
      <c r="O282">
        <v>50.069110074881799</v>
      </c>
      <c r="P282" t="s">
        <v>59</v>
      </c>
      <c r="T282">
        <v>10</v>
      </c>
      <c r="V282">
        <v>50</v>
      </c>
      <c r="W282" t="s">
        <v>1457</v>
      </c>
      <c r="X282" t="s">
        <v>114</v>
      </c>
      <c r="Y282">
        <v>10</v>
      </c>
      <c r="AB282">
        <v>6.29696447286479</v>
      </c>
      <c r="AC282" t="s">
        <v>85</v>
      </c>
      <c r="AI282" t="s">
        <v>988</v>
      </c>
      <c r="AK282">
        <v>0.1</v>
      </c>
      <c r="AL282" t="s">
        <v>82</v>
      </c>
      <c r="AM282">
        <v>0.1</v>
      </c>
      <c r="AN282" t="s">
        <v>82</v>
      </c>
      <c r="AU282">
        <v>1.2738853503184711</v>
      </c>
      <c r="AV282" t="s">
        <v>115</v>
      </c>
    </row>
    <row r="283" spans="1:48" x14ac:dyDescent="0.3">
      <c r="A283" t="s">
        <v>1455</v>
      </c>
      <c r="B283" t="s">
        <v>1456</v>
      </c>
      <c r="C283" t="s">
        <v>1416</v>
      </c>
      <c r="D283" t="s">
        <v>81</v>
      </c>
      <c r="E283">
        <v>100000000</v>
      </c>
      <c r="H283">
        <v>0.78500000000000003</v>
      </c>
      <c r="I283" t="s">
        <v>56</v>
      </c>
      <c r="J283">
        <v>7.8500000000000011E-5</v>
      </c>
      <c r="K283" t="s">
        <v>57</v>
      </c>
      <c r="L283" t="s">
        <v>112</v>
      </c>
      <c r="O283">
        <v>9.7646460197153502</v>
      </c>
      <c r="P283" t="s">
        <v>59</v>
      </c>
      <c r="T283">
        <v>20</v>
      </c>
      <c r="V283">
        <v>50</v>
      </c>
      <c r="W283" t="s">
        <v>1457</v>
      </c>
      <c r="X283" t="s">
        <v>114</v>
      </c>
      <c r="Y283">
        <v>10</v>
      </c>
      <c r="AB283">
        <v>1.04228625241124</v>
      </c>
      <c r="AC283" t="s">
        <v>85</v>
      </c>
      <c r="AI283" t="s">
        <v>988</v>
      </c>
      <c r="AK283">
        <v>0.1</v>
      </c>
      <c r="AL283" t="s">
        <v>82</v>
      </c>
      <c r="AM283">
        <v>0.1</v>
      </c>
      <c r="AN283" t="s">
        <v>82</v>
      </c>
      <c r="AU283">
        <v>1.2738853503184711</v>
      </c>
      <c r="AV283" t="s">
        <v>115</v>
      </c>
    </row>
    <row r="284" spans="1:48" x14ac:dyDescent="0.3">
      <c r="A284" t="s">
        <v>1455</v>
      </c>
      <c r="B284" t="s">
        <v>1456</v>
      </c>
      <c r="C284" t="s">
        <v>1416</v>
      </c>
      <c r="D284" t="s">
        <v>81</v>
      </c>
      <c r="E284">
        <v>100000000</v>
      </c>
      <c r="H284">
        <v>0.78500000000000003</v>
      </c>
      <c r="I284" t="s">
        <v>56</v>
      </c>
      <c r="J284">
        <v>7.8500000000000011E-5</v>
      </c>
      <c r="K284" t="s">
        <v>57</v>
      </c>
      <c r="L284" t="s">
        <v>112</v>
      </c>
      <c r="O284">
        <v>14.8715767729392</v>
      </c>
      <c r="P284" t="s">
        <v>59</v>
      </c>
      <c r="T284">
        <v>20</v>
      </c>
      <c r="V284">
        <v>50</v>
      </c>
      <c r="W284" t="s">
        <v>1457</v>
      </c>
      <c r="X284" t="s">
        <v>114</v>
      </c>
      <c r="Y284">
        <v>10</v>
      </c>
      <c r="AB284">
        <v>3.5962490696720701</v>
      </c>
      <c r="AC284" t="s">
        <v>85</v>
      </c>
      <c r="AI284" t="s">
        <v>988</v>
      </c>
      <c r="AK284">
        <v>0.1</v>
      </c>
      <c r="AL284" t="s">
        <v>82</v>
      </c>
      <c r="AM284">
        <v>0.1</v>
      </c>
      <c r="AN284" t="s">
        <v>82</v>
      </c>
      <c r="AU284">
        <v>1.2738853503184711</v>
      </c>
      <c r="AV284" t="s">
        <v>115</v>
      </c>
    </row>
    <row r="285" spans="1:48" x14ac:dyDescent="0.3">
      <c r="A285" t="s">
        <v>1455</v>
      </c>
      <c r="B285" t="s">
        <v>1456</v>
      </c>
      <c r="C285" t="s">
        <v>1416</v>
      </c>
      <c r="D285" t="s">
        <v>81</v>
      </c>
      <c r="E285">
        <v>100000000</v>
      </c>
      <c r="H285">
        <v>0.78500000000000003</v>
      </c>
      <c r="I285" t="s">
        <v>56</v>
      </c>
      <c r="J285">
        <v>7.8500000000000011E-5</v>
      </c>
      <c r="K285" t="s">
        <v>57</v>
      </c>
      <c r="L285" t="s">
        <v>112</v>
      </c>
      <c r="O285">
        <v>19.981165605966201</v>
      </c>
      <c r="P285" t="s">
        <v>59</v>
      </c>
      <c r="T285">
        <v>20</v>
      </c>
      <c r="V285">
        <v>50</v>
      </c>
      <c r="W285" t="s">
        <v>1457</v>
      </c>
      <c r="X285" t="s">
        <v>114</v>
      </c>
      <c r="Y285">
        <v>10</v>
      </c>
      <c r="AB285">
        <v>6.2571995990096703</v>
      </c>
      <c r="AC285" t="s">
        <v>85</v>
      </c>
      <c r="AI285" t="s">
        <v>988</v>
      </c>
      <c r="AK285">
        <v>0.1</v>
      </c>
      <c r="AL285" t="s">
        <v>82</v>
      </c>
      <c r="AM285">
        <v>0.1</v>
      </c>
      <c r="AN285" t="s">
        <v>82</v>
      </c>
      <c r="AU285">
        <v>1.2738853503184711</v>
      </c>
      <c r="AV285" t="s">
        <v>115</v>
      </c>
    </row>
    <row r="286" spans="1:48" x14ac:dyDescent="0.3">
      <c r="A286" t="s">
        <v>1455</v>
      </c>
      <c r="B286" t="s">
        <v>1456</v>
      </c>
      <c r="C286" t="s">
        <v>1416</v>
      </c>
      <c r="D286" t="s">
        <v>81</v>
      </c>
      <c r="E286">
        <v>100000000</v>
      </c>
      <c r="H286">
        <v>0.78500000000000003</v>
      </c>
      <c r="I286" t="s">
        <v>56</v>
      </c>
      <c r="J286">
        <v>7.8500000000000011E-5</v>
      </c>
      <c r="K286" t="s">
        <v>57</v>
      </c>
      <c r="L286" t="s">
        <v>112</v>
      </c>
      <c r="O286">
        <v>34.939319835350901</v>
      </c>
      <c r="P286" t="s">
        <v>59</v>
      </c>
      <c r="T286">
        <v>20</v>
      </c>
      <c r="V286">
        <v>50</v>
      </c>
      <c r="W286" t="s">
        <v>1457</v>
      </c>
      <c r="X286" t="s">
        <v>114</v>
      </c>
      <c r="Y286">
        <v>10</v>
      </c>
      <c r="AB286">
        <v>6.32290733174354</v>
      </c>
      <c r="AC286" t="s">
        <v>85</v>
      </c>
      <c r="AI286" t="s">
        <v>988</v>
      </c>
      <c r="AK286">
        <v>0.1</v>
      </c>
      <c r="AL286" t="s">
        <v>82</v>
      </c>
      <c r="AM286">
        <v>0.1</v>
      </c>
      <c r="AN286" t="s">
        <v>82</v>
      </c>
      <c r="AU286">
        <v>1.2738853503184711</v>
      </c>
      <c r="AV286" t="s">
        <v>115</v>
      </c>
    </row>
    <row r="287" spans="1:48" x14ac:dyDescent="0.3">
      <c r="A287" t="s">
        <v>1455</v>
      </c>
      <c r="B287" t="s">
        <v>1456</v>
      </c>
      <c r="C287" t="s">
        <v>1416</v>
      </c>
      <c r="D287" t="s">
        <v>81</v>
      </c>
      <c r="E287">
        <v>100000000</v>
      </c>
      <c r="H287">
        <v>0.78500000000000003</v>
      </c>
      <c r="I287" t="s">
        <v>56</v>
      </c>
      <c r="J287">
        <v>7.8500000000000011E-5</v>
      </c>
      <c r="K287" t="s">
        <v>57</v>
      </c>
      <c r="L287" t="s">
        <v>112</v>
      </c>
      <c r="O287">
        <v>4.8893479350517204</v>
      </c>
      <c r="P287" t="s">
        <v>59</v>
      </c>
      <c r="T287">
        <v>30</v>
      </c>
      <c r="V287">
        <v>50</v>
      </c>
      <c r="W287" t="s">
        <v>1457</v>
      </c>
      <c r="X287" t="s">
        <v>114</v>
      </c>
      <c r="Y287">
        <v>10</v>
      </c>
      <c r="AB287">
        <v>0.81153834469978903</v>
      </c>
      <c r="AC287" t="s">
        <v>85</v>
      </c>
      <c r="AI287" t="s">
        <v>988</v>
      </c>
      <c r="AK287">
        <v>0.1</v>
      </c>
      <c r="AL287" t="s">
        <v>82</v>
      </c>
      <c r="AM287">
        <v>0.1</v>
      </c>
      <c r="AN287" t="s">
        <v>82</v>
      </c>
      <c r="AU287">
        <v>1.2738853503184711</v>
      </c>
      <c r="AV287" t="s">
        <v>115</v>
      </c>
    </row>
    <row r="288" spans="1:48" x14ac:dyDescent="0.3">
      <c r="A288" t="s">
        <v>1455</v>
      </c>
      <c r="B288" t="s">
        <v>1456</v>
      </c>
      <c r="C288" t="s">
        <v>1416</v>
      </c>
      <c r="D288" t="s">
        <v>81</v>
      </c>
      <c r="E288">
        <v>100000000</v>
      </c>
      <c r="H288">
        <v>0.78500000000000003</v>
      </c>
      <c r="I288" t="s">
        <v>56</v>
      </c>
      <c r="J288">
        <v>7.8500000000000011E-5</v>
      </c>
      <c r="K288" t="s">
        <v>57</v>
      </c>
      <c r="L288" t="s">
        <v>112</v>
      </c>
      <c r="O288">
        <v>10.1132341996141</v>
      </c>
      <c r="P288" t="s">
        <v>59</v>
      </c>
      <c r="T288">
        <v>30</v>
      </c>
      <c r="V288">
        <v>50</v>
      </c>
      <c r="W288" t="s">
        <v>1457</v>
      </c>
      <c r="X288" t="s">
        <v>114</v>
      </c>
      <c r="Y288">
        <v>10</v>
      </c>
      <c r="AB288">
        <v>4.5729604933396102</v>
      </c>
      <c r="AC288" t="s">
        <v>85</v>
      </c>
      <c r="AI288" t="s">
        <v>988</v>
      </c>
      <c r="AK288">
        <v>0.1</v>
      </c>
      <c r="AL288" t="s">
        <v>82</v>
      </c>
      <c r="AM288">
        <v>0.1</v>
      </c>
      <c r="AN288" t="s">
        <v>82</v>
      </c>
      <c r="AU288">
        <v>1.2738853503184711</v>
      </c>
      <c r="AV288" t="s">
        <v>115</v>
      </c>
    </row>
    <row r="289" spans="1:48" x14ac:dyDescent="0.3">
      <c r="A289" t="s">
        <v>1455</v>
      </c>
      <c r="B289" t="s">
        <v>1456</v>
      </c>
      <c r="C289" t="s">
        <v>1416</v>
      </c>
      <c r="D289" t="s">
        <v>81</v>
      </c>
      <c r="E289">
        <v>100000000</v>
      </c>
      <c r="H289">
        <v>0.78500000000000003</v>
      </c>
      <c r="I289" t="s">
        <v>56</v>
      </c>
      <c r="J289">
        <v>7.8500000000000011E-5</v>
      </c>
      <c r="K289" t="s">
        <v>57</v>
      </c>
      <c r="L289" t="s">
        <v>112</v>
      </c>
      <c r="O289">
        <v>15.2858574965445</v>
      </c>
      <c r="P289" t="s">
        <v>59</v>
      </c>
      <c r="T289">
        <v>30</v>
      </c>
      <c r="V289">
        <v>50</v>
      </c>
      <c r="W289" t="s">
        <v>1457</v>
      </c>
      <c r="X289" t="s">
        <v>114</v>
      </c>
      <c r="Y289">
        <v>10</v>
      </c>
      <c r="AB289">
        <v>6.2710481947840702</v>
      </c>
      <c r="AC289" t="s">
        <v>85</v>
      </c>
      <c r="AI289" t="s">
        <v>988</v>
      </c>
      <c r="AK289">
        <v>0.1</v>
      </c>
      <c r="AL289" t="s">
        <v>82</v>
      </c>
      <c r="AM289">
        <v>0.1</v>
      </c>
      <c r="AN289" t="s">
        <v>82</v>
      </c>
      <c r="AU289">
        <v>1.2738853503184711</v>
      </c>
      <c r="AV289" t="s">
        <v>115</v>
      </c>
    </row>
    <row r="290" spans="1:48" x14ac:dyDescent="0.3">
      <c r="A290" t="s">
        <v>1455</v>
      </c>
      <c r="B290" t="s">
        <v>1456</v>
      </c>
      <c r="C290" t="s">
        <v>1416</v>
      </c>
      <c r="D290" t="s">
        <v>81</v>
      </c>
      <c r="E290">
        <v>100000000</v>
      </c>
      <c r="H290">
        <v>0.78500000000000003</v>
      </c>
      <c r="I290" t="s">
        <v>56</v>
      </c>
      <c r="J290">
        <v>7.8500000000000011E-5</v>
      </c>
      <c r="K290" t="s">
        <v>57</v>
      </c>
      <c r="L290" t="s">
        <v>112</v>
      </c>
      <c r="O290">
        <v>19.8072512417029</v>
      </c>
      <c r="P290" t="s">
        <v>59</v>
      </c>
      <c r="T290">
        <v>30</v>
      </c>
      <c r="V290">
        <v>50</v>
      </c>
      <c r="W290" t="s">
        <v>1457</v>
      </c>
      <c r="X290" t="s">
        <v>114</v>
      </c>
      <c r="Y290">
        <v>10</v>
      </c>
      <c r="AB290">
        <v>6.2571464374136001</v>
      </c>
      <c r="AC290" t="s">
        <v>85</v>
      </c>
      <c r="AI290" t="s">
        <v>988</v>
      </c>
      <c r="AK290">
        <v>0.1</v>
      </c>
      <c r="AL290" t="s">
        <v>82</v>
      </c>
      <c r="AM290">
        <v>0.1</v>
      </c>
      <c r="AN290" t="s">
        <v>82</v>
      </c>
      <c r="AU290">
        <v>1.2738853503184711</v>
      </c>
      <c r="AV290" t="s">
        <v>115</v>
      </c>
    </row>
    <row r="291" spans="1:48" x14ac:dyDescent="0.3">
      <c r="A291" t="s">
        <v>1455</v>
      </c>
      <c r="B291" t="s">
        <v>1458</v>
      </c>
      <c r="C291" t="s">
        <v>1416</v>
      </c>
      <c r="D291" t="s">
        <v>81</v>
      </c>
      <c r="E291">
        <v>100000000</v>
      </c>
      <c r="H291">
        <v>0.78500000000000003</v>
      </c>
      <c r="I291" t="s">
        <v>56</v>
      </c>
      <c r="J291">
        <v>7.8500000000000011E-5</v>
      </c>
      <c r="K291" t="s">
        <v>57</v>
      </c>
      <c r="L291" t="s">
        <v>112</v>
      </c>
      <c r="O291">
        <v>9.8040433044895305</v>
      </c>
      <c r="P291" t="s">
        <v>59</v>
      </c>
      <c r="T291">
        <v>10</v>
      </c>
      <c r="V291">
        <v>50</v>
      </c>
      <c r="W291" t="s">
        <v>1459</v>
      </c>
      <c r="X291" t="s">
        <v>114</v>
      </c>
      <c r="Y291">
        <v>10</v>
      </c>
      <c r="AB291">
        <v>0.210535097590313</v>
      </c>
      <c r="AC291" t="s">
        <v>85</v>
      </c>
      <c r="AI291" t="s">
        <v>988</v>
      </c>
      <c r="AK291">
        <v>0.1</v>
      </c>
      <c r="AL291" t="s">
        <v>82</v>
      </c>
      <c r="AM291">
        <v>0.1</v>
      </c>
      <c r="AN291" t="s">
        <v>82</v>
      </c>
      <c r="AU291">
        <v>1.2738853503184711</v>
      </c>
      <c r="AV291" t="s">
        <v>115</v>
      </c>
    </row>
    <row r="292" spans="1:48" x14ac:dyDescent="0.3">
      <c r="A292" t="s">
        <v>1455</v>
      </c>
      <c r="B292" t="s">
        <v>1458</v>
      </c>
      <c r="C292" t="s">
        <v>1416</v>
      </c>
      <c r="D292" t="s">
        <v>81</v>
      </c>
      <c r="E292">
        <v>100000000</v>
      </c>
      <c r="H292">
        <v>0.78500000000000003</v>
      </c>
      <c r="I292" t="s">
        <v>56</v>
      </c>
      <c r="J292">
        <v>7.8500000000000011E-5</v>
      </c>
      <c r="K292" t="s">
        <v>57</v>
      </c>
      <c r="L292" t="s">
        <v>112</v>
      </c>
      <c r="O292">
        <v>19.890574676962402</v>
      </c>
      <c r="P292" t="s">
        <v>59</v>
      </c>
      <c r="T292">
        <v>10</v>
      </c>
      <c r="V292">
        <v>50</v>
      </c>
      <c r="W292" t="s">
        <v>1459</v>
      </c>
      <c r="X292" t="s">
        <v>114</v>
      </c>
      <c r="Y292">
        <v>10</v>
      </c>
      <c r="AB292">
        <v>0.71776415350587697</v>
      </c>
      <c r="AC292" t="s">
        <v>85</v>
      </c>
      <c r="AI292" t="s">
        <v>988</v>
      </c>
      <c r="AK292">
        <v>0.1</v>
      </c>
      <c r="AL292" t="s">
        <v>82</v>
      </c>
      <c r="AM292">
        <v>0.1</v>
      </c>
      <c r="AN292" t="s">
        <v>82</v>
      </c>
      <c r="AU292">
        <v>1.2738853503184711</v>
      </c>
      <c r="AV292" t="s">
        <v>115</v>
      </c>
    </row>
    <row r="293" spans="1:48" x14ac:dyDescent="0.3">
      <c r="A293" t="s">
        <v>1455</v>
      </c>
      <c r="B293" t="s">
        <v>1458</v>
      </c>
      <c r="C293" t="s">
        <v>1416</v>
      </c>
      <c r="D293" t="s">
        <v>81</v>
      </c>
      <c r="E293">
        <v>100000000</v>
      </c>
      <c r="H293">
        <v>0.78500000000000003</v>
      </c>
      <c r="I293" t="s">
        <v>56</v>
      </c>
      <c r="J293">
        <v>7.8500000000000011E-5</v>
      </c>
      <c r="K293" t="s">
        <v>57</v>
      </c>
      <c r="L293" t="s">
        <v>112</v>
      </c>
      <c r="O293">
        <v>29.934422412789399</v>
      </c>
      <c r="P293" t="s">
        <v>59</v>
      </c>
      <c r="T293">
        <v>10</v>
      </c>
      <c r="V293">
        <v>50</v>
      </c>
      <c r="W293" t="s">
        <v>1459</v>
      </c>
      <c r="X293" t="s">
        <v>114</v>
      </c>
      <c r="Y293">
        <v>10</v>
      </c>
      <c r="AB293">
        <v>3.09362461681734</v>
      </c>
      <c r="AC293" t="s">
        <v>85</v>
      </c>
      <c r="AI293" t="s">
        <v>988</v>
      </c>
      <c r="AK293">
        <v>0.1</v>
      </c>
      <c r="AL293" t="s">
        <v>82</v>
      </c>
      <c r="AM293">
        <v>0.1</v>
      </c>
      <c r="AN293" t="s">
        <v>82</v>
      </c>
      <c r="AU293">
        <v>1.2738853503184711</v>
      </c>
      <c r="AV293" t="s">
        <v>115</v>
      </c>
    </row>
    <row r="294" spans="1:48" x14ac:dyDescent="0.3">
      <c r="A294" t="s">
        <v>1455</v>
      </c>
      <c r="B294" t="s">
        <v>1458</v>
      </c>
      <c r="C294" t="s">
        <v>1416</v>
      </c>
      <c r="D294" t="s">
        <v>81</v>
      </c>
      <c r="E294">
        <v>100000000</v>
      </c>
      <c r="H294">
        <v>0.78500000000000003</v>
      </c>
      <c r="I294" t="s">
        <v>56</v>
      </c>
      <c r="J294">
        <v>7.8500000000000011E-5</v>
      </c>
      <c r="K294" t="s">
        <v>57</v>
      </c>
      <c r="L294" t="s">
        <v>112</v>
      </c>
      <c r="O294">
        <v>39.899887470412402</v>
      </c>
      <c r="P294" t="s">
        <v>59</v>
      </c>
      <c r="T294">
        <v>10</v>
      </c>
      <c r="V294">
        <v>50</v>
      </c>
      <c r="W294" t="s">
        <v>1459</v>
      </c>
      <c r="X294" t="s">
        <v>114</v>
      </c>
      <c r="Y294">
        <v>10</v>
      </c>
      <c r="AB294">
        <v>5.97369911916494</v>
      </c>
      <c r="AC294" t="s">
        <v>85</v>
      </c>
      <c r="AI294" t="s">
        <v>988</v>
      </c>
      <c r="AK294">
        <v>0.1</v>
      </c>
      <c r="AL294" t="s">
        <v>82</v>
      </c>
      <c r="AM294">
        <v>0.1</v>
      </c>
      <c r="AN294" t="s">
        <v>82</v>
      </c>
      <c r="AU294">
        <v>1.2738853503184711</v>
      </c>
      <c r="AV294" t="s">
        <v>115</v>
      </c>
    </row>
    <row r="295" spans="1:48" x14ac:dyDescent="0.3">
      <c r="A295" t="s">
        <v>1455</v>
      </c>
      <c r="B295" t="s">
        <v>1458</v>
      </c>
      <c r="C295" t="s">
        <v>1416</v>
      </c>
      <c r="D295" t="s">
        <v>81</v>
      </c>
      <c r="E295">
        <v>100000000</v>
      </c>
      <c r="H295">
        <v>0.78500000000000003</v>
      </c>
      <c r="I295" t="s">
        <v>56</v>
      </c>
      <c r="J295">
        <v>7.8500000000000011E-5</v>
      </c>
      <c r="K295" t="s">
        <v>57</v>
      </c>
      <c r="L295" t="s">
        <v>112</v>
      </c>
      <c r="O295">
        <v>50.165690116797798</v>
      </c>
      <c r="P295" t="s">
        <v>59</v>
      </c>
      <c r="T295">
        <v>10</v>
      </c>
      <c r="V295">
        <v>50</v>
      </c>
      <c r="W295" t="s">
        <v>1459</v>
      </c>
      <c r="X295" t="s">
        <v>114</v>
      </c>
      <c r="Y295">
        <v>10</v>
      </c>
      <c r="AB295">
        <v>6.3326762640176799</v>
      </c>
      <c r="AC295" t="s">
        <v>85</v>
      </c>
      <c r="AI295" t="s">
        <v>988</v>
      </c>
      <c r="AK295">
        <v>0.1</v>
      </c>
      <c r="AL295" t="s">
        <v>82</v>
      </c>
      <c r="AM295">
        <v>0.1</v>
      </c>
      <c r="AN295" t="s">
        <v>82</v>
      </c>
      <c r="AU295">
        <v>1.2738853503184711</v>
      </c>
      <c r="AV295" t="s">
        <v>115</v>
      </c>
    </row>
    <row r="296" spans="1:48" x14ac:dyDescent="0.3">
      <c r="A296" t="s">
        <v>1455</v>
      </c>
      <c r="B296" t="s">
        <v>1458</v>
      </c>
      <c r="C296" t="s">
        <v>1416</v>
      </c>
      <c r="D296" t="s">
        <v>81</v>
      </c>
      <c r="E296">
        <v>100000000</v>
      </c>
      <c r="H296">
        <v>0.78500000000000003</v>
      </c>
      <c r="I296" t="s">
        <v>56</v>
      </c>
      <c r="J296">
        <v>7.8500000000000011E-5</v>
      </c>
      <c r="K296" t="s">
        <v>57</v>
      </c>
      <c r="L296" t="s">
        <v>112</v>
      </c>
      <c r="O296">
        <v>10.0221178844437</v>
      </c>
      <c r="P296" t="s">
        <v>59</v>
      </c>
      <c r="T296">
        <v>20</v>
      </c>
      <c r="V296">
        <v>50</v>
      </c>
      <c r="W296" t="s">
        <v>1459</v>
      </c>
      <c r="X296" t="s">
        <v>114</v>
      </c>
      <c r="Y296">
        <v>10</v>
      </c>
      <c r="AB296">
        <v>1.5453455434403001</v>
      </c>
      <c r="AC296" t="s">
        <v>85</v>
      </c>
      <c r="AI296" t="s">
        <v>988</v>
      </c>
      <c r="AK296">
        <v>0.1</v>
      </c>
      <c r="AL296" t="s">
        <v>82</v>
      </c>
      <c r="AM296">
        <v>0.1</v>
      </c>
      <c r="AN296" t="s">
        <v>82</v>
      </c>
      <c r="AU296">
        <v>1.2738853503184711</v>
      </c>
      <c r="AV296" t="s">
        <v>115</v>
      </c>
    </row>
    <row r="297" spans="1:48" x14ac:dyDescent="0.3">
      <c r="A297" t="s">
        <v>1455</v>
      </c>
      <c r="B297" t="s">
        <v>1458</v>
      </c>
      <c r="C297" t="s">
        <v>1416</v>
      </c>
      <c r="D297" t="s">
        <v>81</v>
      </c>
      <c r="E297">
        <v>100000000</v>
      </c>
      <c r="H297">
        <v>0.78500000000000003</v>
      </c>
      <c r="I297" t="s">
        <v>56</v>
      </c>
      <c r="J297">
        <v>7.8500000000000011E-5</v>
      </c>
      <c r="K297" t="s">
        <v>57</v>
      </c>
      <c r="L297" t="s">
        <v>112</v>
      </c>
      <c r="O297">
        <v>14.827907337705</v>
      </c>
      <c r="P297" t="s">
        <v>59</v>
      </c>
      <c r="T297">
        <v>20</v>
      </c>
      <c r="V297">
        <v>50</v>
      </c>
      <c r="W297" t="s">
        <v>1459</v>
      </c>
      <c r="X297" t="s">
        <v>114</v>
      </c>
      <c r="Y297">
        <v>10</v>
      </c>
      <c r="AB297">
        <v>3.2226184470916901</v>
      </c>
      <c r="AC297" t="s">
        <v>85</v>
      </c>
      <c r="AI297" t="s">
        <v>988</v>
      </c>
      <c r="AK297">
        <v>0.1</v>
      </c>
      <c r="AL297" t="s">
        <v>82</v>
      </c>
      <c r="AM297">
        <v>0.1</v>
      </c>
      <c r="AN297" t="s">
        <v>82</v>
      </c>
      <c r="AU297">
        <v>1.2738853503184711</v>
      </c>
      <c r="AV297" t="s">
        <v>115</v>
      </c>
    </row>
    <row r="298" spans="1:48" x14ac:dyDescent="0.3">
      <c r="A298" t="s">
        <v>1455</v>
      </c>
      <c r="B298" t="s">
        <v>1458</v>
      </c>
      <c r="C298" t="s">
        <v>1416</v>
      </c>
      <c r="D298" t="s">
        <v>81</v>
      </c>
      <c r="E298">
        <v>100000000</v>
      </c>
      <c r="H298">
        <v>0.78500000000000003</v>
      </c>
      <c r="I298" t="s">
        <v>56</v>
      </c>
      <c r="J298">
        <v>7.8500000000000011E-5</v>
      </c>
      <c r="K298" t="s">
        <v>57</v>
      </c>
      <c r="L298" t="s">
        <v>112</v>
      </c>
      <c r="O298">
        <v>35.238446315626</v>
      </c>
      <c r="P298" t="s">
        <v>59</v>
      </c>
      <c r="T298">
        <v>20</v>
      </c>
      <c r="V298">
        <v>50</v>
      </c>
      <c r="W298" t="s">
        <v>1459</v>
      </c>
      <c r="X298" t="s">
        <v>114</v>
      </c>
      <c r="Y298">
        <v>10</v>
      </c>
      <c r="AB298">
        <v>6.31341818322921</v>
      </c>
      <c r="AC298" t="s">
        <v>85</v>
      </c>
      <c r="AI298" t="s">
        <v>988</v>
      </c>
      <c r="AK298">
        <v>0.1</v>
      </c>
      <c r="AL298" t="s">
        <v>82</v>
      </c>
      <c r="AM298">
        <v>0.1</v>
      </c>
      <c r="AN298" t="s">
        <v>82</v>
      </c>
      <c r="AU298">
        <v>1.2738853503184711</v>
      </c>
      <c r="AV298" t="s">
        <v>115</v>
      </c>
    </row>
    <row r="299" spans="1:48" x14ac:dyDescent="0.3">
      <c r="A299" t="s">
        <v>1455</v>
      </c>
      <c r="B299" t="s">
        <v>1458</v>
      </c>
      <c r="C299" t="s">
        <v>1416</v>
      </c>
      <c r="D299" t="s">
        <v>81</v>
      </c>
      <c r="E299">
        <v>100000000</v>
      </c>
      <c r="H299">
        <v>0.78500000000000003</v>
      </c>
      <c r="I299" t="s">
        <v>56</v>
      </c>
      <c r="J299">
        <v>7.8500000000000011E-5</v>
      </c>
      <c r="K299" t="s">
        <v>57</v>
      </c>
      <c r="L299" t="s">
        <v>112</v>
      </c>
      <c r="O299">
        <v>4.85662178417601</v>
      </c>
      <c r="P299" t="s">
        <v>59</v>
      </c>
      <c r="T299">
        <v>30</v>
      </c>
      <c r="V299">
        <v>50</v>
      </c>
      <c r="W299" t="s">
        <v>1459</v>
      </c>
      <c r="X299" t="s">
        <v>114</v>
      </c>
      <c r="Y299">
        <v>10</v>
      </c>
      <c r="AB299">
        <v>0.120084591207168</v>
      </c>
      <c r="AC299" t="s">
        <v>85</v>
      </c>
      <c r="AI299" t="s">
        <v>988</v>
      </c>
      <c r="AK299">
        <v>0.1</v>
      </c>
      <c r="AL299" t="s">
        <v>82</v>
      </c>
      <c r="AM299">
        <v>0.1</v>
      </c>
      <c r="AN299" t="s">
        <v>82</v>
      </c>
      <c r="AU299">
        <v>1.2738853503184711</v>
      </c>
      <c r="AV299" t="s">
        <v>115</v>
      </c>
    </row>
    <row r="300" spans="1:48" x14ac:dyDescent="0.3">
      <c r="A300" t="s">
        <v>1455</v>
      </c>
      <c r="B300" t="s">
        <v>1458</v>
      </c>
      <c r="C300" t="s">
        <v>1416</v>
      </c>
      <c r="D300" t="s">
        <v>81</v>
      </c>
      <c r="E300">
        <v>100000000</v>
      </c>
      <c r="H300">
        <v>0.78500000000000003</v>
      </c>
      <c r="I300" t="s">
        <v>56</v>
      </c>
      <c r="J300">
        <v>7.8500000000000011E-5</v>
      </c>
      <c r="K300" t="s">
        <v>57</v>
      </c>
      <c r="L300" t="s">
        <v>112</v>
      </c>
      <c r="O300">
        <v>9.8063715028520306</v>
      </c>
      <c r="P300" t="s">
        <v>59</v>
      </c>
      <c r="T300">
        <v>30</v>
      </c>
      <c r="V300">
        <v>50</v>
      </c>
      <c r="W300" t="s">
        <v>1459</v>
      </c>
      <c r="X300" t="s">
        <v>114</v>
      </c>
      <c r="Y300">
        <v>10</v>
      </c>
      <c r="AB300">
        <v>3.79951883900508</v>
      </c>
      <c r="AC300" t="s">
        <v>85</v>
      </c>
      <c r="AI300" t="s">
        <v>988</v>
      </c>
      <c r="AK300">
        <v>0.1</v>
      </c>
      <c r="AL300" t="s">
        <v>82</v>
      </c>
      <c r="AM300">
        <v>0.1</v>
      </c>
      <c r="AN300" t="s">
        <v>82</v>
      </c>
      <c r="AU300">
        <v>1.2738853503184711</v>
      </c>
      <c r="AV300" t="s">
        <v>115</v>
      </c>
    </row>
    <row r="301" spans="1:48" x14ac:dyDescent="0.3">
      <c r="A301" t="s">
        <v>1455</v>
      </c>
      <c r="B301" t="s">
        <v>1458</v>
      </c>
      <c r="C301" t="s">
        <v>1416</v>
      </c>
      <c r="D301" t="s">
        <v>81</v>
      </c>
      <c r="E301">
        <v>100000000</v>
      </c>
      <c r="H301">
        <v>0.78500000000000003</v>
      </c>
      <c r="I301" t="s">
        <v>56</v>
      </c>
      <c r="J301">
        <v>7.8500000000000011E-5</v>
      </c>
      <c r="K301" t="s">
        <v>57</v>
      </c>
      <c r="L301" t="s">
        <v>112</v>
      </c>
      <c r="O301">
        <v>15.0909937526677</v>
      </c>
      <c r="P301" t="s">
        <v>59</v>
      </c>
      <c r="T301">
        <v>30</v>
      </c>
      <c r="V301">
        <v>50</v>
      </c>
      <c r="W301" t="s">
        <v>1459</v>
      </c>
      <c r="X301" t="s">
        <v>114</v>
      </c>
      <c r="Y301">
        <v>10</v>
      </c>
      <c r="AB301">
        <v>6.2777812269605304</v>
      </c>
      <c r="AC301" t="s">
        <v>85</v>
      </c>
      <c r="AI301" t="s">
        <v>988</v>
      </c>
      <c r="AK301">
        <v>0.1</v>
      </c>
      <c r="AL301" t="s">
        <v>82</v>
      </c>
      <c r="AM301">
        <v>0.1</v>
      </c>
      <c r="AN301" t="s">
        <v>82</v>
      </c>
      <c r="AU301">
        <v>1.2738853503184711</v>
      </c>
      <c r="AV301" t="s">
        <v>115</v>
      </c>
    </row>
    <row r="302" spans="1:48" x14ac:dyDescent="0.3">
      <c r="A302" t="s">
        <v>1455</v>
      </c>
      <c r="B302" t="s">
        <v>1458</v>
      </c>
      <c r="C302" t="s">
        <v>1416</v>
      </c>
      <c r="D302" t="s">
        <v>81</v>
      </c>
      <c r="E302">
        <v>100000000</v>
      </c>
      <c r="H302">
        <v>0.78500000000000003</v>
      </c>
      <c r="I302" t="s">
        <v>56</v>
      </c>
      <c r="J302">
        <v>7.8500000000000011E-5</v>
      </c>
      <c r="K302" t="s">
        <v>57</v>
      </c>
      <c r="L302" t="s">
        <v>112</v>
      </c>
      <c r="O302">
        <v>20.1276628768771</v>
      </c>
      <c r="P302" t="s">
        <v>59</v>
      </c>
      <c r="T302">
        <v>30</v>
      </c>
      <c r="V302">
        <v>50</v>
      </c>
      <c r="W302" t="s">
        <v>1459</v>
      </c>
      <c r="X302" t="s">
        <v>114</v>
      </c>
      <c r="Y302">
        <v>10</v>
      </c>
      <c r="AB302">
        <v>6.2792751542431402</v>
      </c>
      <c r="AC302" t="s">
        <v>85</v>
      </c>
      <c r="AI302" t="s">
        <v>988</v>
      </c>
      <c r="AK302">
        <v>0.1</v>
      </c>
      <c r="AL302" t="s">
        <v>82</v>
      </c>
      <c r="AM302">
        <v>0.1</v>
      </c>
      <c r="AN302" t="s">
        <v>82</v>
      </c>
      <c r="AU302">
        <v>1.2738853503184711</v>
      </c>
      <c r="AV302" t="s">
        <v>115</v>
      </c>
    </row>
    <row r="303" spans="1:48" x14ac:dyDescent="0.3">
      <c r="A303" t="s">
        <v>1455</v>
      </c>
      <c r="B303" t="s">
        <v>1460</v>
      </c>
      <c r="C303" t="s">
        <v>1416</v>
      </c>
      <c r="D303" t="s">
        <v>81</v>
      </c>
      <c r="E303">
        <v>100000000</v>
      </c>
      <c r="H303">
        <v>0.78500000000000003</v>
      </c>
      <c r="I303" t="s">
        <v>56</v>
      </c>
      <c r="J303">
        <v>7.8500000000000011E-5</v>
      </c>
      <c r="K303" t="s">
        <v>57</v>
      </c>
      <c r="L303" t="s">
        <v>112</v>
      </c>
      <c r="O303">
        <v>9.8967297762478506</v>
      </c>
      <c r="P303" t="s">
        <v>59</v>
      </c>
      <c r="T303">
        <v>10</v>
      </c>
      <c r="V303">
        <v>50</v>
      </c>
      <c r="W303" t="s">
        <v>1461</v>
      </c>
      <c r="X303" t="s">
        <v>114</v>
      </c>
      <c r="Y303">
        <v>10</v>
      </c>
      <c r="AB303">
        <v>0.104663552167856</v>
      </c>
      <c r="AC303" t="s">
        <v>85</v>
      </c>
      <c r="AI303" t="s">
        <v>988</v>
      </c>
      <c r="AK303">
        <v>0.1</v>
      </c>
      <c r="AL303" t="s">
        <v>82</v>
      </c>
      <c r="AM303">
        <v>0.1</v>
      </c>
      <c r="AN303" t="s">
        <v>82</v>
      </c>
      <c r="AU303">
        <v>1.2738853503184711</v>
      </c>
      <c r="AV303" t="s">
        <v>115</v>
      </c>
    </row>
    <row r="304" spans="1:48" x14ac:dyDescent="0.3">
      <c r="A304" t="s">
        <v>1455</v>
      </c>
      <c r="B304" t="s">
        <v>1460</v>
      </c>
      <c r="C304" t="s">
        <v>1416</v>
      </c>
      <c r="D304" t="s">
        <v>81</v>
      </c>
      <c r="E304">
        <v>100000000</v>
      </c>
      <c r="H304">
        <v>0.78500000000000003</v>
      </c>
      <c r="I304" t="s">
        <v>56</v>
      </c>
      <c r="J304">
        <v>7.8500000000000011E-5</v>
      </c>
      <c r="K304" t="s">
        <v>57</v>
      </c>
      <c r="L304" t="s">
        <v>112</v>
      </c>
      <c r="O304">
        <v>20.1376936316694</v>
      </c>
      <c r="P304" t="s">
        <v>59</v>
      </c>
      <c r="T304">
        <v>10</v>
      </c>
      <c r="V304">
        <v>50</v>
      </c>
      <c r="W304" t="s">
        <v>1461</v>
      </c>
      <c r="X304" t="s">
        <v>114</v>
      </c>
      <c r="Y304">
        <v>10</v>
      </c>
      <c r="AB304">
        <v>1.06679780345873</v>
      </c>
      <c r="AC304" t="s">
        <v>85</v>
      </c>
      <c r="AI304" t="s">
        <v>988</v>
      </c>
      <c r="AK304">
        <v>0.1</v>
      </c>
      <c r="AL304" t="s">
        <v>82</v>
      </c>
      <c r="AM304">
        <v>0.1</v>
      </c>
      <c r="AN304" t="s">
        <v>82</v>
      </c>
      <c r="AU304">
        <v>1.2738853503184711</v>
      </c>
      <c r="AV304" t="s">
        <v>115</v>
      </c>
    </row>
    <row r="305" spans="1:48" x14ac:dyDescent="0.3">
      <c r="A305" t="s">
        <v>1455</v>
      </c>
      <c r="B305" t="s">
        <v>1460</v>
      </c>
      <c r="C305" t="s">
        <v>1416</v>
      </c>
      <c r="D305" t="s">
        <v>81</v>
      </c>
      <c r="E305">
        <v>100000000</v>
      </c>
      <c r="H305">
        <v>0.78500000000000003</v>
      </c>
      <c r="I305" t="s">
        <v>56</v>
      </c>
      <c r="J305">
        <v>7.8500000000000011E-5</v>
      </c>
      <c r="K305" t="s">
        <v>57</v>
      </c>
      <c r="L305" t="s">
        <v>112</v>
      </c>
      <c r="O305">
        <v>29.6901893287435</v>
      </c>
      <c r="P305" t="s">
        <v>59</v>
      </c>
      <c r="T305">
        <v>10</v>
      </c>
      <c r="V305">
        <v>50</v>
      </c>
      <c r="W305" t="s">
        <v>1461</v>
      </c>
      <c r="X305" t="s">
        <v>114</v>
      </c>
      <c r="Y305">
        <v>10</v>
      </c>
      <c r="AB305">
        <v>3.98065732317023</v>
      </c>
      <c r="AC305" t="s">
        <v>85</v>
      </c>
      <c r="AI305" t="s">
        <v>988</v>
      </c>
      <c r="AK305">
        <v>0.1</v>
      </c>
      <c r="AL305" t="s">
        <v>82</v>
      </c>
      <c r="AM305">
        <v>0.1</v>
      </c>
      <c r="AN305" t="s">
        <v>82</v>
      </c>
      <c r="AU305">
        <v>1.2738853503184711</v>
      </c>
      <c r="AV305" t="s">
        <v>115</v>
      </c>
    </row>
    <row r="306" spans="1:48" x14ac:dyDescent="0.3">
      <c r="A306" t="s">
        <v>1455</v>
      </c>
      <c r="B306" t="s">
        <v>1460</v>
      </c>
      <c r="C306" t="s">
        <v>1416</v>
      </c>
      <c r="D306" t="s">
        <v>81</v>
      </c>
      <c r="E306">
        <v>100000000</v>
      </c>
      <c r="H306">
        <v>0.78500000000000003</v>
      </c>
      <c r="I306" t="s">
        <v>56</v>
      </c>
      <c r="J306">
        <v>7.8500000000000011E-5</v>
      </c>
      <c r="K306" t="s">
        <v>57</v>
      </c>
      <c r="L306" t="s">
        <v>112</v>
      </c>
      <c r="O306">
        <v>40.017211703958701</v>
      </c>
      <c r="P306" t="s">
        <v>59</v>
      </c>
      <c r="T306">
        <v>10</v>
      </c>
      <c r="V306">
        <v>50</v>
      </c>
      <c r="W306" t="s">
        <v>1461</v>
      </c>
      <c r="X306" t="s">
        <v>114</v>
      </c>
      <c r="Y306">
        <v>10</v>
      </c>
      <c r="AB306">
        <v>6.3238259159085199</v>
      </c>
      <c r="AC306" t="s">
        <v>85</v>
      </c>
      <c r="AI306" t="s">
        <v>988</v>
      </c>
      <c r="AK306">
        <v>0.1</v>
      </c>
      <c r="AL306" t="s">
        <v>82</v>
      </c>
      <c r="AM306">
        <v>0.1</v>
      </c>
      <c r="AN306" t="s">
        <v>82</v>
      </c>
      <c r="AU306">
        <v>1.2738853503184711</v>
      </c>
      <c r="AV306" t="s">
        <v>115</v>
      </c>
    </row>
    <row r="307" spans="1:48" x14ac:dyDescent="0.3">
      <c r="A307" t="s">
        <v>1455</v>
      </c>
      <c r="B307" t="s">
        <v>1460</v>
      </c>
      <c r="C307" t="s">
        <v>1416</v>
      </c>
      <c r="D307" t="s">
        <v>81</v>
      </c>
      <c r="E307">
        <v>100000000</v>
      </c>
      <c r="H307">
        <v>0.78500000000000003</v>
      </c>
      <c r="I307" t="s">
        <v>56</v>
      </c>
      <c r="J307">
        <v>7.8500000000000011E-5</v>
      </c>
      <c r="K307" t="s">
        <v>57</v>
      </c>
      <c r="L307" t="s">
        <v>112</v>
      </c>
      <c r="O307">
        <v>50.258175559380199</v>
      </c>
      <c r="P307" t="s">
        <v>59</v>
      </c>
      <c r="T307">
        <v>10</v>
      </c>
      <c r="V307">
        <v>50</v>
      </c>
      <c r="W307" t="s">
        <v>1461</v>
      </c>
      <c r="X307" t="s">
        <v>114</v>
      </c>
      <c r="Y307">
        <v>10</v>
      </c>
      <c r="AB307">
        <v>6.3018331830724099</v>
      </c>
      <c r="AC307" t="s">
        <v>85</v>
      </c>
      <c r="AI307" t="s">
        <v>988</v>
      </c>
      <c r="AK307">
        <v>0.1</v>
      </c>
      <c r="AL307" t="s">
        <v>82</v>
      </c>
      <c r="AM307">
        <v>0.1</v>
      </c>
      <c r="AN307" t="s">
        <v>82</v>
      </c>
      <c r="AU307">
        <v>1.2738853503184711</v>
      </c>
      <c r="AV307" t="s">
        <v>115</v>
      </c>
    </row>
    <row r="308" spans="1:48" x14ac:dyDescent="0.3">
      <c r="A308" t="s">
        <v>1455</v>
      </c>
      <c r="B308" t="s">
        <v>1460</v>
      </c>
      <c r="C308" t="s">
        <v>1416</v>
      </c>
      <c r="D308" t="s">
        <v>81</v>
      </c>
      <c r="E308">
        <v>100000000</v>
      </c>
      <c r="H308">
        <v>0.78500000000000003</v>
      </c>
      <c r="I308" t="s">
        <v>56</v>
      </c>
      <c r="J308">
        <v>7.8500000000000011E-5</v>
      </c>
      <c r="K308" t="s">
        <v>57</v>
      </c>
      <c r="L308" t="s">
        <v>112</v>
      </c>
      <c r="O308">
        <v>10.1549053356282</v>
      </c>
      <c r="P308" t="s">
        <v>59</v>
      </c>
      <c r="T308">
        <v>20</v>
      </c>
      <c r="V308">
        <v>50</v>
      </c>
      <c r="W308" t="s">
        <v>1461</v>
      </c>
      <c r="X308" t="s">
        <v>114</v>
      </c>
      <c r="Y308">
        <v>10</v>
      </c>
      <c r="AB308">
        <v>1.0890364177799601</v>
      </c>
      <c r="AC308" t="s">
        <v>85</v>
      </c>
      <c r="AI308" t="s">
        <v>988</v>
      </c>
      <c r="AK308">
        <v>0.1</v>
      </c>
      <c r="AL308" t="s">
        <v>82</v>
      </c>
      <c r="AM308">
        <v>0.1</v>
      </c>
      <c r="AN308" t="s">
        <v>82</v>
      </c>
      <c r="AU308">
        <v>1.2738853503184711</v>
      </c>
      <c r="AV308" t="s">
        <v>115</v>
      </c>
    </row>
    <row r="309" spans="1:48" x14ac:dyDescent="0.3">
      <c r="A309" t="s">
        <v>1455</v>
      </c>
      <c r="B309" t="s">
        <v>1460</v>
      </c>
      <c r="C309" t="s">
        <v>1416</v>
      </c>
      <c r="D309" t="s">
        <v>81</v>
      </c>
      <c r="E309">
        <v>100000000</v>
      </c>
      <c r="H309">
        <v>0.78500000000000003</v>
      </c>
      <c r="I309" t="s">
        <v>56</v>
      </c>
      <c r="J309">
        <v>7.8500000000000011E-5</v>
      </c>
      <c r="K309" t="s">
        <v>57</v>
      </c>
      <c r="L309" t="s">
        <v>112</v>
      </c>
      <c r="O309">
        <v>14.9741824440618</v>
      </c>
      <c r="P309" t="s">
        <v>59</v>
      </c>
      <c r="T309">
        <v>20</v>
      </c>
      <c r="V309">
        <v>50</v>
      </c>
      <c r="W309" t="s">
        <v>1461</v>
      </c>
      <c r="X309" t="s">
        <v>114</v>
      </c>
      <c r="Y309">
        <v>10</v>
      </c>
      <c r="AB309">
        <v>3.44283255470862</v>
      </c>
      <c r="AC309" t="s">
        <v>85</v>
      </c>
      <c r="AI309" t="s">
        <v>988</v>
      </c>
      <c r="AK309">
        <v>0.1</v>
      </c>
      <c r="AL309" t="s">
        <v>82</v>
      </c>
      <c r="AM309">
        <v>0.1</v>
      </c>
      <c r="AN309" t="s">
        <v>82</v>
      </c>
      <c r="AU309">
        <v>1.2738853503184711</v>
      </c>
      <c r="AV309" t="s">
        <v>115</v>
      </c>
    </row>
    <row r="310" spans="1:48" x14ac:dyDescent="0.3">
      <c r="A310" t="s">
        <v>1455</v>
      </c>
      <c r="B310" t="s">
        <v>1460</v>
      </c>
      <c r="C310" t="s">
        <v>1416</v>
      </c>
      <c r="D310" t="s">
        <v>81</v>
      </c>
      <c r="E310">
        <v>100000000</v>
      </c>
      <c r="H310">
        <v>0.78500000000000003</v>
      </c>
      <c r="I310" t="s">
        <v>56</v>
      </c>
      <c r="J310">
        <v>7.8500000000000011E-5</v>
      </c>
      <c r="K310" t="s">
        <v>57</v>
      </c>
      <c r="L310" t="s">
        <v>112</v>
      </c>
      <c r="O310">
        <v>19.879518072288999</v>
      </c>
      <c r="P310" t="s">
        <v>59</v>
      </c>
      <c r="T310">
        <v>20</v>
      </c>
      <c r="V310">
        <v>50</v>
      </c>
      <c r="W310" t="s">
        <v>1461</v>
      </c>
      <c r="X310" t="s">
        <v>114</v>
      </c>
      <c r="Y310">
        <v>10</v>
      </c>
      <c r="AB310">
        <v>5.3363931918148699</v>
      </c>
      <c r="AC310" t="s">
        <v>85</v>
      </c>
      <c r="AI310" t="s">
        <v>988</v>
      </c>
      <c r="AK310">
        <v>0.1</v>
      </c>
      <c r="AL310" t="s">
        <v>82</v>
      </c>
      <c r="AM310">
        <v>0.1</v>
      </c>
      <c r="AN310" t="s">
        <v>82</v>
      </c>
      <c r="AU310">
        <v>1.2738853503184711</v>
      </c>
      <c r="AV310" t="s">
        <v>115</v>
      </c>
    </row>
    <row r="311" spans="1:48" x14ac:dyDescent="0.3">
      <c r="A311" t="s">
        <v>1455</v>
      </c>
      <c r="B311" t="s">
        <v>1460</v>
      </c>
      <c r="C311" t="s">
        <v>1416</v>
      </c>
      <c r="D311" t="s">
        <v>81</v>
      </c>
      <c r="E311">
        <v>100000000</v>
      </c>
      <c r="H311">
        <v>0.78500000000000003</v>
      </c>
      <c r="I311" t="s">
        <v>56</v>
      </c>
      <c r="J311">
        <v>7.8500000000000011E-5</v>
      </c>
      <c r="K311" t="s">
        <v>57</v>
      </c>
      <c r="L311" t="s">
        <v>112</v>
      </c>
      <c r="O311">
        <v>24.870912220309801</v>
      </c>
      <c r="P311" t="s">
        <v>59</v>
      </c>
      <c r="T311">
        <v>20</v>
      </c>
      <c r="V311">
        <v>50</v>
      </c>
      <c r="W311" t="s">
        <v>1461</v>
      </c>
      <c r="X311" t="s">
        <v>114</v>
      </c>
      <c r="Y311">
        <v>10</v>
      </c>
      <c r="AB311">
        <v>6.3252738846542602</v>
      </c>
      <c r="AC311" t="s">
        <v>85</v>
      </c>
      <c r="AI311" t="s">
        <v>988</v>
      </c>
      <c r="AK311">
        <v>0.1</v>
      </c>
      <c r="AL311" t="s">
        <v>82</v>
      </c>
      <c r="AM311">
        <v>0.1</v>
      </c>
      <c r="AN311" t="s">
        <v>82</v>
      </c>
      <c r="AU311">
        <v>1.2738853503184711</v>
      </c>
      <c r="AV311" t="s">
        <v>115</v>
      </c>
    </row>
    <row r="312" spans="1:48" x14ac:dyDescent="0.3">
      <c r="A312" t="s">
        <v>1455</v>
      </c>
      <c r="B312" t="s">
        <v>1460</v>
      </c>
      <c r="C312" t="s">
        <v>1416</v>
      </c>
      <c r="D312" t="s">
        <v>81</v>
      </c>
      <c r="E312">
        <v>100000000</v>
      </c>
      <c r="H312">
        <v>0.78500000000000003</v>
      </c>
      <c r="I312" t="s">
        <v>56</v>
      </c>
      <c r="J312">
        <v>7.8500000000000011E-5</v>
      </c>
      <c r="K312" t="s">
        <v>57</v>
      </c>
      <c r="L312" t="s">
        <v>112</v>
      </c>
      <c r="O312">
        <v>29.6901893287435</v>
      </c>
      <c r="P312" t="s">
        <v>59</v>
      </c>
      <c r="T312">
        <v>20</v>
      </c>
      <c r="V312">
        <v>50</v>
      </c>
      <c r="W312" t="s">
        <v>1461</v>
      </c>
      <c r="X312" t="s">
        <v>114</v>
      </c>
      <c r="Y312">
        <v>10</v>
      </c>
      <c r="AB312">
        <v>6.3139906565035604</v>
      </c>
      <c r="AC312" t="s">
        <v>85</v>
      </c>
      <c r="AI312" t="s">
        <v>988</v>
      </c>
      <c r="AK312">
        <v>0.1</v>
      </c>
      <c r="AL312" t="s">
        <v>82</v>
      </c>
      <c r="AM312">
        <v>0.1</v>
      </c>
      <c r="AN312" t="s">
        <v>82</v>
      </c>
      <c r="AU312">
        <v>1.2738853503184711</v>
      </c>
      <c r="AV312" t="s">
        <v>115</v>
      </c>
    </row>
    <row r="313" spans="1:48" x14ac:dyDescent="0.3">
      <c r="A313" t="s">
        <v>1455</v>
      </c>
      <c r="B313" t="s">
        <v>1460</v>
      </c>
      <c r="C313" t="s">
        <v>1416</v>
      </c>
      <c r="D313" t="s">
        <v>81</v>
      </c>
      <c r="E313">
        <v>100000000</v>
      </c>
      <c r="H313">
        <v>0.78500000000000003</v>
      </c>
      <c r="I313" t="s">
        <v>56</v>
      </c>
      <c r="J313">
        <v>7.8500000000000011E-5</v>
      </c>
      <c r="K313" t="s">
        <v>57</v>
      </c>
      <c r="L313" t="s">
        <v>112</v>
      </c>
      <c r="O313">
        <v>35.283993115318403</v>
      </c>
      <c r="P313" t="s">
        <v>59</v>
      </c>
      <c r="T313">
        <v>20</v>
      </c>
      <c r="V313">
        <v>50</v>
      </c>
      <c r="W313" t="s">
        <v>1461</v>
      </c>
      <c r="X313" t="s">
        <v>114</v>
      </c>
      <c r="Y313">
        <v>10</v>
      </c>
      <c r="AB313">
        <v>6.3351911045542701</v>
      </c>
      <c r="AC313" t="s">
        <v>85</v>
      </c>
      <c r="AI313" t="s">
        <v>988</v>
      </c>
      <c r="AK313">
        <v>0.1</v>
      </c>
      <c r="AL313" t="s">
        <v>82</v>
      </c>
      <c r="AM313">
        <v>0.1</v>
      </c>
      <c r="AN313" t="s">
        <v>82</v>
      </c>
      <c r="AU313">
        <v>1.2738853503184711</v>
      </c>
      <c r="AV313" t="s">
        <v>115</v>
      </c>
    </row>
    <row r="314" spans="1:48" x14ac:dyDescent="0.3">
      <c r="A314" t="s">
        <v>1455</v>
      </c>
      <c r="B314" t="s">
        <v>1460</v>
      </c>
      <c r="C314" t="s">
        <v>1416</v>
      </c>
      <c r="D314" t="s">
        <v>81</v>
      </c>
      <c r="E314">
        <v>100000000</v>
      </c>
      <c r="H314">
        <v>0.78500000000000003</v>
      </c>
      <c r="I314" t="s">
        <v>56</v>
      </c>
      <c r="J314">
        <v>7.8500000000000011E-5</v>
      </c>
      <c r="K314" t="s">
        <v>57</v>
      </c>
      <c r="L314" t="s">
        <v>112</v>
      </c>
      <c r="O314">
        <v>5.0774526678141001</v>
      </c>
      <c r="P314" t="s">
        <v>59</v>
      </c>
      <c r="T314">
        <v>30</v>
      </c>
      <c r="V314">
        <v>50</v>
      </c>
      <c r="W314" t="s">
        <v>1461</v>
      </c>
      <c r="X314" t="s">
        <v>114</v>
      </c>
      <c r="Y314">
        <v>10</v>
      </c>
      <c r="AB314">
        <v>0.38578805015982198</v>
      </c>
      <c r="AC314" t="s">
        <v>85</v>
      </c>
      <c r="AI314" t="s">
        <v>988</v>
      </c>
      <c r="AK314">
        <v>0.1</v>
      </c>
      <c r="AL314" t="s">
        <v>82</v>
      </c>
      <c r="AM314">
        <v>0.1</v>
      </c>
      <c r="AN314" t="s">
        <v>82</v>
      </c>
      <c r="AU314">
        <v>1.2738853503184711</v>
      </c>
      <c r="AV314" t="s">
        <v>115</v>
      </c>
    </row>
    <row r="315" spans="1:48" x14ac:dyDescent="0.3">
      <c r="A315" t="s">
        <v>1455</v>
      </c>
      <c r="B315" t="s">
        <v>1460</v>
      </c>
      <c r="C315" t="s">
        <v>1416</v>
      </c>
      <c r="D315" t="s">
        <v>81</v>
      </c>
      <c r="E315">
        <v>100000000</v>
      </c>
      <c r="H315">
        <v>0.78500000000000003</v>
      </c>
      <c r="I315" t="s">
        <v>56</v>
      </c>
      <c r="J315">
        <v>7.8500000000000011E-5</v>
      </c>
      <c r="K315" t="s">
        <v>57</v>
      </c>
      <c r="L315" t="s">
        <v>112</v>
      </c>
      <c r="O315">
        <v>9.7246127366609301</v>
      </c>
      <c r="P315" t="s">
        <v>59</v>
      </c>
      <c r="T315">
        <v>30</v>
      </c>
      <c r="V315">
        <v>50</v>
      </c>
      <c r="W315" t="s">
        <v>1461</v>
      </c>
      <c r="X315" t="s">
        <v>114</v>
      </c>
      <c r="Y315">
        <v>10</v>
      </c>
      <c r="AB315">
        <v>4.2791028057809299</v>
      </c>
      <c r="AC315" t="s">
        <v>85</v>
      </c>
      <c r="AI315" t="s">
        <v>988</v>
      </c>
      <c r="AK315">
        <v>0.1</v>
      </c>
      <c r="AL315" t="s">
        <v>82</v>
      </c>
      <c r="AM315">
        <v>0.1</v>
      </c>
      <c r="AN315" t="s">
        <v>82</v>
      </c>
      <c r="AU315">
        <v>1.2738853503184711</v>
      </c>
      <c r="AV315" t="s">
        <v>115</v>
      </c>
    </row>
    <row r="316" spans="1:48" x14ac:dyDescent="0.3">
      <c r="A316" t="s">
        <v>1455</v>
      </c>
      <c r="B316" t="s">
        <v>1460</v>
      </c>
      <c r="C316" t="s">
        <v>1416</v>
      </c>
      <c r="D316" t="s">
        <v>81</v>
      </c>
      <c r="E316">
        <v>100000000</v>
      </c>
      <c r="H316">
        <v>0.78500000000000003</v>
      </c>
      <c r="I316" t="s">
        <v>56</v>
      </c>
      <c r="J316">
        <v>7.8500000000000011E-5</v>
      </c>
      <c r="K316" t="s">
        <v>57</v>
      </c>
      <c r="L316" t="s">
        <v>112</v>
      </c>
      <c r="O316">
        <v>14.9741824440618</v>
      </c>
      <c r="P316" t="s">
        <v>59</v>
      </c>
      <c r="T316">
        <v>30</v>
      </c>
      <c r="V316">
        <v>50</v>
      </c>
      <c r="W316" t="s">
        <v>1461</v>
      </c>
      <c r="X316" t="s">
        <v>114</v>
      </c>
      <c r="Y316">
        <v>10</v>
      </c>
      <c r="AB316">
        <v>6.1888643007403701</v>
      </c>
      <c r="AC316" t="s">
        <v>85</v>
      </c>
      <c r="AI316" t="s">
        <v>988</v>
      </c>
      <c r="AK316">
        <v>0.1</v>
      </c>
      <c r="AL316" t="s">
        <v>82</v>
      </c>
      <c r="AM316">
        <v>0.1</v>
      </c>
      <c r="AN316" t="s">
        <v>82</v>
      </c>
      <c r="AU316">
        <v>1.2738853503184711</v>
      </c>
      <c r="AV316" t="s">
        <v>115</v>
      </c>
    </row>
    <row r="317" spans="1:48" x14ac:dyDescent="0.3">
      <c r="A317" t="s">
        <v>1455</v>
      </c>
      <c r="B317" t="s">
        <v>1460</v>
      </c>
      <c r="C317" t="s">
        <v>1416</v>
      </c>
      <c r="D317" t="s">
        <v>81</v>
      </c>
      <c r="E317">
        <v>100000000</v>
      </c>
      <c r="H317">
        <v>0.78500000000000003</v>
      </c>
      <c r="I317" t="s">
        <v>56</v>
      </c>
      <c r="J317">
        <v>7.8500000000000011E-5</v>
      </c>
      <c r="K317" t="s">
        <v>57</v>
      </c>
      <c r="L317" t="s">
        <v>112</v>
      </c>
      <c r="O317">
        <v>19.793459552495701</v>
      </c>
      <c r="P317" t="s">
        <v>59</v>
      </c>
      <c r="T317">
        <v>30</v>
      </c>
      <c r="V317">
        <v>50</v>
      </c>
      <c r="W317" t="s">
        <v>1461</v>
      </c>
      <c r="X317" t="s">
        <v>114</v>
      </c>
      <c r="Y317">
        <v>10</v>
      </c>
      <c r="AB317">
        <v>6.2569461519547502</v>
      </c>
      <c r="AC317" t="s">
        <v>85</v>
      </c>
      <c r="AI317" t="s">
        <v>988</v>
      </c>
      <c r="AK317">
        <v>0.1</v>
      </c>
      <c r="AL317" t="s">
        <v>82</v>
      </c>
      <c r="AM317">
        <v>0.1</v>
      </c>
      <c r="AN317" t="s">
        <v>82</v>
      </c>
      <c r="AU317">
        <v>1.2738853503184711</v>
      </c>
      <c r="AV317" t="s">
        <v>115</v>
      </c>
    </row>
  </sheetData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9"/>
  <sheetViews>
    <sheetView workbookViewId="0">
      <selection activeCell="C12" sqref="C12:F12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10" bestFit="1" customWidth="1"/>
    <col min="4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COUNTA(LiquidAmbiguousMaster[Ref])</f>
        <v>316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COUNTA(LiquidAmbiguousMaster[GrimeDirt])</f>
        <v>209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COUNTA(LiquidAmbiguousMaster[Rinsate])</f>
        <v>316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AmbiguousMaster[ConvertedCoupAreaUn]),COUNTIF(LiquidAmbiguousMaster[ConvertedCoupAreaUn],INDEX(LiquidAmbiguousMaster[ConvertedCoupAreaUn],MATCH(TRUE,LiquidAmbiguousMaster[ConvertedCoupAreaUn]&lt;&gt;"",0)))=COUNTIF(LiquidAmbiguousMaster[ConvertedCoupAreaUn],"&lt;&gt;"),""),INDEX(LiquidAmbiguousMaster[ConvertedCoupAreaUn],MATCH(TRUE,LiquidAmbiguousMaster[ConvertedCoupAreaUn]&lt;&gt;"",0)), "multiple units given"),"NA")</f>
        <v>m^2</v>
      </c>
      <c r="C11" s="3">
        <f>IF(AND(ISNUMBER(E11),ISNUMBER(F11)),MIN(LiquidAmbiguousMaster[ConvertedCoupArea]),"NA")</f>
        <v>7.8500000000000011E-5</v>
      </c>
      <c r="D11" s="3">
        <f>IF(AND(ISNUMBER(E11),ISNUMBER(F11)),MAX(LiquidAmbiguousMaster[ConvertedCoupArea]),"NA")</f>
        <v>6.4000000000000003E-3</v>
      </c>
      <c r="E11" s="3">
        <f>IFERROR(AVERAGE(LiquidAmbiguousMaster[ConvertedCoupArea]),"NA")</f>
        <v>1.4288449367088669E-4</v>
      </c>
      <c r="F11" s="3">
        <f>IFERROR(STDEV(LiquidAmbiguousMaster[ConvertedCoupArea]),"NA")</f>
        <v>5.0251063491555726E-4</v>
      </c>
    </row>
    <row r="12" spans="1:6" x14ac:dyDescent="0.3">
      <c r="A12" s="3" t="s">
        <v>1591</v>
      </c>
      <c r="B12" s="3" t="str" cm="1">
        <f t="array" ref="B12">IFERROR(IF(IF(COUNTA(LiquidAmbiguousMaster[LoadingUn]),COUNTIF(LiquidAmbiguousMaster[LoadingUn],INDEX(LiquidAmbiguousMaster[LoadingUn],MATCH(TRUE,LiquidAmbiguousMaster[LoadingUn]&lt;&gt;"",0)))=COUNTIF(LiquidAmbiguousMaster[LoadingUn],"&lt;&gt;"),""),INDEX(LiquidAmbiguousMaster[LoadingUn],MATCH(TRUE,LiquidAmbiguousMaster[LoadingUn]&lt;&gt;"",0)), "multiple units given"),"NA")</f>
        <v>CFU</v>
      </c>
      <c r="C12" s="3">
        <f>IF(AND(ISNUMBER(E12),ISNUMBER(F12)),MIN(LiquidAmbiguousMaster[LoadingNum]),"NA")</f>
        <v>1000</v>
      </c>
      <c r="D12" s="3">
        <f>IF(AND(ISNUMBER(E12),ISNUMBER(F12)),MAX(LiquidAmbiguousMaster[LoadingNum]),"NA")</f>
        <v>100000000</v>
      </c>
      <c r="E12" s="3">
        <f>IFERROR(AVERAGE(LiquidAmbiguousMaster[LoadingNum]),"NA")</f>
        <v>83165518.987341776</v>
      </c>
      <c r="F12" s="3">
        <f>IFERROR(STDEV(LiquidAmbiguousMaster[LoadingNum]),"NA")</f>
        <v>35591817.710436918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IF(AND(ISNUMBER(E13),ISNUMBER(F13)),MIN(LiquidAmbiguousMaster[TotalApp]),"NA")</f>
        <v>NA</v>
      </c>
      <c r="D13" s="3" t="str">
        <f>IF(AND(ISNUMBER(E13),ISNUMBER(F13)),MAX(LiquidAmbiguousMaster[TotalApp]),"NA")</f>
        <v>NA</v>
      </c>
      <c r="E13" s="3" t="str">
        <f>IFERROR(AVERAGE(LiquidAmbiguousMaster[TotalApp]),"NA")</f>
        <v>NA</v>
      </c>
      <c r="F13" s="3" t="str">
        <f>IFERROR(STDEV(LiquidAmbiguousMaster[TotalApp]),"NA")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IF(AND(ISNUMBER(E14),ISNUMBER(F14)),MIN(LiquidAmbiguousMaster[TempNum]),"NA")</f>
        <v>-20</v>
      </c>
      <c r="D14" s="3">
        <f>IF(AND(ISNUMBER(E14),ISNUMBER(F14)),MAX(LiquidAmbiguousMaster[TempNum]),"NA")</f>
        <v>30</v>
      </c>
      <c r="E14" s="3">
        <f>IFERROR(AVERAGE(LiquidAmbiguousMaster[TempNum]),"NA")</f>
        <v>16.022151898734176</v>
      </c>
      <c r="F14" s="3">
        <f>IFERROR(STDEV(LiquidAmbiguousMaster[TempNum]),"NA")</f>
        <v>13.079105466318243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IF(AND(ISNUMBER(E15),ISNUMBER(F15)),MIN(LiquidAmbiguousMaster[RHNum]),"NA")</f>
        <v>50</v>
      </c>
      <c r="D15" s="3">
        <f>IF(AND(ISNUMBER(E15),ISNUMBER(F15)),MAX(LiquidAmbiguousMaster[RHNum]),"NA")</f>
        <v>50</v>
      </c>
      <c r="E15" s="3">
        <f>IFERROR(AVERAGE(LiquidAmbiguousMaster[RHNum]),"NA")</f>
        <v>50</v>
      </c>
      <c r="F15" s="3">
        <f>IFERROR(STDEV(LiquidAmbiguousMaster[RHNum]),"NA")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IF(AND(ISNUMBER(E16),ISNUMBER(F16)),MIN(LiquidAmbiguousMaster[ContTimeNumMin]),"NA")</f>
        <v>4.9800000000000004</v>
      </c>
      <c r="D16" s="3">
        <f>IF(AND(ISNUMBER(E16),ISNUMBER(F16)),MAX(LiquidAmbiguousMaster[ContTimeNumMin]),"NA")</f>
        <v>1440</v>
      </c>
      <c r="E16" s="3">
        <f>IFERROR(AVERAGE(LiquidAmbiguousMaster[ContTimeNumMin]),"NA")</f>
        <v>92.483164556962009</v>
      </c>
      <c r="F16" s="3">
        <f>IFERROR(STDEV(LiquidAmbiguousMaster[ContTimeNumMin]),"NA")</f>
        <v>312.74986666834076</v>
      </c>
    </row>
    <row r="17" spans="1:6" x14ac:dyDescent="0.3">
      <c r="A17" s="3" t="s">
        <v>1598</v>
      </c>
      <c r="B17" s="3" t="str" cm="1">
        <f t="array" ref="B17">IFERROR(IF(IF(COUNTA(LiquidAmbiguousMaster[ConcDoseUn]),COUNTIF(LiquidAmbiguousMaster[ConcDoseUn],INDEX(LiquidAmbiguousMaster[ConcDoseUn],MATCH(TRUE,LiquidAmbiguousMaster[ConcDoseUn]&lt;&gt;"",0)))=COUNTIF(LiquidAmbiguousMaster[ConcDoseUn],"&lt;&gt;"),""),INDEX(LiquidAmbiguousMaster[ConcDoseUn],MATCH(TRUE,LiquidAmbiguousMaster[ConcDoseUn]&lt;&gt;"",0)), "multiple units given"),"NA")</f>
        <v>multiple units given</v>
      </c>
      <c r="C17" s="3">
        <f>IF(AND(ISNUMBER(E17),ISNUMBER(F17)),MIN(LiquidAmbiguousMaster[ConcDoseNum]),"NA")</f>
        <v>0</v>
      </c>
      <c r="D17" s="3">
        <f>IF(AND(ISNUMBER(E17),ISNUMBER(F17)),MAX(LiquidAmbiguousMaster[ConcDoseNum]),"NA")</f>
        <v>50.314197767280803</v>
      </c>
      <c r="E17" s="3">
        <f>IFERROR(AVERAGE(LiquidAmbiguousMaster[ConcDoseNum]),"NA")</f>
        <v>14.658207067057067</v>
      </c>
      <c r="F17" s="3">
        <f>IFERROR(STDEV(LiquidAmbiguousMaster[ConcDoseNum]),"NA")</f>
        <v>20.215637857076061</v>
      </c>
    </row>
    <row r="18" spans="1:6" x14ac:dyDescent="0.3">
      <c r="A18" s="3" t="s">
        <v>1599</v>
      </c>
      <c r="B18" s="3" t="str" cm="1">
        <f t="array" ref="B18">IFERROR(IF(IF(COUNTA(LiquidAmbiguousMaster[EffMeas]),COUNTIF(LiquidAmbiguousMaster[EffMeas],INDEX(LiquidAmbiguousMaster[EffMeas],MATCH(TRUE,LiquidAmbiguousMaster[EffMeas]&lt;&gt;"",0)))=COUNTIF(LiquidAmbiguousMaster[EffMeas],"&lt;&gt;"),""),INDEX(LiquidAmbiguousMaster[EffMeas],MATCH(TRUE,LiquidAmbiguousMaster[EffMeas]&lt;&gt;"",0)), "multiple units given"),"NA")</f>
        <v>multiple units given</v>
      </c>
      <c r="C18" s="3">
        <f>IF(AND(ISNUMBER(E18),ISNUMBER(F18)),MIN(LiquidAmbiguousMaster[Eff]),"NA")</f>
        <v>0</v>
      </c>
      <c r="D18" s="3">
        <f>IF(AND(ISNUMBER(E18),ISNUMBER(F18)),MAX(LiquidAmbiguousMaster[Eff]),"NA")</f>
        <v>6.45603271983639</v>
      </c>
      <c r="E18" s="3">
        <f>IFERROR(AVERAGE(LiquidAmbiguousMaster[Eff]),"NA")</f>
        <v>3.2238071524897483</v>
      </c>
      <c r="F18" s="3">
        <f>IFERROR(STDEV(LiquidAmbiguousMaster[Eff]),"NA")</f>
        <v>2.3550931837412739</v>
      </c>
    </row>
    <row r="19" spans="1:6" x14ac:dyDescent="0.3">
      <c r="A19" s="3" t="s">
        <v>1600</v>
      </c>
      <c r="B19" s="3" t="str" cm="1">
        <f t="array" ref="B19">IFERROR(IF(IF(COUNTA(LiquidAmbiguousMaster[ConvertedVolAppUn]),COUNTIF(LiquidAmbiguousMaster[ConvertedVolAppUn],INDEX(LiquidAmbiguousMaster[ConvertedVolAppUn],MATCH(TRUE,LiquidAmbiguousMaster[ConvertedVolAppUn]&lt;&gt;"",0)))=COUNTIF(LiquidAmbiguousMaster[ConvertedVolAppUn],"&lt;&gt;"),""),INDEX(LiquidAmbiguousMaster[ConvertedVolAppUn],MATCH(TRUE,LiquidAmbiguousMaster[ConvertedVolAppUn]&lt;&gt;"",0)), "multiple units given"),"NA")</f>
        <v>mL</v>
      </c>
      <c r="C19" s="3">
        <f>IF(AND(ISNUMBER(E19),ISNUMBER(F19)),MIN(LiquidAmbiguousMaster[ConvertedVolApp]),"NA")</f>
        <v>0.05</v>
      </c>
      <c r="D19" s="3">
        <f>IF(AND(ISNUMBER(E19),ISNUMBER(F19)),MAX(LiquidAmbiguousMaster[ConvertedVolApp]),"NA")</f>
        <v>2</v>
      </c>
      <c r="E19" s="3">
        <f>IFERROR(AVERAGE(LiquidAmbiguousMaster[ConvertedVolApp]),"NA")</f>
        <v>0.46592356687897801</v>
      </c>
      <c r="F19" s="3">
        <f>IFERROR(STDEV(LiquidAmbiguousMaster[ConvertedVolApp]),"NA")</f>
        <v>0.77009891519676543</v>
      </c>
    </row>
  </sheetData>
  <conditionalFormatting sqref="B11:B19">
    <cfRule type="cellIs" dxfId="32" priority="1" operator="equal">
      <formula>"multiple units given"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A3"/>
  <sheetViews>
    <sheetView workbookViewId="0">
      <selection activeCell="E20" sqref="E20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1290</v>
      </c>
      <c r="C2" t="s">
        <v>1414</v>
      </c>
      <c r="D2" t="s">
        <v>81</v>
      </c>
      <c r="E2">
        <v>100000000</v>
      </c>
      <c r="H2">
        <v>1.33</v>
      </c>
      <c r="I2" t="s">
        <v>56</v>
      </c>
      <c r="J2">
        <v>1.3300000000000001E-4</v>
      </c>
      <c r="K2" t="s">
        <v>57</v>
      </c>
      <c r="O2">
        <v>10</v>
      </c>
      <c r="P2" t="s">
        <v>1291</v>
      </c>
      <c r="T2">
        <v>25</v>
      </c>
      <c r="V2">
        <v>50</v>
      </c>
      <c r="W2" t="s">
        <v>388</v>
      </c>
      <c r="X2" t="s">
        <v>932</v>
      </c>
      <c r="Y2">
        <v>3</v>
      </c>
      <c r="AB2">
        <v>0.64</v>
      </c>
      <c r="AC2" t="s">
        <v>85</v>
      </c>
      <c r="AT2" t="s">
        <v>65</v>
      </c>
      <c r="AV2" t="s">
        <v>88</v>
      </c>
    </row>
    <row r="3" spans="1:53" x14ac:dyDescent="0.3">
      <c r="A3" t="s">
        <v>1290</v>
      </c>
      <c r="C3" t="s">
        <v>1414</v>
      </c>
      <c r="D3" t="s">
        <v>81</v>
      </c>
      <c r="E3">
        <v>100000000</v>
      </c>
      <c r="H3">
        <v>1.33</v>
      </c>
      <c r="I3" t="s">
        <v>56</v>
      </c>
      <c r="J3">
        <v>1.3300000000000001E-4</v>
      </c>
      <c r="K3" t="s">
        <v>57</v>
      </c>
      <c r="O3">
        <v>10</v>
      </c>
      <c r="P3" t="s">
        <v>1291</v>
      </c>
      <c r="T3">
        <v>25</v>
      </c>
      <c r="V3">
        <v>50</v>
      </c>
      <c r="W3" t="s">
        <v>384</v>
      </c>
      <c r="X3" t="s">
        <v>932</v>
      </c>
      <c r="Y3">
        <v>3</v>
      </c>
      <c r="AB3">
        <v>1.1000000000000001</v>
      </c>
      <c r="AC3" t="s">
        <v>85</v>
      </c>
      <c r="AV3" t="s">
        <v>88</v>
      </c>
    </row>
  </sheetData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9"/>
  <sheetViews>
    <sheetView tabSelected="1" workbookViewId="0">
      <selection activeCell="C18" sqref="C18:F18"/>
    </sheetView>
  </sheetViews>
  <sheetFormatPr defaultRowHeight="14.4" x14ac:dyDescent="0.3"/>
  <cols>
    <col min="1" max="1" width="32.109375" bestFit="1" customWidth="1"/>
    <col min="2" max="2" width="10.33203125" bestFit="1" customWidth="1"/>
    <col min="3" max="4" width="10" bestFit="1" customWidth="1"/>
    <col min="5" max="5" width="11.21875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COUNTA(LiquidDropperMaster[Ref])</f>
        <v>2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COUNTA(LiquidDropperMaster[GrimeDirt])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COUNTA(LiquidDropperMaster[Rinsate])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DropperMaster[ConvertedCoupAreaUn]),COUNTIF(LiquidDropperMaster[ConvertedCoupAreaUn],INDEX(LiquidDropperMaster[ConvertedCoupAreaUn],MATCH(TRUE,LiquidDropperMaster[ConvertedCoupAreaUn]&lt;&gt;"",0)))=COUNTIF(LiquidDropperMaster[ConvertedCoupAreaUn],"&lt;&gt;"),""),INDEX(LiquidDropperMaster[ConvertedCoupAreaUn],MATCH(TRUE,LiquidDropperMaster[ConvertedCoupAreaUn]&lt;&gt;"",0)), "multiple units given"),"NA")</f>
        <v>m^2</v>
      </c>
      <c r="C11" s="3">
        <f>IF(AND(ISNUMBER(E11),ISNUMBER(F11)),MIN(LiquidDropperMaster[ConvertedCoupArea]),"NA")</f>
        <v>1.3300000000000001E-4</v>
      </c>
      <c r="D11" s="3">
        <f>IF(AND(ISNUMBER(E11),ISNUMBER(F11)),MAX(LiquidDropperMaster[ConvertedCoupArea]),"NA")</f>
        <v>1.3300000000000001E-4</v>
      </c>
      <c r="E11" s="3">
        <f>IFERROR(AVERAGE(LiquidDropperMaster[ConvertedCoupArea]),"NA")</f>
        <v>1.3300000000000001E-4</v>
      </c>
      <c r="F11" s="3">
        <f>IFERROR(STDEV(LiquidDropperMaster[ConvertedCoupArea]),"NA")</f>
        <v>0</v>
      </c>
    </row>
    <row r="12" spans="1:6" x14ac:dyDescent="0.3">
      <c r="A12" s="3" t="s">
        <v>1591</v>
      </c>
      <c r="B12" s="3" t="str" cm="1">
        <f t="array" ref="B12">IFERROR(IF(IF(COUNTA(LiquidDropperMaster[LoadingUn]),COUNTIF(LiquidDropperMaster[LoadingUn],INDEX(LiquidDropperMaster[LoadingUn],MATCH(TRUE,LiquidDropperMaster[LoadingUn]&lt;&gt;"",0)))=COUNTIF(LiquidDropperMaster[LoadingUn],"&lt;&gt;"),""),INDEX(LiquidDropperMaster[LoadingUn],MATCH(TRUE,LiquidDropperMaster[LoadingUn]&lt;&gt;"",0)), "multiple units given"),"NA")</f>
        <v>CFU</v>
      </c>
      <c r="C12" s="3">
        <f>IF(AND(ISNUMBER(E12),ISNUMBER(F12)),MIN(LiquidDropperMaster[LoadingNum]),"NA")</f>
        <v>100000000</v>
      </c>
      <c r="D12" s="3">
        <f>IF(AND(ISNUMBER(E12),ISNUMBER(F12)),MAX(LiquidDropperMaster[LoadingNum]),"NA")</f>
        <v>100000000</v>
      </c>
      <c r="E12" s="3">
        <f>IFERROR(AVERAGE(LiquidDropperMaster[LoadingNum]),"NA")</f>
        <v>100000000</v>
      </c>
      <c r="F12" s="3">
        <f>IFERROR(STDEV(LiquidDropperMaster[LoadingNum]),"NA")</f>
        <v>0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IF(AND(ISNUMBER(E13),ISNUMBER(F13)),MIN(LiquidDropperMaster[TotalApp]),"NA")</f>
        <v>NA</v>
      </c>
      <c r="D13" s="3" t="str">
        <f>IF(AND(ISNUMBER(E13),ISNUMBER(F13)),MAX(LiquidDropperMaster[TotalApp]),"NA")</f>
        <v>NA</v>
      </c>
      <c r="E13" s="3" t="str">
        <f>IFERROR(AVERAGE(LiquidDropperMaster[TotalApp]),"NA")</f>
        <v>NA</v>
      </c>
      <c r="F13" s="3" t="str">
        <f>IFERROR(STDEV(LiquidDropperMaster[TotalApp]),"NA")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IF(AND(ISNUMBER(E14),ISNUMBER(F14)),MIN(LiquidDropperMaster[TempNum]),"NA")</f>
        <v>25</v>
      </c>
      <c r="D14" s="3">
        <f>IF(AND(ISNUMBER(E14),ISNUMBER(F14)),MAX(LiquidDropperMaster[TempNum]),"NA")</f>
        <v>25</v>
      </c>
      <c r="E14" s="3">
        <f>IFERROR(AVERAGE(LiquidDropperMaster[TempNum]),"NA")</f>
        <v>25</v>
      </c>
      <c r="F14" s="3">
        <f>IFERROR(STDEV(LiquidDropperMaster[TempNum]),"NA")</f>
        <v>0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IF(AND(ISNUMBER(E15),ISNUMBER(F15)),MIN(LiquidDropperMaster[RHNum]),"NA")</f>
        <v>50</v>
      </c>
      <c r="D15" s="3">
        <f>IF(AND(ISNUMBER(E15),ISNUMBER(F15)),MAX(LiquidDropperMaster[RHNum]),"NA")</f>
        <v>50</v>
      </c>
      <c r="E15" s="3">
        <f>IFERROR(AVERAGE(LiquidDropperMaster[RHNum]),"NA")</f>
        <v>50</v>
      </c>
      <c r="F15" s="3">
        <f>IFERROR(STDEV(LiquidDropperMaster[RHNum]),"NA")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IF(AND(ISNUMBER(E16),ISNUMBER(F16)),MIN(LiquidDropperMaster[ContTimeNumMin]),"NA")</f>
        <v>3</v>
      </c>
      <c r="D16" s="3">
        <f>IF(AND(ISNUMBER(E16),ISNUMBER(F16)),MAX(LiquidDropperMaster[ContTimeNumMin]),"NA")</f>
        <v>3</v>
      </c>
      <c r="E16" s="3">
        <f>IFERROR(AVERAGE(LiquidDropperMaster[ContTimeNumMin]),"NA")</f>
        <v>3</v>
      </c>
      <c r="F16" s="3">
        <f>IFERROR(STDEV(LiquidDropperMaster[ContTimeNumMin]),"NA")</f>
        <v>0</v>
      </c>
    </row>
    <row r="17" spans="1:6" x14ac:dyDescent="0.3">
      <c r="A17" s="3" t="s">
        <v>1598</v>
      </c>
      <c r="B17" s="3" t="str" cm="1">
        <f t="array" ref="B17">IFERROR(IF(IF(COUNTA(LiquidDropperMaster[ConcDoseUn]),COUNTIF(LiquidDropperMaster[ConcDoseUn],INDEX(LiquidDropperMaster[ConcDoseUn],MATCH(TRUE,LiquidDropperMaster[ConcDoseUn]&lt;&gt;"",0)))=COUNTIF(LiquidDropperMaster[ConcDoseUn],"&lt;&gt;"),""),INDEX(LiquidDropperMaster[ConcDoseUn],MATCH(TRUE,LiquidDropperMaster[ConcDoseUn]&lt;&gt;"",0)), "multiple units given"),"NA")</f>
        <v>mg tablet/L</v>
      </c>
      <c r="C17" s="3">
        <f>IF(AND(ISNUMBER(E17),ISNUMBER(F17)),MIN(LiquidDropperMaster[ConcDoseNum]),"NA")</f>
        <v>10</v>
      </c>
      <c r="D17" s="3">
        <f>IF(AND(ISNUMBER(E17),ISNUMBER(F17)),MAX(LiquidDropperMaster[ConcDoseNum]),"NA")</f>
        <v>10</v>
      </c>
      <c r="E17" s="3">
        <f>IFERROR(AVERAGE(LiquidDropperMaster[ConcDoseNum]),"NA")</f>
        <v>10</v>
      </c>
      <c r="F17" s="3">
        <f>IFERROR(STDEV(LiquidDropperMaster[ConcDoseNum]),"NA")</f>
        <v>0</v>
      </c>
    </row>
    <row r="18" spans="1:6" x14ac:dyDescent="0.3">
      <c r="A18" s="3" t="s">
        <v>1599</v>
      </c>
      <c r="B18" s="3" t="str" cm="1">
        <f t="array" ref="B18">IFERROR(IF(IF(COUNTA(LiquidDropperMaster[EffMeas]),COUNTIF(LiquidDropperMaster[EffMeas],INDEX(LiquidDropperMaster[EffMeas],MATCH(TRUE,LiquidDropperMaster[EffMeas]&lt;&gt;"",0)))=COUNTIF(LiquidDropperMaster[EffMeas],"&lt;&gt;"),""),INDEX(LiquidDropperMaster[EffMeas],MATCH(TRUE,LiquidDropperMaster[EffMeas]&lt;&gt;"",0)), "multiple units given"),"NA")</f>
        <v>LR</v>
      </c>
      <c r="C18" s="3">
        <f>IF(AND(ISNUMBER(E18),ISNUMBER(F18)),MIN(LiquidDropperMaster[Eff]),"NA")</f>
        <v>0.64</v>
      </c>
      <c r="D18" s="3">
        <f>IF(AND(ISNUMBER(E18),ISNUMBER(F18)),MAX(LiquidDropperMaster[Eff]),"NA")</f>
        <v>1.1000000000000001</v>
      </c>
      <c r="E18" s="3">
        <f>IFERROR(AVERAGE(LiquidDropperMaster[Eff]),"NA")</f>
        <v>0.87000000000000011</v>
      </c>
      <c r="F18" s="3">
        <f>IFERROR(STDEV(LiquidDropperMaster[Eff]),"NA")</f>
        <v>0.32526911934581137</v>
      </c>
    </row>
    <row r="19" spans="1:6" x14ac:dyDescent="0.3">
      <c r="A19" s="3" t="s">
        <v>1600</v>
      </c>
      <c r="B19" s="3" t="str" cm="1">
        <f t="array" ref="B19">IFERROR(IF(IF(COUNTA(LiquidDropperMaster[ConvertedVolAppUn]),COUNTIF(LiquidDropperMaster[ConvertedVolAppUn],INDEX(LiquidDropperMaster[ConvertedVolAppUn],MATCH(TRUE,LiquidDropperMaster[ConvertedVolAppUn]&lt;&gt;"",0)))=COUNTIF(LiquidDropperMaster[ConvertedVolAppUn],"&lt;&gt;"),""),INDEX(LiquidDropperMaster[ConvertedVolAppUn],MATCH(TRUE,LiquidDropperMaster[ConvertedVolAppUn]&lt;&gt;"",0)), "multiple units given"),"NA")</f>
        <v>NA</v>
      </c>
      <c r="C19" s="3" t="str">
        <f>IF(AND(ISNUMBER(E19),ISNUMBER(F19)),MIN(LiquidDropperMaster[ConvertedVolApp]),"NA")</f>
        <v>NA</v>
      </c>
      <c r="D19" s="3" t="str">
        <f>IF(AND(ISNUMBER(E19),ISNUMBER(F19)),MAX(LiquidDropperMaster[ConvertedVolApp]),"NA")</f>
        <v>NA</v>
      </c>
      <c r="E19" s="3" t="str">
        <f>IFERROR(AVERAGE(LiquidDropperMaster[ConvertedVolApp]),"NA")</f>
        <v>NA</v>
      </c>
      <c r="F19" s="3" t="str">
        <f>IFERROR(STDEV(LiquidDropperMaster[ConvertedVolApp]),"NA")</f>
        <v>NA</v>
      </c>
    </row>
  </sheetData>
  <conditionalFormatting sqref="B11:B19">
    <cfRule type="cellIs" dxfId="28" priority="1" operator="equal">
      <formula>"multiple units given"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820"/>
  <sheetViews>
    <sheetView topLeftCell="S1" workbookViewId="0">
      <selection activeCell="Y654" sqref="Y654:Y684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919</v>
      </c>
      <c r="C2" t="s">
        <v>920</v>
      </c>
      <c r="E2">
        <v>100000000</v>
      </c>
      <c r="H2">
        <v>10</v>
      </c>
      <c r="I2" t="s">
        <v>56</v>
      </c>
      <c r="J2">
        <v>1E-3</v>
      </c>
      <c r="K2" t="s">
        <v>57</v>
      </c>
      <c r="O2">
        <v>10</v>
      </c>
      <c r="P2" t="s">
        <v>921</v>
      </c>
      <c r="S2">
        <v>1</v>
      </c>
      <c r="T2">
        <v>23</v>
      </c>
      <c r="V2">
        <v>50</v>
      </c>
      <c r="W2" t="s">
        <v>388</v>
      </c>
      <c r="X2" t="s">
        <v>114</v>
      </c>
      <c r="Y2">
        <v>5</v>
      </c>
      <c r="AB2">
        <v>1.48</v>
      </c>
      <c r="AC2" t="s">
        <v>85</v>
      </c>
      <c r="AI2">
        <v>3</v>
      </c>
      <c r="AT2" t="s">
        <v>65</v>
      </c>
      <c r="AV2" t="s">
        <v>88</v>
      </c>
    </row>
    <row r="3" spans="1:53" x14ac:dyDescent="0.3">
      <c r="A3" t="s">
        <v>919</v>
      </c>
      <c r="C3" t="s">
        <v>920</v>
      </c>
      <c r="E3">
        <v>100000000</v>
      </c>
      <c r="H3">
        <v>10</v>
      </c>
      <c r="I3" t="s">
        <v>56</v>
      </c>
      <c r="J3">
        <v>1E-3</v>
      </c>
      <c r="K3" t="s">
        <v>57</v>
      </c>
      <c r="O3">
        <v>50</v>
      </c>
      <c r="P3" t="s">
        <v>921</v>
      </c>
      <c r="S3">
        <v>1</v>
      </c>
      <c r="T3">
        <v>23</v>
      </c>
      <c r="V3">
        <v>50</v>
      </c>
      <c r="W3" t="s">
        <v>388</v>
      </c>
      <c r="X3" t="s">
        <v>114</v>
      </c>
      <c r="Y3">
        <v>5</v>
      </c>
      <c r="AA3" t="s">
        <v>184</v>
      </c>
      <c r="AB3">
        <v>1</v>
      </c>
      <c r="AC3" t="s">
        <v>85</v>
      </c>
      <c r="AI3">
        <v>3</v>
      </c>
      <c r="AT3" t="s">
        <v>65</v>
      </c>
      <c r="AV3" t="s">
        <v>88</v>
      </c>
      <c r="AZ3">
        <v>0</v>
      </c>
      <c r="BA3">
        <v>1</v>
      </c>
    </row>
    <row r="4" spans="1:53" x14ac:dyDescent="0.3">
      <c r="A4" t="s">
        <v>919</v>
      </c>
      <c r="C4" t="s">
        <v>920</v>
      </c>
      <c r="E4">
        <v>100000000</v>
      </c>
      <c r="H4">
        <v>10</v>
      </c>
      <c r="I4" t="s">
        <v>56</v>
      </c>
      <c r="J4">
        <v>1E-3</v>
      </c>
      <c r="K4" t="s">
        <v>57</v>
      </c>
      <c r="O4">
        <v>100</v>
      </c>
      <c r="P4" t="s">
        <v>921</v>
      </c>
      <c r="S4">
        <v>1</v>
      </c>
      <c r="T4">
        <v>23</v>
      </c>
      <c r="V4">
        <v>50</v>
      </c>
      <c r="W4" t="s">
        <v>388</v>
      </c>
      <c r="X4" t="s">
        <v>114</v>
      </c>
      <c r="Y4">
        <v>5</v>
      </c>
      <c r="AA4" t="s">
        <v>184</v>
      </c>
      <c r="AB4">
        <v>1</v>
      </c>
      <c r="AC4" t="s">
        <v>85</v>
      </c>
      <c r="AI4">
        <v>3</v>
      </c>
      <c r="AT4" t="s">
        <v>65</v>
      </c>
      <c r="AV4" t="s">
        <v>88</v>
      </c>
      <c r="AZ4">
        <v>0</v>
      </c>
      <c r="BA4">
        <v>1</v>
      </c>
    </row>
    <row r="5" spans="1:53" x14ac:dyDescent="0.3">
      <c r="A5" t="s">
        <v>919</v>
      </c>
      <c r="C5" t="s">
        <v>920</v>
      </c>
      <c r="E5">
        <v>100000000</v>
      </c>
      <c r="H5">
        <v>10</v>
      </c>
      <c r="I5" t="s">
        <v>56</v>
      </c>
      <c r="J5">
        <v>1E-3</v>
      </c>
      <c r="K5" t="s">
        <v>57</v>
      </c>
      <c r="O5">
        <v>200</v>
      </c>
      <c r="P5" t="s">
        <v>921</v>
      </c>
      <c r="S5">
        <v>1</v>
      </c>
      <c r="T5">
        <v>23</v>
      </c>
      <c r="V5">
        <v>50</v>
      </c>
      <c r="W5" t="s">
        <v>388</v>
      </c>
      <c r="X5" t="s">
        <v>114</v>
      </c>
      <c r="Y5">
        <v>5</v>
      </c>
      <c r="AA5" t="s">
        <v>184</v>
      </c>
      <c r="AB5">
        <v>1</v>
      </c>
      <c r="AC5" t="s">
        <v>85</v>
      </c>
      <c r="AI5">
        <v>3</v>
      </c>
      <c r="AT5" t="s">
        <v>65</v>
      </c>
      <c r="AV5" t="s">
        <v>88</v>
      </c>
      <c r="AZ5">
        <v>0</v>
      </c>
      <c r="BA5">
        <v>1</v>
      </c>
    </row>
    <row r="6" spans="1:53" x14ac:dyDescent="0.3">
      <c r="A6" t="s">
        <v>919</v>
      </c>
      <c r="C6" t="s">
        <v>920</v>
      </c>
      <c r="E6">
        <v>100000000</v>
      </c>
      <c r="H6">
        <v>10</v>
      </c>
      <c r="I6" t="s">
        <v>56</v>
      </c>
      <c r="J6">
        <v>1E-3</v>
      </c>
      <c r="K6" t="s">
        <v>57</v>
      </c>
      <c r="O6">
        <v>10</v>
      </c>
      <c r="P6" t="s">
        <v>922</v>
      </c>
      <c r="S6">
        <v>1</v>
      </c>
      <c r="T6">
        <v>23</v>
      </c>
      <c r="V6">
        <v>50</v>
      </c>
      <c r="W6" t="s">
        <v>388</v>
      </c>
      <c r="X6" t="s">
        <v>114</v>
      </c>
      <c r="Y6">
        <v>5</v>
      </c>
      <c r="AA6" t="s">
        <v>184</v>
      </c>
      <c r="AB6">
        <v>-1.18999999999999</v>
      </c>
      <c r="AC6" t="s">
        <v>85</v>
      </c>
      <c r="AI6">
        <v>3</v>
      </c>
      <c r="AT6" t="s">
        <v>65</v>
      </c>
      <c r="AV6" t="s">
        <v>88</v>
      </c>
      <c r="AZ6">
        <v>0</v>
      </c>
      <c r="BA6">
        <v>-1.18999999999999</v>
      </c>
    </row>
    <row r="7" spans="1:53" x14ac:dyDescent="0.3">
      <c r="A7" t="s">
        <v>919</v>
      </c>
      <c r="C7" t="s">
        <v>920</v>
      </c>
      <c r="E7">
        <v>100000000</v>
      </c>
      <c r="H7">
        <v>10</v>
      </c>
      <c r="I7" t="s">
        <v>56</v>
      </c>
      <c r="J7">
        <v>1E-3</v>
      </c>
      <c r="K7" t="s">
        <v>57</v>
      </c>
      <c r="O7">
        <v>50</v>
      </c>
      <c r="P7" t="s">
        <v>922</v>
      </c>
      <c r="S7">
        <v>1</v>
      </c>
      <c r="T7">
        <v>23</v>
      </c>
      <c r="V7">
        <v>50</v>
      </c>
      <c r="W7" t="s">
        <v>388</v>
      </c>
      <c r="X7" t="s">
        <v>114</v>
      </c>
      <c r="Y7">
        <v>5</v>
      </c>
      <c r="AA7" t="s">
        <v>184</v>
      </c>
      <c r="AB7">
        <v>0.3</v>
      </c>
      <c r="AC7" t="s">
        <v>85</v>
      </c>
      <c r="AI7">
        <v>3</v>
      </c>
      <c r="AT7" t="s">
        <v>65</v>
      </c>
      <c r="AV7" t="s">
        <v>88</v>
      </c>
      <c r="AZ7">
        <v>0</v>
      </c>
      <c r="BA7">
        <v>0.3</v>
      </c>
    </row>
    <row r="8" spans="1:53" x14ac:dyDescent="0.3">
      <c r="A8" t="s">
        <v>919</v>
      </c>
      <c r="C8" t="s">
        <v>920</v>
      </c>
      <c r="E8">
        <v>100000000</v>
      </c>
      <c r="H8">
        <v>10</v>
      </c>
      <c r="I8" t="s">
        <v>56</v>
      </c>
      <c r="J8">
        <v>1E-3</v>
      </c>
      <c r="K8" t="s">
        <v>57</v>
      </c>
      <c r="O8">
        <v>100</v>
      </c>
      <c r="P8" t="s">
        <v>922</v>
      </c>
      <c r="S8">
        <v>1</v>
      </c>
      <c r="T8">
        <v>23</v>
      </c>
      <c r="V8">
        <v>50</v>
      </c>
      <c r="W8" t="s">
        <v>388</v>
      </c>
      <c r="X8" t="s">
        <v>114</v>
      </c>
      <c r="Y8">
        <v>5</v>
      </c>
      <c r="AA8" t="s">
        <v>184</v>
      </c>
      <c r="AB8">
        <v>1.04</v>
      </c>
      <c r="AC8" t="s">
        <v>85</v>
      </c>
      <c r="AI8">
        <v>3</v>
      </c>
      <c r="AT8" t="s">
        <v>65</v>
      </c>
      <c r="AV8" t="s">
        <v>88</v>
      </c>
      <c r="AZ8">
        <v>0</v>
      </c>
      <c r="BA8">
        <v>1.04</v>
      </c>
    </row>
    <row r="9" spans="1:53" x14ac:dyDescent="0.3">
      <c r="A9" t="s">
        <v>919</v>
      </c>
      <c r="C9" t="s">
        <v>920</v>
      </c>
      <c r="E9">
        <v>10000000</v>
      </c>
      <c r="H9">
        <v>10</v>
      </c>
      <c r="I9" t="s">
        <v>56</v>
      </c>
      <c r="J9">
        <v>1E-3</v>
      </c>
      <c r="K9" t="s">
        <v>57</v>
      </c>
      <c r="O9">
        <v>200</v>
      </c>
      <c r="P9" t="s">
        <v>922</v>
      </c>
      <c r="S9">
        <v>1</v>
      </c>
      <c r="T9">
        <v>23</v>
      </c>
      <c r="V9">
        <v>50</v>
      </c>
      <c r="W9" t="s">
        <v>388</v>
      </c>
      <c r="X9" t="s">
        <v>114</v>
      </c>
      <c r="Y9">
        <v>5</v>
      </c>
      <c r="AA9" t="s">
        <v>184</v>
      </c>
      <c r="AB9">
        <v>1</v>
      </c>
      <c r="AC9" t="s">
        <v>85</v>
      </c>
      <c r="AI9">
        <v>3</v>
      </c>
      <c r="AT9" t="s">
        <v>65</v>
      </c>
      <c r="AV9" t="s">
        <v>88</v>
      </c>
      <c r="AZ9">
        <v>0</v>
      </c>
      <c r="BA9">
        <v>1</v>
      </c>
    </row>
    <row r="10" spans="1:53" x14ac:dyDescent="0.3">
      <c r="A10" t="s">
        <v>919</v>
      </c>
      <c r="C10" t="s">
        <v>920</v>
      </c>
      <c r="E10">
        <v>10000000</v>
      </c>
      <c r="H10">
        <v>10</v>
      </c>
      <c r="I10" t="s">
        <v>56</v>
      </c>
      <c r="J10">
        <v>1E-3</v>
      </c>
      <c r="K10" t="s">
        <v>57</v>
      </c>
      <c r="O10">
        <v>40</v>
      </c>
      <c r="P10" t="s">
        <v>922</v>
      </c>
      <c r="S10">
        <v>1</v>
      </c>
      <c r="T10">
        <v>23</v>
      </c>
      <c r="V10">
        <v>50</v>
      </c>
      <c r="W10" t="s">
        <v>388</v>
      </c>
      <c r="X10" t="s">
        <v>114</v>
      </c>
      <c r="Y10">
        <v>5</v>
      </c>
      <c r="AA10" t="s">
        <v>184</v>
      </c>
      <c r="AB10">
        <v>-1.33</v>
      </c>
      <c r="AC10" t="s">
        <v>85</v>
      </c>
      <c r="AI10">
        <v>3</v>
      </c>
      <c r="AT10" t="s">
        <v>65</v>
      </c>
      <c r="AV10" t="s">
        <v>88</v>
      </c>
      <c r="AZ10">
        <v>0</v>
      </c>
      <c r="BA10">
        <v>-1.33</v>
      </c>
    </row>
    <row r="11" spans="1:53" x14ac:dyDescent="0.3">
      <c r="A11" t="s">
        <v>919</v>
      </c>
      <c r="C11" t="s">
        <v>920</v>
      </c>
      <c r="E11">
        <v>10000000</v>
      </c>
      <c r="H11">
        <v>10</v>
      </c>
      <c r="I11" t="s">
        <v>56</v>
      </c>
      <c r="J11">
        <v>1E-3</v>
      </c>
      <c r="K11" t="s">
        <v>57</v>
      </c>
      <c r="O11">
        <v>80</v>
      </c>
      <c r="P11" t="s">
        <v>922</v>
      </c>
      <c r="S11">
        <v>1</v>
      </c>
      <c r="T11">
        <v>23</v>
      </c>
      <c r="V11">
        <v>50</v>
      </c>
      <c r="W11" t="s">
        <v>388</v>
      </c>
      <c r="X11" t="s">
        <v>114</v>
      </c>
      <c r="Y11">
        <v>5</v>
      </c>
      <c r="AB11">
        <v>-0.91999999999999904</v>
      </c>
      <c r="AC11" t="s">
        <v>85</v>
      </c>
      <c r="AI11">
        <v>3</v>
      </c>
      <c r="AT11" t="s">
        <v>65</v>
      </c>
      <c r="AV11" t="s">
        <v>88</v>
      </c>
    </row>
    <row r="12" spans="1:53" x14ac:dyDescent="0.3">
      <c r="A12" t="s">
        <v>919</v>
      </c>
      <c r="C12" t="s">
        <v>920</v>
      </c>
      <c r="E12">
        <v>10000000</v>
      </c>
      <c r="H12">
        <v>10</v>
      </c>
      <c r="I12" t="s">
        <v>56</v>
      </c>
      <c r="J12">
        <v>1E-3</v>
      </c>
      <c r="K12" t="s">
        <v>57</v>
      </c>
      <c r="O12">
        <v>10</v>
      </c>
      <c r="P12" t="s">
        <v>921</v>
      </c>
      <c r="S12">
        <v>1</v>
      </c>
      <c r="T12">
        <v>23</v>
      </c>
      <c r="V12">
        <v>50</v>
      </c>
      <c r="W12" t="s">
        <v>388</v>
      </c>
      <c r="X12" t="s">
        <v>114</v>
      </c>
      <c r="Y12">
        <v>5</v>
      </c>
      <c r="AA12" t="s">
        <v>184</v>
      </c>
      <c r="AB12">
        <v>0.75</v>
      </c>
      <c r="AC12" t="s">
        <v>85</v>
      </c>
      <c r="AI12">
        <v>3</v>
      </c>
      <c r="AT12" t="s">
        <v>65</v>
      </c>
      <c r="AV12" t="s">
        <v>88</v>
      </c>
      <c r="AZ12">
        <v>0</v>
      </c>
      <c r="BA12">
        <v>0.75</v>
      </c>
    </row>
    <row r="13" spans="1:53" x14ac:dyDescent="0.3">
      <c r="A13" t="s">
        <v>919</v>
      </c>
      <c r="C13" t="s">
        <v>920</v>
      </c>
      <c r="E13">
        <v>10000000</v>
      </c>
      <c r="H13">
        <v>10</v>
      </c>
      <c r="I13" t="s">
        <v>56</v>
      </c>
      <c r="J13">
        <v>1E-3</v>
      </c>
      <c r="K13" t="s">
        <v>57</v>
      </c>
      <c r="O13">
        <v>50</v>
      </c>
      <c r="P13" t="s">
        <v>921</v>
      </c>
      <c r="S13">
        <v>1</v>
      </c>
      <c r="T13">
        <v>23</v>
      </c>
      <c r="V13">
        <v>50</v>
      </c>
      <c r="W13" t="s">
        <v>388</v>
      </c>
      <c r="X13" t="s">
        <v>114</v>
      </c>
      <c r="Y13">
        <v>5</v>
      </c>
      <c r="AA13" t="s">
        <v>184</v>
      </c>
      <c r="AB13">
        <v>2.08</v>
      </c>
      <c r="AC13" t="s">
        <v>85</v>
      </c>
      <c r="AI13">
        <v>3</v>
      </c>
      <c r="AT13" t="s">
        <v>65</v>
      </c>
      <c r="AV13" t="s">
        <v>88</v>
      </c>
      <c r="AZ13">
        <v>0</v>
      </c>
      <c r="BA13">
        <v>2.08</v>
      </c>
    </row>
    <row r="14" spans="1:53" x14ac:dyDescent="0.3">
      <c r="A14" t="s">
        <v>919</v>
      </c>
      <c r="C14" t="s">
        <v>920</v>
      </c>
      <c r="E14">
        <v>10000000</v>
      </c>
      <c r="H14">
        <v>10</v>
      </c>
      <c r="I14" t="s">
        <v>56</v>
      </c>
      <c r="J14">
        <v>1E-3</v>
      </c>
      <c r="K14" t="s">
        <v>57</v>
      </c>
      <c r="O14">
        <v>100</v>
      </c>
      <c r="P14" t="s">
        <v>921</v>
      </c>
      <c r="S14">
        <v>1</v>
      </c>
      <c r="T14">
        <v>23</v>
      </c>
      <c r="V14">
        <v>50</v>
      </c>
      <c r="W14" t="s">
        <v>388</v>
      </c>
      <c r="X14" t="s">
        <v>114</v>
      </c>
      <c r="Y14">
        <v>5</v>
      </c>
      <c r="AA14" t="s">
        <v>184</v>
      </c>
      <c r="AB14">
        <v>2.08</v>
      </c>
      <c r="AC14" t="s">
        <v>85</v>
      </c>
      <c r="AI14">
        <v>3</v>
      </c>
      <c r="AT14" t="s">
        <v>65</v>
      </c>
      <c r="AV14" t="s">
        <v>88</v>
      </c>
      <c r="AZ14">
        <v>0</v>
      </c>
      <c r="BA14">
        <v>2.08</v>
      </c>
    </row>
    <row r="15" spans="1:53" x14ac:dyDescent="0.3">
      <c r="A15" t="s">
        <v>919</v>
      </c>
      <c r="C15" t="s">
        <v>920</v>
      </c>
      <c r="E15">
        <v>10000000</v>
      </c>
      <c r="H15">
        <v>10</v>
      </c>
      <c r="I15" t="s">
        <v>56</v>
      </c>
      <c r="J15">
        <v>1E-3</v>
      </c>
      <c r="K15" t="s">
        <v>57</v>
      </c>
      <c r="O15">
        <v>200</v>
      </c>
      <c r="P15" t="s">
        <v>921</v>
      </c>
      <c r="S15">
        <v>1</v>
      </c>
      <c r="T15">
        <v>23</v>
      </c>
      <c r="V15">
        <v>50</v>
      </c>
      <c r="W15" t="s">
        <v>388</v>
      </c>
      <c r="X15" t="s">
        <v>114</v>
      </c>
      <c r="Y15">
        <v>5</v>
      </c>
      <c r="AA15" t="s">
        <v>184</v>
      </c>
      <c r="AB15">
        <v>2.08</v>
      </c>
      <c r="AC15" t="s">
        <v>85</v>
      </c>
      <c r="AI15">
        <v>3</v>
      </c>
      <c r="AT15" t="s">
        <v>65</v>
      </c>
      <c r="AV15" t="s">
        <v>88</v>
      </c>
      <c r="AZ15">
        <v>0</v>
      </c>
      <c r="BA15">
        <v>2.08</v>
      </c>
    </row>
    <row r="16" spans="1:53" x14ac:dyDescent="0.3">
      <c r="A16" t="s">
        <v>919</v>
      </c>
      <c r="C16" t="s">
        <v>920</v>
      </c>
      <c r="E16">
        <v>10000000</v>
      </c>
      <c r="H16">
        <v>10</v>
      </c>
      <c r="I16" t="s">
        <v>56</v>
      </c>
      <c r="J16">
        <v>1E-3</v>
      </c>
      <c r="K16" t="s">
        <v>57</v>
      </c>
      <c r="O16">
        <v>10</v>
      </c>
      <c r="P16" t="s">
        <v>922</v>
      </c>
      <c r="S16">
        <v>1</v>
      </c>
      <c r="T16">
        <v>23</v>
      </c>
      <c r="V16">
        <v>50</v>
      </c>
      <c r="W16" t="s">
        <v>388</v>
      </c>
      <c r="X16" t="s">
        <v>114</v>
      </c>
      <c r="Y16">
        <v>5</v>
      </c>
      <c r="AA16" t="s">
        <v>184</v>
      </c>
      <c r="AB16">
        <v>-0.869999999999999</v>
      </c>
      <c r="AC16" t="s">
        <v>85</v>
      </c>
      <c r="AI16">
        <v>3</v>
      </c>
      <c r="AT16" t="s">
        <v>65</v>
      </c>
      <c r="AV16" t="s">
        <v>88</v>
      </c>
      <c r="AZ16">
        <v>0</v>
      </c>
      <c r="BA16">
        <v>-0.869999999999999</v>
      </c>
    </row>
    <row r="17" spans="1:53" x14ac:dyDescent="0.3">
      <c r="A17" t="s">
        <v>919</v>
      </c>
      <c r="C17" t="s">
        <v>920</v>
      </c>
      <c r="E17">
        <v>10000000</v>
      </c>
      <c r="H17">
        <v>10</v>
      </c>
      <c r="I17" t="s">
        <v>56</v>
      </c>
      <c r="J17">
        <v>1E-3</v>
      </c>
      <c r="K17" t="s">
        <v>57</v>
      </c>
      <c r="O17">
        <v>50</v>
      </c>
      <c r="P17" t="s">
        <v>922</v>
      </c>
      <c r="S17">
        <v>1</v>
      </c>
      <c r="T17">
        <v>23</v>
      </c>
      <c r="V17">
        <v>50</v>
      </c>
      <c r="W17" t="s">
        <v>388</v>
      </c>
      <c r="X17" t="s">
        <v>114</v>
      </c>
      <c r="Y17">
        <v>5</v>
      </c>
      <c r="AA17" t="s">
        <v>184</v>
      </c>
      <c r="AB17">
        <v>0.97</v>
      </c>
      <c r="AC17" t="s">
        <v>85</v>
      </c>
      <c r="AI17">
        <v>3</v>
      </c>
      <c r="AT17" t="s">
        <v>65</v>
      </c>
      <c r="AV17" t="s">
        <v>88</v>
      </c>
      <c r="AZ17">
        <v>0</v>
      </c>
      <c r="BA17">
        <v>0.97</v>
      </c>
    </row>
    <row r="18" spans="1:53" x14ac:dyDescent="0.3">
      <c r="A18" t="s">
        <v>919</v>
      </c>
      <c r="C18" t="s">
        <v>920</v>
      </c>
      <c r="E18">
        <v>10000000</v>
      </c>
      <c r="H18">
        <v>10</v>
      </c>
      <c r="I18" t="s">
        <v>56</v>
      </c>
      <c r="J18">
        <v>1E-3</v>
      </c>
      <c r="K18" t="s">
        <v>57</v>
      </c>
      <c r="O18">
        <v>100</v>
      </c>
      <c r="P18" t="s">
        <v>922</v>
      </c>
      <c r="S18">
        <v>1</v>
      </c>
      <c r="T18">
        <v>23</v>
      </c>
      <c r="V18">
        <v>50</v>
      </c>
      <c r="W18" t="s">
        <v>388</v>
      </c>
      <c r="X18" t="s">
        <v>114</v>
      </c>
      <c r="Y18">
        <v>5</v>
      </c>
      <c r="AA18" t="s">
        <v>184</v>
      </c>
      <c r="AB18">
        <v>3.02</v>
      </c>
      <c r="AC18" t="s">
        <v>85</v>
      </c>
      <c r="AI18">
        <v>3</v>
      </c>
      <c r="AT18" t="s">
        <v>65</v>
      </c>
      <c r="AV18" t="s">
        <v>88</v>
      </c>
      <c r="AZ18">
        <v>0</v>
      </c>
      <c r="BA18">
        <v>3.02</v>
      </c>
    </row>
    <row r="19" spans="1:53" x14ac:dyDescent="0.3">
      <c r="A19" t="s">
        <v>919</v>
      </c>
      <c r="C19" t="s">
        <v>920</v>
      </c>
      <c r="E19">
        <v>10000000</v>
      </c>
      <c r="H19">
        <v>10</v>
      </c>
      <c r="I19" t="s">
        <v>56</v>
      </c>
      <c r="J19">
        <v>1E-3</v>
      </c>
      <c r="K19" t="s">
        <v>57</v>
      </c>
      <c r="O19">
        <v>200</v>
      </c>
      <c r="P19" t="s">
        <v>922</v>
      </c>
      <c r="S19">
        <v>1</v>
      </c>
      <c r="T19">
        <v>23</v>
      </c>
      <c r="V19">
        <v>50</v>
      </c>
      <c r="W19" t="s">
        <v>388</v>
      </c>
      <c r="X19" t="s">
        <v>114</v>
      </c>
      <c r="Y19">
        <v>5</v>
      </c>
      <c r="AA19" t="s">
        <v>184</v>
      </c>
      <c r="AB19">
        <v>2.08</v>
      </c>
      <c r="AC19" t="s">
        <v>85</v>
      </c>
      <c r="AI19">
        <v>3</v>
      </c>
      <c r="AT19" t="s">
        <v>65</v>
      </c>
      <c r="AV19" t="s">
        <v>88</v>
      </c>
      <c r="AZ19">
        <v>0</v>
      </c>
      <c r="BA19">
        <v>2.08</v>
      </c>
    </row>
    <row r="20" spans="1:53" x14ac:dyDescent="0.3">
      <c r="A20" t="s">
        <v>919</v>
      </c>
      <c r="C20" t="s">
        <v>920</v>
      </c>
      <c r="E20">
        <v>10000000</v>
      </c>
      <c r="H20">
        <v>10</v>
      </c>
      <c r="I20" t="s">
        <v>56</v>
      </c>
      <c r="J20">
        <v>1E-3</v>
      </c>
      <c r="K20" t="s">
        <v>57</v>
      </c>
      <c r="O20">
        <v>40</v>
      </c>
      <c r="P20" t="s">
        <v>922</v>
      </c>
      <c r="S20">
        <v>1</v>
      </c>
      <c r="T20">
        <v>23</v>
      </c>
      <c r="V20">
        <v>50</v>
      </c>
      <c r="W20" t="s">
        <v>388</v>
      </c>
      <c r="X20" t="s">
        <v>114</v>
      </c>
      <c r="Y20">
        <v>5</v>
      </c>
      <c r="AA20" t="s">
        <v>184</v>
      </c>
      <c r="AB20">
        <v>-0.96999999999999797</v>
      </c>
      <c r="AC20" t="s">
        <v>85</v>
      </c>
      <c r="AI20">
        <v>3</v>
      </c>
      <c r="AT20" t="s">
        <v>65</v>
      </c>
      <c r="AV20" t="s">
        <v>88</v>
      </c>
      <c r="AZ20">
        <v>0</v>
      </c>
      <c r="BA20">
        <v>-0.96999999999999797</v>
      </c>
    </row>
    <row r="21" spans="1:53" x14ac:dyDescent="0.3">
      <c r="A21" t="s">
        <v>919</v>
      </c>
      <c r="C21" t="s">
        <v>920</v>
      </c>
      <c r="E21">
        <v>10000000</v>
      </c>
      <c r="H21">
        <v>10</v>
      </c>
      <c r="I21" t="s">
        <v>56</v>
      </c>
      <c r="J21">
        <v>1E-3</v>
      </c>
      <c r="K21" t="s">
        <v>57</v>
      </c>
      <c r="O21">
        <v>80</v>
      </c>
      <c r="P21" t="s">
        <v>922</v>
      </c>
      <c r="S21">
        <v>1</v>
      </c>
      <c r="T21">
        <v>23</v>
      </c>
      <c r="V21">
        <v>50</v>
      </c>
      <c r="W21" t="s">
        <v>388</v>
      </c>
      <c r="X21" t="s">
        <v>114</v>
      </c>
      <c r="Y21">
        <v>5</v>
      </c>
      <c r="AA21" t="s">
        <v>184</v>
      </c>
      <c r="AB21">
        <v>-0.869999999999999</v>
      </c>
      <c r="AC21" t="s">
        <v>85</v>
      </c>
      <c r="AI21">
        <v>3</v>
      </c>
      <c r="AT21" t="s">
        <v>65</v>
      </c>
      <c r="AV21" t="s">
        <v>88</v>
      </c>
      <c r="AZ21">
        <v>0</v>
      </c>
      <c r="BA21">
        <v>-0.869999999999999</v>
      </c>
    </row>
    <row r="22" spans="1:53" x14ac:dyDescent="0.3">
      <c r="A22" t="s">
        <v>919</v>
      </c>
      <c r="B22" t="s">
        <v>923</v>
      </c>
      <c r="C22" t="s">
        <v>920</v>
      </c>
      <c r="E22">
        <v>10000000</v>
      </c>
      <c r="H22">
        <v>10</v>
      </c>
      <c r="I22" t="s">
        <v>56</v>
      </c>
      <c r="J22">
        <v>1E-3</v>
      </c>
      <c r="K22" t="s">
        <v>57</v>
      </c>
      <c r="O22">
        <v>10</v>
      </c>
      <c r="P22" t="s">
        <v>921</v>
      </c>
      <c r="S22">
        <v>1</v>
      </c>
      <c r="T22">
        <v>23</v>
      </c>
      <c r="V22">
        <v>50</v>
      </c>
      <c r="W22" t="s">
        <v>924</v>
      </c>
      <c r="X22" t="s">
        <v>114</v>
      </c>
      <c r="Y22">
        <v>5</v>
      </c>
      <c r="AB22">
        <v>5.99999999999987E-2</v>
      </c>
      <c r="AC22" t="s">
        <v>85</v>
      </c>
      <c r="AI22">
        <v>3</v>
      </c>
      <c r="AV22" t="s">
        <v>88</v>
      </c>
    </row>
    <row r="23" spans="1:53" x14ac:dyDescent="0.3">
      <c r="A23" t="s">
        <v>919</v>
      </c>
      <c r="B23" t="s">
        <v>923</v>
      </c>
      <c r="C23" t="s">
        <v>920</v>
      </c>
      <c r="E23">
        <v>10000000</v>
      </c>
      <c r="H23">
        <v>10</v>
      </c>
      <c r="I23" t="s">
        <v>56</v>
      </c>
      <c r="J23">
        <v>1E-3</v>
      </c>
      <c r="K23" t="s">
        <v>57</v>
      </c>
      <c r="O23">
        <v>50</v>
      </c>
      <c r="P23" t="s">
        <v>921</v>
      </c>
      <c r="S23">
        <v>1</v>
      </c>
      <c r="T23">
        <v>23</v>
      </c>
      <c r="V23">
        <v>50</v>
      </c>
      <c r="W23" t="s">
        <v>924</v>
      </c>
      <c r="X23" t="s">
        <v>114</v>
      </c>
      <c r="Y23">
        <v>5</v>
      </c>
      <c r="AA23" t="s">
        <v>184</v>
      </c>
      <c r="AB23">
        <v>3.3099999999999898</v>
      </c>
      <c r="AC23" t="s">
        <v>85</v>
      </c>
      <c r="AI23">
        <v>3</v>
      </c>
      <c r="AV23" t="s">
        <v>88</v>
      </c>
      <c r="AZ23">
        <v>0</v>
      </c>
      <c r="BA23">
        <v>3.3099999999999898</v>
      </c>
    </row>
    <row r="24" spans="1:53" x14ac:dyDescent="0.3">
      <c r="A24" t="s">
        <v>919</v>
      </c>
      <c r="B24" t="s">
        <v>923</v>
      </c>
      <c r="C24" t="s">
        <v>920</v>
      </c>
      <c r="E24">
        <v>10000000</v>
      </c>
      <c r="H24">
        <v>10</v>
      </c>
      <c r="I24" t="s">
        <v>56</v>
      </c>
      <c r="J24">
        <v>1E-3</v>
      </c>
      <c r="K24" t="s">
        <v>57</v>
      </c>
      <c r="O24">
        <v>100</v>
      </c>
      <c r="P24" t="s">
        <v>921</v>
      </c>
      <c r="S24">
        <v>1</v>
      </c>
      <c r="T24">
        <v>23</v>
      </c>
      <c r="V24">
        <v>50</v>
      </c>
      <c r="W24" t="s">
        <v>924</v>
      </c>
      <c r="X24" t="s">
        <v>114</v>
      </c>
      <c r="Y24">
        <v>5</v>
      </c>
      <c r="AA24" t="s">
        <v>184</v>
      </c>
      <c r="AB24">
        <v>4.8299999999999903</v>
      </c>
      <c r="AC24" t="s">
        <v>85</v>
      </c>
      <c r="AI24">
        <v>3</v>
      </c>
      <c r="AV24" t="s">
        <v>88</v>
      </c>
      <c r="AZ24">
        <v>0</v>
      </c>
      <c r="BA24">
        <v>4.8299999999999903</v>
      </c>
    </row>
    <row r="25" spans="1:53" x14ac:dyDescent="0.3">
      <c r="A25" t="s">
        <v>919</v>
      </c>
      <c r="B25" t="s">
        <v>923</v>
      </c>
      <c r="C25" t="s">
        <v>920</v>
      </c>
      <c r="E25">
        <v>10000000</v>
      </c>
      <c r="H25">
        <v>10</v>
      </c>
      <c r="I25" t="s">
        <v>56</v>
      </c>
      <c r="J25">
        <v>1E-3</v>
      </c>
      <c r="K25" t="s">
        <v>57</v>
      </c>
      <c r="O25">
        <v>200</v>
      </c>
      <c r="P25" t="s">
        <v>921</v>
      </c>
      <c r="S25">
        <v>1</v>
      </c>
      <c r="T25">
        <v>23</v>
      </c>
      <c r="V25">
        <v>50</v>
      </c>
      <c r="W25" t="s">
        <v>924</v>
      </c>
      <c r="X25" t="s">
        <v>114</v>
      </c>
      <c r="Y25">
        <v>5</v>
      </c>
      <c r="AA25" t="s">
        <v>184</v>
      </c>
      <c r="AB25">
        <v>6.6799999999999899</v>
      </c>
      <c r="AC25" t="s">
        <v>85</v>
      </c>
      <c r="AI25">
        <v>3</v>
      </c>
      <c r="AV25" t="s">
        <v>88</v>
      </c>
      <c r="AZ25">
        <v>0</v>
      </c>
      <c r="BA25">
        <v>6.6799999999999899</v>
      </c>
    </row>
    <row r="26" spans="1:53" x14ac:dyDescent="0.3">
      <c r="A26" t="s">
        <v>919</v>
      </c>
      <c r="B26" t="s">
        <v>923</v>
      </c>
      <c r="C26" t="s">
        <v>920</v>
      </c>
      <c r="E26">
        <v>10000000</v>
      </c>
      <c r="H26">
        <v>10</v>
      </c>
      <c r="I26" t="s">
        <v>56</v>
      </c>
      <c r="J26">
        <v>1E-3</v>
      </c>
      <c r="K26" t="s">
        <v>57</v>
      </c>
      <c r="O26">
        <v>10</v>
      </c>
      <c r="P26" t="s">
        <v>922</v>
      </c>
      <c r="S26">
        <v>1</v>
      </c>
      <c r="T26">
        <v>23</v>
      </c>
      <c r="V26">
        <v>50</v>
      </c>
      <c r="W26" t="s">
        <v>924</v>
      </c>
      <c r="X26" t="s">
        <v>114</v>
      </c>
      <c r="Y26">
        <v>5</v>
      </c>
      <c r="AB26">
        <v>7.0000000000000201E-2</v>
      </c>
      <c r="AC26" t="s">
        <v>85</v>
      </c>
      <c r="AI26">
        <v>3</v>
      </c>
      <c r="AV26" t="s">
        <v>88</v>
      </c>
    </row>
    <row r="27" spans="1:53" x14ac:dyDescent="0.3">
      <c r="A27" t="s">
        <v>919</v>
      </c>
      <c r="B27" t="s">
        <v>923</v>
      </c>
      <c r="C27" t="s">
        <v>920</v>
      </c>
      <c r="E27">
        <v>10000000</v>
      </c>
      <c r="H27">
        <v>10</v>
      </c>
      <c r="I27" t="s">
        <v>56</v>
      </c>
      <c r="J27">
        <v>1E-3</v>
      </c>
      <c r="K27" t="s">
        <v>57</v>
      </c>
      <c r="O27">
        <v>50</v>
      </c>
      <c r="P27" t="s">
        <v>922</v>
      </c>
      <c r="S27">
        <v>1</v>
      </c>
      <c r="T27">
        <v>23</v>
      </c>
      <c r="V27">
        <v>50</v>
      </c>
      <c r="W27" t="s">
        <v>924</v>
      </c>
      <c r="X27" t="s">
        <v>114</v>
      </c>
      <c r="Y27">
        <v>5</v>
      </c>
      <c r="AB27">
        <v>0.34999999999999698</v>
      </c>
      <c r="AC27" t="s">
        <v>85</v>
      </c>
      <c r="AI27">
        <v>3</v>
      </c>
      <c r="AV27" t="s">
        <v>88</v>
      </c>
    </row>
    <row r="28" spans="1:53" x14ac:dyDescent="0.3">
      <c r="A28" t="s">
        <v>919</v>
      </c>
      <c r="B28" t="s">
        <v>923</v>
      </c>
      <c r="C28" t="s">
        <v>920</v>
      </c>
      <c r="E28">
        <v>10000000</v>
      </c>
      <c r="H28">
        <v>10</v>
      </c>
      <c r="I28" t="s">
        <v>56</v>
      </c>
      <c r="J28">
        <v>1E-3</v>
      </c>
      <c r="K28" t="s">
        <v>57</v>
      </c>
      <c r="O28">
        <v>100</v>
      </c>
      <c r="P28" t="s">
        <v>922</v>
      </c>
      <c r="S28">
        <v>1</v>
      </c>
      <c r="T28">
        <v>23</v>
      </c>
      <c r="V28">
        <v>50</v>
      </c>
      <c r="W28" t="s">
        <v>924</v>
      </c>
      <c r="X28" t="s">
        <v>114</v>
      </c>
      <c r="Y28">
        <v>5</v>
      </c>
      <c r="AB28">
        <v>0.96999999999999797</v>
      </c>
      <c r="AC28" t="s">
        <v>85</v>
      </c>
      <c r="AI28">
        <v>3</v>
      </c>
      <c r="AV28" t="s">
        <v>88</v>
      </c>
    </row>
    <row r="29" spans="1:53" x14ac:dyDescent="0.3">
      <c r="A29" t="s">
        <v>919</v>
      </c>
      <c r="B29" t="s">
        <v>923</v>
      </c>
      <c r="C29" t="s">
        <v>920</v>
      </c>
      <c r="E29">
        <v>10000000</v>
      </c>
      <c r="H29">
        <v>10</v>
      </c>
      <c r="I29" t="s">
        <v>56</v>
      </c>
      <c r="J29">
        <v>1E-3</v>
      </c>
      <c r="K29" t="s">
        <v>57</v>
      </c>
      <c r="O29">
        <v>200</v>
      </c>
      <c r="P29" t="s">
        <v>922</v>
      </c>
      <c r="S29">
        <v>1</v>
      </c>
      <c r="T29">
        <v>23</v>
      </c>
      <c r="V29">
        <v>50</v>
      </c>
      <c r="W29" t="s">
        <v>924</v>
      </c>
      <c r="X29" t="s">
        <v>114</v>
      </c>
      <c r="Y29">
        <v>5</v>
      </c>
      <c r="AB29">
        <v>2.5499999999999901</v>
      </c>
      <c r="AC29" t="s">
        <v>85</v>
      </c>
      <c r="AI29">
        <v>3</v>
      </c>
      <c r="AV29" t="s">
        <v>88</v>
      </c>
    </row>
    <row r="30" spans="1:53" x14ac:dyDescent="0.3">
      <c r="A30" t="s">
        <v>919</v>
      </c>
      <c r="B30" t="s">
        <v>923</v>
      </c>
      <c r="C30" t="s">
        <v>920</v>
      </c>
      <c r="E30">
        <v>10000000</v>
      </c>
      <c r="H30">
        <v>10</v>
      </c>
      <c r="I30" t="s">
        <v>56</v>
      </c>
      <c r="J30">
        <v>1E-3</v>
      </c>
      <c r="K30" t="s">
        <v>57</v>
      </c>
      <c r="O30">
        <v>40</v>
      </c>
      <c r="P30" t="s">
        <v>922</v>
      </c>
      <c r="S30">
        <v>1</v>
      </c>
      <c r="T30">
        <v>23</v>
      </c>
      <c r="V30">
        <v>50</v>
      </c>
      <c r="W30" t="s">
        <v>924</v>
      </c>
      <c r="X30" t="s">
        <v>114</v>
      </c>
      <c r="Y30">
        <v>5</v>
      </c>
      <c r="AB30">
        <v>0.19999999999999901</v>
      </c>
      <c r="AC30" t="s">
        <v>85</v>
      </c>
      <c r="AI30">
        <v>3</v>
      </c>
      <c r="AV30" t="s">
        <v>88</v>
      </c>
    </row>
    <row r="31" spans="1:53" x14ac:dyDescent="0.3">
      <c r="A31" t="s">
        <v>919</v>
      </c>
      <c r="B31" t="s">
        <v>923</v>
      </c>
      <c r="C31" t="s">
        <v>920</v>
      </c>
      <c r="E31">
        <v>10000000</v>
      </c>
      <c r="H31">
        <v>10</v>
      </c>
      <c r="I31" t="s">
        <v>56</v>
      </c>
      <c r="J31">
        <v>1E-3</v>
      </c>
      <c r="K31" t="s">
        <v>57</v>
      </c>
      <c r="O31">
        <v>80</v>
      </c>
      <c r="P31" t="s">
        <v>922</v>
      </c>
      <c r="S31">
        <v>1</v>
      </c>
      <c r="T31">
        <v>23</v>
      </c>
      <c r="V31">
        <v>50</v>
      </c>
      <c r="W31" t="s">
        <v>924</v>
      </c>
      <c r="X31" t="s">
        <v>114</v>
      </c>
      <c r="Y31">
        <v>5</v>
      </c>
      <c r="AB31">
        <v>6.9999999999998494E-2</v>
      </c>
      <c r="AC31" t="s">
        <v>85</v>
      </c>
      <c r="AI31">
        <v>3</v>
      </c>
      <c r="AV31" t="s">
        <v>88</v>
      </c>
    </row>
    <row r="32" spans="1:53" x14ac:dyDescent="0.3">
      <c r="A32" t="s">
        <v>919</v>
      </c>
      <c r="B32" t="s">
        <v>923</v>
      </c>
      <c r="C32" t="s">
        <v>920</v>
      </c>
      <c r="E32">
        <v>10000000</v>
      </c>
      <c r="H32">
        <v>10</v>
      </c>
      <c r="I32" t="s">
        <v>56</v>
      </c>
      <c r="J32">
        <v>1E-3</v>
      </c>
      <c r="K32" t="s">
        <v>57</v>
      </c>
      <c r="O32">
        <v>10</v>
      </c>
      <c r="P32" t="s">
        <v>921</v>
      </c>
      <c r="S32">
        <v>1</v>
      </c>
      <c r="T32">
        <v>23</v>
      </c>
      <c r="V32">
        <v>50</v>
      </c>
      <c r="W32" t="s">
        <v>924</v>
      </c>
      <c r="X32" t="s">
        <v>114</v>
      </c>
      <c r="Y32">
        <v>5</v>
      </c>
      <c r="AB32">
        <v>0.20000000000000101</v>
      </c>
      <c r="AC32" t="s">
        <v>85</v>
      </c>
      <c r="AI32">
        <v>3</v>
      </c>
      <c r="AV32" t="s">
        <v>88</v>
      </c>
    </row>
    <row r="33" spans="1:53" x14ac:dyDescent="0.3">
      <c r="A33" t="s">
        <v>919</v>
      </c>
      <c r="B33" t="s">
        <v>923</v>
      </c>
      <c r="C33" t="s">
        <v>920</v>
      </c>
      <c r="E33">
        <v>10000000</v>
      </c>
      <c r="H33">
        <v>10</v>
      </c>
      <c r="I33" t="s">
        <v>56</v>
      </c>
      <c r="J33">
        <v>1E-3</v>
      </c>
      <c r="K33" t="s">
        <v>57</v>
      </c>
      <c r="O33">
        <v>50</v>
      </c>
      <c r="P33" t="s">
        <v>921</v>
      </c>
      <c r="S33">
        <v>1</v>
      </c>
      <c r="T33">
        <v>23</v>
      </c>
      <c r="V33">
        <v>50</v>
      </c>
      <c r="W33" t="s">
        <v>924</v>
      </c>
      <c r="X33" t="s">
        <v>114</v>
      </c>
      <c r="Y33">
        <v>5</v>
      </c>
      <c r="AA33" t="s">
        <v>184</v>
      </c>
      <c r="AB33">
        <v>3.37</v>
      </c>
      <c r="AC33" t="s">
        <v>85</v>
      </c>
      <c r="AI33">
        <v>3</v>
      </c>
      <c r="AV33" t="s">
        <v>88</v>
      </c>
      <c r="AZ33">
        <v>0</v>
      </c>
      <c r="BA33">
        <v>3.37</v>
      </c>
    </row>
    <row r="34" spans="1:53" x14ac:dyDescent="0.3">
      <c r="A34" t="s">
        <v>919</v>
      </c>
      <c r="B34" t="s">
        <v>923</v>
      </c>
      <c r="C34" t="s">
        <v>920</v>
      </c>
      <c r="E34">
        <v>10000000</v>
      </c>
      <c r="H34">
        <v>10</v>
      </c>
      <c r="I34" t="s">
        <v>56</v>
      </c>
      <c r="J34">
        <v>1E-3</v>
      </c>
      <c r="K34" t="s">
        <v>57</v>
      </c>
      <c r="O34">
        <v>100</v>
      </c>
      <c r="P34" t="s">
        <v>921</v>
      </c>
      <c r="S34">
        <v>1</v>
      </c>
      <c r="T34">
        <v>23</v>
      </c>
      <c r="V34">
        <v>50</v>
      </c>
      <c r="W34" t="s">
        <v>924</v>
      </c>
      <c r="X34" t="s">
        <v>114</v>
      </c>
      <c r="Y34">
        <v>5</v>
      </c>
      <c r="AA34" t="s">
        <v>184</v>
      </c>
      <c r="AB34">
        <v>5.77</v>
      </c>
      <c r="AC34" t="s">
        <v>85</v>
      </c>
      <c r="AI34">
        <v>3</v>
      </c>
      <c r="AV34" t="s">
        <v>88</v>
      </c>
      <c r="AZ34">
        <v>0</v>
      </c>
      <c r="BA34">
        <v>5.77</v>
      </c>
    </row>
    <row r="35" spans="1:53" x14ac:dyDescent="0.3">
      <c r="A35" t="s">
        <v>919</v>
      </c>
      <c r="B35" t="s">
        <v>923</v>
      </c>
      <c r="C35" t="s">
        <v>920</v>
      </c>
      <c r="E35">
        <v>10000000</v>
      </c>
      <c r="H35">
        <v>10</v>
      </c>
      <c r="I35" t="s">
        <v>56</v>
      </c>
      <c r="J35">
        <v>1E-3</v>
      </c>
      <c r="K35" t="s">
        <v>57</v>
      </c>
      <c r="O35">
        <v>200</v>
      </c>
      <c r="P35" t="s">
        <v>921</v>
      </c>
      <c r="S35">
        <v>1</v>
      </c>
      <c r="T35">
        <v>23</v>
      </c>
      <c r="V35">
        <v>50</v>
      </c>
      <c r="W35" t="s">
        <v>924</v>
      </c>
      <c r="X35" t="s">
        <v>114</v>
      </c>
      <c r="Y35">
        <v>5</v>
      </c>
      <c r="AA35" t="s">
        <v>184</v>
      </c>
      <c r="AB35">
        <v>7.08</v>
      </c>
      <c r="AC35" t="s">
        <v>85</v>
      </c>
      <c r="AI35">
        <v>3</v>
      </c>
      <c r="AV35" t="s">
        <v>88</v>
      </c>
      <c r="AZ35">
        <v>0</v>
      </c>
      <c r="BA35">
        <v>7.08</v>
      </c>
    </row>
    <row r="36" spans="1:53" x14ac:dyDescent="0.3">
      <c r="A36" t="s">
        <v>919</v>
      </c>
      <c r="B36" t="s">
        <v>923</v>
      </c>
      <c r="C36" t="s">
        <v>920</v>
      </c>
      <c r="E36">
        <v>100000000</v>
      </c>
      <c r="H36">
        <v>10</v>
      </c>
      <c r="I36" t="s">
        <v>56</v>
      </c>
      <c r="J36">
        <v>1E-3</v>
      </c>
      <c r="K36" t="s">
        <v>57</v>
      </c>
      <c r="O36">
        <v>10</v>
      </c>
      <c r="P36" t="s">
        <v>922</v>
      </c>
      <c r="S36">
        <v>1</v>
      </c>
      <c r="T36">
        <v>23</v>
      </c>
      <c r="V36">
        <v>50</v>
      </c>
      <c r="W36" t="s">
        <v>924</v>
      </c>
      <c r="X36" t="s">
        <v>114</v>
      </c>
      <c r="Y36">
        <v>5</v>
      </c>
      <c r="AB36">
        <v>0.12</v>
      </c>
      <c r="AC36" t="s">
        <v>85</v>
      </c>
      <c r="AI36">
        <v>3</v>
      </c>
      <c r="AV36" t="s">
        <v>88</v>
      </c>
    </row>
    <row r="37" spans="1:53" x14ac:dyDescent="0.3">
      <c r="A37" t="s">
        <v>919</v>
      </c>
      <c r="B37" t="s">
        <v>923</v>
      </c>
      <c r="C37" t="s">
        <v>920</v>
      </c>
      <c r="E37">
        <v>100000000</v>
      </c>
      <c r="H37">
        <v>10</v>
      </c>
      <c r="I37" t="s">
        <v>56</v>
      </c>
      <c r="J37">
        <v>1E-3</v>
      </c>
      <c r="K37" t="s">
        <v>57</v>
      </c>
      <c r="O37">
        <v>50</v>
      </c>
      <c r="P37" t="s">
        <v>922</v>
      </c>
      <c r="S37">
        <v>1</v>
      </c>
      <c r="T37">
        <v>23</v>
      </c>
      <c r="V37">
        <v>50</v>
      </c>
      <c r="W37" t="s">
        <v>924</v>
      </c>
      <c r="X37" t="s">
        <v>114</v>
      </c>
      <c r="Y37">
        <v>5</v>
      </c>
      <c r="AB37">
        <v>0.69000000000000095</v>
      </c>
      <c r="AC37" t="s">
        <v>85</v>
      </c>
      <c r="AI37">
        <v>3</v>
      </c>
      <c r="AV37" t="s">
        <v>88</v>
      </c>
    </row>
    <row r="38" spans="1:53" x14ac:dyDescent="0.3">
      <c r="A38" t="s">
        <v>919</v>
      </c>
      <c r="B38" t="s">
        <v>923</v>
      </c>
      <c r="C38" t="s">
        <v>920</v>
      </c>
      <c r="E38">
        <v>100000000</v>
      </c>
      <c r="H38">
        <v>10</v>
      </c>
      <c r="I38" t="s">
        <v>56</v>
      </c>
      <c r="J38">
        <v>1E-3</v>
      </c>
      <c r="K38" t="s">
        <v>57</v>
      </c>
      <c r="O38">
        <v>100</v>
      </c>
      <c r="P38" t="s">
        <v>922</v>
      </c>
      <c r="S38">
        <v>1</v>
      </c>
      <c r="T38">
        <v>23</v>
      </c>
      <c r="V38">
        <v>50</v>
      </c>
      <c r="W38" t="s">
        <v>924</v>
      </c>
      <c r="X38" t="s">
        <v>114</v>
      </c>
      <c r="Y38">
        <v>5</v>
      </c>
      <c r="AB38">
        <v>1.73</v>
      </c>
      <c r="AC38" t="s">
        <v>85</v>
      </c>
      <c r="AI38">
        <v>3</v>
      </c>
      <c r="AV38" t="s">
        <v>88</v>
      </c>
    </row>
    <row r="39" spans="1:53" x14ac:dyDescent="0.3">
      <c r="A39" t="s">
        <v>919</v>
      </c>
      <c r="B39" t="s">
        <v>923</v>
      </c>
      <c r="C39" t="s">
        <v>920</v>
      </c>
      <c r="E39">
        <v>100000000</v>
      </c>
      <c r="H39">
        <v>10</v>
      </c>
      <c r="I39" t="s">
        <v>56</v>
      </c>
      <c r="J39">
        <v>1E-3</v>
      </c>
      <c r="K39" t="s">
        <v>57</v>
      </c>
      <c r="O39">
        <v>200</v>
      </c>
      <c r="P39" t="s">
        <v>922</v>
      </c>
      <c r="S39">
        <v>1</v>
      </c>
      <c r="T39">
        <v>23</v>
      </c>
      <c r="V39">
        <v>50</v>
      </c>
      <c r="W39" t="s">
        <v>924</v>
      </c>
      <c r="X39" t="s">
        <v>114</v>
      </c>
      <c r="Y39">
        <v>5</v>
      </c>
      <c r="AB39">
        <v>3.32</v>
      </c>
      <c r="AC39" t="s">
        <v>85</v>
      </c>
      <c r="AI39">
        <v>3</v>
      </c>
      <c r="AV39" t="s">
        <v>88</v>
      </c>
    </row>
    <row r="40" spans="1:53" x14ac:dyDescent="0.3">
      <c r="A40" t="s">
        <v>919</v>
      </c>
      <c r="B40" t="s">
        <v>923</v>
      </c>
      <c r="C40" t="s">
        <v>920</v>
      </c>
      <c r="E40">
        <v>100000000</v>
      </c>
      <c r="H40">
        <v>10</v>
      </c>
      <c r="I40" t="s">
        <v>56</v>
      </c>
      <c r="J40">
        <v>1E-3</v>
      </c>
      <c r="K40" t="s">
        <v>57</v>
      </c>
      <c r="O40">
        <v>40</v>
      </c>
      <c r="P40" t="s">
        <v>922</v>
      </c>
      <c r="S40">
        <v>1</v>
      </c>
      <c r="T40">
        <v>23</v>
      </c>
      <c r="V40">
        <v>50</v>
      </c>
      <c r="W40" t="s">
        <v>924</v>
      </c>
      <c r="X40" t="s">
        <v>114</v>
      </c>
      <c r="Y40">
        <v>5</v>
      </c>
      <c r="AB40">
        <v>-1.9999999999999501E-2</v>
      </c>
      <c r="AC40" t="s">
        <v>85</v>
      </c>
      <c r="AI40">
        <v>3</v>
      </c>
      <c r="AV40" t="s">
        <v>88</v>
      </c>
    </row>
    <row r="41" spans="1:53" x14ac:dyDescent="0.3">
      <c r="A41" t="s">
        <v>919</v>
      </c>
      <c r="B41" t="s">
        <v>923</v>
      </c>
      <c r="C41" t="s">
        <v>920</v>
      </c>
      <c r="E41">
        <v>100000000</v>
      </c>
      <c r="H41">
        <v>10</v>
      </c>
      <c r="I41" t="s">
        <v>56</v>
      </c>
      <c r="J41">
        <v>1E-3</v>
      </c>
      <c r="K41" t="s">
        <v>57</v>
      </c>
      <c r="O41">
        <v>80</v>
      </c>
      <c r="P41" t="s">
        <v>922</v>
      </c>
      <c r="S41">
        <v>1</v>
      </c>
      <c r="T41">
        <v>23</v>
      </c>
      <c r="V41">
        <v>50</v>
      </c>
      <c r="W41" t="s">
        <v>924</v>
      </c>
      <c r="X41" t="s">
        <v>114</v>
      </c>
      <c r="Y41">
        <v>5</v>
      </c>
      <c r="AB41">
        <v>-5.99999999999987E-2</v>
      </c>
      <c r="AC41" t="s">
        <v>85</v>
      </c>
      <c r="AI41">
        <v>3</v>
      </c>
      <c r="AV41" t="s">
        <v>88</v>
      </c>
    </row>
    <row r="42" spans="1:53" x14ac:dyDescent="0.3">
      <c r="A42" t="s">
        <v>919</v>
      </c>
      <c r="C42" t="s">
        <v>920</v>
      </c>
      <c r="E42">
        <v>100000000</v>
      </c>
      <c r="O42">
        <v>10</v>
      </c>
      <c r="P42" t="s">
        <v>921</v>
      </c>
      <c r="S42">
        <v>1</v>
      </c>
      <c r="T42">
        <v>23</v>
      </c>
      <c r="V42">
        <v>50</v>
      </c>
      <c r="W42" t="s">
        <v>925</v>
      </c>
      <c r="X42" t="s">
        <v>114</v>
      </c>
      <c r="Y42">
        <v>5</v>
      </c>
      <c r="AB42">
        <v>1.72</v>
      </c>
      <c r="AC42" t="s">
        <v>85</v>
      </c>
      <c r="AI42">
        <v>3</v>
      </c>
    </row>
    <row r="43" spans="1:53" x14ac:dyDescent="0.3">
      <c r="A43" t="s">
        <v>919</v>
      </c>
      <c r="C43" t="s">
        <v>920</v>
      </c>
      <c r="E43">
        <v>100000000</v>
      </c>
      <c r="O43">
        <v>50</v>
      </c>
      <c r="P43" t="s">
        <v>921</v>
      </c>
      <c r="S43">
        <v>1</v>
      </c>
      <c r="T43">
        <v>23</v>
      </c>
      <c r="V43">
        <v>50</v>
      </c>
      <c r="W43" t="s">
        <v>925</v>
      </c>
      <c r="X43" t="s">
        <v>114</v>
      </c>
      <c r="Y43">
        <v>5</v>
      </c>
      <c r="AB43">
        <v>5.85</v>
      </c>
      <c r="AC43" t="s">
        <v>85</v>
      </c>
      <c r="AI43">
        <v>3</v>
      </c>
    </row>
    <row r="44" spans="1:53" x14ac:dyDescent="0.3">
      <c r="A44" t="s">
        <v>919</v>
      </c>
      <c r="C44" t="s">
        <v>920</v>
      </c>
      <c r="E44">
        <v>100000000</v>
      </c>
      <c r="O44">
        <v>100</v>
      </c>
      <c r="P44" t="s">
        <v>921</v>
      </c>
      <c r="S44">
        <v>1</v>
      </c>
      <c r="T44">
        <v>23</v>
      </c>
      <c r="V44">
        <v>50</v>
      </c>
      <c r="W44" t="s">
        <v>925</v>
      </c>
      <c r="X44" t="s">
        <v>114</v>
      </c>
      <c r="Y44">
        <v>5</v>
      </c>
      <c r="AA44" t="s">
        <v>184</v>
      </c>
      <c r="AB44">
        <v>5.8599999999999897</v>
      </c>
      <c r="AC44" t="s">
        <v>85</v>
      </c>
      <c r="AI44">
        <v>3</v>
      </c>
      <c r="AZ44">
        <v>0</v>
      </c>
      <c r="BA44">
        <v>5.8599999999999897</v>
      </c>
    </row>
    <row r="45" spans="1:53" x14ac:dyDescent="0.3">
      <c r="A45" t="s">
        <v>919</v>
      </c>
      <c r="C45" t="s">
        <v>920</v>
      </c>
      <c r="E45">
        <v>100000000</v>
      </c>
      <c r="O45">
        <v>10</v>
      </c>
      <c r="P45" t="s">
        <v>922</v>
      </c>
      <c r="S45">
        <v>1</v>
      </c>
      <c r="T45">
        <v>23</v>
      </c>
      <c r="V45">
        <v>50</v>
      </c>
      <c r="W45" t="s">
        <v>925</v>
      </c>
      <c r="X45" t="s">
        <v>114</v>
      </c>
      <c r="Y45">
        <v>5</v>
      </c>
      <c r="AB45">
        <v>0.49</v>
      </c>
      <c r="AC45" t="s">
        <v>85</v>
      </c>
      <c r="AI45">
        <v>3</v>
      </c>
    </row>
    <row r="46" spans="1:53" x14ac:dyDescent="0.3">
      <c r="A46" t="s">
        <v>919</v>
      </c>
      <c r="C46" t="s">
        <v>920</v>
      </c>
      <c r="E46">
        <v>100000000</v>
      </c>
      <c r="O46">
        <v>50</v>
      </c>
      <c r="P46" t="s">
        <v>922</v>
      </c>
      <c r="S46">
        <v>1</v>
      </c>
      <c r="T46">
        <v>23</v>
      </c>
      <c r="V46">
        <v>50</v>
      </c>
      <c r="W46" t="s">
        <v>925</v>
      </c>
      <c r="X46" t="s">
        <v>114</v>
      </c>
      <c r="Y46">
        <v>5</v>
      </c>
      <c r="AB46">
        <v>6.64</v>
      </c>
      <c r="AC46" t="s">
        <v>85</v>
      </c>
      <c r="AI46">
        <v>3</v>
      </c>
    </row>
    <row r="47" spans="1:53" x14ac:dyDescent="0.3">
      <c r="A47" t="s">
        <v>919</v>
      </c>
      <c r="C47" t="s">
        <v>920</v>
      </c>
      <c r="E47">
        <v>100000000</v>
      </c>
      <c r="O47">
        <v>100</v>
      </c>
      <c r="P47" t="s">
        <v>922</v>
      </c>
      <c r="S47">
        <v>1</v>
      </c>
      <c r="T47">
        <v>23</v>
      </c>
      <c r="V47">
        <v>50</v>
      </c>
      <c r="W47" t="s">
        <v>925</v>
      </c>
      <c r="X47" t="s">
        <v>114</v>
      </c>
      <c r="Y47">
        <v>5</v>
      </c>
      <c r="AA47" t="s">
        <v>184</v>
      </c>
      <c r="AB47">
        <v>5.64</v>
      </c>
      <c r="AC47" t="s">
        <v>85</v>
      </c>
      <c r="AI47">
        <v>3</v>
      </c>
      <c r="AZ47">
        <v>0</v>
      </c>
      <c r="BA47">
        <v>5.64</v>
      </c>
    </row>
    <row r="48" spans="1:53" x14ac:dyDescent="0.3">
      <c r="A48" t="s">
        <v>919</v>
      </c>
      <c r="C48" t="s">
        <v>920</v>
      </c>
      <c r="E48">
        <v>100000000</v>
      </c>
      <c r="O48">
        <v>40</v>
      </c>
      <c r="P48" t="s">
        <v>922</v>
      </c>
      <c r="S48">
        <v>1</v>
      </c>
      <c r="T48">
        <v>23</v>
      </c>
      <c r="V48">
        <v>50</v>
      </c>
      <c r="W48" t="s">
        <v>925</v>
      </c>
      <c r="X48" t="s">
        <v>114</v>
      </c>
      <c r="Y48">
        <v>5</v>
      </c>
      <c r="AB48">
        <v>-0.14000000000000001</v>
      </c>
      <c r="AC48" t="s">
        <v>85</v>
      </c>
      <c r="AI48">
        <v>3</v>
      </c>
    </row>
    <row r="49" spans="1:53" x14ac:dyDescent="0.3">
      <c r="A49" t="s">
        <v>919</v>
      </c>
      <c r="C49" t="s">
        <v>920</v>
      </c>
      <c r="E49">
        <v>100000000</v>
      </c>
      <c r="O49">
        <v>80</v>
      </c>
      <c r="P49" t="s">
        <v>922</v>
      </c>
      <c r="S49">
        <v>1</v>
      </c>
      <c r="T49">
        <v>23</v>
      </c>
      <c r="V49">
        <v>50</v>
      </c>
      <c r="W49" t="s">
        <v>925</v>
      </c>
      <c r="X49" t="s">
        <v>114</v>
      </c>
      <c r="Y49">
        <v>5</v>
      </c>
      <c r="AB49">
        <v>-0.160000000000001</v>
      </c>
      <c r="AC49" t="s">
        <v>85</v>
      </c>
      <c r="AI49">
        <v>3</v>
      </c>
    </row>
    <row r="50" spans="1:53" x14ac:dyDescent="0.3">
      <c r="A50" t="s">
        <v>919</v>
      </c>
      <c r="C50" t="s">
        <v>920</v>
      </c>
      <c r="E50">
        <v>100000000</v>
      </c>
      <c r="O50">
        <v>10</v>
      </c>
      <c r="P50" t="s">
        <v>921</v>
      </c>
      <c r="S50">
        <v>1</v>
      </c>
      <c r="T50">
        <v>23</v>
      </c>
      <c r="V50">
        <v>50</v>
      </c>
      <c r="W50" t="s">
        <v>925</v>
      </c>
      <c r="X50" t="s">
        <v>114</v>
      </c>
      <c r="Y50">
        <v>5</v>
      </c>
      <c r="AB50">
        <v>4.5</v>
      </c>
      <c r="AC50" t="s">
        <v>85</v>
      </c>
      <c r="AI50">
        <v>3</v>
      </c>
    </row>
    <row r="51" spans="1:53" x14ac:dyDescent="0.3">
      <c r="A51" t="s">
        <v>919</v>
      </c>
      <c r="C51" t="s">
        <v>920</v>
      </c>
      <c r="E51">
        <v>100000000</v>
      </c>
      <c r="O51">
        <v>50</v>
      </c>
      <c r="P51" t="s">
        <v>921</v>
      </c>
      <c r="S51">
        <v>1</v>
      </c>
      <c r="T51">
        <v>23</v>
      </c>
      <c r="V51">
        <v>50</v>
      </c>
      <c r="W51" t="s">
        <v>925</v>
      </c>
      <c r="X51" t="s">
        <v>114</v>
      </c>
      <c r="Y51">
        <v>5</v>
      </c>
      <c r="AA51" t="s">
        <v>184</v>
      </c>
      <c r="AB51">
        <v>5.07</v>
      </c>
      <c r="AC51" t="s">
        <v>85</v>
      </c>
      <c r="AI51">
        <v>3</v>
      </c>
      <c r="AZ51">
        <v>0</v>
      </c>
      <c r="BA51">
        <v>5.07</v>
      </c>
    </row>
    <row r="52" spans="1:53" x14ac:dyDescent="0.3">
      <c r="A52" t="s">
        <v>919</v>
      </c>
      <c r="C52" t="s">
        <v>920</v>
      </c>
      <c r="E52">
        <v>100000000</v>
      </c>
      <c r="O52">
        <v>100</v>
      </c>
      <c r="P52" t="s">
        <v>921</v>
      </c>
      <c r="S52">
        <v>1</v>
      </c>
      <c r="T52">
        <v>23</v>
      </c>
      <c r="V52">
        <v>50</v>
      </c>
      <c r="W52" t="s">
        <v>925</v>
      </c>
      <c r="X52" t="s">
        <v>114</v>
      </c>
      <c r="Y52">
        <v>5</v>
      </c>
      <c r="AA52" t="s">
        <v>184</v>
      </c>
      <c r="AB52">
        <v>6.09</v>
      </c>
      <c r="AC52" t="s">
        <v>85</v>
      </c>
      <c r="AI52">
        <v>3</v>
      </c>
      <c r="AZ52">
        <v>0</v>
      </c>
      <c r="BA52">
        <v>6.09</v>
      </c>
    </row>
    <row r="53" spans="1:53" x14ac:dyDescent="0.3">
      <c r="A53" t="s">
        <v>919</v>
      </c>
      <c r="C53" t="s">
        <v>920</v>
      </c>
      <c r="E53">
        <v>100000000</v>
      </c>
      <c r="O53">
        <v>10</v>
      </c>
      <c r="P53" t="s">
        <v>922</v>
      </c>
      <c r="S53">
        <v>1</v>
      </c>
      <c r="T53">
        <v>23</v>
      </c>
      <c r="V53">
        <v>50</v>
      </c>
      <c r="W53" t="s">
        <v>925</v>
      </c>
      <c r="X53" t="s">
        <v>114</v>
      </c>
      <c r="Y53">
        <v>5</v>
      </c>
      <c r="AB53">
        <v>0.440000000000001</v>
      </c>
      <c r="AC53" t="s">
        <v>85</v>
      </c>
      <c r="AI53">
        <v>3</v>
      </c>
    </row>
    <row r="54" spans="1:53" x14ac:dyDescent="0.3">
      <c r="A54" t="s">
        <v>919</v>
      </c>
      <c r="C54" t="s">
        <v>920</v>
      </c>
      <c r="E54">
        <v>100000000</v>
      </c>
      <c r="O54">
        <v>50</v>
      </c>
      <c r="P54" t="s">
        <v>922</v>
      </c>
      <c r="S54">
        <v>1</v>
      </c>
      <c r="T54">
        <v>23</v>
      </c>
      <c r="V54">
        <v>50</v>
      </c>
      <c r="W54" t="s">
        <v>925</v>
      </c>
      <c r="X54" t="s">
        <v>114</v>
      </c>
      <c r="Y54">
        <v>5</v>
      </c>
      <c r="AA54" t="s">
        <v>184</v>
      </c>
      <c r="AB54">
        <v>5.4</v>
      </c>
      <c r="AC54" t="s">
        <v>85</v>
      </c>
      <c r="AI54">
        <v>3</v>
      </c>
      <c r="AZ54">
        <v>0</v>
      </c>
      <c r="BA54">
        <v>5.4</v>
      </c>
    </row>
    <row r="55" spans="1:53" x14ac:dyDescent="0.3">
      <c r="A55" t="s">
        <v>919</v>
      </c>
      <c r="C55" t="s">
        <v>920</v>
      </c>
      <c r="E55">
        <v>100000000</v>
      </c>
      <c r="O55">
        <v>100</v>
      </c>
      <c r="P55" t="s">
        <v>922</v>
      </c>
      <c r="S55">
        <v>1</v>
      </c>
      <c r="T55">
        <v>23</v>
      </c>
      <c r="V55">
        <v>50</v>
      </c>
      <c r="W55" t="s">
        <v>925</v>
      </c>
      <c r="X55" t="s">
        <v>114</v>
      </c>
      <c r="Y55">
        <v>5</v>
      </c>
      <c r="AA55" t="s">
        <v>184</v>
      </c>
      <c r="AB55">
        <v>5.82</v>
      </c>
      <c r="AC55" t="s">
        <v>85</v>
      </c>
      <c r="AI55">
        <v>3</v>
      </c>
      <c r="AZ55">
        <v>0</v>
      </c>
      <c r="BA55">
        <v>5.82</v>
      </c>
    </row>
    <row r="56" spans="1:53" x14ac:dyDescent="0.3">
      <c r="A56" t="s">
        <v>919</v>
      </c>
      <c r="C56" t="s">
        <v>920</v>
      </c>
      <c r="E56">
        <v>100000000</v>
      </c>
      <c r="O56">
        <v>40</v>
      </c>
      <c r="P56" t="s">
        <v>922</v>
      </c>
      <c r="S56">
        <v>1</v>
      </c>
      <c r="T56">
        <v>23</v>
      </c>
      <c r="V56">
        <v>50</v>
      </c>
      <c r="W56" t="s">
        <v>925</v>
      </c>
      <c r="X56" t="s">
        <v>114</v>
      </c>
      <c r="Y56">
        <v>5</v>
      </c>
      <c r="AB56">
        <v>-1.9999999999999501E-2</v>
      </c>
      <c r="AC56" t="s">
        <v>85</v>
      </c>
      <c r="AI56">
        <v>3</v>
      </c>
    </row>
    <row r="57" spans="1:53" x14ac:dyDescent="0.3">
      <c r="A57" t="s">
        <v>919</v>
      </c>
      <c r="C57" t="s">
        <v>920</v>
      </c>
      <c r="E57">
        <v>100000000</v>
      </c>
      <c r="O57">
        <v>8</v>
      </c>
      <c r="P57" t="s">
        <v>922</v>
      </c>
      <c r="S57">
        <v>1</v>
      </c>
      <c r="T57">
        <v>23</v>
      </c>
      <c r="V57">
        <v>50</v>
      </c>
      <c r="W57" t="s">
        <v>925</v>
      </c>
      <c r="X57" t="s">
        <v>114</v>
      </c>
      <c r="Y57">
        <v>5</v>
      </c>
      <c r="AB57">
        <v>5.0000000000000697E-2</v>
      </c>
      <c r="AC57" t="s">
        <v>85</v>
      </c>
      <c r="AI57">
        <v>3</v>
      </c>
    </row>
    <row r="58" spans="1:53" x14ac:dyDescent="0.3">
      <c r="A58" t="s">
        <v>926</v>
      </c>
      <c r="C58" t="s">
        <v>920</v>
      </c>
      <c r="D58" t="s">
        <v>81</v>
      </c>
      <c r="E58">
        <v>100000000</v>
      </c>
      <c r="O58">
        <v>2.16</v>
      </c>
      <c r="P58" t="s">
        <v>927</v>
      </c>
      <c r="S58" t="s">
        <v>928</v>
      </c>
      <c r="T58">
        <v>20</v>
      </c>
      <c r="V58">
        <v>50</v>
      </c>
      <c r="W58" t="s">
        <v>929</v>
      </c>
      <c r="X58" t="s">
        <v>199</v>
      </c>
      <c r="Y58">
        <v>240</v>
      </c>
      <c r="AB58">
        <v>3</v>
      </c>
      <c r="AC58" t="s">
        <v>297</v>
      </c>
      <c r="AE58" t="s">
        <v>297</v>
      </c>
      <c r="AI58">
        <v>60</v>
      </c>
      <c r="AO58">
        <v>0</v>
      </c>
      <c r="AZ58">
        <v>3</v>
      </c>
    </row>
    <row r="59" spans="1:53" x14ac:dyDescent="0.3">
      <c r="A59" t="s">
        <v>926</v>
      </c>
      <c r="C59" t="s">
        <v>920</v>
      </c>
      <c r="D59" t="s">
        <v>81</v>
      </c>
      <c r="E59">
        <v>100000000</v>
      </c>
      <c r="O59">
        <v>0.22500000000000001</v>
      </c>
      <c r="P59" t="s">
        <v>59</v>
      </c>
      <c r="S59" t="s">
        <v>928</v>
      </c>
      <c r="T59">
        <v>20</v>
      </c>
      <c r="V59">
        <v>50</v>
      </c>
      <c r="W59" t="s">
        <v>929</v>
      </c>
      <c r="X59" t="s">
        <v>199</v>
      </c>
      <c r="Y59">
        <v>25</v>
      </c>
      <c r="AB59">
        <v>9</v>
      </c>
      <c r="AC59" t="s">
        <v>297</v>
      </c>
      <c r="AE59" t="s">
        <v>297</v>
      </c>
      <c r="AI59">
        <v>60</v>
      </c>
      <c r="AO59">
        <v>0</v>
      </c>
      <c r="AZ59">
        <v>9</v>
      </c>
    </row>
    <row r="60" spans="1:53" x14ac:dyDescent="0.3">
      <c r="A60" t="s">
        <v>926</v>
      </c>
      <c r="C60" t="s">
        <v>920</v>
      </c>
      <c r="D60" t="s">
        <v>81</v>
      </c>
      <c r="E60">
        <v>100000000</v>
      </c>
      <c r="O60">
        <v>1.17</v>
      </c>
      <c r="P60" t="s">
        <v>59</v>
      </c>
      <c r="S60" t="s">
        <v>928</v>
      </c>
      <c r="T60">
        <v>20</v>
      </c>
      <c r="V60">
        <v>50</v>
      </c>
      <c r="W60" t="s">
        <v>929</v>
      </c>
      <c r="X60" t="s">
        <v>199</v>
      </c>
      <c r="Y60">
        <v>15</v>
      </c>
      <c r="AB60">
        <v>7</v>
      </c>
      <c r="AC60" t="s">
        <v>297</v>
      </c>
      <c r="AE60" t="s">
        <v>297</v>
      </c>
      <c r="AI60">
        <v>60</v>
      </c>
      <c r="AO60">
        <v>0</v>
      </c>
      <c r="AZ60">
        <v>7</v>
      </c>
    </row>
    <row r="61" spans="1:53" x14ac:dyDescent="0.3">
      <c r="A61" t="s">
        <v>930</v>
      </c>
      <c r="C61" t="s">
        <v>920</v>
      </c>
      <c r="D61" t="s">
        <v>470</v>
      </c>
      <c r="E61">
        <v>100000000</v>
      </c>
      <c r="O61">
        <v>0</v>
      </c>
      <c r="P61" t="s">
        <v>922</v>
      </c>
      <c r="T61">
        <v>37</v>
      </c>
      <c r="V61">
        <v>50</v>
      </c>
      <c r="W61" t="s">
        <v>931</v>
      </c>
      <c r="X61" t="s">
        <v>932</v>
      </c>
      <c r="Y61">
        <v>1440</v>
      </c>
      <c r="AB61">
        <v>7.6714628297362104</v>
      </c>
      <c r="AC61" t="s">
        <v>210</v>
      </c>
      <c r="AE61" t="s">
        <v>63</v>
      </c>
      <c r="AI61">
        <v>2</v>
      </c>
    </row>
    <row r="62" spans="1:53" x14ac:dyDescent="0.3">
      <c r="A62" t="s">
        <v>930</v>
      </c>
      <c r="C62" t="s">
        <v>920</v>
      </c>
      <c r="D62" t="s">
        <v>470</v>
      </c>
      <c r="E62">
        <v>100000000</v>
      </c>
      <c r="O62">
        <v>51</v>
      </c>
      <c r="P62" t="s">
        <v>922</v>
      </c>
      <c r="T62">
        <v>37</v>
      </c>
      <c r="V62">
        <v>50</v>
      </c>
      <c r="W62" t="s">
        <v>931</v>
      </c>
      <c r="X62" t="s">
        <v>932</v>
      </c>
      <c r="Y62">
        <v>1440</v>
      </c>
      <c r="AB62">
        <v>7.4028776978417099</v>
      </c>
      <c r="AC62" t="s">
        <v>210</v>
      </c>
      <c r="AE62" t="s">
        <v>63</v>
      </c>
      <c r="AI62">
        <v>2</v>
      </c>
    </row>
    <row r="63" spans="1:53" x14ac:dyDescent="0.3">
      <c r="A63" t="s">
        <v>930</v>
      </c>
      <c r="C63" t="s">
        <v>920</v>
      </c>
      <c r="D63" t="s">
        <v>470</v>
      </c>
      <c r="E63">
        <v>100000000</v>
      </c>
      <c r="O63">
        <v>102</v>
      </c>
      <c r="P63" t="s">
        <v>922</v>
      </c>
      <c r="T63">
        <v>37</v>
      </c>
      <c r="V63">
        <v>50</v>
      </c>
      <c r="W63" t="s">
        <v>931</v>
      </c>
      <c r="X63" t="s">
        <v>932</v>
      </c>
      <c r="Y63">
        <v>1440</v>
      </c>
      <c r="AB63">
        <v>6.6474820143884701</v>
      </c>
      <c r="AC63" t="s">
        <v>210</v>
      </c>
      <c r="AE63" t="s">
        <v>63</v>
      </c>
      <c r="AI63">
        <v>2</v>
      </c>
    </row>
    <row r="64" spans="1:53" x14ac:dyDescent="0.3">
      <c r="A64" t="s">
        <v>930</v>
      </c>
      <c r="C64" t="s">
        <v>920</v>
      </c>
      <c r="D64" t="s">
        <v>470</v>
      </c>
      <c r="E64">
        <v>100000000</v>
      </c>
      <c r="O64">
        <v>153</v>
      </c>
      <c r="P64" t="s">
        <v>922</v>
      </c>
      <c r="T64">
        <v>37</v>
      </c>
      <c r="V64">
        <v>50</v>
      </c>
      <c r="W64" t="s">
        <v>931</v>
      </c>
      <c r="X64" t="s">
        <v>932</v>
      </c>
      <c r="Y64">
        <v>1440</v>
      </c>
      <c r="AB64">
        <v>3.1390887290167702</v>
      </c>
      <c r="AC64" t="s">
        <v>210</v>
      </c>
      <c r="AE64" t="s">
        <v>63</v>
      </c>
      <c r="AI64">
        <v>2</v>
      </c>
    </row>
    <row r="65" spans="1:53" x14ac:dyDescent="0.3">
      <c r="A65" t="s">
        <v>930</v>
      </c>
      <c r="C65" t="s">
        <v>920</v>
      </c>
      <c r="D65" t="s">
        <v>470</v>
      </c>
      <c r="E65">
        <v>100000000</v>
      </c>
      <c r="O65">
        <v>204</v>
      </c>
      <c r="P65" t="s">
        <v>922</v>
      </c>
      <c r="T65">
        <v>37</v>
      </c>
      <c r="V65">
        <v>50</v>
      </c>
      <c r="W65" t="s">
        <v>931</v>
      </c>
      <c r="X65" t="s">
        <v>932</v>
      </c>
      <c r="Y65">
        <v>1440</v>
      </c>
      <c r="AB65">
        <v>2.92086330935251</v>
      </c>
      <c r="AC65" t="s">
        <v>210</v>
      </c>
      <c r="AE65" t="s">
        <v>63</v>
      </c>
      <c r="AI65">
        <v>2</v>
      </c>
    </row>
    <row r="66" spans="1:53" x14ac:dyDescent="0.3">
      <c r="A66" t="s">
        <v>933</v>
      </c>
      <c r="B66" t="s">
        <v>934</v>
      </c>
      <c r="C66" t="s">
        <v>920</v>
      </c>
      <c r="D66" t="s">
        <v>81</v>
      </c>
      <c r="E66">
        <v>100000000</v>
      </c>
      <c r="H66">
        <v>0.78500000000000003</v>
      </c>
      <c r="I66" t="s">
        <v>56</v>
      </c>
      <c r="J66">
        <v>7.8500000000000011E-5</v>
      </c>
      <c r="K66" t="s">
        <v>57</v>
      </c>
      <c r="O66">
        <v>0.61499999999999899</v>
      </c>
      <c r="P66" t="s">
        <v>59</v>
      </c>
      <c r="T66">
        <v>21.5</v>
      </c>
      <c r="V66">
        <v>50</v>
      </c>
      <c r="W66" t="s">
        <v>935</v>
      </c>
      <c r="X66" t="s">
        <v>114</v>
      </c>
      <c r="Y66">
        <v>120</v>
      </c>
      <c r="AB66">
        <v>0.1</v>
      </c>
      <c r="AC66" t="s">
        <v>85</v>
      </c>
      <c r="AD66" t="s">
        <v>235</v>
      </c>
      <c r="AE66" t="s">
        <v>63</v>
      </c>
      <c r="AI66">
        <v>9</v>
      </c>
      <c r="AO66">
        <v>0</v>
      </c>
      <c r="AV66" t="s">
        <v>88</v>
      </c>
    </row>
    <row r="67" spans="1:53" x14ac:dyDescent="0.3">
      <c r="A67" t="s">
        <v>933</v>
      </c>
      <c r="B67" t="s">
        <v>934</v>
      </c>
      <c r="C67" t="s">
        <v>920</v>
      </c>
      <c r="D67" t="s">
        <v>81</v>
      </c>
      <c r="E67">
        <v>100000000</v>
      </c>
      <c r="H67">
        <v>0.78500000000000003</v>
      </c>
      <c r="I67" t="s">
        <v>56</v>
      </c>
      <c r="J67">
        <v>7.8500000000000011E-5</v>
      </c>
      <c r="K67" t="s">
        <v>57</v>
      </c>
      <c r="O67">
        <v>0.61499999999999899</v>
      </c>
      <c r="P67" t="s">
        <v>59</v>
      </c>
      <c r="T67">
        <v>21.5</v>
      </c>
      <c r="V67">
        <v>50</v>
      </c>
      <c r="W67" t="s">
        <v>935</v>
      </c>
      <c r="X67" t="s">
        <v>114</v>
      </c>
      <c r="Y67">
        <v>480</v>
      </c>
      <c r="AB67">
        <v>0.22</v>
      </c>
      <c r="AC67" t="s">
        <v>85</v>
      </c>
      <c r="AD67" t="s">
        <v>103</v>
      </c>
      <c r="AE67" t="s">
        <v>63</v>
      </c>
      <c r="AI67">
        <v>9</v>
      </c>
      <c r="AO67">
        <v>0</v>
      </c>
      <c r="AV67" t="s">
        <v>88</v>
      </c>
    </row>
    <row r="68" spans="1:53" x14ac:dyDescent="0.3">
      <c r="A68" t="s">
        <v>933</v>
      </c>
      <c r="B68" t="s">
        <v>934</v>
      </c>
      <c r="C68" t="s">
        <v>920</v>
      </c>
      <c r="D68" t="s">
        <v>81</v>
      </c>
      <c r="E68">
        <v>10000000</v>
      </c>
      <c r="H68">
        <v>0.78500000000000003</v>
      </c>
      <c r="I68" t="s">
        <v>56</v>
      </c>
      <c r="J68">
        <v>7.8500000000000011E-5</v>
      </c>
      <c r="K68" t="s">
        <v>57</v>
      </c>
      <c r="O68">
        <v>0.61499999999999899</v>
      </c>
      <c r="P68" t="s">
        <v>59</v>
      </c>
      <c r="T68">
        <v>21.5</v>
      </c>
      <c r="V68">
        <v>50</v>
      </c>
      <c r="W68" t="s">
        <v>935</v>
      </c>
      <c r="X68" t="s">
        <v>114</v>
      </c>
      <c r="Y68">
        <v>1440</v>
      </c>
      <c r="AB68">
        <v>0.3</v>
      </c>
      <c r="AC68" t="s">
        <v>85</v>
      </c>
      <c r="AD68" t="s">
        <v>328</v>
      </c>
      <c r="AE68" t="s">
        <v>63</v>
      </c>
      <c r="AI68">
        <v>9</v>
      </c>
      <c r="AO68">
        <v>0</v>
      </c>
      <c r="AV68" t="s">
        <v>88</v>
      </c>
    </row>
    <row r="69" spans="1:53" x14ac:dyDescent="0.3">
      <c r="A69" t="s">
        <v>933</v>
      </c>
      <c r="B69" t="s">
        <v>934</v>
      </c>
      <c r="C69" t="s">
        <v>920</v>
      </c>
      <c r="D69" t="s">
        <v>81</v>
      </c>
      <c r="E69">
        <v>10000000</v>
      </c>
      <c r="H69">
        <v>0.78500000000000003</v>
      </c>
      <c r="I69" t="s">
        <v>56</v>
      </c>
      <c r="J69">
        <v>7.8500000000000011E-5</v>
      </c>
      <c r="K69" t="s">
        <v>57</v>
      </c>
      <c r="O69">
        <v>0.61499999999999899</v>
      </c>
      <c r="P69" t="s">
        <v>59</v>
      </c>
      <c r="T69">
        <v>4</v>
      </c>
      <c r="V69">
        <v>50</v>
      </c>
      <c r="W69" t="s">
        <v>935</v>
      </c>
      <c r="X69" t="s">
        <v>114</v>
      </c>
      <c r="Y69">
        <v>1440</v>
      </c>
      <c r="AB69">
        <v>0.4</v>
      </c>
      <c r="AC69" t="s">
        <v>85</v>
      </c>
      <c r="AD69" t="s">
        <v>321</v>
      </c>
      <c r="AE69" t="s">
        <v>63</v>
      </c>
      <c r="AI69">
        <v>9</v>
      </c>
      <c r="AO69">
        <v>0</v>
      </c>
      <c r="AV69" t="s">
        <v>88</v>
      </c>
    </row>
    <row r="70" spans="1:53" x14ac:dyDescent="0.3">
      <c r="A70" t="s">
        <v>933</v>
      </c>
      <c r="B70" t="s">
        <v>934</v>
      </c>
      <c r="C70" t="s">
        <v>920</v>
      </c>
      <c r="D70" t="s">
        <v>81</v>
      </c>
      <c r="E70">
        <v>10000000</v>
      </c>
      <c r="H70">
        <v>0.78500000000000003</v>
      </c>
      <c r="I70" t="s">
        <v>56</v>
      </c>
      <c r="J70">
        <v>7.8500000000000011E-5</v>
      </c>
      <c r="K70" t="s">
        <v>57</v>
      </c>
      <c r="O70">
        <v>4.5</v>
      </c>
      <c r="P70" t="s">
        <v>59</v>
      </c>
      <c r="T70">
        <v>21.5</v>
      </c>
      <c r="V70">
        <v>50</v>
      </c>
      <c r="W70" t="s">
        <v>935</v>
      </c>
      <c r="X70" t="s">
        <v>114</v>
      </c>
      <c r="Y70">
        <v>120</v>
      </c>
      <c r="AB70">
        <v>2.5</v>
      </c>
      <c r="AC70" t="s">
        <v>85</v>
      </c>
      <c r="AD70" t="s">
        <v>333</v>
      </c>
      <c r="AE70" t="s">
        <v>63</v>
      </c>
      <c r="AI70">
        <v>9</v>
      </c>
      <c r="AO70">
        <v>0</v>
      </c>
      <c r="AV70" t="s">
        <v>88</v>
      </c>
    </row>
    <row r="71" spans="1:53" x14ac:dyDescent="0.3">
      <c r="A71" t="s">
        <v>933</v>
      </c>
      <c r="B71" t="s">
        <v>934</v>
      </c>
      <c r="C71" t="s">
        <v>920</v>
      </c>
      <c r="D71" t="s">
        <v>81</v>
      </c>
      <c r="E71">
        <v>10000000</v>
      </c>
      <c r="H71">
        <v>0.78500000000000003</v>
      </c>
      <c r="I71" t="s">
        <v>56</v>
      </c>
      <c r="J71">
        <v>7.8500000000000011E-5</v>
      </c>
      <c r="K71" t="s">
        <v>57</v>
      </c>
      <c r="O71">
        <v>4.5</v>
      </c>
      <c r="P71" t="s">
        <v>59</v>
      </c>
      <c r="T71">
        <v>21.5</v>
      </c>
      <c r="V71">
        <v>50</v>
      </c>
      <c r="W71" t="s">
        <v>935</v>
      </c>
      <c r="X71" t="s">
        <v>114</v>
      </c>
      <c r="Y71">
        <v>480</v>
      </c>
      <c r="AB71">
        <v>5.3</v>
      </c>
      <c r="AC71" t="s">
        <v>85</v>
      </c>
      <c r="AD71" t="s">
        <v>332</v>
      </c>
      <c r="AE71" t="s">
        <v>63</v>
      </c>
      <c r="AI71">
        <v>9</v>
      </c>
      <c r="AO71">
        <v>0</v>
      </c>
      <c r="AV71" t="s">
        <v>88</v>
      </c>
    </row>
    <row r="72" spans="1:53" x14ac:dyDescent="0.3">
      <c r="A72" t="s">
        <v>933</v>
      </c>
      <c r="B72" t="s">
        <v>934</v>
      </c>
      <c r="C72" t="s">
        <v>920</v>
      </c>
      <c r="D72" t="s">
        <v>81</v>
      </c>
      <c r="E72">
        <v>10000000</v>
      </c>
      <c r="H72">
        <v>0.78500000000000003</v>
      </c>
      <c r="I72" t="s">
        <v>56</v>
      </c>
      <c r="J72">
        <v>7.8500000000000011E-5</v>
      </c>
      <c r="K72" t="s">
        <v>57</v>
      </c>
      <c r="O72">
        <v>4.5</v>
      </c>
      <c r="P72" t="s">
        <v>59</v>
      </c>
      <c r="T72">
        <v>21.5</v>
      </c>
      <c r="V72">
        <v>50</v>
      </c>
      <c r="W72" t="s">
        <v>935</v>
      </c>
      <c r="X72" t="s">
        <v>114</v>
      </c>
      <c r="Y72">
        <v>1440</v>
      </c>
      <c r="AA72" t="s">
        <v>94</v>
      </c>
      <c r="AB72">
        <v>6</v>
      </c>
      <c r="AC72" t="s">
        <v>85</v>
      </c>
      <c r="AD72" t="s">
        <v>194</v>
      </c>
      <c r="AI72">
        <v>9</v>
      </c>
      <c r="AO72">
        <v>0</v>
      </c>
      <c r="AV72" t="s">
        <v>88</v>
      </c>
      <c r="AZ72">
        <v>0</v>
      </c>
      <c r="BA72">
        <v>6</v>
      </c>
    </row>
    <row r="73" spans="1:53" x14ac:dyDescent="0.3">
      <c r="A73" t="s">
        <v>933</v>
      </c>
      <c r="B73" t="s">
        <v>934</v>
      </c>
      <c r="C73" t="s">
        <v>920</v>
      </c>
      <c r="D73" t="s">
        <v>81</v>
      </c>
      <c r="E73">
        <v>10000000</v>
      </c>
      <c r="H73">
        <v>0.78500000000000003</v>
      </c>
      <c r="I73" t="s">
        <v>56</v>
      </c>
      <c r="J73">
        <v>7.8500000000000011E-5</v>
      </c>
      <c r="K73" t="s">
        <v>57</v>
      </c>
      <c r="O73">
        <v>4.5</v>
      </c>
      <c r="P73" t="s">
        <v>59</v>
      </c>
      <c r="T73">
        <v>4</v>
      </c>
      <c r="V73">
        <v>50</v>
      </c>
      <c r="W73" t="s">
        <v>935</v>
      </c>
      <c r="X73" t="s">
        <v>114</v>
      </c>
      <c r="Y73">
        <v>1440</v>
      </c>
      <c r="AB73">
        <v>6</v>
      </c>
      <c r="AC73" t="s">
        <v>85</v>
      </c>
      <c r="AD73" t="s">
        <v>328</v>
      </c>
      <c r="AE73" t="s">
        <v>63</v>
      </c>
      <c r="AI73">
        <v>9</v>
      </c>
      <c r="AO73">
        <v>0</v>
      </c>
      <c r="AV73" t="s">
        <v>88</v>
      </c>
    </row>
    <row r="74" spans="1:53" x14ac:dyDescent="0.3">
      <c r="A74" t="s">
        <v>933</v>
      </c>
      <c r="B74" t="s">
        <v>934</v>
      </c>
      <c r="C74" t="s">
        <v>920</v>
      </c>
      <c r="D74" t="s">
        <v>81</v>
      </c>
      <c r="E74">
        <v>10000000</v>
      </c>
      <c r="H74">
        <v>0.78500000000000003</v>
      </c>
      <c r="I74" t="s">
        <v>56</v>
      </c>
      <c r="J74">
        <v>7.8500000000000011E-5</v>
      </c>
      <c r="K74" t="s">
        <v>57</v>
      </c>
      <c r="O74">
        <v>0</v>
      </c>
      <c r="T74">
        <v>21.5</v>
      </c>
      <c r="V74">
        <v>50</v>
      </c>
      <c r="W74" t="s">
        <v>935</v>
      </c>
      <c r="X74" t="s">
        <v>114</v>
      </c>
      <c r="Y74">
        <v>120</v>
      </c>
      <c r="AB74">
        <v>0.3</v>
      </c>
      <c r="AC74" t="s">
        <v>85</v>
      </c>
      <c r="AD74" t="s">
        <v>314</v>
      </c>
      <c r="AE74" t="s">
        <v>63</v>
      </c>
      <c r="AI74">
        <v>9</v>
      </c>
      <c r="AO74">
        <v>0</v>
      </c>
      <c r="AV74" t="s">
        <v>88</v>
      </c>
    </row>
    <row r="75" spans="1:53" x14ac:dyDescent="0.3">
      <c r="A75" t="s">
        <v>933</v>
      </c>
      <c r="B75" t="s">
        <v>934</v>
      </c>
      <c r="C75" t="s">
        <v>920</v>
      </c>
      <c r="D75" t="s">
        <v>81</v>
      </c>
      <c r="E75">
        <v>10000000</v>
      </c>
      <c r="H75">
        <v>0.78500000000000003</v>
      </c>
      <c r="I75" t="s">
        <v>56</v>
      </c>
      <c r="J75">
        <v>7.8500000000000011E-5</v>
      </c>
      <c r="K75" t="s">
        <v>57</v>
      </c>
      <c r="O75">
        <v>0</v>
      </c>
      <c r="T75">
        <v>21.5</v>
      </c>
      <c r="V75">
        <v>50</v>
      </c>
      <c r="W75" t="s">
        <v>935</v>
      </c>
      <c r="X75" t="s">
        <v>114</v>
      </c>
      <c r="Y75">
        <v>480</v>
      </c>
      <c r="AB75">
        <v>0.9</v>
      </c>
      <c r="AC75" t="s">
        <v>85</v>
      </c>
      <c r="AD75" t="s">
        <v>106</v>
      </c>
      <c r="AE75" t="s">
        <v>63</v>
      </c>
      <c r="AI75">
        <v>9</v>
      </c>
      <c r="AO75">
        <v>0</v>
      </c>
      <c r="AV75" t="s">
        <v>88</v>
      </c>
    </row>
    <row r="76" spans="1:53" x14ac:dyDescent="0.3">
      <c r="A76" t="s">
        <v>933</v>
      </c>
      <c r="B76" t="s">
        <v>934</v>
      </c>
      <c r="C76" t="s">
        <v>920</v>
      </c>
      <c r="D76" t="s">
        <v>81</v>
      </c>
      <c r="E76">
        <v>10000000</v>
      </c>
      <c r="H76">
        <v>0.78500000000000003</v>
      </c>
      <c r="I76" t="s">
        <v>56</v>
      </c>
      <c r="J76">
        <v>7.8500000000000011E-5</v>
      </c>
      <c r="K76" t="s">
        <v>57</v>
      </c>
      <c r="O76">
        <v>0</v>
      </c>
      <c r="T76">
        <v>21.5</v>
      </c>
      <c r="V76">
        <v>50</v>
      </c>
      <c r="W76" t="s">
        <v>935</v>
      </c>
      <c r="X76" t="s">
        <v>114</v>
      </c>
      <c r="Y76">
        <v>1440</v>
      </c>
      <c r="AB76">
        <v>1.8</v>
      </c>
      <c r="AC76" t="s">
        <v>85</v>
      </c>
      <c r="AD76" t="s">
        <v>327</v>
      </c>
      <c r="AE76" t="s">
        <v>63</v>
      </c>
      <c r="AI76">
        <v>9</v>
      </c>
      <c r="AO76">
        <v>0</v>
      </c>
      <c r="AV76" t="s">
        <v>88</v>
      </c>
    </row>
    <row r="77" spans="1:53" x14ac:dyDescent="0.3">
      <c r="A77" t="s">
        <v>933</v>
      </c>
      <c r="B77" t="s">
        <v>934</v>
      </c>
      <c r="C77" t="s">
        <v>920</v>
      </c>
      <c r="D77" t="s">
        <v>81</v>
      </c>
      <c r="E77">
        <v>10000000</v>
      </c>
      <c r="H77">
        <v>0.78500000000000003</v>
      </c>
      <c r="I77" t="s">
        <v>56</v>
      </c>
      <c r="J77">
        <v>7.8500000000000011E-5</v>
      </c>
      <c r="K77" t="s">
        <v>57</v>
      </c>
      <c r="O77">
        <v>0</v>
      </c>
      <c r="T77">
        <v>4</v>
      </c>
      <c r="V77">
        <v>50</v>
      </c>
      <c r="W77" t="s">
        <v>935</v>
      </c>
      <c r="X77" t="s">
        <v>114</v>
      </c>
      <c r="Y77">
        <v>1440</v>
      </c>
      <c r="AB77">
        <v>2.8</v>
      </c>
      <c r="AC77" t="s">
        <v>85</v>
      </c>
      <c r="AD77" t="s">
        <v>338</v>
      </c>
      <c r="AE77" t="s">
        <v>63</v>
      </c>
      <c r="AI77">
        <v>9</v>
      </c>
      <c r="AO77">
        <v>0</v>
      </c>
      <c r="AV77" t="s">
        <v>88</v>
      </c>
    </row>
    <row r="78" spans="1:53" x14ac:dyDescent="0.3">
      <c r="A78" t="s">
        <v>933</v>
      </c>
      <c r="B78" t="s">
        <v>934</v>
      </c>
      <c r="C78" t="s">
        <v>920</v>
      </c>
      <c r="D78" t="s">
        <v>81</v>
      </c>
      <c r="E78">
        <v>10000000</v>
      </c>
      <c r="H78">
        <v>0.78500000000000003</v>
      </c>
      <c r="I78" t="s">
        <v>56</v>
      </c>
      <c r="J78">
        <v>7.8500000000000011E-5</v>
      </c>
      <c r="K78" t="s">
        <v>57</v>
      </c>
      <c r="O78">
        <v>0</v>
      </c>
      <c r="T78">
        <v>21.5</v>
      </c>
      <c r="V78">
        <v>50</v>
      </c>
      <c r="W78" t="s">
        <v>935</v>
      </c>
      <c r="X78" t="s">
        <v>114</v>
      </c>
      <c r="Y78">
        <v>120</v>
      </c>
      <c r="AB78">
        <v>1.2</v>
      </c>
      <c r="AC78" t="s">
        <v>85</v>
      </c>
      <c r="AD78" t="s">
        <v>334</v>
      </c>
      <c r="AE78" t="s">
        <v>63</v>
      </c>
      <c r="AI78">
        <v>9</v>
      </c>
      <c r="AO78">
        <v>0</v>
      </c>
      <c r="AV78" t="s">
        <v>88</v>
      </c>
    </row>
    <row r="79" spans="1:53" x14ac:dyDescent="0.3">
      <c r="A79" t="s">
        <v>933</v>
      </c>
      <c r="B79" t="s">
        <v>934</v>
      </c>
      <c r="C79" t="s">
        <v>920</v>
      </c>
      <c r="D79" t="s">
        <v>81</v>
      </c>
      <c r="E79">
        <v>10000000</v>
      </c>
      <c r="H79">
        <v>0.78500000000000003</v>
      </c>
      <c r="I79" t="s">
        <v>56</v>
      </c>
      <c r="J79">
        <v>7.8500000000000011E-5</v>
      </c>
      <c r="K79" t="s">
        <v>57</v>
      </c>
      <c r="O79">
        <v>0</v>
      </c>
      <c r="T79">
        <v>21.5</v>
      </c>
      <c r="V79">
        <v>50</v>
      </c>
      <c r="W79" t="s">
        <v>935</v>
      </c>
      <c r="X79" t="s">
        <v>114</v>
      </c>
      <c r="Y79">
        <v>480</v>
      </c>
      <c r="AB79">
        <v>3</v>
      </c>
      <c r="AC79" t="s">
        <v>85</v>
      </c>
      <c r="AD79" t="s">
        <v>341</v>
      </c>
      <c r="AE79" t="s">
        <v>63</v>
      </c>
      <c r="AI79">
        <v>9</v>
      </c>
      <c r="AO79">
        <v>0</v>
      </c>
      <c r="AV79" t="s">
        <v>88</v>
      </c>
    </row>
    <row r="80" spans="1:53" x14ac:dyDescent="0.3">
      <c r="A80" t="s">
        <v>933</v>
      </c>
      <c r="B80" t="s">
        <v>934</v>
      </c>
      <c r="C80" t="s">
        <v>920</v>
      </c>
      <c r="D80" t="s">
        <v>81</v>
      </c>
      <c r="E80">
        <v>10000000</v>
      </c>
      <c r="H80">
        <v>0.78500000000000003</v>
      </c>
      <c r="I80" t="s">
        <v>56</v>
      </c>
      <c r="J80">
        <v>7.8500000000000011E-5</v>
      </c>
      <c r="K80" t="s">
        <v>57</v>
      </c>
      <c r="O80">
        <v>0</v>
      </c>
      <c r="T80">
        <v>21.5</v>
      </c>
      <c r="V80">
        <v>50</v>
      </c>
      <c r="W80" t="s">
        <v>935</v>
      </c>
      <c r="X80" t="s">
        <v>114</v>
      </c>
      <c r="Y80">
        <v>1440</v>
      </c>
      <c r="AB80">
        <v>3.1</v>
      </c>
      <c r="AC80" t="s">
        <v>85</v>
      </c>
      <c r="AD80" t="s">
        <v>936</v>
      </c>
      <c r="AE80" t="s">
        <v>63</v>
      </c>
      <c r="AI80">
        <v>9</v>
      </c>
      <c r="AO80">
        <v>0</v>
      </c>
      <c r="AV80" t="s">
        <v>88</v>
      </c>
    </row>
    <row r="81" spans="1:53" x14ac:dyDescent="0.3">
      <c r="A81" t="s">
        <v>933</v>
      </c>
      <c r="B81" t="s">
        <v>934</v>
      </c>
      <c r="C81" t="s">
        <v>920</v>
      </c>
      <c r="D81" t="s">
        <v>81</v>
      </c>
      <c r="E81">
        <v>10000000</v>
      </c>
      <c r="H81">
        <v>0.78500000000000003</v>
      </c>
      <c r="I81" t="s">
        <v>56</v>
      </c>
      <c r="J81">
        <v>7.8500000000000011E-5</v>
      </c>
      <c r="K81" t="s">
        <v>57</v>
      </c>
      <c r="O81">
        <v>0</v>
      </c>
      <c r="T81">
        <v>4</v>
      </c>
      <c r="V81">
        <v>50</v>
      </c>
      <c r="W81" t="s">
        <v>935</v>
      </c>
      <c r="X81" t="s">
        <v>114</v>
      </c>
      <c r="Y81">
        <v>1440</v>
      </c>
      <c r="AB81">
        <v>0.6</v>
      </c>
      <c r="AC81" t="s">
        <v>85</v>
      </c>
      <c r="AD81" t="s">
        <v>325</v>
      </c>
      <c r="AE81" t="s">
        <v>63</v>
      </c>
      <c r="AI81">
        <v>9</v>
      </c>
      <c r="AO81">
        <v>0</v>
      </c>
      <c r="AV81" t="s">
        <v>88</v>
      </c>
    </row>
    <row r="82" spans="1:53" x14ac:dyDescent="0.3">
      <c r="A82" t="s">
        <v>933</v>
      </c>
      <c r="C82" t="s">
        <v>920</v>
      </c>
      <c r="D82" t="s">
        <v>81</v>
      </c>
      <c r="E82">
        <v>10000000</v>
      </c>
      <c r="H82">
        <v>0.78500000000000003</v>
      </c>
      <c r="I82" t="s">
        <v>56</v>
      </c>
      <c r="J82">
        <v>7.8500000000000011E-5</v>
      </c>
      <c r="K82" t="s">
        <v>57</v>
      </c>
      <c r="O82">
        <v>0.61499999999999999</v>
      </c>
      <c r="P82" t="s">
        <v>59</v>
      </c>
      <c r="T82">
        <v>21.5</v>
      </c>
      <c r="V82">
        <v>50</v>
      </c>
      <c r="W82" t="s">
        <v>388</v>
      </c>
      <c r="X82" t="s">
        <v>114</v>
      </c>
      <c r="Y82">
        <v>5</v>
      </c>
      <c r="AB82">
        <v>6</v>
      </c>
      <c r="AC82" t="s">
        <v>85</v>
      </c>
      <c r="AE82" t="s">
        <v>63</v>
      </c>
      <c r="AI82">
        <v>9</v>
      </c>
      <c r="AO82">
        <v>0</v>
      </c>
      <c r="AT82" t="s">
        <v>65</v>
      </c>
      <c r="AV82" t="s">
        <v>88</v>
      </c>
    </row>
    <row r="83" spans="1:53" x14ac:dyDescent="0.3">
      <c r="A83" t="s">
        <v>933</v>
      </c>
      <c r="C83" t="s">
        <v>920</v>
      </c>
      <c r="D83" t="s">
        <v>81</v>
      </c>
      <c r="E83">
        <v>10000000</v>
      </c>
      <c r="H83">
        <v>0.78500000000000003</v>
      </c>
      <c r="I83" t="s">
        <v>56</v>
      </c>
      <c r="J83">
        <v>7.8500000000000011E-5</v>
      </c>
      <c r="K83" t="s">
        <v>57</v>
      </c>
      <c r="O83">
        <v>0</v>
      </c>
      <c r="T83">
        <v>21.5</v>
      </c>
      <c r="V83">
        <v>50</v>
      </c>
      <c r="W83" t="s">
        <v>388</v>
      </c>
      <c r="X83" t="s">
        <v>114</v>
      </c>
      <c r="Y83">
        <v>5</v>
      </c>
      <c r="AB83">
        <v>6</v>
      </c>
      <c r="AC83" t="s">
        <v>85</v>
      </c>
      <c r="AE83" t="s">
        <v>63</v>
      </c>
      <c r="AI83">
        <v>9</v>
      </c>
      <c r="AO83">
        <v>0</v>
      </c>
      <c r="AT83" t="s">
        <v>65</v>
      </c>
      <c r="AV83" t="s">
        <v>88</v>
      </c>
    </row>
    <row r="84" spans="1:53" x14ac:dyDescent="0.3">
      <c r="A84" t="s">
        <v>933</v>
      </c>
      <c r="C84" t="s">
        <v>920</v>
      </c>
      <c r="D84" t="s">
        <v>81</v>
      </c>
      <c r="E84">
        <v>10000000</v>
      </c>
      <c r="H84">
        <v>0.78500000000000003</v>
      </c>
      <c r="I84" t="s">
        <v>56</v>
      </c>
      <c r="J84">
        <v>7.8500000000000011E-5</v>
      </c>
      <c r="K84" t="s">
        <v>57</v>
      </c>
      <c r="O84">
        <v>4.5</v>
      </c>
      <c r="P84" t="s">
        <v>59</v>
      </c>
      <c r="T84">
        <v>21.5</v>
      </c>
      <c r="V84">
        <v>50</v>
      </c>
      <c r="W84" t="s">
        <v>388</v>
      </c>
      <c r="X84" t="s">
        <v>114</v>
      </c>
      <c r="Y84">
        <v>10</v>
      </c>
      <c r="AA84" t="s">
        <v>94</v>
      </c>
      <c r="AB84">
        <v>6</v>
      </c>
      <c r="AC84" t="s">
        <v>85</v>
      </c>
      <c r="AI84">
        <v>9</v>
      </c>
      <c r="AO84">
        <v>0</v>
      </c>
      <c r="AT84" t="s">
        <v>65</v>
      </c>
      <c r="AV84" t="s">
        <v>88</v>
      </c>
      <c r="AZ84">
        <v>0</v>
      </c>
      <c r="BA84">
        <v>6</v>
      </c>
    </row>
    <row r="85" spans="1:53" x14ac:dyDescent="0.3">
      <c r="A85" t="s">
        <v>933</v>
      </c>
      <c r="C85" t="s">
        <v>920</v>
      </c>
      <c r="D85" t="s">
        <v>81</v>
      </c>
      <c r="E85">
        <v>10000000</v>
      </c>
      <c r="H85">
        <v>0.78500000000000003</v>
      </c>
      <c r="I85" t="s">
        <v>56</v>
      </c>
      <c r="J85">
        <v>7.8500000000000011E-5</v>
      </c>
      <c r="K85" t="s">
        <v>57</v>
      </c>
      <c r="O85">
        <v>0.308</v>
      </c>
      <c r="P85" t="s">
        <v>59</v>
      </c>
      <c r="T85">
        <v>21.5</v>
      </c>
      <c r="V85">
        <v>50</v>
      </c>
      <c r="W85" t="s">
        <v>388</v>
      </c>
      <c r="X85" t="s">
        <v>114</v>
      </c>
      <c r="Y85">
        <v>20</v>
      </c>
      <c r="AA85" t="s">
        <v>94</v>
      </c>
      <c r="AB85">
        <v>6</v>
      </c>
      <c r="AC85" t="s">
        <v>85</v>
      </c>
      <c r="AI85">
        <v>9</v>
      </c>
      <c r="AO85">
        <v>0</v>
      </c>
      <c r="AT85" t="s">
        <v>65</v>
      </c>
      <c r="AV85" t="s">
        <v>88</v>
      </c>
      <c r="AZ85">
        <v>0</v>
      </c>
      <c r="BA85">
        <v>6</v>
      </c>
    </row>
    <row r="86" spans="1:53" x14ac:dyDescent="0.3">
      <c r="A86" t="s">
        <v>933</v>
      </c>
      <c r="C86" t="s">
        <v>920</v>
      </c>
      <c r="D86" t="s">
        <v>81</v>
      </c>
      <c r="E86">
        <v>10000000</v>
      </c>
      <c r="H86">
        <v>0.78500000000000003</v>
      </c>
      <c r="I86" t="s">
        <v>56</v>
      </c>
      <c r="J86">
        <v>7.8500000000000011E-5</v>
      </c>
      <c r="K86" t="s">
        <v>57</v>
      </c>
      <c r="O86">
        <v>0</v>
      </c>
      <c r="T86">
        <v>21.5</v>
      </c>
      <c r="V86">
        <v>50</v>
      </c>
      <c r="W86" t="s">
        <v>388</v>
      </c>
      <c r="X86" t="s">
        <v>114</v>
      </c>
      <c r="Y86">
        <v>20</v>
      </c>
      <c r="AA86" t="s">
        <v>94</v>
      </c>
      <c r="AB86">
        <v>6</v>
      </c>
      <c r="AC86" t="s">
        <v>85</v>
      </c>
      <c r="AI86">
        <v>9</v>
      </c>
      <c r="AO86">
        <v>0</v>
      </c>
      <c r="AT86" t="s">
        <v>65</v>
      </c>
      <c r="AV86" t="s">
        <v>88</v>
      </c>
      <c r="AZ86">
        <v>0</v>
      </c>
      <c r="BA86">
        <v>6</v>
      </c>
    </row>
    <row r="87" spans="1:53" x14ac:dyDescent="0.3">
      <c r="A87" t="s">
        <v>937</v>
      </c>
      <c r="C87" t="s">
        <v>920</v>
      </c>
      <c r="D87" t="s">
        <v>81</v>
      </c>
      <c r="E87">
        <v>10000000</v>
      </c>
      <c r="H87">
        <v>3.61</v>
      </c>
      <c r="I87" t="s">
        <v>56</v>
      </c>
      <c r="J87">
        <v>3.6099999999999999E-4</v>
      </c>
      <c r="K87" t="s">
        <v>57</v>
      </c>
      <c r="O87">
        <v>5053</v>
      </c>
      <c r="P87" t="s">
        <v>121</v>
      </c>
      <c r="T87">
        <v>25</v>
      </c>
      <c r="V87">
        <v>50</v>
      </c>
      <c r="W87" t="s">
        <v>938</v>
      </c>
      <c r="X87" t="s">
        <v>114</v>
      </c>
      <c r="Y87">
        <v>10</v>
      </c>
      <c r="AB87">
        <v>6.78</v>
      </c>
      <c r="AC87" t="s">
        <v>85</v>
      </c>
      <c r="AD87" t="s">
        <v>939</v>
      </c>
      <c r="AE87" t="s">
        <v>371</v>
      </c>
      <c r="AI87">
        <v>3</v>
      </c>
      <c r="AK87">
        <v>10</v>
      </c>
      <c r="AL87" t="s">
        <v>82</v>
      </c>
      <c r="AM87">
        <v>10</v>
      </c>
      <c r="AN87" t="s">
        <v>82</v>
      </c>
      <c r="AT87" t="s">
        <v>203</v>
      </c>
      <c r="AU87">
        <v>27.70083102493075</v>
      </c>
      <c r="AV87" t="s">
        <v>115</v>
      </c>
    </row>
    <row r="88" spans="1:53" x14ac:dyDescent="0.3">
      <c r="A88" t="s">
        <v>937</v>
      </c>
      <c r="C88" t="s">
        <v>920</v>
      </c>
      <c r="D88" t="s">
        <v>81</v>
      </c>
      <c r="E88">
        <v>10000000</v>
      </c>
      <c r="H88">
        <v>3.61</v>
      </c>
      <c r="I88" t="s">
        <v>56</v>
      </c>
      <c r="J88">
        <v>3.6099999999999999E-4</v>
      </c>
      <c r="K88" t="s">
        <v>57</v>
      </c>
      <c r="O88">
        <v>6401</v>
      </c>
      <c r="P88" t="s">
        <v>121</v>
      </c>
      <c r="T88">
        <v>25</v>
      </c>
      <c r="V88">
        <v>50</v>
      </c>
      <c r="W88" t="s">
        <v>938</v>
      </c>
      <c r="X88" t="s">
        <v>114</v>
      </c>
      <c r="Y88">
        <v>10</v>
      </c>
      <c r="AB88">
        <v>5.56</v>
      </c>
      <c r="AC88" t="s">
        <v>85</v>
      </c>
      <c r="AD88" t="s">
        <v>324</v>
      </c>
      <c r="AE88" t="s">
        <v>371</v>
      </c>
      <c r="AI88">
        <v>3</v>
      </c>
      <c r="AK88">
        <v>10</v>
      </c>
      <c r="AL88" t="s">
        <v>82</v>
      </c>
      <c r="AM88">
        <v>10</v>
      </c>
      <c r="AN88" t="s">
        <v>82</v>
      </c>
      <c r="AT88" t="s">
        <v>203</v>
      </c>
      <c r="AU88">
        <v>27.70083102493075</v>
      </c>
      <c r="AV88" t="s">
        <v>115</v>
      </c>
    </row>
    <row r="89" spans="1:53" x14ac:dyDescent="0.3">
      <c r="A89" t="s">
        <v>937</v>
      </c>
      <c r="C89" t="s">
        <v>920</v>
      </c>
      <c r="D89" t="s">
        <v>81</v>
      </c>
      <c r="E89">
        <v>10000000</v>
      </c>
      <c r="H89">
        <v>3.61</v>
      </c>
      <c r="I89" t="s">
        <v>56</v>
      </c>
      <c r="J89">
        <v>3.6099999999999999E-4</v>
      </c>
      <c r="K89" t="s">
        <v>57</v>
      </c>
      <c r="O89">
        <v>7209</v>
      </c>
      <c r="P89" t="s">
        <v>121</v>
      </c>
      <c r="T89">
        <v>25</v>
      </c>
      <c r="V89">
        <v>50</v>
      </c>
      <c r="W89" t="s">
        <v>938</v>
      </c>
      <c r="X89" t="s">
        <v>114</v>
      </c>
      <c r="Y89">
        <v>10</v>
      </c>
      <c r="AB89">
        <v>6.78</v>
      </c>
      <c r="AC89" t="s">
        <v>85</v>
      </c>
      <c r="AD89" t="s">
        <v>939</v>
      </c>
      <c r="AE89" t="s">
        <v>371</v>
      </c>
      <c r="AI89">
        <v>3</v>
      </c>
      <c r="AK89">
        <v>10</v>
      </c>
      <c r="AL89" t="s">
        <v>82</v>
      </c>
      <c r="AM89">
        <v>10</v>
      </c>
      <c r="AN89" t="s">
        <v>82</v>
      </c>
      <c r="AT89" t="s">
        <v>203</v>
      </c>
      <c r="AU89">
        <v>27.70083102493075</v>
      </c>
      <c r="AV89" t="s">
        <v>115</v>
      </c>
    </row>
    <row r="90" spans="1:53" x14ac:dyDescent="0.3">
      <c r="A90" t="s">
        <v>937</v>
      </c>
      <c r="C90" t="s">
        <v>920</v>
      </c>
      <c r="D90" t="s">
        <v>81</v>
      </c>
      <c r="E90">
        <v>10000000</v>
      </c>
      <c r="H90">
        <v>3.61</v>
      </c>
      <c r="I90" t="s">
        <v>56</v>
      </c>
      <c r="J90">
        <v>3.6099999999999999E-4</v>
      </c>
      <c r="K90" t="s">
        <v>57</v>
      </c>
      <c r="O90">
        <v>8624</v>
      </c>
      <c r="P90" t="s">
        <v>121</v>
      </c>
      <c r="T90">
        <v>25</v>
      </c>
      <c r="V90">
        <v>50</v>
      </c>
      <c r="W90" t="s">
        <v>938</v>
      </c>
      <c r="X90" t="s">
        <v>114</v>
      </c>
      <c r="Y90">
        <v>10</v>
      </c>
      <c r="AB90">
        <v>6.17</v>
      </c>
      <c r="AC90" t="s">
        <v>85</v>
      </c>
      <c r="AD90" t="s">
        <v>328</v>
      </c>
      <c r="AE90" t="s">
        <v>371</v>
      </c>
      <c r="AI90">
        <v>3</v>
      </c>
      <c r="AK90">
        <v>10</v>
      </c>
      <c r="AL90" t="s">
        <v>82</v>
      </c>
      <c r="AM90">
        <v>10</v>
      </c>
      <c r="AN90" t="s">
        <v>82</v>
      </c>
      <c r="AT90" t="s">
        <v>203</v>
      </c>
      <c r="AU90">
        <v>27.70083102493075</v>
      </c>
      <c r="AV90" t="s">
        <v>115</v>
      </c>
    </row>
    <row r="91" spans="1:53" x14ac:dyDescent="0.3">
      <c r="A91" t="s">
        <v>937</v>
      </c>
      <c r="C91" t="s">
        <v>920</v>
      </c>
      <c r="D91" t="s">
        <v>81</v>
      </c>
      <c r="E91">
        <v>10000000</v>
      </c>
      <c r="H91">
        <v>3.61</v>
      </c>
      <c r="I91" t="s">
        <v>56</v>
      </c>
      <c r="J91">
        <v>3.6099999999999999E-4</v>
      </c>
      <c r="K91" t="s">
        <v>57</v>
      </c>
      <c r="O91">
        <v>8961</v>
      </c>
      <c r="P91" t="s">
        <v>121</v>
      </c>
      <c r="T91">
        <v>25</v>
      </c>
      <c r="V91">
        <v>50</v>
      </c>
      <c r="W91" t="s">
        <v>938</v>
      </c>
      <c r="X91" t="s">
        <v>114</v>
      </c>
      <c r="Y91">
        <v>10</v>
      </c>
      <c r="AB91">
        <v>6.78</v>
      </c>
      <c r="AC91" t="s">
        <v>85</v>
      </c>
      <c r="AD91" t="s">
        <v>939</v>
      </c>
      <c r="AE91" t="s">
        <v>371</v>
      </c>
      <c r="AI91">
        <v>3</v>
      </c>
      <c r="AK91">
        <v>10</v>
      </c>
      <c r="AL91" t="s">
        <v>82</v>
      </c>
      <c r="AM91">
        <v>10</v>
      </c>
      <c r="AN91" t="s">
        <v>82</v>
      </c>
      <c r="AT91" t="s">
        <v>203</v>
      </c>
      <c r="AU91">
        <v>27.70083102493075</v>
      </c>
      <c r="AV91" t="s">
        <v>115</v>
      </c>
    </row>
    <row r="92" spans="1:53" x14ac:dyDescent="0.3">
      <c r="A92" t="s">
        <v>937</v>
      </c>
      <c r="C92" t="s">
        <v>920</v>
      </c>
      <c r="D92" t="s">
        <v>81</v>
      </c>
      <c r="E92">
        <v>10000000</v>
      </c>
      <c r="H92">
        <v>3.61</v>
      </c>
      <c r="I92" t="s">
        <v>56</v>
      </c>
      <c r="J92">
        <v>3.6099999999999999E-4</v>
      </c>
      <c r="K92" t="s">
        <v>57</v>
      </c>
      <c r="O92">
        <v>9837</v>
      </c>
      <c r="P92" t="s">
        <v>121</v>
      </c>
      <c r="T92">
        <v>25</v>
      </c>
      <c r="V92">
        <v>50</v>
      </c>
      <c r="W92" t="s">
        <v>938</v>
      </c>
      <c r="X92" t="s">
        <v>114</v>
      </c>
      <c r="Y92">
        <v>10</v>
      </c>
      <c r="AB92">
        <v>6.62</v>
      </c>
      <c r="AC92" t="s">
        <v>85</v>
      </c>
      <c r="AD92" t="s">
        <v>487</v>
      </c>
      <c r="AE92" t="s">
        <v>371</v>
      </c>
      <c r="AI92">
        <v>3</v>
      </c>
      <c r="AK92">
        <v>10</v>
      </c>
      <c r="AL92" t="s">
        <v>82</v>
      </c>
      <c r="AM92">
        <v>10</v>
      </c>
      <c r="AN92" t="s">
        <v>82</v>
      </c>
      <c r="AT92" t="s">
        <v>203</v>
      </c>
      <c r="AU92">
        <v>27.70083102493075</v>
      </c>
      <c r="AV92" t="s">
        <v>115</v>
      </c>
    </row>
    <row r="93" spans="1:53" x14ac:dyDescent="0.3">
      <c r="A93" t="s">
        <v>937</v>
      </c>
      <c r="C93" t="s">
        <v>920</v>
      </c>
      <c r="D93" t="s">
        <v>81</v>
      </c>
      <c r="E93">
        <v>10000000</v>
      </c>
      <c r="H93">
        <v>3.61</v>
      </c>
      <c r="I93" t="s">
        <v>56</v>
      </c>
      <c r="J93">
        <v>3.6099999999999999E-4</v>
      </c>
      <c r="K93" t="s">
        <v>57</v>
      </c>
      <c r="O93">
        <v>5188</v>
      </c>
      <c r="P93" t="s">
        <v>121</v>
      </c>
      <c r="T93">
        <v>25</v>
      </c>
      <c r="V93">
        <v>50</v>
      </c>
      <c r="W93" t="s">
        <v>938</v>
      </c>
      <c r="X93" t="s">
        <v>114</v>
      </c>
      <c r="Y93">
        <v>10</v>
      </c>
      <c r="AB93">
        <v>7.78</v>
      </c>
      <c r="AC93" t="s">
        <v>85</v>
      </c>
      <c r="AD93" t="s">
        <v>235</v>
      </c>
      <c r="AE93" t="s">
        <v>371</v>
      </c>
      <c r="AI93">
        <v>3</v>
      </c>
      <c r="AK93">
        <v>10</v>
      </c>
      <c r="AL93" t="s">
        <v>82</v>
      </c>
      <c r="AM93">
        <v>10</v>
      </c>
      <c r="AN93" t="s">
        <v>82</v>
      </c>
      <c r="AT93" t="s">
        <v>203</v>
      </c>
      <c r="AU93">
        <v>27.70083102493075</v>
      </c>
      <c r="AV93" t="s">
        <v>115</v>
      </c>
    </row>
    <row r="94" spans="1:53" x14ac:dyDescent="0.3">
      <c r="A94" t="s">
        <v>937</v>
      </c>
      <c r="C94" t="s">
        <v>920</v>
      </c>
      <c r="D94" t="s">
        <v>81</v>
      </c>
      <c r="E94">
        <v>10000000</v>
      </c>
      <c r="H94">
        <v>3.61</v>
      </c>
      <c r="I94" t="s">
        <v>56</v>
      </c>
      <c r="J94">
        <v>3.6099999999999999E-4</v>
      </c>
      <c r="K94" t="s">
        <v>57</v>
      </c>
      <c r="O94">
        <v>6333</v>
      </c>
      <c r="P94" t="s">
        <v>121</v>
      </c>
      <c r="T94">
        <v>25</v>
      </c>
      <c r="V94">
        <v>50</v>
      </c>
      <c r="W94" t="s">
        <v>938</v>
      </c>
      <c r="X94" t="s">
        <v>114</v>
      </c>
      <c r="Y94">
        <v>10</v>
      </c>
      <c r="AB94">
        <v>6.59</v>
      </c>
      <c r="AC94" t="s">
        <v>85</v>
      </c>
      <c r="AD94" t="s">
        <v>940</v>
      </c>
      <c r="AE94" t="s">
        <v>371</v>
      </c>
      <c r="AI94">
        <v>3</v>
      </c>
      <c r="AK94">
        <v>10</v>
      </c>
      <c r="AL94" t="s">
        <v>82</v>
      </c>
      <c r="AM94">
        <v>10</v>
      </c>
      <c r="AN94" t="s">
        <v>82</v>
      </c>
      <c r="AT94" t="s">
        <v>203</v>
      </c>
      <c r="AU94">
        <v>27.70083102493075</v>
      </c>
      <c r="AV94" t="s">
        <v>115</v>
      </c>
    </row>
    <row r="95" spans="1:53" x14ac:dyDescent="0.3">
      <c r="A95" t="s">
        <v>937</v>
      </c>
      <c r="C95" t="s">
        <v>920</v>
      </c>
      <c r="D95" t="s">
        <v>81</v>
      </c>
      <c r="E95">
        <v>10000000</v>
      </c>
      <c r="H95">
        <v>3.61</v>
      </c>
      <c r="I95" t="s">
        <v>56</v>
      </c>
      <c r="J95">
        <v>3.6099999999999999E-4</v>
      </c>
      <c r="K95" t="s">
        <v>57</v>
      </c>
      <c r="O95">
        <v>7344</v>
      </c>
      <c r="P95" t="s">
        <v>121</v>
      </c>
      <c r="T95">
        <v>25</v>
      </c>
      <c r="V95">
        <v>50</v>
      </c>
      <c r="W95" t="s">
        <v>938</v>
      </c>
      <c r="X95" t="s">
        <v>114</v>
      </c>
      <c r="Y95">
        <v>10</v>
      </c>
      <c r="AB95">
        <v>6.65</v>
      </c>
      <c r="AC95" t="s">
        <v>85</v>
      </c>
      <c r="AD95" t="s">
        <v>332</v>
      </c>
      <c r="AE95" t="s">
        <v>371</v>
      </c>
      <c r="AI95">
        <v>3</v>
      </c>
      <c r="AK95">
        <v>10</v>
      </c>
      <c r="AL95" t="s">
        <v>82</v>
      </c>
      <c r="AM95">
        <v>10</v>
      </c>
      <c r="AN95" t="s">
        <v>82</v>
      </c>
      <c r="AT95" t="s">
        <v>203</v>
      </c>
      <c r="AU95">
        <v>27.70083102493075</v>
      </c>
      <c r="AV95" t="s">
        <v>115</v>
      </c>
    </row>
    <row r="96" spans="1:53" x14ac:dyDescent="0.3">
      <c r="A96" t="s">
        <v>937</v>
      </c>
      <c r="C96" t="s">
        <v>920</v>
      </c>
      <c r="D96" t="s">
        <v>81</v>
      </c>
      <c r="E96">
        <v>10000000</v>
      </c>
      <c r="H96">
        <v>3.61</v>
      </c>
      <c r="I96" t="s">
        <v>56</v>
      </c>
      <c r="J96">
        <v>3.6099999999999999E-4</v>
      </c>
      <c r="K96" t="s">
        <v>57</v>
      </c>
      <c r="O96">
        <v>8422</v>
      </c>
      <c r="P96" t="s">
        <v>121</v>
      </c>
      <c r="T96">
        <v>25</v>
      </c>
      <c r="V96">
        <v>50</v>
      </c>
      <c r="W96" t="s">
        <v>938</v>
      </c>
      <c r="X96" t="s">
        <v>114</v>
      </c>
      <c r="Y96">
        <v>10</v>
      </c>
      <c r="AB96">
        <v>7.78</v>
      </c>
      <c r="AC96" t="s">
        <v>85</v>
      </c>
      <c r="AD96" t="s">
        <v>235</v>
      </c>
      <c r="AE96" t="s">
        <v>371</v>
      </c>
      <c r="AI96">
        <v>3</v>
      </c>
      <c r="AK96">
        <v>10</v>
      </c>
      <c r="AL96" t="s">
        <v>82</v>
      </c>
      <c r="AM96">
        <v>10</v>
      </c>
      <c r="AN96" t="s">
        <v>82</v>
      </c>
      <c r="AT96" t="s">
        <v>203</v>
      </c>
      <c r="AU96">
        <v>27.70083102493075</v>
      </c>
      <c r="AV96" t="s">
        <v>115</v>
      </c>
    </row>
    <row r="97" spans="1:48" x14ac:dyDescent="0.3">
      <c r="A97" t="s">
        <v>937</v>
      </c>
      <c r="C97" t="s">
        <v>920</v>
      </c>
      <c r="D97" t="s">
        <v>81</v>
      </c>
      <c r="E97">
        <v>10000000</v>
      </c>
      <c r="H97">
        <v>3.61</v>
      </c>
      <c r="I97" t="s">
        <v>56</v>
      </c>
      <c r="J97">
        <v>3.6099999999999999E-4</v>
      </c>
      <c r="K97" t="s">
        <v>57</v>
      </c>
      <c r="O97">
        <v>9163</v>
      </c>
      <c r="P97" t="s">
        <v>121</v>
      </c>
      <c r="T97">
        <v>25</v>
      </c>
      <c r="V97">
        <v>50</v>
      </c>
      <c r="W97" t="s">
        <v>938</v>
      </c>
      <c r="X97" t="s">
        <v>114</v>
      </c>
      <c r="Y97">
        <v>10</v>
      </c>
      <c r="AB97">
        <v>7.8</v>
      </c>
      <c r="AC97" t="s">
        <v>85</v>
      </c>
      <c r="AD97" t="s">
        <v>235</v>
      </c>
      <c r="AE97" t="s">
        <v>371</v>
      </c>
      <c r="AI97">
        <v>3</v>
      </c>
      <c r="AK97">
        <v>10</v>
      </c>
      <c r="AL97" t="s">
        <v>82</v>
      </c>
      <c r="AM97">
        <v>10</v>
      </c>
      <c r="AN97" t="s">
        <v>82</v>
      </c>
      <c r="AT97" t="s">
        <v>203</v>
      </c>
      <c r="AU97">
        <v>27.70083102493075</v>
      </c>
      <c r="AV97" t="s">
        <v>115</v>
      </c>
    </row>
    <row r="98" spans="1:48" x14ac:dyDescent="0.3">
      <c r="A98" t="s">
        <v>937</v>
      </c>
      <c r="C98" t="s">
        <v>920</v>
      </c>
      <c r="D98" t="s">
        <v>81</v>
      </c>
      <c r="E98">
        <v>10000000</v>
      </c>
      <c r="H98">
        <v>3.61</v>
      </c>
      <c r="I98" t="s">
        <v>56</v>
      </c>
      <c r="J98">
        <v>3.6099999999999999E-4</v>
      </c>
      <c r="K98" t="s">
        <v>57</v>
      </c>
      <c r="O98">
        <v>10106</v>
      </c>
      <c r="P98" t="s">
        <v>121</v>
      </c>
      <c r="T98">
        <v>25</v>
      </c>
      <c r="V98">
        <v>50</v>
      </c>
      <c r="W98" t="s">
        <v>938</v>
      </c>
      <c r="X98" t="s">
        <v>114</v>
      </c>
      <c r="Y98">
        <v>10</v>
      </c>
      <c r="AB98">
        <v>7.8</v>
      </c>
      <c r="AC98" t="s">
        <v>85</v>
      </c>
      <c r="AD98" t="s">
        <v>235</v>
      </c>
      <c r="AE98" t="s">
        <v>371</v>
      </c>
      <c r="AI98">
        <v>3</v>
      </c>
      <c r="AK98">
        <v>10</v>
      </c>
      <c r="AL98" t="s">
        <v>82</v>
      </c>
      <c r="AM98">
        <v>10</v>
      </c>
      <c r="AN98" t="s">
        <v>82</v>
      </c>
      <c r="AT98" t="s">
        <v>203</v>
      </c>
      <c r="AU98">
        <v>27.70083102493075</v>
      </c>
      <c r="AV98" t="s">
        <v>115</v>
      </c>
    </row>
    <row r="99" spans="1:48" x14ac:dyDescent="0.3">
      <c r="A99" t="s">
        <v>937</v>
      </c>
      <c r="C99" t="s">
        <v>920</v>
      </c>
      <c r="D99" t="s">
        <v>81</v>
      </c>
      <c r="E99">
        <v>10000000</v>
      </c>
      <c r="H99">
        <v>3.61</v>
      </c>
      <c r="I99" t="s">
        <v>56</v>
      </c>
      <c r="J99">
        <v>3.6099999999999999E-4</v>
      </c>
      <c r="K99" t="s">
        <v>57</v>
      </c>
      <c r="O99">
        <v>5323</v>
      </c>
      <c r="P99" t="s">
        <v>121</v>
      </c>
      <c r="T99">
        <v>25</v>
      </c>
      <c r="V99">
        <v>50</v>
      </c>
      <c r="W99" t="s">
        <v>938</v>
      </c>
      <c r="X99" t="s">
        <v>114</v>
      </c>
      <c r="Y99">
        <v>10</v>
      </c>
      <c r="AB99">
        <v>7.63</v>
      </c>
      <c r="AC99" t="s">
        <v>85</v>
      </c>
      <c r="AD99" t="s">
        <v>235</v>
      </c>
      <c r="AE99" t="s">
        <v>371</v>
      </c>
      <c r="AI99">
        <v>3</v>
      </c>
      <c r="AK99">
        <v>10</v>
      </c>
      <c r="AL99" t="s">
        <v>82</v>
      </c>
      <c r="AM99">
        <v>10</v>
      </c>
      <c r="AN99" t="s">
        <v>82</v>
      </c>
      <c r="AT99" t="s">
        <v>203</v>
      </c>
      <c r="AU99">
        <v>27.70083102493075</v>
      </c>
      <c r="AV99" t="s">
        <v>115</v>
      </c>
    </row>
    <row r="100" spans="1:48" x14ac:dyDescent="0.3">
      <c r="A100" t="s">
        <v>937</v>
      </c>
      <c r="C100" t="s">
        <v>920</v>
      </c>
      <c r="D100" t="s">
        <v>81</v>
      </c>
      <c r="E100">
        <v>100000000</v>
      </c>
      <c r="H100">
        <v>3.61</v>
      </c>
      <c r="I100" t="s">
        <v>56</v>
      </c>
      <c r="J100">
        <v>3.6099999999999999E-4</v>
      </c>
      <c r="K100" t="s">
        <v>57</v>
      </c>
      <c r="O100">
        <v>5659</v>
      </c>
      <c r="P100" t="s">
        <v>121</v>
      </c>
      <c r="T100">
        <v>25</v>
      </c>
      <c r="V100">
        <v>50</v>
      </c>
      <c r="W100" t="s">
        <v>938</v>
      </c>
      <c r="X100" t="s">
        <v>114</v>
      </c>
      <c r="Y100">
        <v>10</v>
      </c>
      <c r="AB100">
        <v>7.62</v>
      </c>
      <c r="AC100" t="s">
        <v>85</v>
      </c>
      <c r="AD100" t="s">
        <v>235</v>
      </c>
      <c r="AE100" t="s">
        <v>371</v>
      </c>
      <c r="AI100">
        <v>3</v>
      </c>
      <c r="AK100">
        <v>10</v>
      </c>
      <c r="AL100" t="s">
        <v>82</v>
      </c>
      <c r="AM100">
        <v>10</v>
      </c>
      <c r="AN100" t="s">
        <v>82</v>
      </c>
      <c r="AT100" t="s">
        <v>203</v>
      </c>
      <c r="AU100">
        <v>27.70083102493075</v>
      </c>
      <c r="AV100" t="s">
        <v>115</v>
      </c>
    </row>
    <row r="101" spans="1:48" x14ac:dyDescent="0.3">
      <c r="A101" t="s">
        <v>937</v>
      </c>
      <c r="C101" t="s">
        <v>920</v>
      </c>
      <c r="D101" t="s">
        <v>81</v>
      </c>
      <c r="E101">
        <v>100000000</v>
      </c>
      <c r="H101">
        <v>3.61</v>
      </c>
      <c r="I101" t="s">
        <v>56</v>
      </c>
      <c r="J101">
        <v>3.6099999999999999E-4</v>
      </c>
      <c r="K101" t="s">
        <v>57</v>
      </c>
      <c r="O101">
        <v>7209</v>
      </c>
      <c r="P101" t="s">
        <v>121</v>
      </c>
      <c r="T101">
        <v>25</v>
      </c>
      <c r="V101">
        <v>50</v>
      </c>
      <c r="W101" t="s">
        <v>938</v>
      </c>
      <c r="X101" t="s">
        <v>114</v>
      </c>
      <c r="Y101">
        <v>10</v>
      </c>
      <c r="AB101">
        <v>7.63</v>
      </c>
      <c r="AC101" t="s">
        <v>85</v>
      </c>
      <c r="AD101" t="s">
        <v>235</v>
      </c>
      <c r="AE101" t="s">
        <v>371</v>
      </c>
      <c r="AI101">
        <v>3</v>
      </c>
      <c r="AK101">
        <v>10</v>
      </c>
      <c r="AL101" t="s">
        <v>82</v>
      </c>
      <c r="AM101">
        <v>10</v>
      </c>
      <c r="AN101" t="s">
        <v>82</v>
      </c>
      <c r="AT101" t="s">
        <v>203</v>
      </c>
      <c r="AU101">
        <v>27.70083102493075</v>
      </c>
      <c r="AV101" t="s">
        <v>115</v>
      </c>
    </row>
    <row r="102" spans="1:48" x14ac:dyDescent="0.3">
      <c r="A102" t="s">
        <v>937</v>
      </c>
      <c r="C102" t="s">
        <v>920</v>
      </c>
      <c r="D102" t="s">
        <v>81</v>
      </c>
      <c r="E102">
        <v>100000000</v>
      </c>
      <c r="H102">
        <v>3.61</v>
      </c>
      <c r="I102" t="s">
        <v>56</v>
      </c>
      <c r="J102">
        <v>3.6099999999999999E-4</v>
      </c>
      <c r="K102" t="s">
        <v>57</v>
      </c>
      <c r="O102">
        <v>7950</v>
      </c>
      <c r="P102" t="s">
        <v>121</v>
      </c>
      <c r="T102">
        <v>25</v>
      </c>
      <c r="V102">
        <v>50</v>
      </c>
      <c r="W102" t="s">
        <v>938</v>
      </c>
      <c r="X102" t="s">
        <v>114</v>
      </c>
      <c r="Y102">
        <v>10</v>
      </c>
      <c r="AB102">
        <v>7.63</v>
      </c>
      <c r="AC102" t="s">
        <v>85</v>
      </c>
      <c r="AD102" t="s">
        <v>235</v>
      </c>
      <c r="AE102" t="s">
        <v>371</v>
      </c>
      <c r="AI102">
        <v>3</v>
      </c>
      <c r="AK102">
        <v>10</v>
      </c>
      <c r="AL102" t="s">
        <v>82</v>
      </c>
      <c r="AM102">
        <v>10</v>
      </c>
      <c r="AN102" t="s">
        <v>82</v>
      </c>
      <c r="AT102" t="s">
        <v>203</v>
      </c>
      <c r="AU102">
        <v>27.70083102493075</v>
      </c>
      <c r="AV102" t="s">
        <v>115</v>
      </c>
    </row>
    <row r="103" spans="1:48" x14ac:dyDescent="0.3">
      <c r="A103" t="s">
        <v>937</v>
      </c>
      <c r="C103" t="s">
        <v>920</v>
      </c>
      <c r="D103" t="s">
        <v>81</v>
      </c>
      <c r="E103">
        <v>100000000</v>
      </c>
      <c r="H103">
        <v>3.61</v>
      </c>
      <c r="I103" t="s">
        <v>56</v>
      </c>
      <c r="J103">
        <v>3.6099999999999999E-4</v>
      </c>
      <c r="K103" t="s">
        <v>57</v>
      </c>
      <c r="O103">
        <v>8220</v>
      </c>
      <c r="P103" t="s">
        <v>121</v>
      </c>
      <c r="T103">
        <v>25</v>
      </c>
      <c r="V103">
        <v>50</v>
      </c>
      <c r="W103" t="s">
        <v>938</v>
      </c>
      <c r="X103" t="s">
        <v>114</v>
      </c>
      <c r="Y103">
        <v>10</v>
      </c>
      <c r="AB103">
        <v>7.63</v>
      </c>
      <c r="AC103" t="s">
        <v>85</v>
      </c>
      <c r="AD103" t="s">
        <v>235</v>
      </c>
      <c r="AE103" t="s">
        <v>371</v>
      </c>
      <c r="AI103">
        <v>3</v>
      </c>
      <c r="AK103">
        <v>10</v>
      </c>
      <c r="AL103" t="s">
        <v>82</v>
      </c>
      <c r="AM103">
        <v>10</v>
      </c>
      <c r="AN103" t="s">
        <v>82</v>
      </c>
      <c r="AT103" t="s">
        <v>203</v>
      </c>
      <c r="AU103">
        <v>27.70083102493075</v>
      </c>
      <c r="AV103" t="s">
        <v>115</v>
      </c>
    </row>
    <row r="104" spans="1:48" x14ac:dyDescent="0.3">
      <c r="A104" t="s">
        <v>937</v>
      </c>
      <c r="C104" t="s">
        <v>920</v>
      </c>
      <c r="D104" t="s">
        <v>81</v>
      </c>
      <c r="E104">
        <v>100000000</v>
      </c>
      <c r="H104">
        <v>3.61</v>
      </c>
      <c r="I104" t="s">
        <v>56</v>
      </c>
      <c r="J104">
        <v>3.6099999999999999E-4</v>
      </c>
      <c r="K104" t="s">
        <v>57</v>
      </c>
      <c r="O104">
        <v>10308</v>
      </c>
      <c r="P104" t="s">
        <v>121</v>
      </c>
      <c r="T104">
        <v>25</v>
      </c>
      <c r="V104">
        <v>50</v>
      </c>
      <c r="W104" t="s">
        <v>938</v>
      </c>
      <c r="X104" t="s">
        <v>114</v>
      </c>
      <c r="Y104">
        <v>10</v>
      </c>
      <c r="AB104">
        <v>7.63</v>
      </c>
      <c r="AC104" t="s">
        <v>85</v>
      </c>
      <c r="AD104" t="s">
        <v>235</v>
      </c>
      <c r="AE104" t="s">
        <v>371</v>
      </c>
      <c r="AI104">
        <v>3</v>
      </c>
      <c r="AK104">
        <v>10</v>
      </c>
      <c r="AL104" t="s">
        <v>82</v>
      </c>
      <c r="AM104">
        <v>10</v>
      </c>
      <c r="AN104" t="s">
        <v>82</v>
      </c>
      <c r="AT104" t="s">
        <v>203</v>
      </c>
      <c r="AU104">
        <v>27.70083102493075</v>
      </c>
      <c r="AV104" t="s">
        <v>115</v>
      </c>
    </row>
    <row r="105" spans="1:48" x14ac:dyDescent="0.3">
      <c r="A105" t="s">
        <v>937</v>
      </c>
      <c r="C105" t="s">
        <v>920</v>
      </c>
      <c r="D105" t="s">
        <v>81</v>
      </c>
      <c r="E105">
        <v>100000000</v>
      </c>
      <c r="H105">
        <v>2.54</v>
      </c>
      <c r="I105" t="s">
        <v>56</v>
      </c>
      <c r="J105">
        <v>2.5399999999999999E-4</v>
      </c>
      <c r="K105" t="s">
        <v>57</v>
      </c>
      <c r="O105">
        <v>4514.058</v>
      </c>
      <c r="P105" t="s">
        <v>121</v>
      </c>
      <c r="T105">
        <v>25</v>
      </c>
      <c r="V105">
        <v>50</v>
      </c>
      <c r="W105" t="s">
        <v>941</v>
      </c>
      <c r="X105" t="s">
        <v>114</v>
      </c>
      <c r="Y105">
        <v>10</v>
      </c>
      <c r="AB105">
        <v>2.23</v>
      </c>
      <c r="AC105" t="s">
        <v>85</v>
      </c>
      <c r="AD105" t="s">
        <v>942</v>
      </c>
      <c r="AE105" t="s">
        <v>371</v>
      </c>
      <c r="AI105">
        <v>3</v>
      </c>
      <c r="AK105">
        <v>10</v>
      </c>
      <c r="AL105" t="s">
        <v>82</v>
      </c>
      <c r="AM105">
        <v>10</v>
      </c>
      <c r="AN105" t="s">
        <v>82</v>
      </c>
      <c r="AT105" t="s">
        <v>65</v>
      </c>
      <c r="AU105">
        <v>39.370078740157481</v>
      </c>
      <c r="AV105" t="s">
        <v>115</v>
      </c>
    </row>
    <row r="106" spans="1:48" x14ac:dyDescent="0.3">
      <c r="A106" t="s">
        <v>937</v>
      </c>
      <c r="C106" t="s">
        <v>920</v>
      </c>
      <c r="D106" t="s">
        <v>81</v>
      </c>
      <c r="E106">
        <v>100000000</v>
      </c>
      <c r="H106">
        <v>2.54</v>
      </c>
      <c r="I106" t="s">
        <v>56</v>
      </c>
      <c r="J106">
        <v>2.5399999999999999E-4</v>
      </c>
      <c r="K106" t="s">
        <v>57</v>
      </c>
      <c r="O106">
        <v>6265.7820000000002</v>
      </c>
      <c r="P106" t="s">
        <v>121</v>
      </c>
      <c r="T106">
        <v>25</v>
      </c>
      <c r="V106">
        <v>50</v>
      </c>
      <c r="W106" t="s">
        <v>941</v>
      </c>
      <c r="X106" t="s">
        <v>114</v>
      </c>
      <c r="Y106">
        <v>10</v>
      </c>
      <c r="AB106">
        <v>2.17</v>
      </c>
      <c r="AC106" t="s">
        <v>85</v>
      </c>
      <c r="AD106" t="s">
        <v>943</v>
      </c>
      <c r="AE106" t="s">
        <v>371</v>
      </c>
      <c r="AI106">
        <v>3</v>
      </c>
      <c r="AK106">
        <v>10</v>
      </c>
      <c r="AL106" t="s">
        <v>82</v>
      </c>
      <c r="AM106">
        <v>10</v>
      </c>
      <c r="AN106" t="s">
        <v>82</v>
      </c>
      <c r="AT106" t="s">
        <v>65</v>
      </c>
      <c r="AU106">
        <v>39.370078740157481</v>
      </c>
      <c r="AV106" t="s">
        <v>115</v>
      </c>
    </row>
    <row r="107" spans="1:48" x14ac:dyDescent="0.3">
      <c r="A107" t="s">
        <v>937</v>
      </c>
      <c r="C107" t="s">
        <v>920</v>
      </c>
      <c r="D107" t="s">
        <v>81</v>
      </c>
      <c r="E107">
        <v>100000000</v>
      </c>
      <c r="H107">
        <v>2.54</v>
      </c>
      <c r="I107" t="s">
        <v>56</v>
      </c>
      <c r="J107">
        <v>2.5399999999999999E-4</v>
      </c>
      <c r="K107" t="s">
        <v>57</v>
      </c>
      <c r="O107">
        <v>7209.018</v>
      </c>
      <c r="P107" t="s">
        <v>121</v>
      </c>
      <c r="T107">
        <v>25</v>
      </c>
      <c r="V107">
        <v>50</v>
      </c>
      <c r="W107" t="s">
        <v>941</v>
      </c>
      <c r="X107" t="s">
        <v>114</v>
      </c>
      <c r="Y107">
        <v>10</v>
      </c>
      <c r="AB107">
        <v>2.64</v>
      </c>
      <c r="AC107" t="s">
        <v>85</v>
      </c>
      <c r="AD107" t="s">
        <v>944</v>
      </c>
      <c r="AE107" t="s">
        <v>371</v>
      </c>
      <c r="AI107">
        <v>3</v>
      </c>
      <c r="AK107">
        <v>10</v>
      </c>
      <c r="AL107" t="s">
        <v>82</v>
      </c>
      <c r="AM107">
        <v>10</v>
      </c>
      <c r="AN107" t="s">
        <v>82</v>
      </c>
      <c r="AT107" t="s">
        <v>65</v>
      </c>
      <c r="AU107">
        <v>39.370078740157481</v>
      </c>
      <c r="AV107" t="s">
        <v>115</v>
      </c>
    </row>
    <row r="108" spans="1:48" x14ac:dyDescent="0.3">
      <c r="A108" t="s">
        <v>937</v>
      </c>
      <c r="C108" t="s">
        <v>920</v>
      </c>
      <c r="D108" t="s">
        <v>81</v>
      </c>
      <c r="E108">
        <v>100000000</v>
      </c>
      <c r="H108">
        <v>2.54</v>
      </c>
      <c r="I108" t="s">
        <v>56</v>
      </c>
      <c r="J108">
        <v>2.5399999999999999E-4</v>
      </c>
      <c r="K108" t="s">
        <v>57</v>
      </c>
      <c r="O108">
        <v>8219.6280000000006</v>
      </c>
      <c r="P108" t="s">
        <v>121</v>
      </c>
      <c r="T108">
        <v>25</v>
      </c>
      <c r="V108">
        <v>50</v>
      </c>
      <c r="W108" t="s">
        <v>941</v>
      </c>
      <c r="X108" t="s">
        <v>114</v>
      </c>
      <c r="Y108">
        <v>10</v>
      </c>
      <c r="AB108">
        <v>3.72</v>
      </c>
      <c r="AC108" t="s">
        <v>85</v>
      </c>
      <c r="AD108" t="s">
        <v>945</v>
      </c>
      <c r="AE108" t="s">
        <v>371</v>
      </c>
      <c r="AI108">
        <v>3</v>
      </c>
      <c r="AK108">
        <v>10</v>
      </c>
      <c r="AL108" t="s">
        <v>82</v>
      </c>
      <c r="AM108">
        <v>10</v>
      </c>
      <c r="AN108" t="s">
        <v>82</v>
      </c>
      <c r="AT108" t="s">
        <v>65</v>
      </c>
      <c r="AU108">
        <v>39.370078740157481</v>
      </c>
      <c r="AV108" t="s">
        <v>115</v>
      </c>
    </row>
    <row r="109" spans="1:48" x14ac:dyDescent="0.3">
      <c r="A109" t="s">
        <v>937</v>
      </c>
      <c r="C109" t="s">
        <v>920</v>
      </c>
      <c r="D109" t="s">
        <v>81</v>
      </c>
      <c r="E109">
        <v>100000000</v>
      </c>
      <c r="H109">
        <v>2.54</v>
      </c>
      <c r="I109" t="s">
        <v>56</v>
      </c>
      <c r="J109">
        <v>2.5399999999999999E-4</v>
      </c>
      <c r="K109" t="s">
        <v>57</v>
      </c>
      <c r="O109">
        <v>8825.9940000000006</v>
      </c>
      <c r="P109" t="s">
        <v>121</v>
      </c>
      <c r="T109">
        <v>25</v>
      </c>
      <c r="V109">
        <v>50</v>
      </c>
      <c r="W109" t="s">
        <v>941</v>
      </c>
      <c r="X109" t="s">
        <v>114</v>
      </c>
      <c r="Y109">
        <v>10</v>
      </c>
      <c r="AB109">
        <v>3.64</v>
      </c>
      <c r="AC109" t="s">
        <v>85</v>
      </c>
      <c r="AD109" t="s">
        <v>946</v>
      </c>
      <c r="AE109" t="s">
        <v>371</v>
      </c>
      <c r="AI109">
        <v>3</v>
      </c>
      <c r="AK109">
        <v>10</v>
      </c>
      <c r="AL109" t="s">
        <v>82</v>
      </c>
      <c r="AM109">
        <v>10</v>
      </c>
      <c r="AN109" t="s">
        <v>82</v>
      </c>
      <c r="AT109" t="s">
        <v>65</v>
      </c>
      <c r="AU109">
        <v>39.370078740157481</v>
      </c>
      <c r="AV109" t="s">
        <v>115</v>
      </c>
    </row>
    <row r="110" spans="1:48" x14ac:dyDescent="0.3">
      <c r="A110" t="s">
        <v>937</v>
      </c>
      <c r="C110" t="s">
        <v>920</v>
      </c>
      <c r="D110" t="s">
        <v>81</v>
      </c>
      <c r="E110">
        <v>100000000</v>
      </c>
      <c r="H110">
        <v>2.54</v>
      </c>
      <c r="I110" t="s">
        <v>56</v>
      </c>
      <c r="J110">
        <v>2.5399999999999999E-4</v>
      </c>
      <c r="K110" t="s">
        <v>57</v>
      </c>
      <c r="O110">
        <v>10308.222</v>
      </c>
      <c r="P110" t="s">
        <v>121</v>
      </c>
      <c r="T110">
        <v>25</v>
      </c>
      <c r="V110">
        <v>50</v>
      </c>
      <c r="W110" t="s">
        <v>941</v>
      </c>
      <c r="X110" t="s">
        <v>114</v>
      </c>
      <c r="Y110">
        <v>10</v>
      </c>
      <c r="AB110">
        <v>3.01</v>
      </c>
      <c r="AC110" t="s">
        <v>85</v>
      </c>
      <c r="AD110" t="s">
        <v>947</v>
      </c>
      <c r="AE110" t="s">
        <v>371</v>
      </c>
      <c r="AI110">
        <v>3</v>
      </c>
      <c r="AK110">
        <v>10</v>
      </c>
      <c r="AL110" t="s">
        <v>82</v>
      </c>
      <c r="AM110">
        <v>10</v>
      </c>
      <c r="AN110" t="s">
        <v>82</v>
      </c>
      <c r="AT110" t="s">
        <v>65</v>
      </c>
      <c r="AU110">
        <v>39.370078740157481</v>
      </c>
      <c r="AV110" t="s">
        <v>115</v>
      </c>
    </row>
    <row r="111" spans="1:48" x14ac:dyDescent="0.3">
      <c r="A111" t="s">
        <v>937</v>
      </c>
      <c r="C111" t="s">
        <v>920</v>
      </c>
      <c r="D111" t="s">
        <v>81</v>
      </c>
      <c r="E111">
        <v>100000000</v>
      </c>
      <c r="H111">
        <v>2.54</v>
      </c>
      <c r="I111" t="s">
        <v>56</v>
      </c>
      <c r="J111">
        <v>2.5399999999999999E-4</v>
      </c>
      <c r="K111" t="s">
        <v>57</v>
      </c>
      <c r="O111">
        <v>5120.424</v>
      </c>
      <c r="P111" t="s">
        <v>121</v>
      </c>
      <c r="T111">
        <v>25</v>
      </c>
      <c r="V111">
        <v>50</v>
      </c>
      <c r="W111" t="s">
        <v>941</v>
      </c>
      <c r="X111" t="s">
        <v>114</v>
      </c>
      <c r="Y111">
        <v>10</v>
      </c>
      <c r="AB111">
        <v>3.12</v>
      </c>
      <c r="AC111" t="s">
        <v>85</v>
      </c>
      <c r="AD111" t="s">
        <v>948</v>
      </c>
      <c r="AE111" t="s">
        <v>371</v>
      </c>
      <c r="AI111">
        <v>3</v>
      </c>
      <c r="AK111">
        <v>10</v>
      </c>
      <c r="AL111" t="s">
        <v>82</v>
      </c>
      <c r="AM111">
        <v>10</v>
      </c>
      <c r="AN111" t="s">
        <v>82</v>
      </c>
      <c r="AT111" t="s">
        <v>65</v>
      </c>
      <c r="AU111">
        <v>39.370078740157481</v>
      </c>
      <c r="AV111" t="s">
        <v>115</v>
      </c>
    </row>
    <row r="112" spans="1:48" x14ac:dyDescent="0.3">
      <c r="A112" t="s">
        <v>937</v>
      </c>
      <c r="C112" t="s">
        <v>920</v>
      </c>
      <c r="D112" t="s">
        <v>81</v>
      </c>
      <c r="E112">
        <v>100000000</v>
      </c>
      <c r="H112">
        <v>2.54</v>
      </c>
      <c r="I112" t="s">
        <v>56</v>
      </c>
      <c r="J112">
        <v>2.5399999999999999E-4</v>
      </c>
      <c r="K112" t="s">
        <v>57</v>
      </c>
      <c r="O112">
        <v>6198</v>
      </c>
      <c r="P112" t="s">
        <v>121</v>
      </c>
      <c r="T112">
        <v>25</v>
      </c>
      <c r="V112">
        <v>50</v>
      </c>
      <c r="W112" t="s">
        <v>941</v>
      </c>
      <c r="X112" t="s">
        <v>114</v>
      </c>
      <c r="Y112">
        <v>10</v>
      </c>
      <c r="AB112">
        <v>3.59</v>
      </c>
      <c r="AC112" t="s">
        <v>85</v>
      </c>
      <c r="AD112" t="s">
        <v>482</v>
      </c>
      <c r="AE112" t="s">
        <v>371</v>
      </c>
      <c r="AI112">
        <v>3</v>
      </c>
      <c r="AK112">
        <v>10</v>
      </c>
      <c r="AL112" t="s">
        <v>82</v>
      </c>
      <c r="AM112">
        <v>10</v>
      </c>
      <c r="AN112" t="s">
        <v>82</v>
      </c>
      <c r="AT112" t="s">
        <v>65</v>
      </c>
      <c r="AU112">
        <v>39.370078740157481</v>
      </c>
      <c r="AV112" t="s">
        <v>115</v>
      </c>
    </row>
    <row r="113" spans="1:48" x14ac:dyDescent="0.3">
      <c r="A113" t="s">
        <v>937</v>
      </c>
      <c r="C113" t="s">
        <v>920</v>
      </c>
      <c r="D113" t="s">
        <v>81</v>
      </c>
      <c r="E113">
        <v>100000000</v>
      </c>
      <c r="H113">
        <v>2.54</v>
      </c>
      <c r="I113" t="s">
        <v>56</v>
      </c>
      <c r="J113">
        <v>2.5399999999999999E-4</v>
      </c>
      <c r="K113" t="s">
        <v>57</v>
      </c>
      <c r="O113">
        <v>7276</v>
      </c>
      <c r="P113" t="s">
        <v>121</v>
      </c>
      <c r="T113">
        <v>25</v>
      </c>
      <c r="V113">
        <v>50</v>
      </c>
      <c r="W113" t="s">
        <v>941</v>
      </c>
      <c r="X113" t="s">
        <v>114</v>
      </c>
      <c r="Y113">
        <v>10</v>
      </c>
      <c r="AB113">
        <v>4.91</v>
      </c>
      <c r="AC113" t="s">
        <v>85</v>
      </c>
      <c r="AD113" t="s">
        <v>86</v>
      </c>
      <c r="AE113" t="s">
        <v>371</v>
      </c>
      <c r="AI113">
        <v>3</v>
      </c>
      <c r="AK113">
        <v>10</v>
      </c>
      <c r="AL113" t="s">
        <v>82</v>
      </c>
      <c r="AM113">
        <v>10</v>
      </c>
      <c r="AN113" t="s">
        <v>82</v>
      </c>
      <c r="AT113" t="s">
        <v>65</v>
      </c>
      <c r="AU113">
        <v>39.370078740157481</v>
      </c>
      <c r="AV113" t="s">
        <v>115</v>
      </c>
    </row>
    <row r="114" spans="1:48" x14ac:dyDescent="0.3">
      <c r="A114" t="s">
        <v>937</v>
      </c>
      <c r="C114" t="s">
        <v>920</v>
      </c>
      <c r="D114" t="s">
        <v>81</v>
      </c>
      <c r="E114">
        <v>100000000</v>
      </c>
      <c r="H114">
        <v>2.54</v>
      </c>
      <c r="I114" t="s">
        <v>56</v>
      </c>
      <c r="J114">
        <v>2.5399999999999999E-4</v>
      </c>
      <c r="K114" t="s">
        <v>57</v>
      </c>
      <c r="O114">
        <v>8220</v>
      </c>
      <c r="P114" t="s">
        <v>121</v>
      </c>
      <c r="T114">
        <v>25</v>
      </c>
      <c r="V114">
        <v>50</v>
      </c>
      <c r="W114" t="s">
        <v>941</v>
      </c>
      <c r="X114" t="s">
        <v>114</v>
      </c>
      <c r="Y114">
        <v>10</v>
      </c>
      <c r="AB114">
        <v>6.05</v>
      </c>
      <c r="AC114" t="s">
        <v>85</v>
      </c>
      <c r="AD114" t="s">
        <v>651</v>
      </c>
      <c r="AE114" t="s">
        <v>371</v>
      </c>
      <c r="AI114">
        <v>3</v>
      </c>
      <c r="AK114">
        <v>10</v>
      </c>
      <c r="AL114" t="s">
        <v>82</v>
      </c>
      <c r="AM114">
        <v>10</v>
      </c>
      <c r="AN114" t="s">
        <v>82</v>
      </c>
      <c r="AT114" t="s">
        <v>65</v>
      </c>
      <c r="AU114">
        <v>39.370078740157481</v>
      </c>
      <c r="AV114" t="s">
        <v>115</v>
      </c>
    </row>
    <row r="115" spans="1:48" x14ac:dyDescent="0.3">
      <c r="A115" t="s">
        <v>937</v>
      </c>
      <c r="C115" t="s">
        <v>920</v>
      </c>
      <c r="D115" t="s">
        <v>81</v>
      </c>
      <c r="E115">
        <v>100000000</v>
      </c>
      <c r="H115">
        <v>2.54</v>
      </c>
      <c r="I115" t="s">
        <v>56</v>
      </c>
      <c r="J115">
        <v>2.5399999999999999E-4</v>
      </c>
      <c r="K115" t="s">
        <v>57</v>
      </c>
      <c r="O115">
        <v>9298</v>
      </c>
      <c r="P115" t="s">
        <v>121</v>
      </c>
      <c r="T115">
        <v>25</v>
      </c>
      <c r="V115">
        <v>50</v>
      </c>
      <c r="W115" t="s">
        <v>941</v>
      </c>
      <c r="X115" t="s">
        <v>114</v>
      </c>
      <c r="Y115">
        <v>10</v>
      </c>
      <c r="AB115">
        <v>7.61</v>
      </c>
      <c r="AC115" t="s">
        <v>85</v>
      </c>
      <c r="AD115" t="s">
        <v>232</v>
      </c>
      <c r="AE115" t="s">
        <v>371</v>
      </c>
      <c r="AI115">
        <v>3</v>
      </c>
      <c r="AK115">
        <v>10</v>
      </c>
      <c r="AL115" t="s">
        <v>82</v>
      </c>
      <c r="AM115">
        <v>10</v>
      </c>
      <c r="AN115" t="s">
        <v>82</v>
      </c>
      <c r="AT115" t="s">
        <v>65</v>
      </c>
      <c r="AU115">
        <v>39.370078740157481</v>
      </c>
      <c r="AV115" t="s">
        <v>115</v>
      </c>
    </row>
    <row r="116" spans="1:48" x14ac:dyDescent="0.3">
      <c r="A116" t="s">
        <v>937</v>
      </c>
      <c r="C116" t="s">
        <v>920</v>
      </c>
      <c r="D116" t="s">
        <v>81</v>
      </c>
      <c r="E116">
        <v>100000000</v>
      </c>
      <c r="H116">
        <v>2.54</v>
      </c>
      <c r="I116" t="s">
        <v>56</v>
      </c>
      <c r="J116">
        <v>2.5399999999999999E-4</v>
      </c>
      <c r="K116" t="s">
        <v>57</v>
      </c>
      <c r="O116">
        <v>10510</v>
      </c>
      <c r="P116" t="s">
        <v>121</v>
      </c>
      <c r="T116">
        <v>25</v>
      </c>
      <c r="V116">
        <v>50</v>
      </c>
      <c r="W116" t="s">
        <v>941</v>
      </c>
      <c r="X116" t="s">
        <v>114</v>
      </c>
      <c r="Y116">
        <v>10</v>
      </c>
      <c r="AB116">
        <v>6.81</v>
      </c>
      <c r="AC116" t="s">
        <v>85</v>
      </c>
      <c r="AD116" t="s">
        <v>331</v>
      </c>
      <c r="AE116" t="s">
        <v>371</v>
      </c>
      <c r="AI116">
        <v>3</v>
      </c>
      <c r="AK116">
        <v>10</v>
      </c>
      <c r="AL116" t="s">
        <v>82</v>
      </c>
      <c r="AM116">
        <v>10</v>
      </c>
      <c r="AN116" t="s">
        <v>82</v>
      </c>
      <c r="AT116" t="s">
        <v>65</v>
      </c>
      <c r="AU116">
        <v>39.370078740157481</v>
      </c>
      <c r="AV116" t="s">
        <v>115</v>
      </c>
    </row>
    <row r="117" spans="1:48" x14ac:dyDescent="0.3">
      <c r="A117" t="s">
        <v>937</v>
      </c>
      <c r="C117" t="s">
        <v>920</v>
      </c>
      <c r="D117" t="s">
        <v>81</v>
      </c>
      <c r="E117">
        <v>100000000</v>
      </c>
      <c r="H117">
        <v>2.54</v>
      </c>
      <c r="I117" t="s">
        <v>56</v>
      </c>
      <c r="J117">
        <v>2.5399999999999999E-4</v>
      </c>
      <c r="K117" t="s">
        <v>57</v>
      </c>
      <c r="O117">
        <v>5187.7979999999898</v>
      </c>
      <c r="P117" t="s">
        <v>121</v>
      </c>
      <c r="T117">
        <v>25</v>
      </c>
      <c r="V117">
        <v>50</v>
      </c>
      <c r="W117" t="s">
        <v>941</v>
      </c>
      <c r="X117" t="s">
        <v>114</v>
      </c>
      <c r="Y117">
        <v>10</v>
      </c>
      <c r="AB117">
        <v>6.52</v>
      </c>
      <c r="AC117" t="s">
        <v>85</v>
      </c>
      <c r="AD117" t="s">
        <v>949</v>
      </c>
      <c r="AE117" t="s">
        <v>371</v>
      </c>
      <c r="AI117">
        <v>3</v>
      </c>
      <c r="AK117">
        <v>10</v>
      </c>
      <c r="AL117" t="s">
        <v>82</v>
      </c>
      <c r="AM117">
        <v>10</v>
      </c>
      <c r="AN117" t="s">
        <v>82</v>
      </c>
      <c r="AT117" t="s">
        <v>65</v>
      </c>
      <c r="AU117">
        <v>39.370078740157481</v>
      </c>
      <c r="AV117" t="s">
        <v>115</v>
      </c>
    </row>
    <row r="118" spans="1:48" x14ac:dyDescent="0.3">
      <c r="A118" t="s">
        <v>937</v>
      </c>
      <c r="C118" t="s">
        <v>920</v>
      </c>
      <c r="D118" t="s">
        <v>81</v>
      </c>
      <c r="E118">
        <v>100000000</v>
      </c>
      <c r="H118">
        <v>2.54</v>
      </c>
      <c r="I118" t="s">
        <v>56</v>
      </c>
      <c r="J118">
        <v>2.5399999999999999E-4</v>
      </c>
      <c r="K118" t="s">
        <v>57</v>
      </c>
      <c r="O118">
        <v>6333.1559999999899</v>
      </c>
      <c r="P118" t="s">
        <v>121</v>
      </c>
      <c r="T118">
        <v>25</v>
      </c>
      <c r="V118">
        <v>50</v>
      </c>
      <c r="W118" t="s">
        <v>941</v>
      </c>
      <c r="X118" t="s">
        <v>114</v>
      </c>
      <c r="Y118">
        <v>10</v>
      </c>
      <c r="AB118">
        <v>5.26</v>
      </c>
      <c r="AC118" t="s">
        <v>85</v>
      </c>
      <c r="AD118" t="s">
        <v>950</v>
      </c>
      <c r="AE118" t="s">
        <v>371</v>
      </c>
      <c r="AI118">
        <v>3</v>
      </c>
      <c r="AK118">
        <v>10</v>
      </c>
      <c r="AL118" t="s">
        <v>82</v>
      </c>
      <c r="AM118">
        <v>10</v>
      </c>
      <c r="AN118" t="s">
        <v>82</v>
      </c>
      <c r="AT118" t="s">
        <v>65</v>
      </c>
      <c r="AU118">
        <v>39.370078740157481</v>
      </c>
      <c r="AV118" t="s">
        <v>115</v>
      </c>
    </row>
    <row r="119" spans="1:48" x14ac:dyDescent="0.3">
      <c r="A119" t="s">
        <v>937</v>
      </c>
      <c r="C119" t="s">
        <v>920</v>
      </c>
      <c r="D119" t="s">
        <v>81</v>
      </c>
      <c r="E119">
        <v>100000000</v>
      </c>
      <c r="H119">
        <v>2.54</v>
      </c>
      <c r="I119" t="s">
        <v>56</v>
      </c>
      <c r="J119">
        <v>2.5399999999999999E-4</v>
      </c>
      <c r="K119" t="s">
        <v>57</v>
      </c>
      <c r="O119">
        <v>7478.5140000000001</v>
      </c>
      <c r="P119" t="s">
        <v>121</v>
      </c>
      <c r="T119">
        <v>25</v>
      </c>
      <c r="V119">
        <v>50</v>
      </c>
      <c r="W119" t="s">
        <v>941</v>
      </c>
      <c r="X119" t="s">
        <v>114</v>
      </c>
      <c r="Y119">
        <v>10</v>
      </c>
      <c r="AB119">
        <v>6.52</v>
      </c>
      <c r="AC119" t="s">
        <v>85</v>
      </c>
      <c r="AD119" t="s">
        <v>949</v>
      </c>
      <c r="AE119" t="s">
        <v>371</v>
      </c>
      <c r="AI119">
        <v>3</v>
      </c>
      <c r="AK119">
        <v>10</v>
      </c>
      <c r="AL119" t="s">
        <v>82</v>
      </c>
      <c r="AM119">
        <v>10</v>
      </c>
      <c r="AN119" t="s">
        <v>82</v>
      </c>
      <c r="AT119" t="s">
        <v>65</v>
      </c>
      <c r="AU119">
        <v>39.370078740157481</v>
      </c>
      <c r="AV119" t="s">
        <v>115</v>
      </c>
    </row>
    <row r="120" spans="1:48" x14ac:dyDescent="0.3">
      <c r="A120" t="s">
        <v>937</v>
      </c>
      <c r="C120" t="s">
        <v>920</v>
      </c>
      <c r="D120" t="s">
        <v>81</v>
      </c>
      <c r="E120">
        <v>100000000</v>
      </c>
      <c r="H120">
        <v>2.54</v>
      </c>
      <c r="I120" t="s">
        <v>56</v>
      </c>
      <c r="J120">
        <v>2.5399999999999999E-4</v>
      </c>
      <c r="K120" t="s">
        <v>57</v>
      </c>
      <c r="O120">
        <v>8152.2539999999908</v>
      </c>
      <c r="P120" t="s">
        <v>121</v>
      </c>
      <c r="T120">
        <v>25</v>
      </c>
      <c r="V120">
        <v>50</v>
      </c>
      <c r="W120" t="s">
        <v>941</v>
      </c>
      <c r="X120" t="s">
        <v>114</v>
      </c>
      <c r="Y120">
        <v>10</v>
      </c>
      <c r="AB120">
        <v>6.52</v>
      </c>
      <c r="AC120" t="s">
        <v>85</v>
      </c>
      <c r="AD120" t="s">
        <v>949</v>
      </c>
      <c r="AE120" t="s">
        <v>371</v>
      </c>
      <c r="AI120">
        <v>3</v>
      </c>
      <c r="AK120">
        <v>10</v>
      </c>
      <c r="AL120" t="s">
        <v>82</v>
      </c>
      <c r="AM120">
        <v>10</v>
      </c>
      <c r="AN120" t="s">
        <v>82</v>
      </c>
      <c r="AT120" t="s">
        <v>65</v>
      </c>
      <c r="AU120">
        <v>39.370078740157481</v>
      </c>
      <c r="AV120" t="s">
        <v>115</v>
      </c>
    </row>
    <row r="121" spans="1:48" x14ac:dyDescent="0.3">
      <c r="A121" t="s">
        <v>937</v>
      </c>
      <c r="C121" t="s">
        <v>920</v>
      </c>
      <c r="D121" t="s">
        <v>81</v>
      </c>
      <c r="E121">
        <v>100000000</v>
      </c>
      <c r="H121">
        <v>2.54</v>
      </c>
      <c r="I121" t="s">
        <v>56</v>
      </c>
      <c r="J121">
        <v>2.5399999999999999E-4</v>
      </c>
      <c r="K121" t="s">
        <v>57</v>
      </c>
      <c r="O121">
        <v>9364.9860000000008</v>
      </c>
      <c r="P121" t="s">
        <v>121</v>
      </c>
      <c r="T121">
        <v>25</v>
      </c>
      <c r="V121">
        <v>50</v>
      </c>
      <c r="W121" t="s">
        <v>941</v>
      </c>
      <c r="X121" t="s">
        <v>114</v>
      </c>
      <c r="Y121">
        <v>10</v>
      </c>
      <c r="AB121">
        <v>6.52</v>
      </c>
      <c r="AC121" t="s">
        <v>85</v>
      </c>
      <c r="AD121" t="s">
        <v>949</v>
      </c>
      <c r="AE121" t="s">
        <v>371</v>
      </c>
      <c r="AI121">
        <v>3</v>
      </c>
      <c r="AK121">
        <v>10</v>
      </c>
      <c r="AL121" t="s">
        <v>82</v>
      </c>
      <c r="AM121">
        <v>10</v>
      </c>
      <c r="AN121" t="s">
        <v>82</v>
      </c>
      <c r="AT121" t="s">
        <v>65</v>
      </c>
      <c r="AU121">
        <v>39.370078740157481</v>
      </c>
      <c r="AV121" t="s">
        <v>115</v>
      </c>
    </row>
    <row r="122" spans="1:48" x14ac:dyDescent="0.3">
      <c r="A122" t="s">
        <v>937</v>
      </c>
      <c r="C122" t="s">
        <v>920</v>
      </c>
      <c r="D122" t="s">
        <v>81</v>
      </c>
      <c r="E122">
        <v>100000000</v>
      </c>
      <c r="H122">
        <v>2.54</v>
      </c>
      <c r="I122" t="s">
        <v>56</v>
      </c>
      <c r="J122">
        <v>2.5399999999999999E-4</v>
      </c>
      <c r="K122" t="s">
        <v>57</v>
      </c>
      <c r="O122">
        <v>10510.343999999899</v>
      </c>
      <c r="P122" t="s">
        <v>121</v>
      </c>
      <c r="T122">
        <v>25</v>
      </c>
      <c r="V122">
        <v>50</v>
      </c>
      <c r="W122" t="s">
        <v>941</v>
      </c>
      <c r="X122" t="s">
        <v>114</v>
      </c>
      <c r="Y122">
        <v>10</v>
      </c>
      <c r="AB122">
        <v>6.52</v>
      </c>
      <c r="AC122" t="s">
        <v>85</v>
      </c>
      <c r="AD122" t="s">
        <v>949</v>
      </c>
      <c r="AE122" t="s">
        <v>371</v>
      </c>
      <c r="AI122">
        <v>3</v>
      </c>
      <c r="AK122">
        <v>10</v>
      </c>
      <c r="AL122" t="s">
        <v>82</v>
      </c>
      <c r="AM122">
        <v>10</v>
      </c>
      <c r="AN122" t="s">
        <v>82</v>
      </c>
      <c r="AT122" t="s">
        <v>65</v>
      </c>
      <c r="AU122">
        <v>39.370078740157481</v>
      </c>
      <c r="AV122" t="s">
        <v>115</v>
      </c>
    </row>
    <row r="123" spans="1:48" x14ac:dyDescent="0.3">
      <c r="A123" t="s">
        <v>937</v>
      </c>
      <c r="C123" t="s">
        <v>920</v>
      </c>
      <c r="D123" t="s">
        <v>81</v>
      </c>
      <c r="E123">
        <v>100000000</v>
      </c>
      <c r="H123">
        <v>1.54</v>
      </c>
      <c r="I123" t="s">
        <v>56</v>
      </c>
      <c r="J123">
        <v>1.54E-4</v>
      </c>
      <c r="K123" t="s">
        <v>57</v>
      </c>
      <c r="O123">
        <v>5188</v>
      </c>
      <c r="P123" t="s">
        <v>121</v>
      </c>
      <c r="T123">
        <v>25</v>
      </c>
      <c r="V123">
        <v>50</v>
      </c>
      <c r="W123" t="s">
        <v>951</v>
      </c>
      <c r="X123" t="s">
        <v>114</v>
      </c>
      <c r="Y123">
        <v>10</v>
      </c>
      <c r="AB123">
        <v>2.74</v>
      </c>
      <c r="AC123" t="s">
        <v>85</v>
      </c>
      <c r="AD123" t="s">
        <v>952</v>
      </c>
      <c r="AE123" t="s">
        <v>371</v>
      </c>
      <c r="AI123">
        <v>3</v>
      </c>
      <c r="AK123">
        <v>10</v>
      </c>
      <c r="AL123" t="s">
        <v>82</v>
      </c>
      <c r="AM123">
        <v>10</v>
      </c>
      <c r="AN123" t="s">
        <v>82</v>
      </c>
      <c r="AT123" t="s">
        <v>75</v>
      </c>
      <c r="AU123">
        <v>64.935064935064929</v>
      </c>
      <c r="AV123" t="s">
        <v>115</v>
      </c>
    </row>
    <row r="124" spans="1:48" x14ac:dyDescent="0.3">
      <c r="A124" t="s">
        <v>937</v>
      </c>
      <c r="C124" t="s">
        <v>920</v>
      </c>
      <c r="D124" t="s">
        <v>81</v>
      </c>
      <c r="E124">
        <v>100000000</v>
      </c>
      <c r="H124">
        <v>1.54</v>
      </c>
      <c r="I124" t="s">
        <v>56</v>
      </c>
      <c r="J124">
        <v>1.54E-4</v>
      </c>
      <c r="K124" t="s">
        <v>57</v>
      </c>
      <c r="O124">
        <v>6064</v>
      </c>
      <c r="P124" t="s">
        <v>121</v>
      </c>
      <c r="T124">
        <v>25</v>
      </c>
      <c r="V124">
        <v>50</v>
      </c>
      <c r="W124" t="s">
        <v>951</v>
      </c>
      <c r="X124" t="s">
        <v>114</v>
      </c>
      <c r="Y124">
        <v>10</v>
      </c>
      <c r="AB124">
        <v>2.94</v>
      </c>
      <c r="AC124" t="s">
        <v>85</v>
      </c>
      <c r="AD124" t="s">
        <v>423</v>
      </c>
      <c r="AE124" t="s">
        <v>371</v>
      </c>
      <c r="AI124">
        <v>3</v>
      </c>
      <c r="AK124">
        <v>10</v>
      </c>
      <c r="AL124" t="s">
        <v>82</v>
      </c>
      <c r="AM124">
        <v>10</v>
      </c>
      <c r="AN124" t="s">
        <v>82</v>
      </c>
      <c r="AT124" t="s">
        <v>75</v>
      </c>
      <c r="AU124">
        <v>64.935064935064929</v>
      </c>
      <c r="AV124" t="s">
        <v>115</v>
      </c>
    </row>
    <row r="125" spans="1:48" x14ac:dyDescent="0.3">
      <c r="A125" t="s">
        <v>937</v>
      </c>
      <c r="C125" t="s">
        <v>920</v>
      </c>
      <c r="D125" t="s">
        <v>81</v>
      </c>
      <c r="E125">
        <v>100000000</v>
      </c>
      <c r="H125">
        <v>1.54</v>
      </c>
      <c r="I125" t="s">
        <v>56</v>
      </c>
      <c r="J125">
        <v>1.54E-4</v>
      </c>
      <c r="K125" t="s">
        <v>57</v>
      </c>
      <c r="O125">
        <v>7209</v>
      </c>
      <c r="P125" t="s">
        <v>121</v>
      </c>
      <c r="T125">
        <v>25</v>
      </c>
      <c r="V125">
        <v>50</v>
      </c>
      <c r="W125" t="s">
        <v>951</v>
      </c>
      <c r="X125" t="s">
        <v>114</v>
      </c>
      <c r="Y125">
        <v>10</v>
      </c>
      <c r="AB125">
        <v>3.99</v>
      </c>
      <c r="AC125" t="s">
        <v>85</v>
      </c>
      <c r="AD125" t="s">
        <v>482</v>
      </c>
      <c r="AE125" t="s">
        <v>371</v>
      </c>
      <c r="AI125">
        <v>3</v>
      </c>
      <c r="AK125">
        <v>10</v>
      </c>
      <c r="AL125" t="s">
        <v>82</v>
      </c>
      <c r="AM125">
        <v>10</v>
      </c>
      <c r="AN125" t="s">
        <v>82</v>
      </c>
      <c r="AT125" t="s">
        <v>75</v>
      </c>
      <c r="AU125">
        <v>64.935064935064929</v>
      </c>
      <c r="AV125" t="s">
        <v>115</v>
      </c>
    </row>
    <row r="126" spans="1:48" x14ac:dyDescent="0.3">
      <c r="A126" t="s">
        <v>937</v>
      </c>
      <c r="C126" t="s">
        <v>920</v>
      </c>
      <c r="D126" t="s">
        <v>81</v>
      </c>
      <c r="E126">
        <v>100000000</v>
      </c>
      <c r="H126">
        <v>1.54</v>
      </c>
      <c r="I126" t="s">
        <v>56</v>
      </c>
      <c r="J126">
        <v>1.54E-4</v>
      </c>
      <c r="K126" t="s">
        <v>57</v>
      </c>
      <c r="O126">
        <v>8152</v>
      </c>
      <c r="P126" t="s">
        <v>121</v>
      </c>
      <c r="T126">
        <v>25</v>
      </c>
      <c r="V126">
        <v>50</v>
      </c>
      <c r="W126" t="s">
        <v>951</v>
      </c>
      <c r="X126" t="s">
        <v>114</v>
      </c>
      <c r="Y126">
        <v>10</v>
      </c>
      <c r="AB126">
        <v>2.8</v>
      </c>
      <c r="AC126" t="s">
        <v>85</v>
      </c>
      <c r="AD126" t="s">
        <v>234</v>
      </c>
      <c r="AE126" t="s">
        <v>371</v>
      </c>
      <c r="AI126">
        <v>3</v>
      </c>
      <c r="AK126">
        <v>10</v>
      </c>
      <c r="AL126" t="s">
        <v>82</v>
      </c>
      <c r="AM126">
        <v>10</v>
      </c>
      <c r="AN126" t="s">
        <v>82</v>
      </c>
      <c r="AT126" t="s">
        <v>75</v>
      </c>
      <c r="AU126">
        <v>64.935064935064929</v>
      </c>
      <c r="AV126" t="s">
        <v>115</v>
      </c>
    </row>
    <row r="127" spans="1:48" x14ac:dyDescent="0.3">
      <c r="A127" t="s">
        <v>937</v>
      </c>
      <c r="C127" t="s">
        <v>920</v>
      </c>
      <c r="D127" t="s">
        <v>81</v>
      </c>
      <c r="E127">
        <v>100000000</v>
      </c>
      <c r="H127">
        <v>1.54</v>
      </c>
      <c r="I127" t="s">
        <v>56</v>
      </c>
      <c r="J127">
        <v>1.54E-4</v>
      </c>
      <c r="K127" t="s">
        <v>57</v>
      </c>
      <c r="O127">
        <v>8826</v>
      </c>
      <c r="P127" t="s">
        <v>121</v>
      </c>
      <c r="T127">
        <v>25</v>
      </c>
      <c r="V127">
        <v>50</v>
      </c>
      <c r="W127" t="s">
        <v>951</v>
      </c>
      <c r="X127" t="s">
        <v>114</v>
      </c>
      <c r="Y127">
        <v>10</v>
      </c>
      <c r="AB127">
        <v>2.44</v>
      </c>
      <c r="AC127" t="s">
        <v>85</v>
      </c>
      <c r="AD127" t="s">
        <v>953</v>
      </c>
      <c r="AE127" t="s">
        <v>371</v>
      </c>
      <c r="AI127">
        <v>3</v>
      </c>
      <c r="AK127">
        <v>10</v>
      </c>
      <c r="AL127" t="s">
        <v>82</v>
      </c>
      <c r="AM127">
        <v>10</v>
      </c>
      <c r="AN127" t="s">
        <v>82</v>
      </c>
      <c r="AT127" t="s">
        <v>75</v>
      </c>
      <c r="AU127">
        <v>64.935064935064929</v>
      </c>
      <c r="AV127" t="s">
        <v>115</v>
      </c>
    </row>
    <row r="128" spans="1:48" x14ac:dyDescent="0.3">
      <c r="A128" t="s">
        <v>937</v>
      </c>
      <c r="C128" t="s">
        <v>920</v>
      </c>
      <c r="D128" t="s">
        <v>81</v>
      </c>
      <c r="E128">
        <v>100000000</v>
      </c>
      <c r="H128">
        <v>1.54</v>
      </c>
      <c r="I128" t="s">
        <v>56</v>
      </c>
      <c r="J128">
        <v>1.54E-4</v>
      </c>
      <c r="K128" t="s">
        <v>57</v>
      </c>
      <c r="O128">
        <v>9971</v>
      </c>
      <c r="P128" t="s">
        <v>121</v>
      </c>
      <c r="T128">
        <v>25</v>
      </c>
      <c r="V128">
        <v>50</v>
      </c>
      <c r="W128" t="s">
        <v>951</v>
      </c>
      <c r="X128" t="s">
        <v>114</v>
      </c>
      <c r="Y128">
        <v>10</v>
      </c>
      <c r="AB128">
        <v>3.65</v>
      </c>
      <c r="AC128" t="s">
        <v>85</v>
      </c>
      <c r="AD128" t="s">
        <v>321</v>
      </c>
      <c r="AE128" t="s">
        <v>371</v>
      </c>
      <c r="AI128">
        <v>3</v>
      </c>
      <c r="AK128">
        <v>10</v>
      </c>
      <c r="AL128" t="s">
        <v>82</v>
      </c>
      <c r="AM128">
        <v>10</v>
      </c>
      <c r="AN128" t="s">
        <v>82</v>
      </c>
      <c r="AT128" t="s">
        <v>75</v>
      </c>
      <c r="AU128">
        <v>64.935064935064929</v>
      </c>
      <c r="AV128" t="s">
        <v>115</v>
      </c>
    </row>
    <row r="129" spans="1:48" x14ac:dyDescent="0.3">
      <c r="A129" t="s">
        <v>937</v>
      </c>
      <c r="C129" t="s">
        <v>920</v>
      </c>
      <c r="D129" t="s">
        <v>81</v>
      </c>
      <c r="E129">
        <v>100000000</v>
      </c>
      <c r="H129">
        <v>1.54</v>
      </c>
      <c r="I129" t="s">
        <v>56</v>
      </c>
      <c r="J129">
        <v>1.54E-4</v>
      </c>
      <c r="K129" t="s">
        <v>57</v>
      </c>
      <c r="O129">
        <v>4986</v>
      </c>
      <c r="P129" t="s">
        <v>121</v>
      </c>
      <c r="T129">
        <v>25</v>
      </c>
      <c r="V129">
        <v>50</v>
      </c>
      <c r="W129" t="s">
        <v>951</v>
      </c>
      <c r="X129" t="s">
        <v>114</v>
      </c>
      <c r="Y129">
        <v>10</v>
      </c>
      <c r="AB129">
        <v>3.01</v>
      </c>
      <c r="AC129" t="s">
        <v>85</v>
      </c>
      <c r="AD129" t="s">
        <v>954</v>
      </c>
      <c r="AE129" t="s">
        <v>371</v>
      </c>
      <c r="AI129">
        <v>3</v>
      </c>
      <c r="AK129">
        <v>10</v>
      </c>
      <c r="AL129" t="s">
        <v>82</v>
      </c>
      <c r="AM129">
        <v>10</v>
      </c>
      <c r="AN129" t="s">
        <v>82</v>
      </c>
      <c r="AT129" t="s">
        <v>75</v>
      </c>
      <c r="AU129">
        <v>64.935064935064929</v>
      </c>
      <c r="AV129" t="s">
        <v>115</v>
      </c>
    </row>
    <row r="130" spans="1:48" x14ac:dyDescent="0.3">
      <c r="A130" t="s">
        <v>937</v>
      </c>
      <c r="C130" t="s">
        <v>920</v>
      </c>
      <c r="D130" t="s">
        <v>81</v>
      </c>
      <c r="E130">
        <v>100000000</v>
      </c>
      <c r="H130">
        <v>1.54</v>
      </c>
      <c r="I130" t="s">
        <v>56</v>
      </c>
      <c r="J130">
        <v>1.54E-4</v>
      </c>
      <c r="K130" t="s">
        <v>57</v>
      </c>
      <c r="O130">
        <v>6131</v>
      </c>
      <c r="P130" t="s">
        <v>121</v>
      </c>
      <c r="T130">
        <v>25</v>
      </c>
      <c r="V130">
        <v>50</v>
      </c>
      <c r="W130" t="s">
        <v>951</v>
      </c>
      <c r="X130" t="s">
        <v>114</v>
      </c>
      <c r="Y130">
        <v>10</v>
      </c>
      <c r="AB130">
        <v>4.16</v>
      </c>
      <c r="AC130" t="s">
        <v>85</v>
      </c>
      <c r="AD130" t="s">
        <v>515</v>
      </c>
      <c r="AE130" t="s">
        <v>371</v>
      </c>
      <c r="AI130">
        <v>3</v>
      </c>
      <c r="AK130">
        <v>10</v>
      </c>
      <c r="AL130" t="s">
        <v>82</v>
      </c>
      <c r="AM130">
        <v>10</v>
      </c>
      <c r="AN130" t="s">
        <v>82</v>
      </c>
      <c r="AT130" t="s">
        <v>75</v>
      </c>
      <c r="AU130">
        <v>64.935064935064929</v>
      </c>
      <c r="AV130" t="s">
        <v>115</v>
      </c>
    </row>
    <row r="131" spans="1:48" x14ac:dyDescent="0.3">
      <c r="A131" t="s">
        <v>937</v>
      </c>
      <c r="C131" t="s">
        <v>920</v>
      </c>
      <c r="D131" t="s">
        <v>81</v>
      </c>
      <c r="E131">
        <v>100000000</v>
      </c>
      <c r="H131">
        <v>1.54</v>
      </c>
      <c r="I131" t="s">
        <v>56</v>
      </c>
      <c r="J131">
        <v>1.54E-4</v>
      </c>
      <c r="K131" t="s">
        <v>57</v>
      </c>
      <c r="O131">
        <v>7074</v>
      </c>
      <c r="P131" t="s">
        <v>121</v>
      </c>
      <c r="T131">
        <v>25</v>
      </c>
      <c r="V131">
        <v>50</v>
      </c>
      <c r="W131" t="s">
        <v>951</v>
      </c>
      <c r="X131" t="s">
        <v>114</v>
      </c>
      <c r="Y131">
        <v>10</v>
      </c>
      <c r="AB131">
        <v>3.45</v>
      </c>
      <c r="AC131" t="s">
        <v>85</v>
      </c>
      <c r="AD131" t="s">
        <v>505</v>
      </c>
      <c r="AE131" t="s">
        <v>371</v>
      </c>
      <c r="AI131">
        <v>3</v>
      </c>
      <c r="AK131">
        <v>10</v>
      </c>
      <c r="AL131" t="s">
        <v>82</v>
      </c>
      <c r="AM131">
        <v>10</v>
      </c>
      <c r="AN131" t="s">
        <v>82</v>
      </c>
      <c r="AT131" t="s">
        <v>75</v>
      </c>
      <c r="AU131">
        <v>64.935064935064929</v>
      </c>
      <c r="AV131" t="s">
        <v>115</v>
      </c>
    </row>
    <row r="132" spans="1:48" x14ac:dyDescent="0.3">
      <c r="A132" t="s">
        <v>937</v>
      </c>
      <c r="C132" t="s">
        <v>920</v>
      </c>
      <c r="D132" t="s">
        <v>81</v>
      </c>
      <c r="E132">
        <v>100000000</v>
      </c>
      <c r="H132">
        <v>1.54</v>
      </c>
      <c r="I132" t="s">
        <v>56</v>
      </c>
      <c r="J132">
        <v>1.54E-4</v>
      </c>
      <c r="K132" t="s">
        <v>57</v>
      </c>
      <c r="O132">
        <v>7950</v>
      </c>
      <c r="P132" t="s">
        <v>121</v>
      </c>
      <c r="T132">
        <v>25</v>
      </c>
      <c r="V132">
        <v>50</v>
      </c>
      <c r="W132" t="s">
        <v>951</v>
      </c>
      <c r="X132" t="s">
        <v>114</v>
      </c>
      <c r="Y132">
        <v>10</v>
      </c>
      <c r="AB132">
        <v>3.86</v>
      </c>
      <c r="AC132" t="s">
        <v>85</v>
      </c>
      <c r="AD132" t="s">
        <v>328</v>
      </c>
      <c r="AE132" t="s">
        <v>371</v>
      </c>
      <c r="AI132">
        <v>3</v>
      </c>
      <c r="AK132">
        <v>10</v>
      </c>
      <c r="AL132" t="s">
        <v>82</v>
      </c>
      <c r="AM132">
        <v>10</v>
      </c>
      <c r="AN132" t="s">
        <v>82</v>
      </c>
      <c r="AT132" t="s">
        <v>75</v>
      </c>
      <c r="AU132">
        <v>64.935064935064929</v>
      </c>
      <c r="AV132" t="s">
        <v>115</v>
      </c>
    </row>
    <row r="133" spans="1:48" x14ac:dyDescent="0.3">
      <c r="A133" t="s">
        <v>937</v>
      </c>
      <c r="C133" t="s">
        <v>920</v>
      </c>
      <c r="D133" t="s">
        <v>81</v>
      </c>
      <c r="E133">
        <v>100000000</v>
      </c>
      <c r="H133">
        <v>1.54</v>
      </c>
      <c r="I133" t="s">
        <v>56</v>
      </c>
      <c r="J133">
        <v>1.54E-4</v>
      </c>
      <c r="K133" t="s">
        <v>57</v>
      </c>
      <c r="O133">
        <v>8961</v>
      </c>
      <c r="P133" t="s">
        <v>121</v>
      </c>
      <c r="T133">
        <v>25</v>
      </c>
      <c r="V133">
        <v>50</v>
      </c>
      <c r="W133" t="s">
        <v>951</v>
      </c>
      <c r="X133" t="s">
        <v>114</v>
      </c>
      <c r="Y133">
        <v>10</v>
      </c>
      <c r="AB133">
        <v>4.1900000000000004</v>
      </c>
      <c r="AC133" t="s">
        <v>85</v>
      </c>
      <c r="AD133" t="s">
        <v>639</v>
      </c>
      <c r="AE133" t="s">
        <v>371</v>
      </c>
      <c r="AI133">
        <v>3</v>
      </c>
      <c r="AK133">
        <v>10</v>
      </c>
      <c r="AL133" t="s">
        <v>82</v>
      </c>
      <c r="AM133">
        <v>10</v>
      </c>
      <c r="AN133" t="s">
        <v>82</v>
      </c>
      <c r="AT133" t="s">
        <v>75</v>
      </c>
      <c r="AU133">
        <v>64.935064935064929</v>
      </c>
      <c r="AV133" t="s">
        <v>115</v>
      </c>
    </row>
    <row r="134" spans="1:48" x14ac:dyDescent="0.3">
      <c r="A134" t="s">
        <v>937</v>
      </c>
      <c r="C134" t="s">
        <v>920</v>
      </c>
      <c r="D134" t="s">
        <v>81</v>
      </c>
      <c r="E134">
        <v>100000000</v>
      </c>
      <c r="H134">
        <v>1.54</v>
      </c>
      <c r="I134" t="s">
        <v>56</v>
      </c>
      <c r="J134">
        <v>1.54E-4</v>
      </c>
      <c r="K134" t="s">
        <v>57</v>
      </c>
      <c r="O134">
        <v>10308</v>
      </c>
      <c r="P134" t="s">
        <v>121</v>
      </c>
      <c r="T134">
        <v>25</v>
      </c>
      <c r="V134">
        <v>50</v>
      </c>
      <c r="W134" t="s">
        <v>951</v>
      </c>
      <c r="X134" t="s">
        <v>114</v>
      </c>
      <c r="Y134">
        <v>10</v>
      </c>
      <c r="AB134">
        <v>3.01</v>
      </c>
      <c r="AC134" t="s">
        <v>85</v>
      </c>
      <c r="AD134" t="s">
        <v>517</v>
      </c>
      <c r="AE134" t="s">
        <v>371</v>
      </c>
      <c r="AI134">
        <v>3</v>
      </c>
      <c r="AK134">
        <v>10</v>
      </c>
      <c r="AL134" t="s">
        <v>82</v>
      </c>
      <c r="AM134">
        <v>10</v>
      </c>
      <c r="AN134" t="s">
        <v>82</v>
      </c>
      <c r="AT134" t="s">
        <v>75</v>
      </c>
      <c r="AU134">
        <v>64.935064935064929</v>
      </c>
      <c r="AV134" t="s">
        <v>115</v>
      </c>
    </row>
    <row r="135" spans="1:48" x14ac:dyDescent="0.3">
      <c r="A135" t="s">
        <v>937</v>
      </c>
      <c r="C135" t="s">
        <v>920</v>
      </c>
      <c r="D135" t="s">
        <v>81</v>
      </c>
      <c r="E135">
        <v>100000000</v>
      </c>
      <c r="H135">
        <v>1.54</v>
      </c>
      <c r="I135" t="s">
        <v>56</v>
      </c>
      <c r="J135">
        <v>1.54E-4</v>
      </c>
      <c r="K135" t="s">
        <v>57</v>
      </c>
      <c r="O135">
        <v>4918</v>
      </c>
      <c r="P135" t="s">
        <v>121</v>
      </c>
      <c r="T135">
        <v>25</v>
      </c>
      <c r="V135">
        <v>50</v>
      </c>
      <c r="W135" t="s">
        <v>951</v>
      </c>
      <c r="X135" t="s">
        <v>114</v>
      </c>
      <c r="Y135">
        <v>10</v>
      </c>
      <c r="AB135">
        <v>3.28</v>
      </c>
      <c r="AC135" t="s">
        <v>85</v>
      </c>
      <c r="AD135" t="s">
        <v>955</v>
      </c>
      <c r="AE135" t="s">
        <v>371</v>
      </c>
      <c r="AI135">
        <v>3</v>
      </c>
      <c r="AK135">
        <v>10</v>
      </c>
      <c r="AL135" t="s">
        <v>82</v>
      </c>
      <c r="AM135">
        <v>10</v>
      </c>
      <c r="AN135" t="s">
        <v>82</v>
      </c>
      <c r="AT135" t="s">
        <v>75</v>
      </c>
      <c r="AU135">
        <v>64.935064935064929</v>
      </c>
      <c r="AV135" t="s">
        <v>115</v>
      </c>
    </row>
    <row r="136" spans="1:48" x14ac:dyDescent="0.3">
      <c r="A136" t="s">
        <v>937</v>
      </c>
      <c r="C136" t="s">
        <v>920</v>
      </c>
      <c r="D136" t="s">
        <v>81</v>
      </c>
      <c r="E136">
        <v>100000000</v>
      </c>
      <c r="H136">
        <v>1.54</v>
      </c>
      <c r="I136" t="s">
        <v>56</v>
      </c>
      <c r="J136">
        <v>1.54E-4</v>
      </c>
      <c r="K136" t="s">
        <v>57</v>
      </c>
      <c r="O136">
        <v>6064</v>
      </c>
      <c r="P136" t="s">
        <v>121</v>
      </c>
      <c r="T136">
        <v>25</v>
      </c>
      <c r="V136">
        <v>50</v>
      </c>
      <c r="W136" t="s">
        <v>951</v>
      </c>
      <c r="X136" t="s">
        <v>114</v>
      </c>
      <c r="Y136">
        <v>10</v>
      </c>
      <c r="AB136">
        <v>3.29</v>
      </c>
      <c r="AC136" t="s">
        <v>85</v>
      </c>
      <c r="AD136" t="s">
        <v>590</v>
      </c>
      <c r="AE136" t="s">
        <v>371</v>
      </c>
      <c r="AI136">
        <v>3</v>
      </c>
      <c r="AK136">
        <v>10</v>
      </c>
      <c r="AL136" t="s">
        <v>82</v>
      </c>
      <c r="AM136">
        <v>10</v>
      </c>
      <c r="AN136" t="s">
        <v>82</v>
      </c>
      <c r="AT136" t="s">
        <v>75</v>
      </c>
      <c r="AU136">
        <v>64.935064935064929</v>
      </c>
      <c r="AV136" t="s">
        <v>115</v>
      </c>
    </row>
    <row r="137" spans="1:48" x14ac:dyDescent="0.3">
      <c r="A137" t="s">
        <v>937</v>
      </c>
      <c r="C137" t="s">
        <v>920</v>
      </c>
      <c r="D137" t="s">
        <v>81</v>
      </c>
      <c r="E137">
        <v>100000000</v>
      </c>
      <c r="H137">
        <v>1.54</v>
      </c>
      <c r="I137" t="s">
        <v>56</v>
      </c>
      <c r="J137">
        <v>1.54E-4</v>
      </c>
      <c r="K137" t="s">
        <v>57</v>
      </c>
      <c r="O137">
        <v>7276</v>
      </c>
      <c r="P137" t="s">
        <v>121</v>
      </c>
      <c r="T137">
        <v>25</v>
      </c>
      <c r="V137">
        <v>50</v>
      </c>
      <c r="W137" t="s">
        <v>951</v>
      </c>
      <c r="X137" t="s">
        <v>114</v>
      </c>
      <c r="Y137">
        <v>10</v>
      </c>
      <c r="AB137">
        <v>3.36</v>
      </c>
      <c r="AC137" t="s">
        <v>85</v>
      </c>
      <c r="AD137" t="s">
        <v>86</v>
      </c>
      <c r="AE137" t="s">
        <v>371</v>
      </c>
      <c r="AI137">
        <v>3</v>
      </c>
      <c r="AK137">
        <v>10</v>
      </c>
      <c r="AL137" t="s">
        <v>82</v>
      </c>
      <c r="AM137">
        <v>10</v>
      </c>
      <c r="AN137" t="s">
        <v>82</v>
      </c>
      <c r="AT137" t="s">
        <v>75</v>
      </c>
      <c r="AU137">
        <v>64.935064935064929</v>
      </c>
      <c r="AV137" t="s">
        <v>115</v>
      </c>
    </row>
    <row r="138" spans="1:48" x14ac:dyDescent="0.3">
      <c r="A138" t="s">
        <v>937</v>
      </c>
      <c r="C138" t="s">
        <v>920</v>
      </c>
      <c r="D138" t="s">
        <v>81</v>
      </c>
      <c r="E138">
        <v>100000000</v>
      </c>
      <c r="H138">
        <v>1.54</v>
      </c>
      <c r="I138" t="s">
        <v>56</v>
      </c>
      <c r="J138">
        <v>1.54E-4</v>
      </c>
      <c r="K138" t="s">
        <v>57</v>
      </c>
      <c r="O138">
        <v>8220</v>
      </c>
      <c r="P138" t="s">
        <v>121</v>
      </c>
      <c r="T138">
        <v>25</v>
      </c>
      <c r="V138">
        <v>50</v>
      </c>
      <c r="W138" t="s">
        <v>951</v>
      </c>
      <c r="X138" t="s">
        <v>114</v>
      </c>
      <c r="Y138">
        <v>10</v>
      </c>
      <c r="AB138">
        <v>5.27</v>
      </c>
      <c r="AC138" t="s">
        <v>85</v>
      </c>
      <c r="AD138" t="s">
        <v>328</v>
      </c>
      <c r="AE138" t="s">
        <v>371</v>
      </c>
      <c r="AI138">
        <v>3</v>
      </c>
      <c r="AK138">
        <v>10</v>
      </c>
      <c r="AL138" t="s">
        <v>82</v>
      </c>
      <c r="AM138">
        <v>10</v>
      </c>
      <c r="AN138" t="s">
        <v>82</v>
      </c>
      <c r="AT138" t="s">
        <v>75</v>
      </c>
      <c r="AU138">
        <v>64.935064935064929</v>
      </c>
      <c r="AV138" t="s">
        <v>115</v>
      </c>
    </row>
    <row r="139" spans="1:48" x14ac:dyDescent="0.3">
      <c r="A139" t="s">
        <v>937</v>
      </c>
      <c r="C139" t="s">
        <v>920</v>
      </c>
      <c r="D139" t="s">
        <v>81</v>
      </c>
      <c r="E139">
        <v>100000000</v>
      </c>
      <c r="H139">
        <v>1.54</v>
      </c>
      <c r="I139" t="s">
        <v>56</v>
      </c>
      <c r="J139">
        <v>1.54E-4</v>
      </c>
      <c r="K139" t="s">
        <v>57</v>
      </c>
      <c r="O139">
        <v>9298</v>
      </c>
      <c r="P139" t="s">
        <v>121</v>
      </c>
      <c r="T139">
        <v>25</v>
      </c>
      <c r="V139">
        <v>50</v>
      </c>
      <c r="W139" t="s">
        <v>951</v>
      </c>
      <c r="X139" t="s">
        <v>114</v>
      </c>
      <c r="Y139">
        <v>10</v>
      </c>
      <c r="AB139">
        <v>2.8</v>
      </c>
      <c r="AC139" t="s">
        <v>85</v>
      </c>
      <c r="AD139" t="s">
        <v>531</v>
      </c>
      <c r="AE139" t="s">
        <v>371</v>
      </c>
      <c r="AI139">
        <v>3</v>
      </c>
      <c r="AK139">
        <v>10</v>
      </c>
      <c r="AL139" t="s">
        <v>82</v>
      </c>
      <c r="AM139">
        <v>10</v>
      </c>
      <c r="AN139" t="s">
        <v>82</v>
      </c>
      <c r="AT139" t="s">
        <v>75</v>
      </c>
      <c r="AU139">
        <v>64.935064935064929</v>
      </c>
      <c r="AV139" t="s">
        <v>115</v>
      </c>
    </row>
    <row r="140" spans="1:48" x14ac:dyDescent="0.3">
      <c r="A140" t="s">
        <v>937</v>
      </c>
      <c r="C140" t="s">
        <v>920</v>
      </c>
      <c r="D140" t="s">
        <v>81</v>
      </c>
      <c r="E140">
        <v>100000000</v>
      </c>
      <c r="H140">
        <v>1.54</v>
      </c>
      <c r="I140" t="s">
        <v>56</v>
      </c>
      <c r="J140">
        <v>1.54E-4</v>
      </c>
      <c r="K140" t="s">
        <v>57</v>
      </c>
      <c r="O140">
        <v>10308</v>
      </c>
      <c r="P140" t="s">
        <v>121</v>
      </c>
      <c r="T140">
        <v>25</v>
      </c>
      <c r="V140">
        <v>50</v>
      </c>
      <c r="W140" t="s">
        <v>951</v>
      </c>
      <c r="X140" t="s">
        <v>114</v>
      </c>
      <c r="Y140">
        <v>10</v>
      </c>
      <c r="AB140">
        <v>3.51</v>
      </c>
      <c r="AC140" t="s">
        <v>85</v>
      </c>
      <c r="AD140" t="s">
        <v>507</v>
      </c>
      <c r="AE140" t="s">
        <v>371</v>
      </c>
      <c r="AI140">
        <v>3</v>
      </c>
      <c r="AK140">
        <v>10</v>
      </c>
      <c r="AL140" t="s">
        <v>82</v>
      </c>
      <c r="AM140">
        <v>10</v>
      </c>
      <c r="AN140" t="s">
        <v>82</v>
      </c>
      <c r="AT140" t="s">
        <v>75</v>
      </c>
      <c r="AU140">
        <v>64.935064935064929</v>
      </c>
      <c r="AV140" t="s">
        <v>115</v>
      </c>
    </row>
    <row r="141" spans="1:48" x14ac:dyDescent="0.3">
      <c r="A141" t="s">
        <v>956</v>
      </c>
      <c r="C141" t="s">
        <v>920</v>
      </c>
      <c r="D141" t="s">
        <v>81</v>
      </c>
      <c r="E141">
        <v>100000000</v>
      </c>
      <c r="O141">
        <v>650</v>
      </c>
      <c r="P141" t="s">
        <v>277</v>
      </c>
      <c r="S141">
        <v>1</v>
      </c>
      <c r="T141">
        <v>24</v>
      </c>
      <c r="V141">
        <v>50</v>
      </c>
      <c r="W141" t="s">
        <v>150</v>
      </c>
      <c r="X141" t="s">
        <v>957</v>
      </c>
      <c r="Y141">
        <v>1</v>
      </c>
      <c r="AB141">
        <v>7</v>
      </c>
      <c r="AC141" t="s">
        <v>85</v>
      </c>
      <c r="AD141" t="s">
        <v>958</v>
      </c>
      <c r="AE141" t="s">
        <v>63</v>
      </c>
      <c r="AI141">
        <v>3</v>
      </c>
      <c r="AT141" t="s">
        <v>150</v>
      </c>
    </row>
    <row r="142" spans="1:48" x14ac:dyDescent="0.3">
      <c r="A142" t="s">
        <v>956</v>
      </c>
      <c r="C142" t="s">
        <v>920</v>
      </c>
      <c r="D142" t="s">
        <v>81</v>
      </c>
      <c r="E142">
        <v>100000000</v>
      </c>
      <c r="O142">
        <v>650</v>
      </c>
      <c r="P142" t="s">
        <v>277</v>
      </c>
      <c r="S142">
        <v>1</v>
      </c>
      <c r="T142">
        <v>24</v>
      </c>
      <c r="V142">
        <v>50</v>
      </c>
      <c r="W142" t="s">
        <v>150</v>
      </c>
      <c r="X142" t="s">
        <v>957</v>
      </c>
      <c r="Y142">
        <v>1</v>
      </c>
      <c r="AB142">
        <v>7</v>
      </c>
      <c r="AC142" t="s">
        <v>85</v>
      </c>
      <c r="AD142" t="s">
        <v>958</v>
      </c>
      <c r="AE142" t="s">
        <v>63</v>
      </c>
      <c r="AI142">
        <v>3</v>
      </c>
      <c r="AT142" t="s">
        <v>150</v>
      </c>
    </row>
    <row r="143" spans="1:48" x14ac:dyDescent="0.3">
      <c r="A143" t="s">
        <v>956</v>
      </c>
      <c r="C143" t="s">
        <v>920</v>
      </c>
      <c r="D143" t="s">
        <v>81</v>
      </c>
      <c r="E143">
        <v>100000000</v>
      </c>
      <c r="O143">
        <v>650</v>
      </c>
      <c r="P143" t="s">
        <v>277</v>
      </c>
      <c r="S143">
        <v>1</v>
      </c>
      <c r="T143">
        <v>24</v>
      </c>
      <c r="V143">
        <v>50</v>
      </c>
      <c r="W143" t="s">
        <v>150</v>
      </c>
      <c r="X143" t="s">
        <v>957</v>
      </c>
      <c r="Y143">
        <v>5</v>
      </c>
      <c r="AB143">
        <v>7</v>
      </c>
      <c r="AC143" t="s">
        <v>85</v>
      </c>
      <c r="AD143" t="s">
        <v>958</v>
      </c>
      <c r="AE143" t="s">
        <v>63</v>
      </c>
      <c r="AI143">
        <v>3</v>
      </c>
      <c r="AT143" t="s">
        <v>150</v>
      </c>
    </row>
    <row r="144" spans="1:48" x14ac:dyDescent="0.3">
      <c r="A144" t="s">
        <v>956</v>
      </c>
      <c r="C144" t="s">
        <v>920</v>
      </c>
      <c r="D144" t="s">
        <v>81</v>
      </c>
      <c r="E144">
        <v>100000000</v>
      </c>
      <c r="O144">
        <v>650</v>
      </c>
      <c r="P144" t="s">
        <v>277</v>
      </c>
      <c r="S144">
        <v>1</v>
      </c>
      <c r="T144">
        <v>24</v>
      </c>
      <c r="V144">
        <v>50</v>
      </c>
      <c r="W144" t="s">
        <v>150</v>
      </c>
      <c r="X144" t="s">
        <v>957</v>
      </c>
      <c r="Y144">
        <v>5</v>
      </c>
      <c r="AB144">
        <v>7</v>
      </c>
      <c r="AC144" t="s">
        <v>85</v>
      </c>
      <c r="AD144" t="s">
        <v>958</v>
      </c>
      <c r="AE144" t="s">
        <v>63</v>
      </c>
      <c r="AI144">
        <v>3</v>
      </c>
      <c r="AT144" t="s">
        <v>150</v>
      </c>
    </row>
    <row r="145" spans="1:48" x14ac:dyDescent="0.3">
      <c r="A145" t="s">
        <v>959</v>
      </c>
      <c r="B145" t="s">
        <v>960</v>
      </c>
      <c r="C145" t="s">
        <v>920</v>
      </c>
      <c r="E145">
        <v>100000000</v>
      </c>
      <c r="H145">
        <v>0.78500000000000003</v>
      </c>
      <c r="I145" t="s">
        <v>56</v>
      </c>
      <c r="J145">
        <v>7.8500000000000011E-5</v>
      </c>
      <c r="K145" t="s">
        <v>57</v>
      </c>
      <c r="O145">
        <v>500</v>
      </c>
      <c r="P145" t="s">
        <v>121</v>
      </c>
      <c r="T145">
        <v>20</v>
      </c>
      <c r="V145">
        <v>50</v>
      </c>
      <c r="W145" t="s">
        <v>961</v>
      </c>
      <c r="X145" t="s">
        <v>962</v>
      </c>
      <c r="Y145">
        <v>10</v>
      </c>
      <c r="AB145">
        <v>2.0499999999999901</v>
      </c>
      <c r="AC145" t="s">
        <v>85</v>
      </c>
      <c r="AD145" t="s">
        <v>963</v>
      </c>
      <c r="AE145" t="s">
        <v>682</v>
      </c>
      <c r="AI145">
        <v>3</v>
      </c>
      <c r="AV145" t="s">
        <v>88</v>
      </c>
    </row>
    <row r="146" spans="1:48" x14ac:dyDescent="0.3">
      <c r="A146" t="s">
        <v>959</v>
      </c>
      <c r="B146" t="s">
        <v>960</v>
      </c>
      <c r="C146" t="s">
        <v>920</v>
      </c>
      <c r="E146">
        <v>100000000</v>
      </c>
      <c r="H146">
        <v>0.78500000000000003</v>
      </c>
      <c r="I146" t="s">
        <v>56</v>
      </c>
      <c r="J146">
        <v>7.8500000000000011E-5</v>
      </c>
      <c r="K146" t="s">
        <v>57</v>
      </c>
      <c r="O146">
        <v>500</v>
      </c>
      <c r="P146" t="s">
        <v>121</v>
      </c>
      <c r="T146">
        <v>20</v>
      </c>
      <c r="V146">
        <v>50</v>
      </c>
      <c r="W146" t="s">
        <v>961</v>
      </c>
      <c r="X146" t="s">
        <v>962</v>
      </c>
      <c r="Y146">
        <v>10</v>
      </c>
      <c r="AB146">
        <v>1.3</v>
      </c>
      <c r="AC146" t="s">
        <v>85</v>
      </c>
      <c r="AD146" t="s">
        <v>964</v>
      </c>
      <c r="AE146" t="s">
        <v>682</v>
      </c>
      <c r="AI146">
        <v>3</v>
      </c>
      <c r="AV146" t="s">
        <v>88</v>
      </c>
    </row>
    <row r="147" spans="1:48" x14ac:dyDescent="0.3">
      <c r="A147" t="s">
        <v>959</v>
      </c>
      <c r="B147" t="s">
        <v>960</v>
      </c>
      <c r="C147" t="s">
        <v>920</v>
      </c>
      <c r="E147">
        <v>100000000</v>
      </c>
      <c r="H147">
        <v>0.78500000000000003</v>
      </c>
      <c r="I147" t="s">
        <v>56</v>
      </c>
      <c r="J147">
        <v>7.8500000000000011E-5</v>
      </c>
      <c r="K147" t="s">
        <v>57</v>
      </c>
      <c r="O147">
        <v>500</v>
      </c>
      <c r="P147" t="s">
        <v>121</v>
      </c>
      <c r="T147">
        <v>20</v>
      </c>
      <c r="V147">
        <v>50</v>
      </c>
      <c r="W147" t="s">
        <v>961</v>
      </c>
      <c r="X147" t="s">
        <v>962</v>
      </c>
      <c r="Y147">
        <v>10</v>
      </c>
      <c r="AB147">
        <v>1.24</v>
      </c>
      <c r="AC147" t="s">
        <v>85</v>
      </c>
      <c r="AD147" t="s">
        <v>965</v>
      </c>
      <c r="AE147" t="s">
        <v>682</v>
      </c>
      <c r="AI147">
        <v>3</v>
      </c>
      <c r="AV147" t="s">
        <v>88</v>
      </c>
    </row>
    <row r="148" spans="1:48" x14ac:dyDescent="0.3">
      <c r="A148" t="s">
        <v>959</v>
      </c>
      <c r="B148" t="s">
        <v>960</v>
      </c>
      <c r="C148" t="s">
        <v>920</v>
      </c>
      <c r="E148">
        <v>100000000</v>
      </c>
      <c r="H148">
        <v>0.78500000000000003</v>
      </c>
      <c r="I148" t="s">
        <v>56</v>
      </c>
      <c r="J148">
        <v>7.8500000000000011E-5</v>
      </c>
      <c r="K148" t="s">
        <v>57</v>
      </c>
      <c r="O148">
        <v>500</v>
      </c>
      <c r="P148" t="s">
        <v>121</v>
      </c>
      <c r="T148">
        <v>20</v>
      </c>
      <c r="V148">
        <v>50</v>
      </c>
      <c r="W148" t="s">
        <v>961</v>
      </c>
      <c r="X148" t="s">
        <v>962</v>
      </c>
      <c r="Y148">
        <v>10</v>
      </c>
      <c r="AB148">
        <v>0.72</v>
      </c>
      <c r="AC148" t="s">
        <v>85</v>
      </c>
      <c r="AD148" t="s">
        <v>966</v>
      </c>
      <c r="AE148" t="s">
        <v>682</v>
      </c>
      <c r="AI148">
        <v>3</v>
      </c>
      <c r="AV148" t="s">
        <v>88</v>
      </c>
    </row>
    <row r="149" spans="1:48" x14ac:dyDescent="0.3">
      <c r="A149" t="s">
        <v>959</v>
      </c>
      <c r="B149" t="s">
        <v>960</v>
      </c>
      <c r="C149" t="s">
        <v>920</v>
      </c>
      <c r="E149">
        <v>100000000</v>
      </c>
      <c r="H149">
        <v>0.78500000000000003</v>
      </c>
      <c r="I149" t="s">
        <v>56</v>
      </c>
      <c r="J149">
        <v>7.8500000000000011E-5</v>
      </c>
      <c r="K149" t="s">
        <v>57</v>
      </c>
      <c r="O149">
        <v>500</v>
      </c>
      <c r="P149" t="s">
        <v>121</v>
      </c>
      <c r="T149">
        <v>20</v>
      </c>
      <c r="V149">
        <v>50</v>
      </c>
      <c r="W149" t="s">
        <v>961</v>
      </c>
      <c r="X149" t="s">
        <v>962</v>
      </c>
      <c r="Y149">
        <v>10</v>
      </c>
      <c r="AB149">
        <v>1.25</v>
      </c>
      <c r="AC149" t="s">
        <v>85</v>
      </c>
      <c r="AD149" t="s">
        <v>967</v>
      </c>
      <c r="AE149" t="s">
        <v>682</v>
      </c>
      <c r="AI149">
        <v>3</v>
      </c>
      <c r="AV149" t="s">
        <v>88</v>
      </c>
    </row>
    <row r="150" spans="1:48" x14ac:dyDescent="0.3">
      <c r="A150" t="s">
        <v>959</v>
      </c>
      <c r="B150" t="s">
        <v>960</v>
      </c>
      <c r="C150" t="s">
        <v>920</v>
      </c>
      <c r="E150">
        <v>100000000</v>
      </c>
      <c r="H150">
        <v>0.78500000000000003</v>
      </c>
      <c r="I150" t="s">
        <v>56</v>
      </c>
      <c r="J150">
        <v>7.8500000000000011E-5</v>
      </c>
      <c r="K150" t="s">
        <v>57</v>
      </c>
      <c r="O150">
        <v>1000</v>
      </c>
      <c r="P150" t="s">
        <v>277</v>
      </c>
      <c r="T150">
        <v>20</v>
      </c>
      <c r="V150">
        <v>50</v>
      </c>
      <c r="W150" t="s">
        <v>961</v>
      </c>
      <c r="X150" t="s">
        <v>962</v>
      </c>
      <c r="Y150">
        <v>10</v>
      </c>
      <c r="AB150">
        <v>3.14</v>
      </c>
      <c r="AC150" t="s">
        <v>85</v>
      </c>
      <c r="AD150" t="s">
        <v>968</v>
      </c>
      <c r="AE150" t="s">
        <v>682</v>
      </c>
      <c r="AI150">
        <v>3</v>
      </c>
      <c r="AV150" t="s">
        <v>88</v>
      </c>
    </row>
    <row r="151" spans="1:48" x14ac:dyDescent="0.3">
      <c r="A151" t="s">
        <v>959</v>
      </c>
      <c r="B151" t="s">
        <v>960</v>
      </c>
      <c r="C151" t="s">
        <v>920</v>
      </c>
      <c r="E151">
        <v>100000000</v>
      </c>
      <c r="H151">
        <v>0.78500000000000003</v>
      </c>
      <c r="I151" t="s">
        <v>56</v>
      </c>
      <c r="J151">
        <v>7.8500000000000011E-5</v>
      </c>
      <c r="K151" t="s">
        <v>57</v>
      </c>
      <c r="O151">
        <v>1000</v>
      </c>
      <c r="P151" t="s">
        <v>277</v>
      </c>
      <c r="T151">
        <v>20</v>
      </c>
      <c r="V151">
        <v>50</v>
      </c>
      <c r="W151" t="s">
        <v>961</v>
      </c>
      <c r="X151" t="s">
        <v>962</v>
      </c>
      <c r="Y151">
        <v>10</v>
      </c>
      <c r="AB151">
        <v>3.2</v>
      </c>
      <c r="AC151" t="s">
        <v>85</v>
      </c>
      <c r="AD151" t="s">
        <v>969</v>
      </c>
      <c r="AE151" t="s">
        <v>682</v>
      </c>
      <c r="AI151">
        <v>3</v>
      </c>
      <c r="AV151" t="s">
        <v>88</v>
      </c>
    </row>
    <row r="152" spans="1:48" x14ac:dyDescent="0.3">
      <c r="A152" t="s">
        <v>959</v>
      </c>
      <c r="B152" t="s">
        <v>960</v>
      </c>
      <c r="C152" t="s">
        <v>920</v>
      </c>
      <c r="E152">
        <v>100000000</v>
      </c>
      <c r="H152">
        <v>0.78500000000000003</v>
      </c>
      <c r="I152" t="s">
        <v>56</v>
      </c>
      <c r="J152">
        <v>7.8500000000000011E-5</v>
      </c>
      <c r="K152" t="s">
        <v>57</v>
      </c>
      <c r="O152">
        <v>1000</v>
      </c>
      <c r="P152" t="s">
        <v>277</v>
      </c>
      <c r="T152">
        <v>20</v>
      </c>
      <c r="V152">
        <v>50</v>
      </c>
      <c r="W152" t="s">
        <v>961</v>
      </c>
      <c r="X152" t="s">
        <v>962</v>
      </c>
      <c r="Y152">
        <v>10</v>
      </c>
      <c r="AB152">
        <v>1.51</v>
      </c>
      <c r="AC152" t="s">
        <v>85</v>
      </c>
      <c r="AD152" t="s">
        <v>970</v>
      </c>
      <c r="AE152" t="s">
        <v>682</v>
      </c>
      <c r="AI152">
        <v>3</v>
      </c>
      <c r="AV152" t="s">
        <v>88</v>
      </c>
    </row>
    <row r="153" spans="1:48" x14ac:dyDescent="0.3">
      <c r="A153" t="s">
        <v>959</v>
      </c>
      <c r="B153" t="s">
        <v>960</v>
      </c>
      <c r="C153" t="s">
        <v>920</v>
      </c>
      <c r="E153">
        <v>100000000</v>
      </c>
      <c r="H153">
        <v>0.78500000000000003</v>
      </c>
      <c r="I153" t="s">
        <v>56</v>
      </c>
      <c r="J153">
        <v>7.8500000000000011E-5</v>
      </c>
      <c r="K153" t="s">
        <v>57</v>
      </c>
      <c r="O153">
        <v>1000</v>
      </c>
      <c r="P153" t="s">
        <v>277</v>
      </c>
      <c r="T153">
        <v>20</v>
      </c>
      <c r="V153">
        <v>50</v>
      </c>
      <c r="W153" t="s">
        <v>961</v>
      </c>
      <c r="X153" t="s">
        <v>962</v>
      </c>
      <c r="Y153">
        <v>10</v>
      </c>
      <c r="AB153">
        <v>1.62</v>
      </c>
      <c r="AC153" t="s">
        <v>85</v>
      </c>
      <c r="AD153" t="s">
        <v>971</v>
      </c>
      <c r="AE153" t="s">
        <v>682</v>
      </c>
      <c r="AI153">
        <v>3</v>
      </c>
      <c r="AV153" t="s">
        <v>88</v>
      </c>
    </row>
    <row r="154" spans="1:48" x14ac:dyDescent="0.3">
      <c r="A154" t="s">
        <v>959</v>
      </c>
      <c r="B154" t="s">
        <v>960</v>
      </c>
      <c r="C154" t="s">
        <v>920</v>
      </c>
      <c r="E154">
        <v>100000000</v>
      </c>
      <c r="H154">
        <v>0.78500000000000003</v>
      </c>
      <c r="I154" t="s">
        <v>56</v>
      </c>
      <c r="J154">
        <v>7.8500000000000011E-5</v>
      </c>
      <c r="K154" t="s">
        <v>57</v>
      </c>
      <c r="O154">
        <v>1000</v>
      </c>
      <c r="P154" t="s">
        <v>277</v>
      </c>
      <c r="T154">
        <v>20</v>
      </c>
      <c r="V154">
        <v>50</v>
      </c>
      <c r="W154" t="s">
        <v>961</v>
      </c>
      <c r="X154" t="s">
        <v>962</v>
      </c>
      <c r="Y154">
        <v>10</v>
      </c>
      <c r="AB154">
        <v>1.61</v>
      </c>
      <c r="AC154" t="s">
        <v>85</v>
      </c>
      <c r="AD154" t="s">
        <v>972</v>
      </c>
      <c r="AE154" t="s">
        <v>682</v>
      </c>
      <c r="AI154">
        <v>3</v>
      </c>
      <c r="AV154" t="s">
        <v>88</v>
      </c>
    </row>
    <row r="155" spans="1:48" x14ac:dyDescent="0.3">
      <c r="A155" t="s">
        <v>959</v>
      </c>
      <c r="B155" t="s">
        <v>960</v>
      </c>
      <c r="C155" t="s">
        <v>920</v>
      </c>
      <c r="E155">
        <v>100000000</v>
      </c>
      <c r="H155">
        <v>0.78500000000000003</v>
      </c>
      <c r="I155" t="s">
        <v>56</v>
      </c>
      <c r="J155">
        <v>7.8500000000000011E-5</v>
      </c>
      <c r="K155" t="s">
        <v>57</v>
      </c>
      <c r="O155">
        <v>10</v>
      </c>
      <c r="P155" t="s">
        <v>59</v>
      </c>
      <c r="T155">
        <v>20</v>
      </c>
      <c r="V155">
        <v>50</v>
      </c>
      <c r="W155" t="s">
        <v>961</v>
      </c>
      <c r="X155" t="s">
        <v>962</v>
      </c>
      <c r="Y155">
        <v>10</v>
      </c>
      <c r="AB155">
        <v>0.92</v>
      </c>
      <c r="AC155" t="s">
        <v>85</v>
      </c>
      <c r="AD155" t="s">
        <v>973</v>
      </c>
      <c r="AE155" t="s">
        <v>682</v>
      </c>
      <c r="AI155">
        <v>3</v>
      </c>
      <c r="AV155" t="s">
        <v>88</v>
      </c>
    </row>
    <row r="156" spans="1:48" x14ac:dyDescent="0.3">
      <c r="A156" t="s">
        <v>959</v>
      </c>
      <c r="B156" t="s">
        <v>960</v>
      </c>
      <c r="C156" t="s">
        <v>920</v>
      </c>
      <c r="E156">
        <v>100000000</v>
      </c>
      <c r="H156">
        <v>0.78500000000000003</v>
      </c>
      <c r="I156" t="s">
        <v>56</v>
      </c>
      <c r="J156">
        <v>7.8500000000000011E-5</v>
      </c>
      <c r="K156" t="s">
        <v>57</v>
      </c>
      <c r="O156">
        <v>10</v>
      </c>
      <c r="P156" t="s">
        <v>59</v>
      </c>
      <c r="T156">
        <v>20</v>
      </c>
      <c r="V156">
        <v>50</v>
      </c>
      <c r="W156" t="s">
        <v>961</v>
      </c>
      <c r="X156" t="s">
        <v>962</v>
      </c>
      <c r="Y156">
        <v>10</v>
      </c>
      <c r="AB156">
        <v>0.88</v>
      </c>
      <c r="AC156" t="s">
        <v>85</v>
      </c>
      <c r="AD156" t="s">
        <v>974</v>
      </c>
      <c r="AE156" t="s">
        <v>682</v>
      </c>
      <c r="AI156">
        <v>3</v>
      </c>
      <c r="AV156" t="s">
        <v>88</v>
      </c>
    </row>
    <row r="157" spans="1:48" x14ac:dyDescent="0.3">
      <c r="A157" t="s">
        <v>959</v>
      </c>
      <c r="B157" t="s">
        <v>960</v>
      </c>
      <c r="C157" t="s">
        <v>920</v>
      </c>
      <c r="E157">
        <v>100000000</v>
      </c>
      <c r="H157">
        <v>0.78500000000000003</v>
      </c>
      <c r="I157" t="s">
        <v>56</v>
      </c>
      <c r="J157">
        <v>7.8500000000000011E-5</v>
      </c>
      <c r="K157" t="s">
        <v>57</v>
      </c>
      <c r="O157">
        <v>10</v>
      </c>
      <c r="P157" t="s">
        <v>59</v>
      </c>
      <c r="T157">
        <v>20</v>
      </c>
      <c r="V157">
        <v>50</v>
      </c>
      <c r="W157" t="s">
        <v>961</v>
      </c>
      <c r="X157" t="s">
        <v>962</v>
      </c>
      <c r="Y157">
        <v>10</v>
      </c>
      <c r="AB157">
        <v>1.63</v>
      </c>
      <c r="AC157" t="s">
        <v>85</v>
      </c>
      <c r="AD157" t="s">
        <v>975</v>
      </c>
      <c r="AE157" t="s">
        <v>682</v>
      </c>
      <c r="AI157">
        <v>3</v>
      </c>
      <c r="AV157" t="s">
        <v>88</v>
      </c>
    </row>
    <row r="158" spans="1:48" x14ac:dyDescent="0.3">
      <c r="A158" t="s">
        <v>959</v>
      </c>
      <c r="B158" t="s">
        <v>960</v>
      </c>
      <c r="C158" t="s">
        <v>920</v>
      </c>
      <c r="E158">
        <v>100000000</v>
      </c>
      <c r="H158">
        <v>0.78500000000000003</v>
      </c>
      <c r="I158" t="s">
        <v>56</v>
      </c>
      <c r="J158">
        <v>7.8500000000000011E-5</v>
      </c>
      <c r="K158" t="s">
        <v>57</v>
      </c>
      <c r="O158">
        <v>10</v>
      </c>
      <c r="P158" t="s">
        <v>59</v>
      </c>
      <c r="T158">
        <v>20</v>
      </c>
      <c r="V158">
        <v>50</v>
      </c>
      <c r="W158" t="s">
        <v>961</v>
      </c>
      <c r="X158" t="s">
        <v>962</v>
      </c>
      <c r="Y158">
        <v>10</v>
      </c>
      <c r="AB158">
        <v>1.42</v>
      </c>
      <c r="AC158" t="s">
        <v>85</v>
      </c>
      <c r="AD158" t="s">
        <v>976</v>
      </c>
      <c r="AE158" t="s">
        <v>682</v>
      </c>
      <c r="AI158">
        <v>3</v>
      </c>
      <c r="AV158" t="s">
        <v>88</v>
      </c>
    </row>
    <row r="159" spans="1:48" x14ac:dyDescent="0.3">
      <c r="A159" t="s">
        <v>959</v>
      </c>
      <c r="B159" t="s">
        <v>960</v>
      </c>
      <c r="C159" t="s">
        <v>920</v>
      </c>
      <c r="E159">
        <v>100000000</v>
      </c>
      <c r="H159">
        <v>0.78500000000000003</v>
      </c>
      <c r="I159" t="s">
        <v>56</v>
      </c>
      <c r="J159">
        <v>7.8500000000000011E-5</v>
      </c>
      <c r="K159" t="s">
        <v>57</v>
      </c>
      <c r="O159">
        <v>10</v>
      </c>
      <c r="P159" t="s">
        <v>59</v>
      </c>
      <c r="T159">
        <v>20</v>
      </c>
      <c r="V159">
        <v>50</v>
      </c>
      <c r="W159" t="s">
        <v>961</v>
      </c>
      <c r="X159" t="s">
        <v>962</v>
      </c>
      <c r="Y159">
        <v>10</v>
      </c>
      <c r="AB159">
        <v>2.63</v>
      </c>
      <c r="AC159" t="s">
        <v>85</v>
      </c>
      <c r="AD159" t="s">
        <v>977</v>
      </c>
      <c r="AE159" t="s">
        <v>682</v>
      </c>
      <c r="AI159">
        <v>3</v>
      </c>
      <c r="AV159" t="s">
        <v>88</v>
      </c>
    </row>
    <row r="160" spans="1:48" x14ac:dyDescent="0.3">
      <c r="A160" t="s">
        <v>959</v>
      </c>
      <c r="B160" t="s">
        <v>960</v>
      </c>
      <c r="C160" t="s">
        <v>920</v>
      </c>
      <c r="E160">
        <v>100000000</v>
      </c>
      <c r="H160">
        <v>0.78500000000000003</v>
      </c>
      <c r="I160" t="s">
        <v>56</v>
      </c>
      <c r="J160">
        <v>7.8500000000000011E-5</v>
      </c>
      <c r="K160" t="s">
        <v>57</v>
      </c>
      <c r="O160">
        <v>500</v>
      </c>
      <c r="P160" t="s">
        <v>277</v>
      </c>
      <c r="T160">
        <v>20</v>
      </c>
      <c r="V160">
        <v>50</v>
      </c>
      <c r="W160" t="s">
        <v>961</v>
      </c>
      <c r="X160" t="s">
        <v>962</v>
      </c>
      <c r="Y160">
        <v>10</v>
      </c>
      <c r="AB160">
        <v>2.25</v>
      </c>
      <c r="AC160" t="s">
        <v>85</v>
      </c>
      <c r="AD160" t="s">
        <v>978</v>
      </c>
      <c r="AE160" t="s">
        <v>682</v>
      </c>
      <c r="AI160">
        <v>3</v>
      </c>
      <c r="AV160" t="s">
        <v>88</v>
      </c>
    </row>
    <row r="161" spans="1:52" x14ac:dyDescent="0.3">
      <c r="A161" t="s">
        <v>959</v>
      </c>
      <c r="B161" t="s">
        <v>960</v>
      </c>
      <c r="C161" t="s">
        <v>920</v>
      </c>
      <c r="E161">
        <v>100000000</v>
      </c>
      <c r="H161">
        <v>0.78500000000000003</v>
      </c>
      <c r="I161" t="s">
        <v>56</v>
      </c>
      <c r="J161">
        <v>7.8500000000000011E-5</v>
      </c>
      <c r="K161" t="s">
        <v>57</v>
      </c>
      <c r="O161">
        <v>500</v>
      </c>
      <c r="P161" t="s">
        <v>277</v>
      </c>
      <c r="T161">
        <v>20</v>
      </c>
      <c r="V161">
        <v>50</v>
      </c>
      <c r="W161" t="s">
        <v>961</v>
      </c>
      <c r="X161" t="s">
        <v>962</v>
      </c>
      <c r="Y161">
        <v>10</v>
      </c>
      <c r="AB161">
        <v>2.34</v>
      </c>
      <c r="AC161" t="s">
        <v>85</v>
      </c>
      <c r="AD161" t="s">
        <v>979</v>
      </c>
      <c r="AE161" t="s">
        <v>682</v>
      </c>
      <c r="AI161">
        <v>3</v>
      </c>
      <c r="AV161" t="s">
        <v>88</v>
      </c>
    </row>
    <row r="162" spans="1:52" x14ac:dyDescent="0.3">
      <c r="A162" t="s">
        <v>959</v>
      </c>
      <c r="B162" t="s">
        <v>960</v>
      </c>
      <c r="C162" t="s">
        <v>920</v>
      </c>
      <c r="E162">
        <v>100000000</v>
      </c>
      <c r="H162">
        <v>0.78500000000000003</v>
      </c>
      <c r="I162" t="s">
        <v>56</v>
      </c>
      <c r="J162">
        <v>7.8500000000000011E-5</v>
      </c>
      <c r="K162" t="s">
        <v>57</v>
      </c>
      <c r="O162">
        <v>500</v>
      </c>
      <c r="P162" t="s">
        <v>277</v>
      </c>
      <c r="T162">
        <v>20</v>
      </c>
      <c r="V162">
        <v>50</v>
      </c>
      <c r="W162" t="s">
        <v>961</v>
      </c>
      <c r="X162" t="s">
        <v>962</v>
      </c>
      <c r="Y162">
        <v>10</v>
      </c>
      <c r="AB162">
        <v>0.12</v>
      </c>
      <c r="AC162" t="s">
        <v>85</v>
      </c>
      <c r="AD162" t="s">
        <v>980</v>
      </c>
      <c r="AE162" t="s">
        <v>682</v>
      </c>
      <c r="AI162">
        <v>3</v>
      </c>
      <c r="AV162" t="s">
        <v>88</v>
      </c>
    </row>
    <row r="163" spans="1:52" x14ac:dyDescent="0.3">
      <c r="A163" t="s">
        <v>959</v>
      </c>
      <c r="B163" t="s">
        <v>960</v>
      </c>
      <c r="C163" t="s">
        <v>920</v>
      </c>
      <c r="E163">
        <v>100000000</v>
      </c>
      <c r="H163">
        <v>0.78500000000000003</v>
      </c>
      <c r="I163" t="s">
        <v>56</v>
      </c>
      <c r="J163">
        <v>7.8500000000000011E-5</v>
      </c>
      <c r="K163" t="s">
        <v>57</v>
      </c>
      <c r="O163">
        <v>500</v>
      </c>
      <c r="P163" t="s">
        <v>277</v>
      </c>
      <c r="T163">
        <v>20</v>
      </c>
      <c r="V163">
        <v>50</v>
      </c>
      <c r="W163" t="s">
        <v>961</v>
      </c>
      <c r="X163" t="s">
        <v>962</v>
      </c>
      <c r="Y163">
        <v>10</v>
      </c>
      <c r="AB163">
        <v>0.18</v>
      </c>
      <c r="AC163" t="s">
        <v>85</v>
      </c>
      <c r="AD163" t="s">
        <v>981</v>
      </c>
      <c r="AE163" t="s">
        <v>682</v>
      </c>
      <c r="AI163">
        <v>3</v>
      </c>
      <c r="AV163" t="s">
        <v>88</v>
      </c>
    </row>
    <row r="164" spans="1:52" x14ac:dyDescent="0.3">
      <c r="A164" t="s">
        <v>959</v>
      </c>
      <c r="B164" t="s">
        <v>960</v>
      </c>
      <c r="C164" t="s">
        <v>920</v>
      </c>
      <c r="E164">
        <v>100000000</v>
      </c>
      <c r="H164">
        <v>0.78500000000000003</v>
      </c>
      <c r="I164" t="s">
        <v>56</v>
      </c>
      <c r="J164">
        <v>7.8500000000000011E-5</v>
      </c>
      <c r="K164" t="s">
        <v>57</v>
      </c>
      <c r="O164">
        <v>500</v>
      </c>
      <c r="P164" t="s">
        <v>277</v>
      </c>
      <c r="T164">
        <v>20</v>
      </c>
      <c r="V164">
        <v>50</v>
      </c>
      <c r="W164" t="s">
        <v>961</v>
      </c>
      <c r="X164" t="s">
        <v>962</v>
      </c>
      <c r="Y164">
        <v>10</v>
      </c>
      <c r="AB164">
        <v>0.81</v>
      </c>
      <c r="AC164" t="s">
        <v>85</v>
      </c>
      <c r="AD164" t="s">
        <v>982</v>
      </c>
      <c r="AE164" t="s">
        <v>682</v>
      </c>
      <c r="AI164">
        <v>3</v>
      </c>
      <c r="AV164" t="s">
        <v>88</v>
      </c>
    </row>
    <row r="165" spans="1:52" x14ac:dyDescent="0.3">
      <c r="A165" t="s">
        <v>959</v>
      </c>
      <c r="B165" t="s">
        <v>960</v>
      </c>
      <c r="C165" t="s">
        <v>920</v>
      </c>
      <c r="E165">
        <v>100000000</v>
      </c>
      <c r="H165">
        <v>0.78500000000000003</v>
      </c>
      <c r="I165" t="s">
        <v>56</v>
      </c>
      <c r="J165">
        <v>7.8500000000000011E-5</v>
      </c>
      <c r="K165" t="s">
        <v>57</v>
      </c>
      <c r="O165">
        <v>500</v>
      </c>
      <c r="P165" t="s">
        <v>277</v>
      </c>
      <c r="T165">
        <v>20</v>
      </c>
      <c r="V165">
        <v>50</v>
      </c>
      <c r="W165" t="s">
        <v>961</v>
      </c>
      <c r="X165" t="s">
        <v>962</v>
      </c>
      <c r="Y165">
        <v>10</v>
      </c>
      <c r="AB165">
        <v>5.81</v>
      </c>
      <c r="AC165" t="s">
        <v>85</v>
      </c>
      <c r="AD165" t="s">
        <v>983</v>
      </c>
      <c r="AE165" t="s">
        <v>682</v>
      </c>
      <c r="AI165">
        <v>3</v>
      </c>
      <c r="AV165" t="s">
        <v>88</v>
      </c>
    </row>
    <row r="166" spans="1:52" x14ac:dyDescent="0.3">
      <c r="A166" t="s">
        <v>959</v>
      </c>
      <c r="B166" t="s">
        <v>960</v>
      </c>
      <c r="C166" t="s">
        <v>920</v>
      </c>
      <c r="E166">
        <v>100000000</v>
      </c>
      <c r="H166">
        <v>0.78500000000000003</v>
      </c>
      <c r="I166" t="s">
        <v>56</v>
      </c>
      <c r="J166">
        <v>7.8500000000000011E-5</v>
      </c>
      <c r="K166" t="s">
        <v>57</v>
      </c>
      <c r="O166">
        <v>500</v>
      </c>
      <c r="P166" t="s">
        <v>277</v>
      </c>
      <c r="T166">
        <v>20</v>
      </c>
      <c r="V166">
        <v>50</v>
      </c>
      <c r="W166" t="s">
        <v>961</v>
      </c>
      <c r="X166" t="s">
        <v>962</v>
      </c>
      <c r="Y166">
        <v>10</v>
      </c>
      <c r="AB166">
        <v>5.93</v>
      </c>
      <c r="AC166" t="s">
        <v>85</v>
      </c>
      <c r="AD166" t="s">
        <v>984</v>
      </c>
      <c r="AE166" t="s">
        <v>682</v>
      </c>
      <c r="AI166">
        <v>3</v>
      </c>
      <c r="AV166" t="s">
        <v>88</v>
      </c>
    </row>
    <row r="167" spans="1:52" x14ac:dyDescent="0.3">
      <c r="A167" t="s">
        <v>959</v>
      </c>
      <c r="B167" t="s">
        <v>960</v>
      </c>
      <c r="C167" t="s">
        <v>920</v>
      </c>
      <c r="E167">
        <v>100000000</v>
      </c>
      <c r="H167">
        <v>0.78500000000000003</v>
      </c>
      <c r="I167" t="s">
        <v>56</v>
      </c>
      <c r="J167">
        <v>7.8500000000000011E-5</v>
      </c>
      <c r="K167" t="s">
        <v>57</v>
      </c>
      <c r="O167">
        <v>500</v>
      </c>
      <c r="P167" t="s">
        <v>277</v>
      </c>
      <c r="T167">
        <v>20</v>
      </c>
      <c r="V167">
        <v>50</v>
      </c>
      <c r="W167" t="s">
        <v>961</v>
      </c>
      <c r="X167" t="s">
        <v>962</v>
      </c>
      <c r="Y167">
        <v>10</v>
      </c>
      <c r="AB167">
        <v>0.95</v>
      </c>
      <c r="AC167" t="s">
        <v>85</v>
      </c>
      <c r="AD167" t="s">
        <v>985</v>
      </c>
      <c r="AE167" t="s">
        <v>682</v>
      </c>
      <c r="AI167">
        <v>3</v>
      </c>
      <c r="AV167" t="s">
        <v>88</v>
      </c>
    </row>
    <row r="168" spans="1:52" x14ac:dyDescent="0.3">
      <c r="A168" t="s">
        <v>959</v>
      </c>
      <c r="B168" t="s">
        <v>960</v>
      </c>
      <c r="C168" t="s">
        <v>920</v>
      </c>
      <c r="E168">
        <v>100000000</v>
      </c>
      <c r="H168">
        <v>0.78500000000000003</v>
      </c>
      <c r="I168" t="s">
        <v>56</v>
      </c>
      <c r="J168">
        <v>7.8500000000000011E-5</v>
      </c>
      <c r="K168" t="s">
        <v>57</v>
      </c>
      <c r="O168">
        <v>500</v>
      </c>
      <c r="P168" t="s">
        <v>277</v>
      </c>
      <c r="T168">
        <v>20</v>
      </c>
      <c r="V168">
        <v>50</v>
      </c>
      <c r="W168" t="s">
        <v>961</v>
      </c>
      <c r="X168" t="s">
        <v>962</v>
      </c>
      <c r="Y168">
        <v>10</v>
      </c>
      <c r="AB168">
        <v>0.8</v>
      </c>
      <c r="AC168" t="s">
        <v>85</v>
      </c>
      <c r="AD168" t="s">
        <v>986</v>
      </c>
      <c r="AE168" t="s">
        <v>682</v>
      </c>
      <c r="AI168">
        <v>3</v>
      </c>
      <c r="AV168" t="s">
        <v>88</v>
      </c>
    </row>
    <row r="169" spans="1:52" x14ac:dyDescent="0.3">
      <c r="A169" t="s">
        <v>959</v>
      </c>
      <c r="B169" t="s">
        <v>960</v>
      </c>
      <c r="C169" t="s">
        <v>920</v>
      </c>
      <c r="E169">
        <v>100000000</v>
      </c>
      <c r="H169">
        <v>0.78500000000000003</v>
      </c>
      <c r="I169" t="s">
        <v>56</v>
      </c>
      <c r="J169">
        <v>7.8500000000000011E-5</v>
      </c>
      <c r="K169" t="s">
        <v>57</v>
      </c>
      <c r="O169">
        <v>500</v>
      </c>
      <c r="P169" t="s">
        <v>277</v>
      </c>
      <c r="T169">
        <v>20</v>
      </c>
      <c r="V169">
        <v>50</v>
      </c>
      <c r="W169" t="s">
        <v>961</v>
      </c>
      <c r="X169" t="s">
        <v>962</v>
      </c>
      <c r="Y169">
        <v>10</v>
      </c>
      <c r="AB169">
        <v>3.13</v>
      </c>
      <c r="AC169" t="s">
        <v>85</v>
      </c>
      <c r="AD169" t="s">
        <v>987</v>
      </c>
      <c r="AE169" t="s">
        <v>682</v>
      </c>
      <c r="AI169">
        <v>3</v>
      </c>
      <c r="AV169" t="s">
        <v>88</v>
      </c>
    </row>
    <row r="170" spans="1:52" x14ac:dyDescent="0.3">
      <c r="A170" t="s">
        <v>959</v>
      </c>
      <c r="C170" t="s">
        <v>920</v>
      </c>
      <c r="E170">
        <v>100000000</v>
      </c>
      <c r="H170">
        <v>0.78500000000000003</v>
      </c>
      <c r="I170" t="s">
        <v>56</v>
      </c>
      <c r="J170">
        <v>7.8500000000000011E-5</v>
      </c>
      <c r="K170" t="s">
        <v>57</v>
      </c>
      <c r="O170">
        <v>10000</v>
      </c>
      <c r="P170" t="s">
        <v>121</v>
      </c>
      <c r="T170">
        <v>10</v>
      </c>
      <c r="V170">
        <v>50</v>
      </c>
      <c r="W170" t="s">
        <v>388</v>
      </c>
      <c r="X170" t="s">
        <v>962</v>
      </c>
      <c r="Y170">
        <v>10</v>
      </c>
      <c r="AA170" t="s">
        <v>128</v>
      </c>
      <c r="AB170">
        <v>5</v>
      </c>
      <c r="AC170" t="s">
        <v>85</v>
      </c>
      <c r="AI170" t="s">
        <v>988</v>
      </c>
      <c r="AT170" t="s">
        <v>65</v>
      </c>
      <c r="AV170" t="s">
        <v>88</v>
      </c>
      <c r="AZ170">
        <v>0</v>
      </c>
    </row>
    <row r="171" spans="1:52" x14ac:dyDescent="0.3">
      <c r="A171" t="s">
        <v>959</v>
      </c>
      <c r="C171" t="s">
        <v>920</v>
      </c>
      <c r="E171">
        <v>100000000</v>
      </c>
      <c r="H171">
        <v>0.78500000000000003</v>
      </c>
      <c r="I171" t="s">
        <v>56</v>
      </c>
      <c r="J171">
        <v>7.8500000000000011E-5</v>
      </c>
      <c r="K171" t="s">
        <v>57</v>
      </c>
      <c r="O171">
        <v>10000</v>
      </c>
      <c r="P171" t="s">
        <v>121</v>
      </c>
      <c r="T171">
        <v>10</v>
      </c>
      <c r="V171">
        <v>50</v>
      </c>
      <c r="W171" t="s">
        <v>388</v>
      </c>
      <c r="X171" t="s">
        <v>962</v>
      </c>
      <c r="Y171">
        <v>10</v>
      </c>
      <c r="AA171" t="s">
        <v>128</v>
      </c>
      <c r="AB171">
        <v>5</v>
      </c>
      <c r="AC171" t="s">
        <v>85</v>
      </c>
      <c r="AI171" t="s">
        <v>988</v>
      </c>
      <c r="AT171" t="s">
        <v>65</v>
      </c>
      <c r="AV171" t="s">
        <v>88</v>
      </c>
      <c r="AZ171">
        <v>0</v>
      </c>
    </row>
    <row r="172" spans="1:52" x14ac:dyDescent="0.3">
      <c r="A172" t="s">
        <v>959</v>
      </c>
      <c r="C172" t="s">
        <v>920</v>
      </c>
      <c r="E172">
        <v>100000000</v>
      </c>
      <c r="H172">
        <v>0.78500000000000003</v>
      </c>
      <c r="I172" t="s">
        <v>56</v>
      </c>
      <c r="J172">
        <v>7.8500000000000011E-5</v>
      </c>
      <c r="K172" t="s">
        <v>57</v>
      </c>
      <c r="O172">
        <v>200</v>
      </c>
      <c r="P172" t="s">
        <v>121</v>
      </c>
      <c r="T172">
        <v>20</v>
      </c>
      <c r="V172">
        <v>50</v>
      </c>
      <c r="W172" t="s">
        <v>388</v>
      </c>
      <c r="X172" t="s">
        <v>962</v>
      </c>
      <c r="Y172">
        <v>10</v>
      </c>
      <c r="AB172">
        <v>5</v>
      </c>
      <c r="AC172" t="s">
        <v>85</v>
      </c>
      <c r="AI172" t="s">
        <v>988</v>
      </c>
      <c r="AT172" t="s">
        <v>65</v>
      </c>
      <c r="AV172" t="s">
        <v>88</v>
      </c>
    </row>
    <row r="173" spans="1:52" x14ac:dyDescent="0.3">
      <c r="A173" t="s">
        <v>959</v>
      </c>
      <c r="C173" t="s">
        <v>920</v>
      </c>
      <c r="E173">
        <v>100000000</v>
      </c>
      <c r="H173">
        <v>0.78500000000000003</v>
      </c>
      <c r="I173" t="s">
        <v>56</v>
      </c>
      <c r="J173">
        <v>7.8500000000000011E-5</v>
      </c>
      <c r="K173" t="s">
        <v>57</v>
      </c>
      <c r="O173">
        <v>2500</v>
      </c>
      <c r="P173" t="s">
        <v>121</v>
      </c>
      <c r="T173">
        <v>20</v>
      </c>
      <c r="V173">
        <v>50</v>
      </c>
      <c r="W173" t="s">
        <v>388</v>
      </c>
      <c r="X173" t="s">
        <v>962</v>
      </c>
      <c r="Y173">
        <v>10</v>
      </c>
      <c r="AB173">
        <v>5</v>
      </c>
      <c r="AC173" t="s">
        <v>85</v>
      </c>
      <c r="AI173" t="s">
        <v>988</v>
      </c>
      <c r="AT173" t="s">
        <v>65</v>
      </c>
      <c r="AV173" t="s">
        <v>88</v>
      </c>
    </row>
    <row r="174" spans="1:52" x14ac:dyDescent="0.3">
      <c r="A174" t="s">
        <v>959</v>
      </c>
      <c r="C174" t="s">
        <v>920</v>
      </c>
      <c r="E174">
        <v>100000000</v>
      </c>
      <c r="H174">
        <v>0.78500000000000003</v>
      </c>
      <c r="I174" t="s">
        <v>56</v>
      </c>
      <c r="J174">
        <v>7.8500000000000011E-5</v>
      </c>
      <c r="K174" t="s">
        <v>57</v>
      </c>
      <c r="O174">
        <v>100</v>
      </c>
      <c r="P174" t="s">
        <v>121</v>
      </c>
      <c r="T174">
        <v>30</v>
      </c>
      <c r="V174">
        <v>50</v>
      </c>
      <c r="W174" t="s">
        <v>388</v>
      </c>
      <c r="X174" t="s">
        <v>962</v>
      </c>
      <c r="Y174">
        <v>10</v>
      </c>
      <c r="AB174">
        <v>5</v>
      </c>
      <c r="AC174" t="s">
        <v>85</v>
      </c>
      <c r="AI174" t="s">
        <v>988</v>
      </c>
      <c r="AT174" t="s">
        <v>65</v>
      </c>
      <c r="AV174" t="s">
        <v>88</v>
      </c>
    </row>
    <row r="175" spans="1:52" x14ac:dyDescent="0.3">
      <c r="A175" t="s">
        <v>959</v>
      </c>
      <c r="C175" t="s">
        <v>920</v>
      </c>
      <c r="E175">
        <v>100000000</v>
      </c>
      <c r="H175">
        <v>0.78500000000000003</v>
      </c>
      <c r="I175" t="s">
        <v>56</v>
      </c>
      <c r="J175">
        <v>7.8500000000000011E-5</v>
      </c>
      <c r="K175" t="s">
        <v>57</v>
      </c>
      <c r="O175">
        <v>500</v>
      </c>
      <c r="P175" t="s">
        <v>121</v>
      </c>
      <c r="T175">
        <v>30</v>
      </c>
      <c r="V175">
        <v>50</v>
      </c>
      <c r="W175" t="s">
        <v>388</v>
      </c>
      <c r="X175" t="s">
        <v>962</v>
      </c>
      <c r="Y175">
        <v>10</v>
      </c>
      <c r="AB175">
        <v>5</v>
      </c>
      <c r="AC175" t="s">
        <v>85</v>
      </c>
      <c r="AI175" t="s">
        <v>988</v>
      </c>
      <c r="AT175" t="s">
        <v>65</v>
      </c>
      <c r="AV175" t="s">
        <v>88</v>
      </c>
    </row>
    <row r="176" spans="1:52" x14ac:dyDescent="0.3">
      <c r="A176" t="s">
        <v>959</v>
      </c>
      <c r="B176" t="s">
        <v>960</v>
      </c>
      <c r="C176" t="s">
        <v>920</v>
      </c>
      <c r="E176">
        <v>100000000</v>
      </c>
      <c r="H176">
        <v>0.78500000000000003</v>
      </c>
      <c r="I176" t="s">
        <v>56</v>
      </c>
      <c r="J176">
        <v>7.8500000000000011E-5</v>
      </c>
      <c r="K176" t="s">
        <v>57</v>
      </c>
      <c r="O176">
        <v>10000</v>
      </c>
      <c r="P176" t="s">
        <v>121</v>
      </c>
      <c r="T176">
        <v>10</v>
      </c>
      <c r="V176">
        <v>50</v>
      </c>
      <c r="W176" t="s">
        <v>961</v>
      </c>
      <c r="X176" t="s">
        <v>962</v>
      </c>
      <c r="Y176">
        <v>10</v>
      </c>
      <c r="AA176" t="s">
        <v>128</v>
      </c>
      <c r="AB176">
        <v>5</v>
      </c>
      <c r="AC176" t="s">
        <v>85</v>
      </c>
      <c r="AI176" t="s">
        <v>988</v>
      </c>
      <c r="AV176" t="s">
        <v>88</v>
      </c>
      <c r="AZ176">
        <v>0</v>
      </c>
    </row>
    <row r="177" spans="1:52" x14ac:dyDescent="0.3">
      <c r="A177" t="s">
        <v>959</v>
      </c>
      <c r="B177" t="s">
        <v>960</v>
      </c>
      <c r="C177" t="s">
        <v>920</v>
      </c>
      <c r="E177">
        <v>100000000</v>
      </c>
      <c r="H177">
        <v>0.78500000000000003</v>
      </c>
      <c r="I177" t="s">
        <v>56</v>
      </c>
      <c r="J177">
        <v>7.8500000000000011E-5</v>
      </c>
      <c r="K177" t="s">
        <v>57</v>
      </c>
      <c r="O177">
        <v>10000</v>
      </c>
      <c r="P177" t="s">
        <v>121</v>
      </c>
      <c r="T177">
        <v>10</v>
      </c>
      <c r="V177">
        <v>50</v>
      </c>
      <c r="W177" t="s">
        <v>961</v>
      </c>
      <c r="X177" t="s">
        <v>962</v>
      </c>
      <c r="Y177">
        <v>10</v>
      </c>
      <c r="AA177" t="s">
        <v>128</v>
      </c>
      <c r="AB177">
        <v>5</v>
      </c>
      <c r="AC177" t="s">
        <v>85</v>
      </c>
      <c r="AI177" t="s">
        <v>988</v>
      </c>
      <c r="AV177" t="s">
        <v>88</v>
      </c>
      <c r="AZ177">
        <v>0</v>
      </c>
    </row>
    <row r="178" spans="1:52" x14ac:dyDescent="0.3">
      <c r="A178" t="s">
        <v>959</v>
      </c>
      <c r="B178" t="s">
        <v>960</v>
      </c>
      <c r="C178" t="s">
        <v>920</v>
      </c>
      <c r="E178">
        <v>100000000</v>
      </c>
      <c r="H178">
        <v>0.78500000000000003</v>
      </c>
      <c r="I178" t="s">
        <v>56</v>
      </c>
      <c r="J178">
        <v>7.8500000000000011E-5</v>
      </c>
      <c r="K178" t="s">
        <v>57</v>
      </c>
      <c r="O178">
        <v>9000</v>
      </c>
      <c r="P178" t="s">
        <v>121</v>
      </c>
      <c r="T178">
        <v>20</v>
      </c>
      <c r="V178">
        <v>50</v>
      </c>
      <c r="W178" t="s">
        <v>961</v>
      </c>
      <c r="X178" t="s">
        <v>962</v>
      </c>
      <c r="Y178">
        <v>10</v>
      </c>
      <c r="AB178">
        <v>5</v>
      </c>
      <c r="AC178" t="s">
        <v>85</v>
      </c>
      <c r="AI178" t="s">
        <v>988</v>
      </c>
      <c r="AV178" t="s">
        <v>88</v>
      </c>
    </row>
    <row r="179" spans="1:52" x14ac:dyDescent="0.3">
      <c r="A179" t="s">
        <v>959</v>
      </c>
      <c r="B179" t="s">
        <v>960</v>
      </c>
      <c r="C179" t="s">
        <v>920</v>
      </c>
      <c r="E179">
        <v>100000000</v>
      </c>
      <c r="H179">
        <v>0.78500000000000003</v>
      </c>
      <c r="I179" t="s">
        <v>56</v>
      </c>
      <c r="J179">
        <v>7.8500000000000011E-5</v>
      </c>
      <c r="K179" t="s">
        <v>57</v>
      </c>
      <c r="O179">
        <v>12800</v>
      </c>
      <c r="P179" t="s">
        <v>121</v>
      </c>
      <c r="T179">
        <v>20</v>
      </c>
      <c r="V179">
        <v>50</v>
      </c>
      <c r="W179" t="s">
        <v>961</v>
      </c>
      <c r="X179" t="s">
        <v>962</v>
      </c>
      <c r="Y179">
        <v>10</v>
      </c>
      <c r="AB179">
        <v>5</v>
      </c>
      <c r="AC179" t="s">
        <v>85</v>
      </c>
      <c r="AI179" t="s">
        <v>988</v>
      </c>
      <c r="AV179" t="s">
        <v>88</v>
      </c>
    </row>
    <row r="180" spans="1:52" x14ac:dyDescent="0.3">
      <c r="A180" t="s">
        <v>959</v>
      </c>
      <c r="B180" t="s">
        <v>960</v>
      </c>
      <c r="C180" t="s">
        <v>920</v>
      </c>
      <c r="E180">
        <v>100000000</v>
      </c>
      <c r="H180">
        <v>0.78500000000000003</v>
      </c>
      <c r="I180" t="s">
        <v>56</v>
      </c>
      <c r="J180">
        <v>7.8500000000000011E-5</v>
      </c>
      <c r="K180" t="s">
        <v>57</v>
      </c>
      <c r="O180">
        <v>4300</v>
      </c>
      <c r="P180" t="s">
        <v>121</v>
      </c>
      <c r="T180">
        <v>30</v>
      </c>
      <c r="V180">
        <v>50</v>
      </c>
      <c r="W180" t="s">
        <v>961</v>
      </c>
      <c r="X180" t="s">
        <v>962</v>
      </c>
      <c r="Y180">
        <v>10</v>
      </c>
      <c r="AB180">
        <v>5</v>
      </c>
      <c r="AC180" t="s">
        <v>85</v>
      </c>
      <c r="AI180" t="s">
        <v>988</v>
      </c>
      <c r="AV180" t="s">
        <v>88</v>
      </c>
    </row>
    <row r="181" spans="1:52" x14ac:dyDescent="0.3">
      <c r="A181" t="s">
        <v>959</v>
      </c>
      <c r="B181" t="s">
        <v>960</v>
      </c>
      <c r="C181" t="s">
        <v>920</v>
      </c>
      <c r="E181">
        <v>100000000</v>
      </c>
      <c r="H181">
        <v>0.78500000000000003</v>
      </c>
      <c r="I181" t="s">
        <v>56</v>
      </c>
      <c r="J181">
        <v>7.8500000000000011E-5</v>
      </c>
      <c r="K181" t="s">
        <v>57</v>
      </c>
      <c r="O181">
        <v>10000</v>
      </c>
      <c r="P181" t="s">
        <v>121</v>
      </c>
      <c r="T181">
        <v>30</v>
      </c>
      <c r="V181">
        <v>50</v>
      </c>
      <c r="W181" t="s">
        <v>961</v>
      </c>
      <c r="X181" t="s">
        <v>962</v>
      </c>
      <c r="Y181">
        <v>10</v>
      </c>
      <c r="AB181">
        <v>5</v>
      </c>
      <c r="AC181" t="s">
        <v>85</v>
      </c>
      <c r="AI181" t="s">
        <v>988</v>
      </c>
      <c r="AV181" t="s">
        <v>88</v>
      </c>
    </row>
    <row r="182" spans="1:52" x14ac:dyDescent="0.3">
      <c r="A182" t="s">
        <v>959</v>
      </c>
      <c r="C182" t="s">
        <v>920</v>
      </c>
      <c r="E182">
        <v>100000000</v>
      </c>
      <c r="H182">
        <v>0.78500000000000003</v>
      </c>
      <c r="I182" t="s">
        <v>56</v>
      </c>
      <c r="J182">
        <v>7.8500000000000011E-5</v>
      </c>
      <c r="K182" t="s">
        <v>57</v>
      </c>
      <c r="O182">
        <v>7600</v>
      </c>
      <c r="P182" t="s">
        <v>277</v>
      </c>
      <c r="T182">
        <v>10</v>
      </c>
      <c r="V182">
        <v>50</v>
      </c>
      <c r="W182" t="s">
        <v>388</v>
      </c>
      <c r="X182" t="s">
        <v>962</v>
      </c>
      <c r="Y182">
        <v>10</v>
      </c>
      <c r="AA182" t="s">
        <v>128</v>
      </c>
      <c r="AB182">
        <v>5</v>
      </c>
      <c r="AC182" t="s">
        <v>85</v>
      </c>
      <c r="AI182" t="s">
        <v>988</v>
      </c>
      <c r="AT182" t="s">
        <v>65</v>
      </c>
      <c r="AV182" t="s">
        <v>88</v>
      </c>
      <c r="AZ182">
        <v>0</v>
      </c>
    </row>
    <row r="183" spans="1:52" x14ac:dyDescent="0.3">
      <c r="A183" t="s">
        <v>959</v>
      </c>
      <c r="C183" t="s">
        <v>920</v>
      </c>
      <c r="E183">
        <v>100000000</v>
      </c>
      <c r="H183">
        <v>0.78500000000000003</v>
      </c>
      <c r="I183" t="s">
        <v>56</v>
      </c>
      <c r="J183">
        <v>7.8500000000000011E-5</v>
      </c>
      <c r="K183" t="s">
        <v>57</v>
      </c>
      <c r="O183">
        <v>5700</v>
      </c>
      <c r="P183" t="s">
        <v>277</v>
      </c>
      <c r="T183">
        <v>10</v>
      </c>
      <c r="V183">
        <v>50</v>
      </c>
      <c r="W183" t="s">
        <v>388</v>
      </c>
      <c r="X183" t="s">
        <v>962</v>
      </c>
      <c r="Y183">
        <v>10</v>
      </c>
      <c r="AB183">
        <v>5</v>
      </c>
      <c r="AC183" t="s">
        <v>85</v>
      </c>
      <c r="AI183" t="s">
        <v>988</v>
      </c>
      <c r="AT183" t="s">
        <v>65</v>
      </c>
      <c r="AV183" t="s">
        <v>88</v>
      </c>
    </row>
    <row r="184" spans="1:52" x14ac:dyDescent="0.3">
      <c r="A184" t="s">
        <v>959</v>
      </c>
      <c r="C184" t="s">
        <v>920</v>
      </c>
      <c r="E184">
        <v>100000000</v>
      </c>
      <c r="H184">
        <v>0.78500000000000003</v>
      </c>
      <c r="I184" t="s">
        <v>56</v>
      </c>
      <c r="J184">
        <v>7.8500000000000011E-5</v>
      </c>
      <c r="K184" t="s">
        <v>57</v>
      </c>
      <c r="O184">
        <v>4700</v>
      </c>
      <c r="P184" t="s">
        <v>277</v>
      </c>
      <c r="T184">
        <v>20</v>
      </c>
      <c r="V184">
        <v>50</v>
      </c>
      <c r="W184" t="s">
        <v>388</v>
      </c>
      <c r="X184" t="s">
        <v>962</v>
      </c>
      <c r="Y184">
        <v>10</v>
      </c>
      <c r="AB184">
        <v>5</v>
      </c>
      <c r="AC184" t="s">
        <v>85</v>
      </c>
      <c r="AI184" t="s">
        <v>988</v>
      </c>
      <c r="AT184" t="s">
        <v>65</v>
      </c>
      <c r="AV184" t="s">
        <v>88</v>
      </c>
    </row>
    <row r="185" spans="1:52" x14ac:dyDescent="0.3">
      <c r="A185" t="s">
        <v>959</v>
      </c>
      <c r="C185" t="s">
        <v>920</v>
      </c>
      <c r="E185">
        <v>100000000</v>
      </c>
      <c r="H185">
        <v>0.78500000000000003</v>
      </c>
      <c r="I185" t="s">
        <v>56</v>
      </c>
      <c r="J185">
        <v>7.8500000000000011E-5</v>
      </c>
      <c r="K185" t="s">
        <v>57</v>
      </c>
      <c r="O185">
        <v>3300</v>
      </c>
      <c r="P185" t="s">
        <v>277</v>
      </c>
      <c r="T185">
        <v>20</v>
      </c>
      <c r="V185">
        <v>50</v>
      </c>
      <c r="W185" t="s">
        <v>388</v>
      </c>
      <c r="X185" t="s">
        <v>962</v>
      </c>
      <c r="Y185">
        <v>10</v>
      </c>
      <c r="AB185">
        <v>5</v>
      </c>
      <c r="AC185" t="s">
        <v>85</v>
      </c>
      <c r="AI185" t="s">
        <v>988</v>
      </c>
      <c r="AT185" t="s">
        <v>65</v>
      </c>
      <c r="AV185" t="s">
        <v>88</v>
      </c>
    </row>
    <row r="186" spans="1:52" x14ac:dyDescent="0.3">
      <c r="A186" t="s">
        <v>959</v>
      </c>
      <c r="C186" t="s">
        <v>920</v>
      </c>
      <c r="E186">
        <v>100000000</v>
      </c>
      <c r="H186">
        <v>0.78500000000000003</v>
      </c>
      <c r="I186" t="s">
        <v>56</v>
      </c>
      <c r="J186">
        <v>7.8500000000000011E-5</v>
      </c>
      <c r="K186" t="s">
        <v>57</v>
      </c>
      <c r="O186">
        <v>3300</v>
      </c>
      <c r="P186" t="s">
        <v>277</v>
      </c>
      <c r="T186">
        <v>30</v>
      </c>
      <c r="V186">
        <v>50</v>
      </c>
      <c r="W186" t="s">
        <v>388</v>
      </c>
      <c r="X186" t="s">
        <v>962</v>
      </c>
      <c r="Y186">
        <v>10</v>
      </c>
      <c r="AB186">
        <v>5</v>
      </c>
      <c r="AC186" t="s">
        <v>85</v>
      </c>
      <c r="AI186" t="s">
        <v>988</v>
      </c>
      <c r="AT186" t="s">
        <v>65</v>
      </c>
      <c r="AV186" t="s">
        <v>88</v>
      </c>
    </row>
    <row r="187" spans="1:52" x14ac:dyDescent="0.3">
      <c r="A187" t="s">
        <v>959</v>
      </c>
      <c r="C187" t="s">
        <v>920</v>
      </c>
      <c r="E187">
        <v>100000000</v>
      </c>
      <c r="H187">
        <v>0.78500000000000003</v>
      </c>
      <c r="I187" t="s">
        <v>56</v>
      </c>
      <c r="J187">
        <v>7.8500000000000011E-5</v>
      </c>
      <c r="K187" t="s">
        <v>57</v>
      </c>
      <c r="O187">
        <v>1700</v>
      </c>
      <c r="P187" t="s">
        <v>277</v>
      </c>
      <c r="T187">
        <v>30</v>
      </c>
      <c r="V187">
        <v>50</v>
      </c>
      <c r="W187" t="s">
        <v>388</v>
      </c>
      <c r="X187" t="s">
        <v>962</v>
      </c>
      <c r="Y187">
        <v>10</v>
      </c>
      <c r="AB187">
        <v>5</v>
      </c>
      <c r="AC187" t="s">
        <v>85</v>
      </c>
      <c r="AI187" t="s">
        <v>988</v>
      </c>
      <c r="AT187" t="s">
        <v>65</v>
      </c>
      <c r="AV187" t="s">
        <v>88</v>
      </c>
    </row>
    <row r="188" spans="1:52" x14ac:dyDescent="0.3">
      <c r="A188" t="s">
        <v>959</v>
      </c>
      <c r="B188" t="s">
        <v>960</v>
      </c>
      <c r="C188" t="s">
        <v>920</v>
      </c>
      <c r="E188">
        <v>100000000</v>
      </c>
      <c r="H188">
        <v>0.78500000000000003</v>
      </c>
      <c r="I188" t="s">
        <v>56</v>
      </c>
      <c r="J188">
        <v>7.8500000000000011E-5</v>
      </c>
      <c r="K188" t="s">
        <v>57</v>
      </c>
      <c r="O188">
        <v>7600</v>
      </c>
      <c r="P188" t="s">
        <v>277</v>
      </c>
      <c r="T188">
        <v>10</v>
      </c>
      <c r="V188">
        <v>50</v>
      </c>
      <c r="W188" t="s">
        <v>961</v>
      </c>
      <c r="X188" t="s">
        <v>962</v>
      </c>
      <c r="Y188">
        <v>10</v>
      </c>
      <c r="AA188" t="s">
        <v>128</v>
      </c>
      <c r="AB188">
        <v>5</v>
      </c>
      <c r="AC188" t="s">
        <v>85</v>
      </c>
      <c r="AI188" t="s">
        <v>988</v>
      </c>
      <c r="AV188" t="s">
        <v>88</v>
      </c>
      <c r="AZ188">
        <v>0</v>
      </c>
    </row>
    <row r="189" spans="1:52" x14ac:dyDescent="0.3">
      <c r="A189" t="s">
        <v>959</v>
      </c>
      <c r="B189" t="s">
        <v>960</v>
      </c>
      <c r="C189" t="s">
        <v>920</v>
      </c>
      <c r="E189">
        <v>100000000</v>
      </c>
      <c r="H189">
        <v>0.78500000000000003</v>
      </c>
      <c r="I189" t="s">
        <v>56</v>
      </c>
      <c r="J189">
        <v>7.8500000000000011E-5</v>
      </c>
      <c r="K189" t="s">
        <v>57</v>
      </c>
      <c r="O189">
        <v>6300</v>
      </c>
      <c r="P189" t="s">
        <v>277</v>
      </c>
      <c r="T189">
        <v>10</v>
      </c>
      <c r="V189">
        <v>50</v>
      </c>
      <c r="W189" t="s">
        <v>961</v>
      </c>
      <c r="X189" t="s">
        <v>962</v>
      </c>
      <c r="Y189">
        <v>10</v>
      </c>
      <c r="AB189">
        <v>5</v>
      </c>
      <c r="AC189" t="s">
        <v>85</v>
      </c>
      <c r="AI189" t="s">
        <v>988</v>
      </c>
      <c r="AV189" t="s">
        <v>88</v>
      </c>
    </row>
    <row r="190" spans="1:52" x14ac:dyDescent="0.3">
      <c r="A190" t="s">
        <v>959</v>
      </c>
      <c r="B190" t="s">
        <v>960</v>
      </c>
      <c r="C190" t="s">
        <v>920</v>
      </c>
      <c r="E190">
        <v>100000000</v>
      </c>
      <c r="H190">
        <v>0.78500000000000003</v>
      </c>
      <c r="I190" t="s">
        <v>56</v>
      </c>
      <c r="J190">
        <v>7.8500000000000011E-5</v>
      </c>
      <c r="K190" t="s">
        <v>57</v>
      </c>
      <c r="O190">
        <v>4900</v>
      </c>
      <c r="P190" t="s">
        <v>277</v>
      </c>
      <c r="T190">
        <v>20</v>
      </c>
      <c r="V190">
        <v>50</v>
      </c>
      <c r="W190" t="s">
        <v>961</v>
      </c>
      <c r="X190" t="s">
        <v>962</v>
      </c>
      <c r="Y190">
        <v>10</v>
      </c>
      <c r="AB190">
        <v>5</v>
      </c>
      <c r="AC190" t="s">
        <v>85</v>
      </c>
      <c r="AI190" t="s">
        <v>988</v>
      </c>
      <c r="AV190" t="s">
        <v>88</v>
      </c>
    </row>
    <row r="191" spans="1:52" x14ac:dyDescent="0.3">
      <c r="A191" t="s">
        <v>959</v>
      </c>
      <c r="B191" t="s">
        <v>960</v>
      </c>
      <c r="C191" t="s">
        <v>920</v>
      </c>
      <c r="E191">
        <v>100000000</v>
      </c>
      <c r="H191">
        <v>0.78500000000000003</v>
      </c>
      <c r="I191" t="s">
        <v>56</v>
      </c>
      <c r="J191">
        <v>7.8500000000000011E-5</v>
      </c>
      <c r="K191" t="s">
        <v>57</v>
      </c>
      <c r="O191">
        <v>3700</v>
      </c>
      <c r="P191" t="s">
        <v>277</v>
      </c>
      <c r="T191">
        <v>20</v>
      </c>
      <c r="V191">
        <v>50</v>
      </c>
      <c r="W191" t="s">
        <v>961</v>
      </c>
      <c r="X191" t="s">
        <v>962</v>
      </c>
      <c r="Y191">
        <v>10</v>
      </c>
      <c r="AB191">
        <v>5</v>
      </c>
      <c r="AC191" t="s">
        <v>85</v>
      </c>
      <c r="AI191" t="s">
        <v>988</v>
      </c>
      <c r="AV191" t="s">
        <v>88</v>
      </c>
    </row>
    <row r="192" spans="1:52" x14ac:dyDescent="0.3">
      <c r="A192" t="s">
        <v>959</v>
      </c>
      <c r="B192" t="s">
        <v>960</v>
      </c>
      <c r="C192" t="s">
        <v>920</v>
      </c>
      <c r="E192">
        <v>100000000</v>
      </c>
      <c r="H192">
        <v>0.78500000000000003</v>
      </c>
      <c r="I192" t="s">
        <v>56</v>
      </c>
      <c r="J192">
        <v>7.8500000000000011E-5</v>
      </c>
      <c r="K192" t="s">
        <v>57</v>
      </c>
      <c r="O192">
        <v>4000</v>
      </c>
      <c r="P192" t="s">
        <v>277</v>
      </c>
      <c r="T192">
        <v>30</v>
      </c>
      <c r="V192">
        <v>50</v>
      </c>
      <c r="W192" t="s">
        <v>961</v>
      </c>
      <c r="X192" t="s">
        <v>962</v>
      </c>
      <c r="Y192">
        <v>10</v>
      </c>
      <c r="AB192">
        <v>5</v>
      </c>
      <c r="AC192" t="s">
        <v>85</v>
      </c>
      <c r="AI192" t="s">
        <v>988</v>
      </c>
      <c r="AV192" t="s">
        <v>88</v>
      </c>
    </row>
    <row r="193" spans="1:48" x14ac:dyDescent="0.3">
      <c r="A193" t="s">
        <v>959</v>
      </c>
      <c r="B193" t="s">
        <v>960</v>
      </c>
      <c r="C193" t="s">
        <v>920</v>
      </c>
      <c r="E193">
        <v>100000000</v>
      </c>
      <c r="H193">
        <v>0.78500000000000003</v>
      </c>
      <c r="I193" t="s">
        <v>56</v>
      </c>
      <c r="J193">
        <v>7.8500000000000011E-5</v>
      </c>
      <c r="K193" t="s">
        <v>57</v>
      </c>
      <c r="O193">
        <v>3200</v>
      </c>
      <c r="P193" t="s">
        <v>277</v>
      </c>
      <c r="T193">
        <v>30</v>
      </c>
      <c r="V193">
        <v>50</v>
      </c>
      <c r="W193" t="s">
        <v>961</v>
      </c>
      <c r="X193" t="s">
        <v>962</v>
      </c>
      <c r="Y193">
        <v>10</v>
      </c>
      <c r="AB193">
        <v>5</v>
      </c>
      <c r="AC193" t="s">
        <v>85</v>
      </c>
      <c r="AI193" t="s">
        <v>988</v>
      </c>
      <c r="AV193" t="s">
        <v>88</v>
      </c>
    </row>
    <row r="194" spans="1:48" x14ac:dyDescent="0.3">
      <c r="A194" t="s">
        <v>959</v>
      </c>
      <c r="C194" t="s">
        <v>920</v>
      </c>
      <c r="E194">
        <v>100000000</v>
      </c>
      <c r="H194">
        <v>0.78500000000000003</v>
      </c>
      <c r="I194" t="s">
        <v>56</v>
      </c>
      <c r="J194">
        <v>7.8500000000000011E-5</v>
      </c>
      <c r="K194" t="s">
        <v>57</v>
      </c>
      <c r="O194">
        <v>21600</v>
      </c>
      <c r="P194" t="s">
        <v>277</v>
      </c>
      <c r="T194">
        <v>10</v>
      </c>
      <c r="V194">
        <v>50</v>
      </c>
      <c r="W194" t="s">
        <v>388</v>
      </c>
      <c r="X194" t="s">
        <v>962</v>
      </c>
      <c r="Y194">
        <v>10</v>
      </c>
      <c r="AB194">
        <v>5</v>
      </c>
      <c r="AC194" t="s">
        <v>85</v>
      </c>
      <c r="AI194" t="s">
        <v>988</v>
      </c>
      <c r="AT194" t="s">
        <v>65</v>
      </c>
      <c r="AV194" t="s">
        <v>88</v>
      </c>
    </row>
    <row r="195" spans="1:48" x14ac:dyDescent="0.3">
      <c r="A195" t="s">
        <v>959</v>
      </c>
      <c r="C195" t="s">
        <v>920</v>
      </c>
      <c r="E195">
        <v>100000000</v>
      </c>
      <c r="H195">
        <v>0.78500000000000003</v>
      </c>
      <c r="I195" t="s">
        <v>56</v>
      </c>
      <c r="J195">
        <v>7.8500000000000011E-5</v>
      </c>
      <c r="K195" t="s">
        <v>57</v>
      </c>
      <c r="O195">
        <v>18900</v>
      </c>
      <c r="P195" t="s">
        <v>277</v>
      </c>
      <c r="T195">
        <v>10</v>
      </c>
      <c r="V195">
        <v>50</v>
      </c>
      <c r="W195" t="s">
        <v>388</v>
      </c>
      <c r="X195" t="s">
        <v>962</v>
      </c>
      <c r="Y195">
        <v>10</v>
      </c>
      <c r="AB195">
        <v>5</v>
      </c>
      <c r="AC195" t="s">
        <v>85</v>
      </c>
      <c r="AI195" t="s">
        <v>988</v>
      </c>
      <c r="AT195" t="s">
        <v>65</v>
      </c>
      <c r="AV195" t="s">
        <v>88</v>
      </c>
    </row>
    <row r="196" spans="1:48" x14ac:dyDescent="0.3">
      <c r="A196" t="s">
        <v>959</v>
      </c>
      <c r="C196" t="s">
        <v>920</v>
      </c>
      <c r="E196">
        <v>100000000</v>
      </c>
      <c r="H196">
        <v>0.78500000000000003</v>
      </c>
      <c r="I196" t="s">
        <v>56</v>
      </c>
      <c r="J196">
        <v>7.8500000000000011E-5</v>
      </c>
      <c r="K196" t="s">
        <v>57</v>
      </c>
      <c r="O196">
        <v>8300</v>
      </c>
      <c r="P196" t="s">
        <v>277</v>
      </c>
      <c r="T196">
        <v>20</v>
      </c>
      <c r="V196">
        <v>50</v>
      </c>
      <c r="W196" t="s">
        <v>388</v>
      </c>
      <c r="X196" t="s">
        <v>962</v>
      </c>
      <c r="Y196">
        <v>10</v>
      </c>
      <c r="AB196">
        <v>5</v>
      </c>
      <c r="AC196" t="s">
        <v>85</v>
      </c>
      <c r="AI196" t="s">
        <v>988</v>
      </c>
      <c r="AT196" t="s">
        <v>65</v>
      </c>
      <c r="AV196" t="s">
        <v>88</v>
      </c>
    </row>
    <row r="197" spans="1:48" x14ac:dyDescent="0.3">
      <c r="A197" t="s">
        <v>959</v>
      </c>
      <c r="C197" t="s">
        <v>920</v>
      </c>
      <c r="E197">
        <v>100000000</v>
      </c>
      <c r="H197">
        <v>0.78500000000000003</v>
      </c>
      <c r="I197" t="s">
        <v>56</v>
      </c>
      <c r="J197">
        <v>7.8500000000000011E-5</v>
      </c>
      <c r="K197" t="s">
        <v>57</v>
      </c>
      <c r="O197">
        <v>8700</v>
      </c>
      <c r="P197" t="s">
        <v>277</v>
      </c>
      <c r="T197">
        <v>20</v>
      </c>
      <c r="V197">
        <v>50</v>
      </c>
      <c r="W197" t="s">
        <v>388</v>
      </c>
      <c r="X197" t="s">
        <v>962</v>
      </c>
      <c r="Y197">
        <v>10</v>
      </c>
      <c r="AB197">
        <v>5</v>
      </c>
      <c r="AC197" t="s">
        <v>85</v>
      </c>
      <c r="AI197" t="s">
        <v>988</v>
      </c>
      <c r="AT197" t="s">
        <v>65</v>
      </c>
      <c r="AV197" t="s">
        <v>88</v>
      </c>
    </row>
    <row r="198" spans="1:48" x14ac:dyDescent="0.3">
      <c r="A198" t="s">
        <v>959</v>
      </c>
      <c r="C198" t="s">
        <v>920</v>
      </c>
      <c r="E198">
        <v>100000000</v>
      </c>
      <c r="H198">
        <v>0.78500000000000003</v>
      </c>
      <c r="I198" t="s">
        <v>56</v>
      </c>
      <c r="J198">
        <v>7.8500000000000011E-5</v>
      </c>
      <c r="K198" t="s">
        <v>57</v>
      </c>
      <c r="O198">
        <v>4000</v>
      </c>
      <c r="P198" t="s">
        <v>277</v>
      </c>
      <c r="T198">
        <v>30</v>
      </c>
      <c r="V198">
        <v>50</v>
      </c>
      <c r="W198" t="s">
        <v>388</v>
      </c>
      <c r="X198" t="s">
        <v>962</v>
      </c>
      <c r="Y198">
        <v>10</v>
      </c>
      <c r="AB198">
        <v>5</v>
      </c>
      <c r="AC198" t="s">
        <v>85</v>
      </c>
      <c r="AI198" t="s">
        <v>988</v>
      </c>
      <c r="AT198" t="s">
        <v>65</v>
      </c>
      <c r="AV198" t="s">
        <v>88</v>
      </c>
    </row>
    <row r="199" spans="1:48" x14ac:dyDescent="0.3">
      <c r="A199" t="s">
        <v>959</v>
      </c>
      <c r="C199" t="s">
        <v>920</v>
      </c>
      <c r="E199">
        <v>100000000</v>
      </c>
      <c r="H199">
        <v>0.78500000000000003</v>
      </c>
      <c r="I199" t="s">
        <v>56</v>
      </c>
      <c r="J199">
        <v>7.8500000000000011E-5</v>
      </c>
      <c r="K199" t="s">
        <v>57</v>
      </c>
      <c r="O199">
        <v>2900</v>
      </c>
      <c r="P199" t="s">
        <v>277</v>
      </c>
      <c r="T199">
        <v>30</v>
      </c>
      <c r="V199">
        <v>50</v>
      </c>
      <c r="W199" t="s">
        <v>388</v>
      </c>
      <c r="X199" t="s">
        <v>962</v>
      </c>
      <c r="Y199">
        <v>10</v>
      </c>
      <c r="AB199">
        <v>5</v>
      </c>
      <c r="AC199" t="s">
        <v>85</v>
      </c>
      <c r="AI199" t="s">
        <v>988</v>
      </c>
      <c r="AT199" t="s">
        <v>65</v>
      </c>
      <c r="AV199" t="s">
        <v>88</v>
      </c>
    </row>
    <row r="200" spans="1:48" x14ac:dyDescent="0.3">
      <c r="A200" t="s">
        <v>959</v>
      </c>
      <c r="B200" t="s">
        <v>960</v>
      </c>
      <c r="C200" t="s">
        <v>920</v>
      </c>
      <c r="E200">
        <v>100000000</v>
      </c>
      <c r="H200">
        <v>0.78500000000000003</v>
      </c>
      <c r="I200" t="s">
        <v>56</v>
      </c>
      <c r="J200">
        <v>7.8500000000000011E-5</v>
      </c>
      <c r="K200" t="s">
        <v>57</v>
      </c>
      <c r="O200">
        <v>25600</v>
      </c>
      <c r="P200" t="s">
        <v>277</v>
      </c>
      <c r="T200">
        <v>10</v>
      </c>
      <c r="V200">
        <v>50</v>
      </c>
      <c r="W200" t="s">
        <v>961</v>
      </c>
      <c r="X200" t="s">
        <v>962</v>
      </c>
      <c r="Y200">
        <v>10</v>
      </c>
      <c r="AB200">
        <v>5</v>
      </c>
      <c r="AC200" t="s">
        <v>85</v>
      </c>
      <c r="AI200" t="s">
        <v>988</v>
      </c>
      <c r="AV200" t="s">
        <v>88</v>
      </c>
    </row>
    <row r="201" spans="1:48" x14ac:dyDescent="0.3">
      <c r="A201" t="s">
        <v>959</v>
      </c>
      <c r="B201" t="s">
        <v>960</v>
      </c>
      <c r="C201" t="s">
        <v>920</v>
      </c>
      <c r="E201">
        <v>100000000</v>
      </c>
      <c r="H201">
        <v>0.78500000000000003</v>
      </c>
      <c r="I201" t="s">
        <v>56</v>
      </c>
      <c r="J201">
        <v>7.8500000000000011E-5</v>
      </c>
      <c r="K201" t="s">
        <v>57</v>
      </c>
      <c r="O201">
        <v>22200</v>
      </c>
      <c r="P201" t="s">
        <v>277</v>
      </c>
      <c r="T201">
        <v>10</v>
      </c>
      <c r="V201">
        <v>50</v>
      </c>
      <c r="W201" t="s">
        <v>961</v>
      </c>
      <c r="X201" t="s">
        <v>962</v>
      </c>
      <c r="Y201">
        <v>10</v>
      </c>
      <c r="AB201">
        <v>5</v>
      </c>
      <c r="AC201" t="s">
        <v>85</v>
      </c>
      <c r="AI201" t="s">
        <v>988</v>
      </c>
      <c r="AV201" t="s">
        <v>88</v>
      </c>
    </row>
    <row r="202" spans="1:48" x14ac:dyDescent="0.3">
      <c r="A202" t="s">
        <v>959</v>
      </c>
      <c r="B202" t="s">
        <v>960</v>
      </c>
      <c r="C202" t="s">
        <v>920</v>
      </c>
      <c r="E202">
        <v>100000000</v>
      </c>
      <c r="H202">
        <v>0.78500000000000003</v>
      </c>
      <c r="I202" t="s">
        <v>56</v>
      </c>
      <c r="J202">
        <v>7.8500000000000011E-5</v>
      </c>
      <c r="K202" t="s">
        <v>57</v>
      </c>
      <c r="O202">
        <v>9600</v>
      </c>
      <c r="P202" t="s">
        <v>277</v>
      </c>
      <c r="T202">
        <v>20</v>
      </c>
      <c r="V202">
        <v>50</v>
      </c>
      <c r="W202" t="s">
        <v>961</v>
      </c>
      <c r="X202" t="s">
        <v>962</v>
      </c>
      <c r="Y202">
        <v>10</v>
      </c>
      <c r="AB202">
        <v>5</v>
      </c>
      <c r="AC202" t="s">
        <v>85</v>
      </c>
      <c r="AI202" t="s">
        <v>988</v>
      </c>
      <c r="AV202" t="s">
        <v>88</v>
      </c>
    </row>
    <row r="203" spans="1:48" x14ac:dyDescent="0.3">
      <c r="A203" t="s">
        <v>959</v>
      </c>
      <c r="B203" t="s">
        <v>960</v>
      </c>
      <c r="C203" t="s">
        <v>920</v>
      </c>
      <c r="E203">
        <v>100000000</v>
      </c>
      <c r="H203">
        <v>0.78500000000000003</v>
      </c>
      <c r="I203" t="s">
        <v>56</v>
      </c>
      <c r="J203">
        <v>7.8500000000000011E-5</v>
      </c>
      <c r="K203" t="s">
        <v>57</v>
      </c>
      <c r="O203">
        <v>9000</v>
      </c>
      <c r="P203" t="s">
        <v>277</v>
      </c>
      <c r="T203">
        <v>20</v>
      </c>
      <c r="V203">
        <v>50</v>
      </c>
      <c r="W203" t="s">
        <v>961</v>
      </c>
      <c r="X203" t="s">
        <v>962</v>
      </c>
      <c r="Y203">
        <v>10</v>
      </c>
      <c r="AB203">
        <v>5</v>
      </c>
      <c r="AC203" t="s">
        <v>85</v>
      </c>
      <c r="AI203" t="s">
        <v>988</v>
      </c>
      <c r="AV203" t="s">
        <v>88</v>
      </c>
    </row>
    <row r="204" spans="1:48" x14ac:dyDescent="0.3">
      <c r="A204" t="s">
        <v>959</v>
      </c>
      <c r="B204" t="s">
        <v>960</v>
      </c>
      <c r="C204" t="s">
        <v>920</v>
      </c>
      <c r="E204">
        <v>100000000</v>
      </c>
      <c r="H204">
        <v>0.78500000000000003</v>
      </c>
      <c r="I204" t="s">
        <v>56</v>
      </c>
      <c r="J204">
        <v>7.8500000000000011E-5</v>
      </c>
      <c r="K204" t="s">
        <v>57</v>
      </c>
      <c r="O204">
        <v>6200</v>
      </c>
      <c r="P204" t="s">
        <v>277</v>
      </c>
      <c r="T204">
        <v>30</v>
      </c>
      <c r="V204">
        <v>50</v>
      </c>
      <c r="W204" t="s">
        <v>961</v>
      </c>
      <c r="X204" t="s">
        <v>962</v>
      </c>
      <c r="Y204">
        <v>10</v>
      </c>
      <c r="AB204">
        <v>5</v>
      </c>
      <c r="AC204" t="s">
        <v>85</v>
      </c>
      <c r="AI204" t="s">
        <v>988</v>
      </c>
      <c r="AV204" t="s">
        <v>88</v>
      </c>
    </row>
    <row r="205" spans="1:48" x14ac:dyDescent="0.3">
      <c r="A205" t="s">
        <v>959</v>
      </c>
      <c r="B205" t="s">
        <v>960</v>
      </c>
      <c r="C205" t="s">
        <v>920</v>
      </c>
      <c r="E205">
        <v>100000000</v>
      </c>
      <c r="H205">
        <v>0.78500000000000003</v>
      </c>
      <c r="I205" t="s">
        <v>56</v>
      </c>
      <c r="J205">
        <v>7.8500000000000011E-5</v>
      </c>
      <c r="K205" t="s">
        <v>57</v>
      </c>
      <c r="O205">
        <v>4800</v>
      </c>
      <c r="P205" t="s">
        <v>277</v>
      </c>
      <c r="T205">
        <v>30</v>
      </c>
      <c r="V205">
        <v>50</v>
      </c>
      <c r="W205" t="s">
        <v>961</v>
      </c>
      <c r="X205" t="s">
        <v>962</v>
      </c>
      <c r="Y205">
        <v>10</v>
      </c>
      <c r="AB205">
        <v>5</v>
      </c>
      <c r="AC205" t="s">
        <v>85</v>
      </c>
      <c r="AI205" t="s">
        <v>988</v>
      </c>
      <c r="AV205" t="s">
        <v>88</v>
      </c>
    </row>
    <row r="206" spans="1:48" x14ac:dyDescent="0.3">
      <c r="A206" t="s">
        <v>959</v>
      </c>
      <c r="C206" t="s">
        <v>920</v>
      </c>
      <c r="E206">
        <v>100000000</v>
      </c>
      <c r="H206">
        <v>0.78500000000000003</v>
      </c>
      <c r="I206" t="s">
        <v>56</v>
      </c>
      <c r="J206">
        <v>7.8500000000000011E-5</v>
      </c>
      <c r="K206" t="s">
        <v>57</v>
      </c>
      <c r="O206">
        <v>3200</v>
      </c>
      <c r="P206" t="s">
        <v>277</v>
      </c>
      <c r="T206">
        <v>10</v>
      </c>
      <c r="V206">
        <v>50</v>
      </c>
      <c r="W206" t="s">
        <v>388</v>
      </c>
      <c r="X206" t="s">
        <v>962</v>
      </c>
      <c r="Y206">
        <v>10</v>
      </c>
      <c r="AB206">
        <v>5</v>
      </c>
      <c r="AC206" t="s">
        <v>85</v>
      </c>
      <c r="AI206" t="s">
        <v>988</v>
      </c>
      <c r="AT206" t="s">
        <v>65</v>
      </c>
      <c r="AV206" t="s">
        <v>88</v>
      </c>
    </row>
    <row r="207" spans="1:48" x14ac:dyDescent="0.3">
      <c r="A207" t="s">
        <v>959</v>
      </c>
      <c r="C207" t="s">
        <v>920</v>
      </c>
      <c r="E207">
        <v>100000000</v>
      </c>
      <c r="H207">
        <v>0.78500000000000003</v>
      </c>
      <c r="I207" t="s">
        <v>56</v>
      </c>
      <c r="J207">
        <v>7.8500000000000011E-5</v>
      </c>
      <c r="K207" t="s">
        <v>57</v>
      </c>
      <c r="O207">
        <v>5100</v>
      </c>
      <c r="P207" t="s">
        <v>277</v>
      </c>
      <c r="T207">
        <v>10</v>
      </c>
      <c r="V207">
        <v>50</v>
      </c>
      <c r="W207" t="s">
        <v>388</v>
      </c>
      <c r="X207" t="s">
        <v>962</v>
      </c>
      <c r="Y207">
        <v>10</v>
      </c>
      <c r="AB207">
        <v>5</v>
      </c>
      <c r="AC207" t="s">
        <v>85</v>
      </c>
      <c r="AI207" t="s">
        <v>988</v>
      </c>
      <c r="AT207" t="s">
        <v>65</v>
      </c>
      <c r="AV207" t="s">
        <v>88</v>
      </c>
    </row>
    <row r="208" spans="1:48" x14ac:dyDescent="0.3">
      <c r="A208" t="s">
        <v>959</v>
      </c>
      <c r="C208" t="s">
        <v>920</v>
      </c>
      <c r="E208">
        <v>100000000</v>
      </c>
      <c r="H208">
        <v>0.78500000000000003</v>
      </c>
      <c r="I208" t="s">
        <v>56</v>
      </c>
      <c r="J208">
        <v>7.8500000000000011E-5</v>
      </c>
      <c r="K208" t="s">
        <v>57</v>
      </c>
      <c r="O208">
        <v>800</v>
      </c>
      <c r="P208" t="s">
        <v>277</v>
      </c>
      <c r="T208">
        <v>20</v>
      </c>
      <c r="V208">
        <v>50</v>
      </c>
      <c r="W208" t="s">
        <v>388</v>
      </c>
      <c r="X208" t="s">
        <v>962</v>
      </c>
      <c r="Y208">
        <v>10</v>
      </c>
      <c r="AB208">
        <v>5</v>
      </c>
      <c r="AC208" t="s">
        <v>85</v>
      </c>
      <c r="AI208" t="s">
        <v>988</v>
      </c>
      <c r="AT208" t="s">
        <v>65</v>
      </c>
      <c r="AV208" t="s">
        <v>88</v>
      </c>
    </row>
    <row r="209" spans="1:52" x14ac:dyDescent="0.3">
      <c r="A209" t="s">
        <v>959</v>
      </c>
      <c r="C209" t="s">
        <v>920</v>
      </c>
      <c r="E209">
        <v>100000000</v>
      </c>
      <c r="H209">
        <v>0.78500000000000003</v>
      </c>
      <c r="I209" t="s">
        <v>56</v>
      </c>
      <c r="J209">
        <v>7.8500000000000011E-5</v>
      </c>
      <c r="K209" t="s">
        <v>57</v>
      </c>
      <c r="O209">
        <v>1900</v>
      </c>
      <c r="P209" t="s">
        <v>277</v>
      </c>
      <c r="T209">
        <v>20</v>
      </c>
      <c r="V209">
        <v>50</v>
      </c>
      <c r="W209" t="s">
        <v>388</v>
      </c>
      <c r="X209" t="s">
        <v>962</v>
      </c>
      <c r="Y209">
        <v>10</v>
      </c>
      <c r="AB209">
        <v>5</v>
      </c>
      <c r="AC209" t="s">
        <v>85</v>
      </c>
      <c r="AI209" t="s">
        <v>988</v>
      </c>
      <c r="AT209" t="s">
        <v>65</v>
      </c>
      <c r="AV209" t="s">
        <v>88</v>
      </c>
    </row>
    <row r="210" spans="1:52" x14ac:dyDescent="0.3">
      <c r="A210" t="s">
        <v>959</v>
      </c>
      <c r="C210" t="s">
        <v>920</v>
      </c>
      <c r="E210">
        <v>100000000</v>
      </c>
      <c r="H210">
        <v>0.78500000000000003</v>
      </c>
      <c r="I210" t="s">
        <v>56</v>
      </c>
      <c r="J210">
        <v>7.8500000000000011E-5</v>
      </c>
      <c r="K210" t="s">
        <v>57</v>
      </c>
      <c r="O210">
        <v>500</v>
      </c>
      <c r="P210" t="s">
        <v>277</v>
      </c>
      <c r="T210">
        <v>30</v>
      </c>
      <c r="V210">
        <v>50</v>
      </c>
      <c r="W210" t="s">
        <v>388</v>
      </c>
      <c r="X210" t="s">
        <v>962</v>
      </c>
      <c r="Y210">
        <v>10</v>
      </c>
      <c r="AB210">
        <v>5</v>
      </c>
      <c r="AC210" t="s">
        <v>85</v>
      </c>
      <c r="AI210" t="s">
        <v>988</v>
      </c>
      <c r="AT210" t="s">
        <v>65</v>
      </c>
      <c r="AV210" t="s">
        <v>88</v>
      </c>
    </row>
    <row r="211" spans="1:52" x14ac:dyDescent="0.3">
      <c r="A211" t="s">
        <v>959</v>
      </c>
      <c r="C211" t="s">
        <v>920</v>
      </c>
      <c r="E211">
        <v>100000000</v>
      </c>
      <c r="H211">
        <v>0.78500000000000003</v>
      </c>
      <c r="I211" t="s">
        <v>56</v>
      </c>
      <c r="J211">
        <v>7.8500000000000011E-5</v>
      </c>
      <c r="K211" t="s">
        <v>57</v>
      </c>
      <c r="O211">
        <v>600</v>
      </c>
      <c r="P211" t="s">
        <v>277</v>
      </c>
      <c r="T211">
        <v>30</v>
      </c>
      <c r="V211">
        <v>50</v>
      </c>
      <c r="W211" t="s">
        <v>388</v>
      </c>
      <c r="X211" t="s">
        <v>962</v>
      </c>
      <c r="Y211">
        <v>10</v>
      </c>
      <c r="AB211">
        <v>5</v>
      </c>
      <c r="AC211" t="s">
        <v>85</v>
      </c>
      <c r="AI211" t="s">
        <v>988</v>
      </c>
      <c r="AT211" t="s">
        <v>65</v>
      </c>
      <c r="AV211" t="s">
        <v>88</v>
      </c>
    </row>
    <row r="212" spans="1:52" x14ac:dyDescent="0.3">
      <c r="A212" t="s">
        <v>959</v>
      </c>
      <c r="B212" t="s">
        <v>960</v>
      </c>
      <c r="C212" t="s">
        <v>920</v>
      </c>
      <c r="E212">
        <v>100000000</v>
      </c>
      <c r="H212">
        <v>0.78500000000000003</v>
      </c>
      <c r="I212" t="s">
        <v>56</v>
      </c>
      <c r="J212">
        <v>7.8500000000000011E-5</v>
      </c>
      <c r="K212" t="s">
        <v>57</v>
      </c>
      <c r="O212">
        <v>7400</v>
      </c>
      <c r="P212" t="s">
        <v>277</v>
      </c>
      <c r="T212">
        <v>10</v>
      </c>
      <c r="V212">
        <v>50</v>
      </c>
      <c r="W212" t="s">
        <v>961</v>
      </c>
      <c r="X212" t="s">
        <v>962</v>
      </c>
      <c r="Y212">
        <v>10</v>
      </c>
      <c r="AB212">
        <v>5</v>
      </c>
      <c r="AC212" t="s">
        <v>85</v>
      </c>
      <c r="AI212" t="s">
        <v>988</v>
      </c>
      <c r="AV212" t="s">
        <v>88</v>
      </c>
    </row>
    <row r="213" spans="1:52" x14ac:dyDescent="0.3">
      <c r="A213" t="s">
        <v>959</v>
      </c>
      <c r="B213" t="s">
        <v>960</v>
      </c>
      <c r="C213" t="s">
        <v>920</v>
      </c>
      <c r="E213">
        <v>100000000</v>
      </c>
      <c r="H213">
        <v>0.78500000000000003</v>
      </c>
      <c r="I213" t="s">
        <v>56</v>
      </c>
      <c r="J213">
        <v>7.8500000000000011E-5</v>
      </c>
      <c r="K213" t="s">
        <v>57</v>
      </c>
      <c r="O213">
        <v>8000</v>
      </c>
      <c r="P213" t="s">
        <v>277</v>
      </c>
      <c r="T213">
        <v>10</v>
      </c>
      <c r="V213">
        <v>50</v>
      </c>
      <c r="W213" t="s">
        <v>961</v>
      </c>
      <c r="X213" t="s">
        <v>962</v>
      </c>
      <c r="Y213">
        <v>10</v>
      </c>
      <c r="AB213">
        <v>5</v>
      </c>
      <c r="AC213" t="s">
        <v>85</v>
      </c>
      <c r="AI213" t="s">
        <v>988</v>
      </c>
      <c r="AV213" t="s">
        <v>88</v>
      </c>
    </row>
    <row r="214" spans="1:52" x14ac:dyDescent="0.3">
      <c r="A214" t="s">
        <v>959</v>
      </c>
      <c r="B214" t="s">
        <v>960</v>
      </c>
      <c r="C214" t="s">
        <v>920</v>
      </c>
      <c r="E214">
        <v>100000000</v>
      </c>
      <c r="H214">
        <v>0.78500000000000003</v>
      </c>
      <c r="I214" t="s">
        <v>56</v>
      </c>
      <c r="J214">
        <v>7.8500000000000011E-5</v>
      </c>
      <c r="K214" t="s">
        <v>57</v>
      </c>
      <c r="O214">
        <v>2500</v>
      </c>
      <c r="P214" t="s">
        <v>277</v>
      </c>
      <c r="T214">
        <v>20</v>
      </c>
      <c r="V214">
        <v>50</v>
      </c>
      <c r="W214" t="s">
        <v>961</v>
      </c>
      <c r="X214" t="s">
        <v>962</v>
      </c>
      <c r="Y214">
        <v>10</v>
      </c>
      <c r="AB214">
        <v>5</v>
      </c>
      <c r="AC214" t="s">
        <v>85</v>
      </c>
      <c r="AI214" t="s">
        <v>988</v>
      </c>
      <c r="AV214" t="s">
        <v>88</v>
      </c>
    </row>
    <row r="215" spans="1:52" x14ac:dyDescent="0.3">
      <c r="A215" t="s">
        <v>959</v>
      </c>
      <c r="B215" t="s">
        <v>960</v>
      </c>
      <c r="C215" t="s">
        <v>920</v>
      </c>
      <c r="E215">
        <v>100000000</v>
      </c>
      <c r="H215">
        <v>0.78500000000000003</v>
      </c>
      <c r="I215" t="s">
        <v>56</v>
      </c>
      <c r="J215">
        <v>7.8500000000000011E-5</v>
      </c>
      <c r="K215" t="s">
        <v>57</v>
      </c>
      <c r="O215">
        <v>3100</v>
      </c>
      <c r="P215" t="s">
        <v>277</v>
      </c>
      <c r="T215">
        <v>20</v>
      </c>
      <c r="V215">
        <v>50</v>
      </c>
      <c r="W215" t="s">
        <v>961</v>
      </c>
      <c r="X215" t="s">
        <v>962</v>
      </c>
      <c r="Y215">
        <v>10</v>
      </c>
      <c r="AB215">
        <v>5</v>
      </c>
      <c r="AC215" t="s">
        <v>85</v>
      </c>
      <c r="AI215" t="s">
        <v>988</v>
      </c>
      <c r="AV215" t="s">
        <v>88</v>
      </c>
    </row>
    <row r="216" spans="1:52" x14ac:dyDescent="0.3">
      <c r="A216" t="s">
        <v>959</v>
      </c>
      <c r="B216" t="s">
        <v>960</v>
      </c>
      <c r="C216" t="s">
        <v>920</v>
      </c>
      <c r="E216">
        <v>100000000</v>
      </c>
      <c r="H216">
        <v>0.78500000000000003</v>
      </c>
      <c r="I216" t="s">
        <v>56</v>
      </c>
      <c r="J216">
        <v>7.8500000000000011E-5</v>
      </c>
      <c r="K216" t="s">
        <v>57</v>
      </c>
      <c r="O216">
        <v>1000</v>
      </c>
      <c r="P216" t="s">
        <v>277</v>
      </c>
      <c r="T216">
        <v>30</v>
      </c>
      <c r="V216">
        <v>50</v>
      </c>
      <c r="W216" t="s">
        <v>961</v>
      </c>
      <c r="X216" t="s">
        <v>962</v>
      </c>
      <c r="Y216">
        <v>10</v>
      </c>
      <c r="AB216">
        <v>5</v>
      </c>
      <c r="AC216" t="s">
        <v>85</v>
      </c>
      <c r="AI216" t="s">
        <v>988</v>
      </c>
      <c r="AV216" t="s">
        <v>88</v>
      </c>
    </row>
    <row r="217" spans="1:52" x14ac:dyDescent="0.3">
      <c r="A217" t="s">
        <v>959</v>
      </c>
      <c r="B217" t="s">
        <v>960</v>
      </c>
      <c r="C217" t="s">
        <v>920</v>
      </c>
      <c r="E217">
        <v>100000000</v>
      </c>
      <c r="H217">
        <v>0.78500000000000003</v>
      </c>
      <c r="I217" t="s">
        <v>56</v>
      </c>
      <c r="J217">
        <v>7.8500000000000011E-5</v>
      </c>
      <c r="K217" t="s">
        <v>57</v>
      </c>
      <c r="O217">
        <v>1200</v>
      </c>
      <c r="P217" t="s">
        <v>277</v>
      </c>
      <c r="T217">
        <v>30</v>
      </c>
      <c r="V217">
        <v>50</v>
      </c>
      <c r="W217" t="s">
        <v>961</v>
      </c>
      <c r="X217" t="s">
        <v>962</v>
      </c>
      <c r="Y217">
        <v>10</v>
      </c>
      <c r="AB217">
        <v>5</v>
      </c>
      <c r="AC217" t="s">
        <v>85</v>
      </c>
      <c r="AI217" t="s">
        <v>988</v>
      </c>
      <c r="AV217" t="s">
        <v>88</v>
      </c>
    </row>
    <row r="218" spans="1:52" x14ac:dyDescent="0.3">
      <c r="A218" t="s">
        <v>959</v>
      </c>
      <c r="C218" t="s">
        <v>920</v>
      </c>
      <c r="E218">
        <v>100000000</v>
      </c>
      <c r="H218">
        <v>0.78500000000000003</v>
      </c>
      <c r="I218" t="s">
        <v>56</v>
      </c>
      <c r="J218">
        <v>7.8500000000000011E-5</v>
      </c>
      <c r="K218" t="s">
        <v>57</v>
      </c>
      <c r="O218">
        <v>50</v>
      </c>
      <c r="P218" t="s">
        <v>59</v>
      </c>
      <c r="T218">
        <v>10</v>
      </c>
      <c r="V218">
        <v>50</v>
      </c>
      <c r="W218" t="s">
        <v>388</v>
      </c>
      <c r="X218" t="s">
        <v>962</v>
      </c>
      <c r="Y218">
        <v>10</v>
      </c>
      <c r="AA218" t="s">
        <v>128</v>
      </c>
      <c r="AB218">
        <v>5</v>
      </c>
      <c r="AC218" t="s">
        <v>85</v>
      </c>
      <c r="AI218" t="s">
        <v>988</v>
      </c>
      <c r="AT218" t="s">
        <v>65</v>
      </c>
      <c r="AV218" t="s">
        <v>88</v>
      </c>
      <c r="AZ218">
        <v>0</v>
      </c>
    </row>
    <row r="219" spans="1:52" x14ac:dyDescent="0.3">
      <c r="A219" t="s">
        <v>959</v>
      </c>
      <c r="C219" t="s">
        <v>920</v>
      </c>
      <c r="E219">
        <v>100000000</v>
      </c>
      <c r="H219">
        <v>0.78500000000000003</v>
      </c>
      <c r="I219" t="s">
        <v>56</v>
      </c>
      <c r="J219">
        <v>7.8500000000000011E-5</v>
      </c>
      <c r="K219" t="s">
        <v>57</v>
      </c>
      <c r="O219">
        <v>33.200000000000003</v>
      </c>
      <c r="P219" t="s">
        <v>59</v>
      </c>
      <c r="T219">
        <v>20</v>
      </c>
      <c r="V219">
        <v>50</v>
      </c>
      <c r="W219" t="s">
        <v>388</v>
      </c>
      <c r="X219" t="s">
        <v>962</v>
      </c>
      <c r="Y219">
        <v>10</v>
      </c>
      <c r="AB219">
        <v>5</v>
      </c>
      <c r="AC219" t="s">
        <v>85</v>
      </c>
      <c r="AI219" t="s">
        <v>988</v>
      </c>
      <c r="AT219" t="s">
        <v>65</v>
      </c>
      <c r="AV219" t="s">
        <v>88</v>
      </c>
    </row>
    <row r="220" spans="1:52" x14ac:dyDescent="0.3">
      <c r="A220" t="s">
        <v>959</v>
      </c>
      <c r="C220" t="s">
        <v>920</v>
      </c>
      <c r="E220">
        <v>100000000</v>
      </c>
      <c r="H220">
        <v>0.78500000000000003</v>
      </c>
      <c r="I220" t="s">
        <v>56</v>
      </c>
      <c r="J220">
        <v>7.8500000000000011E-5</v>
      </c>
      <c r="K220" t="s">
        <v>57</v>
      </c>
      <c r="O220">
        <v>16.7</v>
      </c>
      <c r="P220" t="s">
        <v>59</v>
      </c>
      <c r="T220">
        <v>30</v>
      </c>
      <c r="V220">
        <v>50</v>
      </c>
      <c r="W220" t="s">
        <v>388</v>
      </c>
      <c r="X220" t="s">
        <v>962</v>
      </c>
      <c r="Y220">
        <v>10</v>
      </c>
      <c r="AB220">
        <v>5</v>
      </c>
      <c r="AC220" t="s">
        <v>85</v>
      </c>
      <c r="AI220" t="s">
        <v>988</v>
      </c>
      <c r="AT220" t="s">
        <v>65</v>
      </c>
      <c r="AV220" t="s">
        <v>88</v>
      </c>
    </row>
    <row r="221" spans="1:52" x14ac:dyDescent="0.3">
      <c r="A221" t="s">
        <v>959</v>
      </c>
      <c r="B221" t="s">
        <v>960</v>
      </c>
      <c r="C221" t="s">
        <v>920</v>
      </c>
      <c r="E221">
        <v>100000000</v>
      </c>
      <c r="H221">
        <v>0.78500000000000003</v>
      </c>
      <c r="I221" t="s">
        <v>56</v>
      </c>
      <c r="J221">
        <v>7.8500000000000011E-5</v>
      </c>
      <c r="K221" t="s">
        <v>57</v>
      </c>
      <c r="O221">
        <v>49.3</v>
      </c>
      <c r="P221" t="s">
        <v>59</v>
      </c>
      <c r="T221">
        <v>10</v>
      </c>
      <c r="V221">
        <v>50</v>
      </c>
      <c r="W221" t="s">
        <v>961</v>
      </c>
      <c r="X221" t="s">
        <v>962</v>
      </c>
      <c r="Y221">
        <v>10</v>
      </c>
      <c r="AB221">
        <v>5</v>
      </c>
      <c r="AC221" t="s">
        <v>85</v>
      </c>
      <c r="AI221" t="s">
        <v>988</v>
      </c>
      <c r="AV221" t="s">
        <v>88</v>
      </c>
    </row>
    <row r="222" spans="1:52" x14ac:dyDescent="0.3">
      <c r="A222" t="s">
        <v>959</v>
      </c>
      <c r="B222" t="s">
        <v>960</v>
      </c>
      <c r="C222" t="s">
        <v>920</v>
      </c>
      <c r="E222">
        <v>100000000</v>
      </c>
      <c r="H222">
        <v>0.78500000000000003</v>
      </c>
      <c r="I222" t="s">
        <v>56</v>
      </c>
      <c r="J222">
        <v>7.8500000000000011E-5</v>
      </c>
      <c r="K222" t="s">
        <v>57</v>
      </c>
      <c r="O222">
        <v>30.6</v>
      </c>
      <c r="P222" t="s">
        <v>59</v>
      </c>
      <c r="T222">
        <v>20</v>
      </c>
      <c r="V222">
        <v>50</v>
      </c>
      <c r="W222" t="s">
        <v>961</v>
      </c>
      <c r="X222" t="s">
        <v>962</v>
      </c>
      <c r="Y222">
        <v>10</v>
      </c>
      <c r="AB222">
        <v>5</v>
      </c>
      <c r="AC222" t="s">
        <v>85</v>
      </c>
      <c r="AI222" t="s">
        <v>988</v>
      </c>
      <c r="AV222" t="s">
        <v>88</v>
      </c>
    </row>
    <row r="223" spans="1:52" x14ac:dyDescent="0.3">
      <c r="A223" t="s">
        <v>959</v>
      </c>
      <c r="B223" t="s">
        <v>960</v>
      </c>
      <c r="C223" t="s">
        <v>920</v>
      </c>
      <c r="E223">
        <v>100000000</v>
      </c>
      <c r="H223">
        <v>0.78500000000000003</v>
      </c>
      <c r="I223" t="s">
        <v>56</v>
      </c>
      <c r="J223">
        <v>7.8500000000000011E-5</v>
      </c>
      <c r="K223" t="s">
        <v>57</v>
      </c>
      <c r="O223">
        <v>16</v>
      </c>
      <c r="P223" t="s">
        <v>59</v>
      </c>
      <c r="T223">
        <v>30</v>
      </c>
      <c r="V223">
        <v>50</v>
      </c>
      <c r="W223" t="s">
        <v>961</v>
      </c>
      <c r="X223" t="s">
        <v>962</v>
      </c>
      <c r="Y223">
        <v>10</v>
      </c>
      <c r="AB223">
        <v>5</v>
      </c>
      <c r="AC223" t="s">
        <v>85</v>
      </c>
      <c r="AI223" t="s">
        <v>988</v>
      </c>
      <c r="AV223" t="s">
        <v>88</v>
      </c>
    </row>
    <row r="224" spans="1:52" x14ac:dyDescent="0.3">
      <c r="A224" t="s">
        <v>959</v>
      </c>
      <c r="C224" t="s">
        <v>920</v>
      </c>
      <c r="E224">
        <v>100000000</v>
      </c>
      <c r="H224">
        <v>0.78500000000000003</v>
      </c>
      <c r="I224" t="s">
        <v>56</v>
      </c>
      <c r="J224">
        <v>7.8500000000000011E-5</v>
      </c>
      <c r="K224" t="s">
        <v>57</v>
      </c>
      <c r="O224">
        <v>35.1</v>
      </c>
      <c r="P224" t="s">
        <v>59</v>
      </c>
      <c r="T224">
        <v>10</v>
      </c>
      <c r="V224">
        <v>50</v>
      </c>
      <c r="W224" t="s">
        <v>388</v>
      </c>
      <c r="X224" t="s">
        <v>962</v>
      </c>
      <c r="Y224">
        <v>10</v>
      </c>
      <c r="AB224">
        <v>5</v>
      </c>
      <c r="AC224" t="s">
        <v>85</v>
      </c>
      <c r="AI224" t="s">
        <v>988</v>
      </c>
      <c r="AT224" t="s">
        <v>65</v>
      </c>
      <c r="AV224" t="s">
        <v>88</v>
      </c>
    </row>
    <row r="225" spans="1:53" x14ac:dyDescent="0.3">
      <c r="A225" t="s">
        <v>959</v>
      </c>
      <c r="C225" t="s">
        <v>920</v>
      </c>
      <c r="E225">
        <v>100000000</v>
      </c>
      <c r="H225">
        <v>0.78500000000000003</v>
      </c>
      <c r="I225" t="s">
        <v>56</v>
      </c>
      <c r="J225">
        <v>7.8500000000000011E-5</v>
      </c>
      <c r="K225" t="s">
        <v>57</v>
      </c>
      <c r="O225">
        <v>17</v>
      </c>
      <c r="P225" t="s">
        <v>59</v>
      </c>
      <c r="T225">
        <v>20</v>
      </c>
      <c r="V225">
        <v>50</v>
      </c>
      <c r="W225" t="s">
        <v>388</v>
      </c>
      <c r="X225" t="s">
        <v>962</v>
      </c>
      <c r="Y225">
        <v>10</v>
      </c>
      <c r="AB225">
        <v>5</v>
      </c>
      <c r="AC225" t="s">
        <v>85</v>
      </c>
      <c r="AI225" t="s">
        <v>988</v>
      </c>
      <c r="AT225" t="s">
        <v>65</v>
      </c>
      <c r="AV225" t="s">
        <v>88</v>
      </c>
    </row>
    <row r="226" spans="1:53" x14ac:dyDescent="0.3">
      <c r="A226" t="s">
        <v>959</v>
      </c>
      <c r="C226" t="s">
        <v>920</v>
      </c>
      <c r="E226">
        <v>100000000</v>
      </c>
      <c r="H226">
        <v>0.78500000000000003</v>
      </c>
      <c r="I226" t="s">
        <v>56</v>
      </c>
      <c r="J226">
        <v>7.8500000000000011E-5</v>
      </c>
      <c r="K226" t="s">
        <v>57</v>
      </c>
      <c r="O226">
        <v>10.3</v>
      </c>
      <c r="P226" t="s">
        <v>59</v>
      </c>
      <c r="T226">
        <v>30</v>
      </c>
      <c r="V226">
        <v>50</v>
      </c>
      <c r="W226" t="s">
        <v>388</v>
      </c>
      <c r="X226" t="s">
        <v>962</v>
      </c>
      <c r="Y226">
        <v>10</v>
      </c>
      <c r="AB226">
        <v>5</v>
      </c>
      <c r="AC226" t="s">
        <v>85</v>
      </c>
      <c r="AI226" t="s">
        <v>988</v>
      </c>
      <c r="AT226" t="s">
        <v>65</v>
      </c>
      <c r="AV226" t="s">
        <v>88</v>
      </c>
    </row>
    <row r="227" spans="1:53" x14ac:dyDescent="0.3">
      <c r="A227" t="s">
        <v>959</v>
      </c>
      <c r="B227" t="s">
        <v>960</v>
      </c>
      <c r="C227" t="s">
        <v>920</v>
      </c>
      <c r="E227">
        <v>100000000</v>
      </c>
      <c r="H227">
        <v>0.78500000000000003</v>
      </c>
      <c r="I227" t="s">
        <v>56</v>
      </c>
      <c r="J227">
        <v>7.8500000000000011E-5</v>
      </c>
      <c r="K227" t="s">
        <v>57</v>
      </c>
      <c r="O227">
        <v>35.200000000000003</v>
      </c>
      <c r="P227" t="s">
        <v>59</v>
      </c>
      <c r="T227">
        <v>10</v>
      </c>
      <c r="V227">
        <v>50</v>
      </c>
      <c r="W227" t="s">
        <v>961</v>
      </c>
      <c r="X227" t="s">
        <v>962</v>
      </c>
      <c r="Y227">
        <v>10</v>
      </c>
      <c r="AB227">
        <v>5</v>
      </c>
      <c r="AC227" t="s">
        <v>85</v>
      </c>
      <c r="AI227" t="s">
        <v>988</v>
      </c>
      <c r="AV227" t="s">
        <v>88</v>
      </c>
    </row>
    <row r="228" spans="1:53" x14ac:dyDescent="0.3">
      <c r="A228" t="s">
        <v>959</v>
      </c>
      <c r="B228" t="s">
        <v>960</v>
      </c>
      <c r="C228" t="s">
        <v>920</v>
      </c>
      <c r="E228">
        <v>100000000</v>
      </c>
      <c r="H228">
        <v>0.78500000000000003</v>
      </c>
      <c r="I228" t="s">
        <v>56</v>
      </c>
      <c r="J228">
        <v>7.8500000000000011E-5</v>
      </c>
      <c r="K228" t="s">
        <v>57</v>
      </c>
      <c r="O228">
        <v>17.600000000000001</v>
      </c>
      <c r="P228" t="s">
        <v>59</v>
      </c>
      <c r="T228">
        <v>20</v>
      </c>
      <c r="V228">
        <v>50</v>
      </c>
      <c r="W228" t="s">
        <v>961</v>
      </c>
      <c r="X228" t="s">
        <v>962</v>
      </c>
      <c r="Y228">
        <v>10</v>
      </c>
      <c r="AB228">
        <v>5</v>
      </c>
      <c r="AC228" t="s">
        <v>85</v>
      </c>
      <c r="AI228" t="s">
        <v>988</v>
      </c>
      <c r="AV228" t="s">
        <v>88</v>
      </c>
    </row>
    <row r="229" spans="1:53" x14ac:dyDescent="0.3">
      <c r="A229" t="s">
        <v>959</v>
      </c>
      <c r="B229" t="s">
        <v>960</v>
      </c>
      <c r="C229" t="s">
        <v>920</v>
      </c>
      <c r="E229">
        <v>100000000</v>
      </c>
      <c r="H229">
        <v>0.78500000000000003</v>
      </c>
      <c r="I229" t="s">
        <v>56</v>
      </c>
      <c r="J229">
        <v>7.8500000000000011E-5</v>
      </c>
      <c r="K229" t="s">
        <v>57</v>
      </c>
      <c r="O229">
        <v>11.5</v>
      </c>
      <c r="P229" t="s">
        <v>59</v>
      </c>
      <c r="T229">
        <v>30</v>
      </c>
      <c r="V229">
        <v>50</v>
      </c>
      <c r="W229" t="s">
        <v>961</v>
      </c>
      <c r="X229" t="s">
        <v>962</v>
      </c>
      <c r="Y229">
        <v>10</v>
      </c>
      <c r="AB229">
        <v>5</v>
      </c>
      <c r="AC229" t="s">
        <v>85</v>
      </c>
      <c r="AI229" t="s">
        <v>988</v>
      </c>
      <c r="AV229" t="s">
        <v>88</v>
      </c>
    </row>
    <row r="230" spans="1:53" x14ac:dyDescent="0.3">
      <c r="A230" t="s">
        <v>989</v>
      </c>
      <c r="C230" t="s">
        <v>920</v>
      </c>
      <c r="D230" t="s">
        <v>81</v>
      </c>
      <c r="E230">
        <v>100000000</v>
      </c>
      <c r="H230">
        <v>25</v>
      </c>
      <c r="I230" t="s">
        <v>446</v>
      </c>
      <c r="J230">
        <v>2.5000000000000001E-5</v>
      </c>
      <c r="K230" t="s">
        <v>57</v>
      </c>
      <c r="O230">
        <v>10</v>
      </c>
      <c r="P230" t="s">
        <v>59</v>
      </c>
      <c r="S230">
        <v>3</v>
      </c>
      <c r="T230">
        <v>21</v>
      </c>
      <c r="V230">
        <v>50</v>
      </c>
      <c r="W230" t="s">
        <v>990</v>
      </c>
      <c r="X230" t="s">
        <v>199</v>
      </c>
      <c r="Y230">
        <v>30</v>
      </c>
      <c r="AB230">
        <v>6.61</v>
      </c>
      <c r="AC230" t="s">
        <v>85</v>
      </c>
      <c r="AD230" t="s">
        <v>517</v>
      </c>
      <c r="AE230" t="s">
        <v>63</v>
      </c>
      <c r="AI230">
        <v>3</v>
      </c>
      <c r="AV230" t="s">
        <v>448</v>
      </c>
    </row>
    <row r="231" spans="1:53" x14ac:dyDescent="0.3">
      <c r="A231" t="s">
        <v>989</v>
      </c>
      <c r="C231" t="s">
        <v>920</v>
      </c>
      <c r="D231" t="s">
        <v>81</v>
      </c>
      <c r="E231">
        <v>100000000</v>
      </c>
      <c r="H231">
        <v>25</v>
      </c>
      <c r="I231" t="s">
        <v>446</v>
      </c>
      <c r="J231">
        <v>2.5000000000000001E-5</v>
      </c>
      <c r="K231" t="s">
        <v>57</v>
      </c>
      <c r="O231">
        <v>10</v>
      </c>
      <c r="P231" t="s">
        <v>59</v>
      </c>
      <c r="S231">
        <v>3</v>
      </c>
      <c r="T231">
        <v>21</v>
      </c>
      <c r="V231">
        <v>50</v>
      </c>
      <c r="W231" t="s">
        <v>990</v>
      </c>
      <c r="X231" t="s">
        <v>199</v>
      </c>
      <c r="Y231">
        <v>30</v>
      </c>
      <c r="AB231">
        <v>6.1</v>
      </c>
      <c r="AC231" t="s">
        <v>85</v>
      </c>
      <c r="AD231" t="s">
        <v>321</v>
      </c>
      <c r="AE231" t="s">
        <v>63</v>
      </c>
      <c r="AI231">
        <v>3</v>
      </c>
      <c r="AV231" t="s">
        <v>448</v>
      </c>
    </row>
    <row r="232" spans="1:53" x14ac:dyDescent="0.3">
      <c r="A232" t="s">
        <v>989</v>
      </c>
      <c r="C232" t="s">
        <v>920</v>
      </c>
      <c r="D232" t="s">
        <v>81</v>
      </c>
      <c r="E232">
        <v>100000000</v>
      </c>
      <c r="H232">
        <v>25</v>
      </c>
      <c r="I232" t="s">
        <v>446</v>
      </c>
      <c r="J232">
        <v>2.5000000000000001E-5</v>
      </c>
      <c r="K232" t="s">
        <v>57</v>
      </c>
      <c r="O232">
        <v>10</v>
      </c>
      <c r="P232" t="s">
        <v>59</v>
      </c>
      <c r="S232">
        <v>3</v>
      </c>
      <c r="T232">
        <v>21</v>
      </c>
      <c r="V232">
        <v>50</v>
      </c>
      <c r="W232" t="s">
        <v>990</v>
      </c>
      <c r="X232" t="s">
        <v>199</v>
      </c>
      <c r="Y232">
        <v>30</v>
      </c>
      <c r="AB232">
        <v>4.97</v>
      </c>
      <c r="AC232" t="s">
        <v>85</v>
      </c>
      <c r="AD232" t="s">
        <v>314</v>
      </c>
      <c r="AE232" t="s">
        <v>63</v>
      </c>
      <c r="AI232">
        <v>3</v>
      </c>
      <c r="AV232" t="s">
        <v>448</v>
      </c>
    </row>
    <row r="233" spans="1:53" x14ac:dyDescent="0.3">
      <c r="A233" t="s">
        <v>989</v>
      </c>
      <c r="C233" t="s">
        <v>920</v>
      </c>
      <c r="D233" t="s">
        <v>81</v>
      </c>
      <c r="E233">
        <v>100000000</v>
      </c>
      <c r="H233">
        <v>25</v>
      </c>
      <c r="I233" t="s">
        <v>446</v>
      </c>
      <c r="J233">
        <v>2.5000000000000001E-5</v>
      </c>
      <c r="K233" t="s">
        <v>57</v>
      </c>
      <c r="O233">
        <v>10</v>
      </c>
      <c r="P233" t="s">
        <v>59</v>
      </c>
      <c r="S233">
        <v>3</v>
      </c>
      <c r="T233">
        <v>21</v>
      </c>
      <c r="V233">
        <v>50</v>
      </c>
      <c r="W233" t="s">
        <v>990</v>
      </c>
      <c r="X233" t="s">
        <v>199</v>
      </c>
      <c r="Y233">
        <v>30</v>
      </c>
      <c r="AA233" t="s">
        <v>184</v>
      </c>
      <c r="AB233">
        <v>7.67</v>
      </c>
      <c r="AC233" t="s">
        <v>85</v>
      </c>
      <c r="AI233">
        <v>3</v>
      </c>
      <c r="AV233" t="s">
        <v>448</v>
      </c>
      <c r="AZ233">
        <v>0</v>
      </c>
      <c r="BA233">
        <v>7.67</v>
      </c>
    </row>
    <row r="234" spans="1:53" x14ac:dyDescent="0.3">
      <c r="A234" t="s">
        <v>989</v>
      </c>
      <c r="C234" t="s">
        <v>920</v>
      </c>
      <c r="D234" t="s">
        <v>81</v>
      </c>
      <c r="E234">
        <v>100000000</v>
      </c>
      <c r="H234">
        <v>25</v>
      </c>
      <c r="I234" t="s">
        <v>446</v>
      </c>
      <c r="J234">
        <v>2.5000000000000001E-5</v>
      </c>
      <c r="K234" t="s">
        <v>57</v>
      </c>
      <c r="O234">
        <v>10</v>
      </c>
      <c r="P234" t="s">
        <v>59</v>
      </c>
      <c r="S234">
        <v>3</v>
      </c>
      <c r="T234">
        <v>21</v>
      </c>
      <c r="V234">
        <v>50</v>
      </c>
      <c r="W234" t="s">
        <v>990</v>
      </c>
      <c r="X234" t="s">
        <v>199</v>
      </c>
      <c r="Y234">
        <v>30</v>
      </c>
      <c r="AB234">
        <v>6.13</v>
      </c>
      <c r="AC234" t="s">
        <v>85</v>
      </c>
      <c r="AD234" t="s">
        <v>325</v>
      </c>
      <c r="AE234" t="s">
        <v>63</v>
      </c>
      <c r="AI234">
        <v>3</v>
      </c>
      <c r="AV234" t="s">
        <v>448</v>
      </c>
    </row>
    <row r="235" spans="1:53" x14ac:dyDescent="0.3">
      <c r="A235" t="s">
        <v>989</v>
      </c>
      <c r="C235" t="s">
        <v>920</v>
      </c>
      <c r="D235" t="s">
        <v>81</v>
      </c>
      <c r="E235">
        <v>100000000</v>
      </c>
      <c r="H235">
        <v>25</v>
      </c>
      <c r="I235" t="s">
        <v>446</v>
      </c>
      <c r="J235">
        <v>2.5000000000000001E-5</v>
      </c>
      <c r="K235" t="s">
        <v>57</v>
      </c>
      <c r="O235">
        <v>10</v>
      </c>
      <c r="P235" t="s">
        <v>59</v>
      </c>
      <c r="S235">
        <v>3</v>
      </c>
      <c r="T235">
        <v>21</v>
      </c>
      <c r="V235">
        <v>50</v>
      </c>
      <c r="W235" t="s">
        <v>990</v>
      </c>
      <c r="X235" t="s">
        <v>199</v>
      </c>
      <c r="Y235">
        <v>30</v>
      </c>
      <c r="AB235">
        <v>5.96</v>
      </c>
      <c r="AC235" t="s">
        <v>85</v>
      </c>
      <c r="AD235" t="s">
        <v>604</v>
      </c>
      <c r="AE235" t="s">
        <v>63</v>
      </c>
      <c r="AI235">
        <v>3</v>
      </c>
      <c r="AV235" t="s">
        <v>448</v>
      </c>
    </row>
    <row r="236" spans="1:53" x14ac:dyDescent="0.3">
      <c r="A236" t="s">
        <v>989</v>
      </c>
      <c r="C236" t="s">
        <v>920</v>
      </c>
      <c r="D236" t="s">
        <v>81</v>
      </c>
      <c r="E236">
        <v>100000000</v>
      </c>
      <c r="H236">
        <v>25</v>
      </c>
      <c r="I236" t="s">
        <v>446</v>
      </c>
      <c r="J236">
        <v>2.5000000000000001E-5</v>
      </c>
      <c r="K236" t="s">
        <v>57</v>
      </c>
      <c r="O236">
        <v>10</v>
      </c>
      <c r="P236" t="s">
        <v>59</v>
      </c>
      <c r="S236">
        <v>3</v>
      </c>
      <c r="T236">
        <v>21</v>
      </c>
      <c r="V236">
        <v>50</v>
      </c>
      <c r="W236" t="s">
        <v>990</v>
      </c>
      <c r="X236" t="s">
        <v>199</v>
      </c>
      <c r="Y236">
        <v>30</v>
      </c>
      <c r="AB236">
        <v>6.74</v>
      </c>
      <c r="AC236" t="s">
        <v>85</v>
      </c>
      <c r="AD236" t="s">
        <v>242</v>
      </c>
      <c r="AE236" t="s">
        <v>63</v>
      </c>
      <c r="AI236">
        <v>3</v>
      </c>
      <c r="AV236" t="s">
        <v>448</v>
      </c>
    </row>
    <row r="237" spans="1:53" x14ac:dyDescent="0.3">
      <c r="A237" t="s">
        <v>989</v>
      </c>
      <c r="C237" t="s">
        <v>920</v>
      </c>
      <c r="D237" t="s">
        <v>81</v>
      </c>
      <c r="E237">
        <v>100000000</v>
      </c>
      <c r="H237">
        <v>25</v>
      </c>
      <c r="I237" t="s">
        <v>446</v>
      </c>
      <c r="J237">
        <v>2.5000000000000001E-5</v>
      </c>
      <c r="K237" t="s">
        <v>57</v>
      </c>
      <c r="O237">
        <v>10</v>
      </c>
      <c r="P237" t="s">
        <v>59</v>
      </c>
      <c r="S237">
        <v>3</v>
      </c>
      <c r="T237">
        <v>21</v>
      </c>
      <c r="V237">
        <v>50</v>
      </c>
      <c r="W237" t="s">
        <v>990</v>
      </c>
      <c r="X237" t="s">
        <v>199</v>
      </c>
      <c r="Y237">
        <v>30</v>
      </c>
      <c r="AB237">
        <v>6.69</v>
      </c>
      <c r="AC237" t="s">
        <v>85</v>
      </c>
      <c r="AD237" t="s">
        <v>632</v>
      </c>
      <c r="AE237" t="s">
        <v>63</v>
      </c>
      <c r="AI237">
        <v>3</v>
      </c>
      <c r="AV237" t="s">
        <v>448</v>
      </c>
    </row>
    <row r="238" spans="1:53" x14ac:dyDescent="0.3">
      <c r="A238" t="s">
        <v>989</v>
      </c>
      <c r="C238" t="s">
        <v>920</v>
      </c>
      <c r="D238" t="s">
        <v>81</v>
      </c>
      <c r="E238">
        <v>100000000</v>
      </c>
      <c r="H238">
        <v>25</v>
      </c>
      <c r="I238" t="s">
        <v>446</v>
      </c>
      <c r="J238">
        <v>2.5000000000000001E-5</v>
      </c>
      <c r="K238" t="s">
        <v>57</v>
      </c>
      <c r="O238">
        <v>10</v>
      </c>
      <c r="P238" t="s">
        <v>59</v>
      </c>
      <c r="S238">
        <v>3</v>
      </c>
      <c r="T238">
        <v>21</v>
      </c>
      <c r="V238">
        <v>50</v>
      </c>
      <c r="W238" t="s">
        <v>990</v>
      </c>
      <c r="X238" t="s">
        <v>199</v>
      </c>
      <c r="Y238">
        <v>30</v>
      </c>
      <c r="AB238">
        <v>6.32</v>
      </c>
      <c r="AC238" t="s">
        <v>85</v>
      </c>
      <c r="AD238" t="s">
        <v>503</v>
      </c>
      <c r="AE238" t="s">
        <v>63</v>
      </c>
      <c r="AI238">
        <v>3</v>
      </c>
      <c r="AV238" t="s">
        <v>448</v>
      </c>
    </row>
    <row r="239" spans="1:53" x14ac:dyDescent="0.3">
      <c r="A239" t="s">
        <v>989</v>
      </c>
      <c r="C239" t="s">
        <v>920</v>
      </c>
      <c r="D239" t="s">
        <v>81</v>
      </c>
      <c r="E239">
        <v>100000000</v>
      </c>
      <c r="H239">
        <v>25</v>
      </c>
      <c r="I239" t="s">
        <v>446</v>
      </c>
      <c r="J239">
        <v>2.5000000000000001E-5</v>
      </c>
      <c r="K239" t="s">
        <v>57</v>
      </c>
      <c r="O239">
        <v>10</v>
      </c>
      <c r="P239" t="s">
        <v>59</v>
      </c>
      <c r="S239">
        <v>3</v>
      </c>
      <c r="T239">
        <v>21</v>
      </c>
      <c r="V239">
        <v>50</v>
      </c>
      <c r="W239" t="s">
        <v>990</v>
      </c>
      <c r="X239" t="s">
        <v>199</v>
      </c>
      <c r="Y239">
        <v>30</v>
      </c>
      <c r="AB239">
        <v>6.77</v>
      </c>
      <c r="AC239" t="s">
        <v>85</v>
      </c>
      <c r="AD239" t="s">
        <v>238</v>
      </c>
      <c r="AE239" t="s">
        <v>63</v>
      </c>
      <c r="AI239">
        <v>3</v>
      </c>
      <c r="AV239" t="s">
        <v>448</v>
      </c>
    </row>
    <row r="240" spans="1:53" x14ac:dyDescent="0.3">
      <c r="A240" t="s">
        <v>989</v>
      </c>
      <c r="C240" t="s">
        <v>920</v>
      </c>
      <c r="D240" t="s">
        <v>81</v>
      </c>
      <c r="E240">
        <v>100000000</v>
      </c>
      <c r="H240">
        <v>25</v>
      </c>
      <c r="I240" t="s">
        <v>446</v>
      </c>
      <c r="J240">
        <v>2.5000000000000001E-5</v>
      </c>
      <c r="K240" t="s">
        <v>57</v>
      </c>
      <c r="O240">
        <v>10</v>
      </c>
      <c r="P240" t="s">
        <v>59</v>
      </c>
      <c r="S240">
        <v>3</v>
      </c>
      <c r="T240">
        <v>21</v>
      </c>
      <c r="V240">
        <v>50</v>
      </c>
      <c r="W240" t="s">
        <v>990</v>
      </c>
      <c r="X240" t="s">
        <v>199</v>
      </c>
      <c r="Y240">
        <v>30</v>
      </c>
      <c r="AB240">
        <v>7.18</v>
      </c>
      <c r="AC240" t="s">
        <v>85</v>
      </c>
      <c r="AD240" t="s">
        <v>666</v>
      </c>
      <c r="AE240" t="s">
        <v>63</v>
      </c>
      <c r="AI240">
        <v>3</v>
      </c>
      <c r="AV240" t="s">
        <v>448</v>
      </c>
    </row>
    <row r="241" spans="1:53" x14ac:dyDescent="0.3">
      <c r="A241" t="s">
        <v>989</v>
      </c>
      <c r="C241" t="s">
        <v>920</v>
      </c>
      <c r="D241" t="s">
        <v>81</v>
      </c>
      <c r="E241">
        <v>100000000</v>
      </c>
      <c r="H241">
        <v>25</v>
      </c>
      <c r="I241" t="s">
        <v>446</v>
      </c>
      <c r="J241">
        <v>2.5000000000000001E-5</v>
      </c>
      <c r="K241" t="s">
        <v>57</v>
      </c>
      <c r="O241">
        <v>10</v>
      </c>
      <c r="P241" t="s">
        <v>59</v>
      </c>
      <c r="S241">
        <v>3</v>
      </c>
      <c r="T241">
        <v>21</v>
      </c>
      <c r="V241">
        <v>50</v>
      </c>
      <c r="W241" t="s">
        <v>990</v>
      </c>
      <c r="X241" t="s">
        <v>199</v>
      </c>
      <c r="Y241">
        <v>30</v>
      </c>
      <c r="AB241">
        <v>5.51</v>
      </c>
      <c r="AC241" t="s">
        <v>85</v>
      </c>
      <c r="AD241" t="s">
        <v>228</v>
      </c>
      <c r="AE241" t="s">
        <v>63</v>
      </c>
      <c r="AI241">
        <v>3</v>
      </c>
      <c r="AV241" t="s">
        <v>448</v>
      </c>
    </row>
    <row r="242" spans="1:53" x14ac:dyDescent="0.3">
      <c r="A242" t="s">
        <v>989</v>
      </c>
      <c r="C242" t="s">
        <v>920</v>
      </c>
      <c r="D242" t="s">
        <v>81</v>
      </c>
      <c r="E242">
        <v>100000000</v>
      </c>
      <c r="H242">
        <v>25</v>
      </c>
      <c r="I242" t="s">
        <v>446</v>
      </c>
      <c r="J242">
        <v>2.5000000000000001E-5</v>
      </c>
      <c r="K242" t="s">
        <v>57</v>
      </c>
      <c r="O242">
        <v>10</v>
      </c>
      <c r="P242" t="s">
        <v>59</v>
      </c>
      <c r="S242">
        <v>3</v>
      </c>
      <c r="T242">
        <v>21</v>
      </c>
      <c r="V242">
        <v>50</v>
      </c>
      <c r="W242" t="s">
        <v>990</v>
      </c>
      <c r="X242" t="s">
        <v>199</v>
      </c>
      <c r="Y242">
        <v>30</v>
      </c>
      <c r="AB242">
        <v>5.95</v>
      </c>
      <c r="AC242" t="s">
        <v>85</v>
      </c>
      <c r="AD242" t="s">
        <v>240</v>
      </c>
      <c r="AE242" t="s">
        <v>63</v>
      </c>
      <c r="AI242">
        <v>3</v>
      </c>
      <c r="AV242" t="s">
        <v>448</v>
      </c>
    </row>
    <row r="243" spans="1:53" x14ac:dyDescent="0.3">
      <c r="A243" t="s">
        <v>989</v>
      </c>
      <c r="C243" t="s">
        <v>920</v>
      </c>
      <c r="D243" t="s">
        <v>81</v>
      </c>
      <c r="E243">
        <v>100000000</v>
      </c>
      <c r="H243">
        <v>25</v>
      </c>
      <c r="I243" t="s">
        <v>446</v>
      </c>
      <c r="J243">
        <v>2.5000000000000001E-5</v>
      </c>
      <c r="K243" t="s">
        <v>57</v>
      </c>
      <c r="O243">
        <v>0.3</v>
      </c>
      <c r="P243" t="s">
        <v>59</v>
      </c>
      <c r="S243">
        <v>3</v>
      </c>
      <c r="T243">
        <v>21</v>
      </c>
      <c r="V243">
        <v>50</v>
      </c>
      <c r="W243" t="s">
        <v>990</v>
      </c>
      <c r="X243" t="s">
        <v>199</v>
      </c>
      <c r="Y243">
        <v>30</v>
      </c>
      <c r="AB243">
        <v>6.99</v>
      </c>
      <c r="AC243" t="s">
        <v>85</v>
      </c>
      <c r="AD243" t="s">
        <v>238</v>
      </c>
      <c r="AE243" t="s">
        <v>63</v>
      </c>
      <c r="AI243">
        <v>3</v>
      </c>
      <c r="AV243" t="s">
        <v>448</v>
      </c>
    </row>
    <row r="244" spans="1:53" x14ac:dyDescent="0.3">
      <c r="A244" t="s">
        <v>989</v>
      </c>
      <c r="C244" t="s">
        <v>920</v>
      </c>
      <c r="D244" t="s">
        <v>81</v>
      </c>
      <c r="E244">
        <v>100000000</v>
      </c>
      <c r="H244">
        <v>25</v>
      </c>
      <c r="I244" t="s">
        <v>446</v>
      </c>
      <c r="J244">
        <v>2.5000000000000001E-5</v>
      </c>
      <c r="K244" t="s">
        <v>57</v>
      </c>
      <c r="O244">
        <v>0.3</v>
      </c>
      <c r="P244" t="s">
        <v>59</v>
      </c>
      <c r="S244">
        <v>3</v>
      </c>
      <c r="T244">
        <v>21</v>
      </c>
      <c r="V244">
        <v>50</v>
      </c>
      <c r="W244" t="s">
        <v>990</v>
      </c>
      <c r="X244" t="s">
        <v>199</v>
      </c>
      <c r="Y244">
        <v>30</v>
      </c>
      <c r="AB244">
        <v>7.41</v>
      </c>
      <c r="AC244" t="s">
        <v>85</v>
      </c>
      <c r="AD244" t="s">
        <v>496</v>
      </c>
      <c r="AE244" t="s">
        <v>63</v>
      </c>
      <c r="AI244">
        <v>3</v>
      </c>
      <c r="AV244" t="s">
        <v>448</v>
      </c>
    </row>
    <row r="245" spans="1:53" x14ac:dyDescent="0.3">
      <c r="A245" t="s">
        <v>989</v>
      </c>
      <c r="C245" t="s">
        <v>920</v>
      </c>
      <c r="D245" t="s">
        <v>81</v>
      </c>
      <c r="E245">
        <v>100000000</v>
      </c>
      <c r="H245">
        <v>25</v>
      </c>
      <c r="I245" t="s">
        <v>446</v>
      </c>
      <c r="J245">
        <v>2.5000000000000001E-5</v>
      </c>
      <c r="K245" t="s">
        <v>57</v>
      </c>
      <c r="O245">
        <v>0.3</v>
      </c>
      <c r="P245" t="s">
        <v>59</v>
      </c>
      <c r="S245">
        <v>3</v>
      </c>
      <c r="T245">
        <v>21</v>
      </c>
      <c r="V245">
        <v>50</v>
      </c>
      <c r="W245" t="s">
        <v>990</v>
      </c>
      <c r="X245" t="s">
        <v>199</v>
      </c>
      <c r="Y245">
        <v>30</v>
      </c>
      <c r="AB245">
        <v>6.32</v>
      </c>
      <c r="AC245" t="s">
        <v>85</v>
      </c>
      <c r="AD245" t="s">
        <v>328</v>
      </c>
      <c r="AE245" t="s">
        <v>63</v>
      </c>
      <c r="AI245">
        <v>3</v>
      </c>
      <c r="AV245" t="s">
        <v>448</v>
      </c>
    </row>
    <row r="246" spans="1:53" x14ac:dyDescent="0.3">
      <c r="A246" t="s">
        <v>989</v>
      </c>
      <c r="C246" t="s">
        <v>920</v>
      </c>
      <c r="D246" t="s">
        <v>81</v>
      </c>
      <c r="E246">
        <v>100000000</v>
      </c>
      <c r="H246">
        <v>25</v>
      </c>
      <c r="I246" t="s">
        <v>446</v>
      </c>
      <c r="J246">
        <v>2.5000000000000001E-5</v>
      </c>
      <c r="K246" t="s">
        <v>57</v>
      </c>
      <c r="O246">
        <v>0.3</v>
      </c>
      <c r="P246" t="s">
        <v>59</v>
      </c>
      <c r="S246">
        <v>3</v>
      </c>
      <c r="T246">
        <v>21</v>
      </c>
      <c r="V246">
        <v>50</v>
      </c>
      <c r="W246" t="s">
        <v>990</v>
      </c>
      <c r="X246" t="s">
        <v>199</v>
      </c>
      <c r="Y246">
        <v>30</v>
      </c>
      <c r="AA246" t="s">
        <v>184</v>
      </c>
      <c r="AB246">
        <v>7.67</v>
      </c>
      <c r="AC246" t="s">
        <v>85</v>
      </c>
      <c r="AI246">
        <v>3</v>
      </c>
      <c r="AV246" t="s">
        <v>448</v>
      </c>
      <c r="AZ246">
        <v>0</v>
      </c>
      <c r="BA246">
        <v>7.67</v>
      </c>
    </row>
    <row r="247" spans="1:53" x14ac:dyDescent="0.3">
      <c r="A247" t="s">
        <v>989</v>
      </c>
      <c r="C247" t="s">
        <v>920</v>
      </c>
      <c r="D247" t="s">
        <v>81</v>
      </c>
      <c r="E247">
        <v>100000000</v>
      </c>
      <c r="H247">
        <v>25</v>
      </c>
      <c r="I247" t="s">
        <v>446</v>
      </c>
      <c r="J247">
        <v>2.5000000000000001E-5</v>
      </c>
      <c r="K247" t="s">
        <v>57</v>
      </c>
      <c r="O247">
        <v>0.3</v>
      </c>
      <c r="P247" t="s">
        <v>59</v>
      </c>
      <c r="S247">
        <v>3</v>
      </c>
      <c r="T247">
        <v>21</v>
      </c>
      <c r="V247">
        <v>50</v>
      </c>
      <c r="W247" t="s">
        <v>990</v>
      </c>
      <c r="X247" t="s">
        <v>199</v>
      </c>
      <c r="Y247">
        <v>30</v>
      </c>
      <c r="AB247">
        <v>6.1</v>
      </c>
      <c r="AC247" t="s">
        <v>85</v>
      </c>
      <c r="AD247" t="s">
        <v>658</v>
      </c>
      <c r="AE247" t="s">
        <v>63</v>
      </c>
      <c r="AI247">
        <v>3</v>
      </c>
      <c r="AV247" t="s">
        <v>448</v>
      </c>
    </row>
    <row r="248" spans="1:53" x14ac:dyDescent="0.3">
      <c r="A248" t="s">
        <v>989</v>
      </c>
      <c r="C248" t="s">
        <v>920</v>
      </c>
      <c r="D248" t="s">
        <v>81</v>
      </c>
      <c r="E248">
        <v>100000000</v>
      </c>
      <c r="H248">
        <v>25</v>
      </c>
      <c r="I248" t="s">
        <v>446</v>
      </c>
      <c r="J248">
        <v>2.5000000000000001E-5</v>
      </c>
      <c r="K248" t="s">
        <v>57</v>
      </c>
      <c r="O248">
        <v>0.3</v>
      </c>
      <c r="P248" t="s">
        <v>59</v>
      </c>
      <c r="S248">
        <v>3</v>
      </c>
      <c r="T248">
        <v>21</v>
      </c>
      <c r="V248">
        <v>50</v>
      </c>
      <c r="W248" t="s">
        <v>990</v>
      </c>
      <c r="X248" t="s">
        <v>199</v>
      </c>
      <c r="Y248">
        <v>30</v>
      </c>
      <c r="AB248">
        <v>5.94</v>
      </c>
      <c r="AC248" t="s">
        <v>85</v>
      </c>
      <c r="AD248" t="s">
        <v>528</v>
      </c>
      <c r="AE248" t="s">
        <v>63</v>
      </c>
      <c r="AI248">
        <v>3</v>
      </c>
      <c r="AV248" t="s">
        <v>448</v>
      </c>
    </row>
    <row r="249" spans="1:53" x14ac:dyDescent="0.3">
      <c r="A249" t="s">
        <v>989</v>
      </c>
      <c r="C249" t="s">
        <v>920</v>
      </c>
      <c r="D249" t="s">
        <v>81</v>
      </c>
      <c r="E249">
        <v>100000000</v>
      </c>
      <c r="H249">
        <v>25</v>
      </c>
      <c r="I249" t="s">
        <v>446</v>
      </c>
      <c r="J249">
        <v>2.5000000000000001E-5</v>
      </c>
      <c r="K249" t="s">
        <v>57</v>
      </c>
      <c r="O249">
        <v>0.3</v>
      </c>
      <c r="P249" t="s">
        <v>59</v>
      </c>
      <c r="S249">
        <v>3</v>
      </c>
      <c r="T249">
        <v>21</v>
      </c>
      <c r="V249">
        <v>50</v>
      </c>
      <c r="W249" t="s">
        <v>990</v>
      </c>
      <c r="X249" t="s">
        <v>199</v>
      </c>
      <c r="Y249">
        <v>30</v>
      </c>
      <c r="AB249">
        <v>6.93</v>
      </c>
      <c r="AC249" t="s">
        <v>85</v>
      </c>
      <c r="AD249" t="s">
        <v>482</v>
      </c>
      <c r="AE249" t="s">
        <v>63</v>
      </c>
      <c r="AI249">
        <v>3</v>
      </c>
      <c r="AV249" t="s">
        <v>448</v>
      </c>
    </row>
    <row r="250" spans="1:53" x14ac:dyDescent="0.3">
      <c r="A250" t="s">
        <v>989</v>
      </c>
      <c r="C250" t="s">
        <v>920</v>
      </c>
      <c r="D250" t="s">
        <v>81</v>
      </c>
      <c r="E250">
        <v>100000000</v>
      </c>
      <c r="H250">
        <v>25</v>
      </c>
      <c r="I250" t="s">
        <v>446</v>
      </c>
      <c r="J250">
        <v>2.5000000000000001E-5</v>
      </c>
      <c r="K250" t="s">
        <v>57</v>
      </c>
      <c r="O250">
        <v>0.3</v>
      </c>
      <c r="P250" t="s">
        <v>59</v>
      </c>
      <c r="S250">
        <v>3</v>
      </c>
      <c r="T250">
        <v>21</v>
      </c>
      <c r="V250">
        <v>50</v>
      </c>
      <c r="W250" t="s">
        <v>990</v>
      </c>
      <c r="X250" t="s">
        <v>199</v>
      </c>
      <c r="Y250">
        <v>30</v>
      </c>
      <c r="AB250">
        <v>7.05</v>
      </c>
      <c r="AC250" t="s">
        <v>85</v>
      </c>
      <c r="AD250" t="s">
        <v>633</v>
      </c>
      <c r="AE250" t="s">
        <v>63</v>
      </c>
      <c r="AI250">
        <v>3</v>
      </c>
      <c r="AV250" t="s">
        <v>448</v>
      </c>
    </row>
    <row r="251" spans="1:53" x14ac:dyDescent="0.3">
      <c r="A251" t="s">
        <v>989</v>
      </c>
      <c r="C251" t="s">
        <v>920</v>
      </c>
      <c r="D251" t="s">
        <v>81</v>
      </c>
      <c r="E251">
        <v>100000000</v>
      </c>
      <c r="H251">
        <v>25</v>
      </c>
      <c r="I251" t="s">
        <v>446</v>
      </c>
      <c r="J251">
        <v>2.5000000000000001E-5</v>
      </c>
      <c r="K251" t="s">
        <v>57</v>
      </c>
      <c r="O251">
        <v>0.3</v>
      </c>
      <c r="P251" t="s">
        <v>59</v>
      </c>
      <c r="S251">
        <v>3</v>
      </c>
      <c r="T251">
        <v>21</v>
      </c>
      <c r="V251">
        <v>50</v>
      </c>
      <c r="W251" t="s">
        <v>990</v>
      </c>
      <c r="X251" t="s">
        <v>199</v>
      </c>
      <c r="Y251">
        <v>30</v>
      </c>
      <c r="AB251">
        <v>6.33</v>
      </c>
      <c r="AC251" t="s">
        <v>85</v>
      </c>
      <c r="AD251" t="s">
        <v>521</v>
      </c>
      <c r="AE251" t="s">
        <v>63</v>
      </c>
      <c r="AI251">
        <v>3</v>
      </c>
      <c r="AV251" t="s">
        <v>448</v>
      </c>
    </row>
    <row r="252" spans="1:53" x14ac:dyDescent="0.3">
      <c r="A252" t="s">
        <v>989</v>
      </c>
      <c r="C252" t="s">
        <v>920</v>
      </c>
      <c r="D252" t="s">
        <v>81</v>
      </c>
      <c r="E252">
        <v>100000000</v>
      </c>
      <c r="H252">
        <v>25</v>
      </c>
      <c r="I252" t="s">
        <v>446</v>
      </c>
      <c r="J252">
        <v>2.5000000000000001E-5</v>
      </c>
      <c r="K252" t="s">
        <v>57</v>
      </c>
      <c r="O252">
        <v>0.3</v>
      </c>
      <c r="P252" t="s">
        <v>59</v>
      </c>
      <c r="S252">
        <v>3</v>
      </c>
      <c r="T252">
        <v>21</v>
      </c>
      <c r="V252">
        <v>50</v>
      </c>
      <c r="W252" t="s">
        <v>990</v>
      </c>
      <c r="X252" t="s">
        <v>199</v>
      </c>
      <c r="Y252">
        <v>30</v>
      </c>
      <c r="AA252" t="s">
        <v>184</v>
      </c>
      <c r="AB252">
        <v>6.87</v>
      </c>
      <c r="AC252" t="s">
        <v>85</v>
      </c>
      <c r="AI252">
        <v>3</v>
      </c>
      <c r="AV252" t="s">
        <v>448</v>
      </c>
      <c r="AZ252">
        <v>0</v>
      </c>
      <c r="BA252">
        <v>6.87</v>
      </c>
    </row>
    <row r="253" spans="1:53" x14ac:dyDescent="0.3">
      <c r="A253" t="s">
        <v>989</v>
      </c>
      <c r="C253" t="s">
        <v>920</v>
      </c>
      <c r="D253" t="s">
        <v>81</v>
      </c>
      <c r="E253">
        <v>100000000</v>
      </c>
      <c r="H253">
        <v>25</v>
      </c>
      <c r="I253" t="s">
        <v>446</v>
      </c>
      <c r="J253">
        <v>2.5000000000000001E-5</v>
      </c>
      <c r="K253" t="s">
        <v>57</v>
      </c>
      <c r="O253">
        <v>0.3</v>
      </c>
      <c r="P253" t="s">
        <v>59</v>
      </c>
      <c r="S253">
        <v>3</v>
      </c>
      <c r="T253">
        <v>21</v>
      </c>
      <c r="V253">
        <v>50</v>
      </c>
      <c r="W253" t="s">
        <v>990</v>
      </c>
      <c r="X253" t="s">
        <v>199</v>
      </c>
      <c r="Y253">
        <v>30</v>
      </c>
      <c r="AB253">
        <v>7.09</v>
      </c>
      <c r="AC253" t="s">
        <v>85</v>
      </c>
      <c r="AD253" t="s">
        <v>239</v>
      </c>
      <c r="AE253" t="s">
        <v>63</v>
      </c>
      <c r="AI253">
        <v>3</v>
      </c>
      <c r="AV253" t="s">
        <v>448</v>
      </c>
    </row>
    <row r="254" spans="1:53" x14ac:dyDescent="0.3">
      <c r="A254" t="s">
        <v>989</v>
      </c>
      <c r="C254" t="s">
        <v>920</v>
      </c>
      <c r="D254" t="s">
        <v>81</v>
      </c>
      <c r="E254">
        <v>100000000</v>
      </c>
      <c r="H254">
        <v>25</v>
      </c>
      <c r="I254" t="s">
        <v>446</v>
      </c>
      <c r="J254">
        <v>2.5000000000000001E-5</v>
      </c>
      <c r="K254" t="s">
        <v>57</v>
      </c>
      <c r="O254">
        <v>0.3</v>
      </c>
      <c r="P254" t="s">
        <v>59</v>
      </c>
      <c r="S254">
        <v>3</v>
      </c>
      <c r="T254">
        <v>21</v>
      </c>
      <c r="V254">
        <v>50</v>
      </c>
      <c r="W254" t="s">
        <v>990</v>
      </c>
      <c r="X254" t="s">
        <v>199</v>
      </c>
      <c r="Y254">
        <v>30</v>
      </c>
      <c r="AB254">
        <v>6.3</v>
      </c>
      <c r="AC254" t="s">
        <v>85</v>
      </c>
      <c r="AD254" t="s">
        <v>525</v>
      </c>
      <c r="AE254" t="s">
        <v>63</v>
      </c>
      <c r="AI254">
        <v>3</v>
      </c>
      <c r="AV254" t="s">
        <v>448</v>
      </c>
    </row>
    <row r="255" spans="1:53" x14ac:dyDescent="0.3">
      <c r="A255" t="s">
        <v>989</v>
      </c>
      <c r="C255" t="s">
        <v>920</v>
      </c>
      <c r="D255" t="s">
        <v>81</v>
      </c>
      <c r="E255">
        <v>100000000</v>
      </c>
      <c r="H255">
        <v>25</v>
      </c>
      <c r="I255" t="s">
        <v>446</v>
      </c>
      <c r="J255">
        <v>2.5000000000000001E-5</v>
      </c>
      <c r="K255" t="s">
        <v>57</v>
      </c>
      <c r="O255">
        <v>0.3</v>
      </c>
      <c r="P255" t="s">
        <v>59</v>
      </c>
      <c r="S255">
        <v>3</v>
      </c>
      <c r="T255">
        <v>21</v>
      </c>
      <c r="V255">
        <v>50</v>
      </c>
      <c r="W255" t="s">
        <v>990</v>
      </c>
      <c r="X255" t="s">
        <v>199</v>
      </c>
      <c r="Y255">
        <v>30</v>
      </c>
      <c r="AB255">
        <v>6.28</v>
      </c>
      <c r="AC255" t="s">
        <v>85</v>
      </c>
      <c r="AD255" t="s">
        <v>632</v>
      </c>
      <c r="AE255" t="s">
        <v>63</v>
      </c>
      <c r="AI255">
        <v>3</v>
      </c>
      <c r="AV255" t="s">
        <v>448</v>
      </c>
    </row>
    <row r="256" spans="1:53" x14ac:dyDescent="0.3">
      <c r="A256" t="s">
        <v>989</v>
      </c>
      <c r="C256" t="s">
        <v>920</v>
      </c>
      <c r="D256" t="s">
        <v>81</v>
      </c>
      <c r="E256">
        <v>100000000</v>
      </c>
      <c r="H256">
        <v>25</v>
      </c>
      <c r="I256" t="s">
        <v>446</v>
      </c>
      <c r="J256">
        <v>2.5000000000000001E-5</v>
      </c>
      <c r="K256" t="s">
        <v>57</v>
      </c>
      <c r="O256">
        <v>0</v>
      </c>
      <c r="S256">
        <v>3</v>
      </c>
      <c r="T256">
        <v>21</v>
      </c>
      <c r="V256">
        <v>50</v>
      </c>
      <c r="W256" t="s">
        <v>990</v>
      </c>
      <c r="X256" t="s">
        <v>199</v>
      </c>
      <c r="Y256">
        <v>30</v>
      </c>
      <c r="AB256">
        <v>0.05</v>
      </c>
      <c r="AC256" t="s">
        <v>85</v>
      </c>
      <c r="AD256" t="s">
        <v>487</v>
      </c>
      <c r="AE256" t="s">
        <v>63</v>
      </c>
      <c r="AI256">
        <v>3</v>
      </c>
      <c r="AV256" t="s">
        <v>448</v>
      </c>
    </row>
    <row r="257" spans="1:48" x14ac:dyDescent="0.3">
      <c r="A257" t="s">
        <v>989</v>
      </c>
      <c r="C257" t="s">
        <v>920</v>
      </c>
      <c r="D257" t="s">
        <v>81</v>
      </c>
      <c r="E257">
        <v>100000000</v>
      </c>
      <c r="H257">
        <v>25</v>
      </c>
      <c r="I257" t="s">
        <v>446</v>
      </c>
      <c r="J257">
        <v>2.5000000000000001E-5</v>
      </c>
      <c r="K257" t="s">
        <v>57</v>
      </c>
      <c r="O257">
        <v>0</v>
      </c>
      <c r="S257">
        <v>3</v>
      </c>
      <c r="T257">
        <v>21</v>
      </c>
      <c r="V257">
        <v>50</v>
      </c>
      <c r="W257" t="s">
        <v>990</v>
      </c>
      <c r="X257" t="s">
        <v>199</v>
      </c>
      <c r="Y257">
        <v>30</v>
      </c>
      <c r="AB257">
        <v>3.33</v>
      </c>
      <c r="AC257" t="s">
        <v>85</v>
      </c>
      <c r="AD257" t="s">
        <v>232</v>
      </c>
      <c r="AE257" t="s">
        <v>63</v>
      </c>
      <c r="AI257">
        <v>3</v>
      </c>
      <c r="AV257" t="s">
        <v>448</v>
      </c>
    </row>
    <row r="258" spans="1:48" x14ac:dyDescent="0.3">
      <c r="A258" t="s">
        <v>989</v>
      </c>
      <c r="C258" t="s">
        <v>920</v>
      </c>
      <c r="D258" t="s">
        <v>81</v>
      </c>
      <c r="E258">
        <v>100000000</v>
      </c>
      <c r="H258">
        <v>25</v>
      </c>
      <c r="I258" t="s">
        <v>446</v>
      </c>
      <c r="J258">
        <v>2.5000000000000001E-5</v>
      </c>
      <c r="K258" t="s">
        <v>57</v>
      </c>
      <c r="O258">
        <v>0</v>
      </c>
      <c r="S258">
        <v>3</v>
      </c>
      <c r="T258">
        <v>21</v>
      </c>
      <c r="V258">
        <v>50</v>
      </c>
      <c r="W258" t="s">
        <v>990</v>
      </c>
      <c r="X258" t="s">
        <v>199</v>
      </c>
      <c r="Y258">
        <v>30</v>
      </c>
      <c r="AB258">
        <v>0.49</v>
      </c>
      <c r="AC258" t="s">
        <v>85</v>
      </c>
      <c r="AD258" t="s">
        <v>494</v>
      </c>
      <c r="AE258" t="s">
        <v>63</v>
      </c>
      <c r="AI258">
        <v>3</v>
      </c>
      <c r="AV258" t="s">
        <v>448</v>
      </c>
    </row>
    <row r="259" spans="1:48" x14ac:dyDescent="0.3">
      <c r="A259" t="s">
        <v>989</v>
      </c>
      <c r="C259" t="s">
        <v>920</v>
      </c>
      <c r="D259" t="s">
        <v>81</v>
      </c>
      <c r="E259">
        <v>100000000</v>
      </c>
      <c r="H259">
        <v>25</v>
      </c>
      <c r="I259" t="s">
        <v>446</v>
      </c>
      <c r="J259">
        <v>2.5000000000000001E-5</v>
      </c>
      <c r="K259" t="s">
        <v>57</v>
      </c>
      <c r="O259">
        <v>0</v>
      </c>
      <c r="S259">
        <v>3</v>
      </c>
      <c r="T259">
        <v>21</v>
      </c>
      <c r="V259">
        <v>50</v>
      </c>
      <c r="W259" t="s">
        <v>990</v>
      </c>
      <c r="X259" t="s">
        <v>199</v>
      </c>
      <c r="Y259">
        <v>30</v>
      </c>
      <c r="AB259">
        <v>0.16</v>
      </c>
      <c r="AC259" t="s">
        <v>85</v>
      </c>
      <c r="AD259" t="s">
        <v>314</v>
      </c>
      <c r="AE259" t="s">
        <v>63</v>
      </c>
      <c r="AI259">
        <v>3</v>
      </c>
      <c r="AV259" t="s">
        <v>448</v>
      </c>
    </row>
    <row r="260" spans="1:48" x14ac:dyDescent="0.3">
      <c r="A260" t="s">
        <v>989</v>
      </c>
      <c r="C260" t="s">
        <v>920</v>
      </c>
      <c r="D260" t="s">
        <v>81</v>
      </c>
      <c r="E260">
        <v>100000000</v>
      </c>
      <c r="H260">
        <v>25</v>
      </c>
      <c r="I260" t="s">
        <v>446</v>
      </c>
      <c r="J260">
        <v>2.5000000000000001E-5</v>
      </c>
      <c r="K260" t="s">
        <v>57</v>
      </c>
      <c r="O260">
        <v>0</v>
      </c>
      <c r="S260">
        <v>3</v>
      </c>
      <c r="T260">
        <v>21</v>
      </c>
      <c r="V260">
        <v>50</v>
      </c>
      <c r="W260" t="s">
        <v>990</v>
      </c>
      <c r="X260" t="s">
        <v>199</v>
      </c>
      <c r="Y260">
        <v>30</v>
      </c>
      <c r="AB260">
        <v>0.79</v>
      </c>
      <c r="AC260" t="s">
        <v>85</v>
      </c>
      <c r="AD260" t="s">
        <v>487</v>
      </c>
      <c r="AE260" t="s">
        <v>63</v>
      </c>
      <c r="AI260">
        <v>3</v>
      </c>
      <c r="AV260" t="s">
        <v>448</v>
      </c>
    </row>
    <row r="261" spans="1:48" x14ac:dyDescent="0.3">
      <c r="A261" t="s">
        <v>989</v>
      </c>
      <c r="C261" t="s">
        <v>920</v>
      </c>
      <c r="D261" t="s">
        <v>81</v>
      </c>
      <c r="E261">
        <v>100000000</v>
      </c>
      <c r="H261">
        <v>25</v>
      </c>
      <c r="I261" t="s">
        <v>446</v>
      </c>
      <c r="J261">
        <v>2.5000000000000001E-5</v>
      </c>
      <c r="K261" t="s">
        <v>57</v>
      </c>
      <c r="O261">
        <v>0</v>
      </c>
      <c r="S261">
        <v>3</v>
      </c>
      <c r="T261">
        <v>21</v>
      </c>
      <c r="V261">
        <v>50</v>
      </c>
      <c r="W261" t="s">
        <v>990</v>
      </c>
      <c r="X261" t="s">
        <v>199</v>
      </c>
      <c r="Y261">
        <v>30</v>
      </c>
      <c r="AB261">
        <v>2.04</v>
      </c>
      <c r="AC261" t="s">
        <v>85</v>
      </c>
      <c r="AD261" t="s">
        <v>104</v>
      </c>
      <c r="AE261" t="s">
        <v>63</v>
      </c>
      <c r="AI261">
        <v>3</v>
      </c>
      <c r="AV261" t="s">
        <v>448</v>
      </c>
    </row>
    <row r="262" spans="1:48" x14ac:dyDescent="0.3">
      <c r="A262" t="s">
        <v>989</v>
      </c>
      <c r="C262" t="s">
        <v>920</v>
      </c>
      <c r="D262" t="s">
        <v>81</v>
      </c>
      <c r="E262">
        <v>100000000</v>
      </c>
      <c r="H262">
        <v>25</v>
      </c>
      <c r="I262" t="s">
        <v>446</v>
      </c>
      <c r="J262">
        <v>2.5000000000000001E-5</v>
      </c>
      <c r="K262" t="s">
        <v>57</v>
      </c>
      <c r="O262">
        <v>0</v>
      </c>
      <c r="S262">
        <v>3</v>
      </c>
      <c r="T262">
        <v>21</v>
      </c>
      <c r="V262">
        <v>50</v>
      </c>
      <c r="W262" t="s">
        <v>990</v>
      </c>
      <c r="X262" t="s">
        <v>199</v>
      </c>
      <c r="Y262">
        <v>30</v>
      </c>
      <c r="AB262">
        <v>1.34</v>
      </c>
      <c r="AC262" t="s">
        <v>85</v>
      </c>
      <c r="AD262" t="s">
        <v>227</v>
      </c>
      <c r="AE262" t="s">
        <v>63</v>
      </c>
      <c r="AI262">
        <v>3</v>
      </c>
      <c r="AV262" t="s">
        <v>448</v>
      </c>
    </row>
    <row r="263" spans="1:48" x14ac:dyDescent="0.3">
      <c r="A263" t="s">
        <v>989</v>
      </c>
      <c r="C263" t="s">
        <v>920</v>
      </c>
      <c r="D263" t="s">
        <v>81</v>
      </c>
      <c r="E263">
        <v>100000000</v>
      </c>
      <c r="H263">
        <v>25</v>
      </c>
      <c r="I263" t="s">
        <v>446</v>
      </c>
      <c r="J263">
        <v>2.5000000000000001E-5</v>
      </c>
      <c r="K263" t="s">
        <v>57</v>
      </c>
      <c r="O263">
        <v>0</v>
      </c>
      <c r="S263">
        <v>3</v>
      </c>
      <c r="T263">
        <v>21</v>
      </c>
      <c r="V263">
        <v>50</v>
      </c>
      <c r="W263" t="s">
        <v>990</v>
      </c>
      <c r="X263" t="s">
        <v>199</v>
      </c>
      <c r="Y263">
        <v>30</v>
      </c>
      <c r="AB263">
        <v>1.7</v>
      </c>
      <c r="AC263" t="s">
        <v>85</v>
      </c>
      <c r="AD263" t="s">
        <v>248</v>
      </c>
      <c r="AE263" t="s">
        <v>63</v>
      </c>
      <c r="AI263">
        <v>3</v>
      </c>
      <c r="AV263" t="s">
        <v>448</v>
      </c>
    </row>
    <row r="264" spans="1:48" x14ac:dyDescent="0.3">
      <c r="A264" t="s">
        <v>989</v>
      </c>
      <c r="C264" t="s">
        <v>920</v>
      </c>
      <c r="D264" t="s">
        <v>81</v>
      </c>
      <c r="E264">
        <v>100000000</v>
      </c>
      <c r="H264">
        <v>25</v>
      </c>
      <c r="I264" t="s">
        <v>446</v>
      </c>
      <c r="J264">
        <v>2.5000000000000001E-5</v>
      </c>
      <c r="K264" t="s">
        <v>57</v>
      </c>
      <c r="O264">
        <v>0</v>
      </c>
      <c r="S264">
        <v>3</v>
      </c>
      <c r="T264">
        <v>21</v>
      </c>
      <c r="V264">
        <v>50</v>
      </c>
      <c r="W264" t="s">
        <v>990</v>
      </c>
      <c r="X264" t="s">
        <v>199</v>
      </c>
      <c r="Y264">
        <v>30</v>
      </c>
      <c r="AB264">
        <v>1.45</v>
      </c>
      <c r="AC264" t="s">
        <v>85</v>
      </c>
      <c r="AD264" t="s">
        <v>418</v>
      </c>
      <c r="AE264" t="s">
        <v>63</v>
      </c>
      <c r="AI264">
        <v>3</v>
      </c>
      <c r="AV264" t="s">
        <v>448</v>
      </c>
    </row>
    <row r="265" spans="1:48" x14ac:dyDescent="0.3">
      <c r="A265" t="s">
        <v>989</v>
      </c>
      <c r="C265" t="s">
        <v>920</v>
      </c>
      <c r="D265" t="s">
        <v>81</v>
      </c>
      <c r="E265">
        <v>100000000</v>
      </c>
      <c r="H265">
        <v>25</v>
      </c>
      <c r="I265" t="s">
        <v>446</v>
      </c>
      <c r="J265">
        <v>2.5000000000000001E-5</v>
      </c>
      <c r="K265" t="s">
        <v>57</v>
      </c>
      <c r="O265">
        <v>0</v>
      </c>
      <c r="S265">
        <v>3</v>
      </c>
      <c r="T265">
        <v>21</v>
      </c>
      <c r="V265">
        <v>50</v>
      </c>
      <c r="W265" t="s">
        <v>990</v>
      </c>
      <c r="X265" t="s">
        <v>199</v>
      </c>
      <c r="Y265">
        <v>30</v>
      </c>
      <c r="AB265">
        <v>1.4</v>
      </c>
      <c r="AC265" t="s">
        <v>85</v>
      </c>
      <c r="AD265" t="s">
        <v>500</v>
      </c>
      <c r="AE265" t="s">
        <v>63</v>
      </c>
      <c r="AI265">
        <v>3</v>
      </c>
      <c r="AV265" t="s">
        <v>448</v>
      </c>
    </row>
    <row r="266" spans="1:48" x14ac:dyDescent="0.3">
      <c r="A266" t="s">
        <v>989</v>
      </c>
      <c r="C266" t="s">
        <v>920</v>
      </c>
      <c r="D266" t="s">
        <v>81</v>
      </c>
      <c r="E266">
        <v>100000000</v>
      </c>
      <c r="H266">
        <v>25</v>
      </c>
      <c r="I266" t="s">
        <v>446</v>
      </c>
      <c r="J266">
        <v>2.5000000000000001E-5</v>
      </c>
      <c r="K266" t="s">
        <v>57</v>
      </c>
      <c r="O266">
        <v>0</v>
      </c>
      <c r="S266">
        <v>3</v>
      </c>
      <c r="T266">
        <v>21</v>
      </c>
      <c r="V266">
        <v>50</v>
      </c>
      <c r="W266" t="s">
        <v>990</v>
      </c>
      <c r="X266" t="s">
        <v>199</v>
      </c>
      <c r="Y266">
        <v>30</v>
      </c>
      <c r="AB266">
        <v>0.09</v>
      </c>
      <c r="AC266" t="s">
        <v>85</v>
      </c>
      <c r="AD266" t="s">
        <v>248</v>
      </c>
      <c r="AE266" t="s">
        <v>63</v>
      </c>
      <c r="AI266">
        <v>3</v>
      </c>
      <c r="AV266" t="s">
        <v>448</v>
      </c>
    </row>
    <row r="267" spans="1:48" x14ac:dyDescent="0.3">
      <c r="A267" t="s">
        <v>989</v>
      </c>
      <c r="C267" t="s">
        <v>920</v>
      </c>
      <c r="D267" t="s">
        <v>81</v>
      </c>
      <c r="E267">
        <v>100000000</v>
      </c>
      <c r="H267">
        <v>25</v>
      </c>
      <c r="I267" t="s">
        <v>446</v>
      </c>
      <c r="J267">
        <v>2.5000000000000001E-5</v>
      </c>
      <c r="K267" t="s">
        <v>57</v>
      </c>
      <c r="O267">
        <v>0</v>
      </c>
      <c r="S267">
        <v>3</v>
      </c>
      <c r="T267">
        <v>21</v>
      </c>
      <c r="V267">
        <v>50</v>
      </c>
      <c r="W267" t="s">
        <v>990</v>
      </c>
      <c r="X267" t="s">
        <v>199</v>
      </c>
      <c r="Y267">
        <v>30</v>
      </c>
      <c r="AB267">
        <v>1.9</v>
      </c>
      <c r="AC267" t="s">
        <v>85</v>
      </c>
      <c r="AD267" t="s">
        <v>553</v>
      </c>
      <c r="AE267" t="s">
        <v>63</v>
      </c>
      <c r="AI267">
        <v>3</v>
      </c>
      <c r="AV267" t="s">
        <v>448</v>
      </c>
    </row>
    <row r="268" spans="1:48" x14ac:dyDescent="0.3">
      <c r="A268" t="s">
        <v>989</v>
      </c>
      <c r="C268" t="s">
        <v>920</v>
      </c>
      <c r="D268" t="s">
        <v>81</v>
      </c>
      <c r="E268">
        <v>100000000</v>
      </c>
      <c r="H268">
        <v>25</v>
      </c>
      <c r="I268" t="s">
        <v>446</v>
      </c>
      <c r="J268">
        <v>2.5000000000000001E-5</v>
      </c>
      <c r="K268" t="s">
        <v>57</v>
      </c>
      <c r="O268">
        <v>0</v>
      </c>
      <c r="S268">
        <v>3</v>
      </c>
      <c r="T268">
        <v>21</v>
      </c>
      <c r="V268">
        <v>50</v>
      </c>
      <c r="W268" t="s">
        <v>990</v>
      </c>
      <c r="X268" t="s">
        <v>199</v>
      </c>
      <c r="Y268">
        <v>30</v>
      </c>
      <c r="AB268">
        <v>1.97</v>
      </c>
      <c r="AC268" t="s">
        <v>85</v>
      </c>
      <c r="AD268" t="s">
        <v>100</v>
      </c>
      <c r="AE268" t="s">
        <v>63</v>
      </c>
      <c r="AI268">
        <v>3</v>
      </c>
      <c r="AV268" t="s">
        <v>448</v>
      </c>
    </row>
    <row r="269" spans="1:48" x14ac:dyDescent="0.3">
      <c r="A269" t="s">
        <v>989</v>
      </c>
      <c r="C269" t="s">
        <v>920</v>
      </c>
      <c r="D269" t="s">
        <v>81</v>
      </c>
      <c r="E269">
        <v>100000000</v>
      </c>
      <c r="H269">
        <v>25</v>
      </c>
      <c r="I269" t="s">
        <v>446</v>
      </c>
      <c r="J269">
        <v>2.5000000000000001E-5</v>
      </c>
      <c r="K269" t="s">
        <v>57</v>
      </c>
      <c r="O269">
        <v>0</v>
      </c>
      <c r="S269">
        <v>3</v>
      </c>
      <c r="T269">
        <v>21</v>
      </c>
      <c r="V269">
        <v>50</v>
      </c>
      <c r="W269" t="s">
        <v>990</v>
      </c>
      <c r="X269" t="s">
        <v>199</v>
      </c>
      <c r="Y269">
        <v>30</v>
      </c>
      <c r="AB269">
        <v>7.09</v>
      </c>
      <c r="AC269" t="s">
        <v>85</v>
      </c>
      <c r="AD269" t="s">
        <v>939</v>
      </c>
      <c r="AE269" t="s">
        <v>63</v>
      </c>
      <c r="AI269">
        <v>3</v>
      </c>
      <c r="AV269" t="s">
        <v>448</v>
      </c>
    </row>
    <row r="270" spans="1:48" x14ac:dyDescent="0.3">
      <c r="A270" t="s">
        <v>989</v>
      </c>
      <c r="C270" t="s">
        <v>920</v>
      </c>
      <c r="D270" t="s">
        <v>81</v>
      </c>
      <c r="E270">
        <v>100000000</v>
      </c>
      <c r="H270">
        <v>25</v>
      </c>
      <c r="I270" t="s">
        <v>446</v>
      </c>
      <c r="J270">
        <v>2.5000000000000001E-5</v>
      </c>
      <c r="K270" t="s">
        <v>57</v>
      </c>
      <c r="O270">
        <v>0</v>
      </c>
      <c r="S270">
        <v>3</v>
      </c>
      <c r="T270">
        <v>21</v>
      </c>
      <c r="V270">
        <v>50</v>
      </c>
      <c r="W270" t="s">
        <v>990</v>
      </c>
      <c r="X270" t="s">
        <v>199</v>
      </c>
      <c r="Y270">
        <v>30</v>
      </c>
      <c r="AB270">
        <v>7.86</v>
      </c>
      <c r="AC270" t="s">
        <v>85</v>
      </c>
      <c r="AD270" t="s">
        <v>235</v>
      </c>
      <c r="AE270" t="s">
        <v>63</v>
      </c>
      <c r="AI270">
        <v>3</v>
      </c>
      <c r="AV270" t="s">
        <v>448</v>
      </c>
    </row>
    <row r="271" spans="1:48" x14ac:dyDescent="0.3">
      <c r="A271" t="s">
        <v>989</v>
      </c>
      <c r="C271" t="s">
        <v>920</v>
      </c>
      <c r="D271" t="s">
        <v>81</v>
      </c>
      <c r="E271">
        <v>100000000</v>
      </c>
      <c r="H271">
        <v>25</v>
      </c>
      <c r="I271" t="s">
        <v>446</v>
      </c>
      <c r="J271">
        <v>2.5000000000000001E-5</v>
      </c>
      <c r="K271" t="s">
        <v>57</v>
      </c>
      <c r="O271">
        <v>0</v>
      </c>
      <c r="S271">
        <v>3</v>
      </c>
      <c r="T271">
        <v>21</v>
      </c>
      <c r="V271">
        <v>50</v>
      </c>
      <c r="W271" t="s">
        <v>990</v>
      </c>
      <c r="X271" t="s">
        <v>199</v>
      </c>
      <c r="Y271">
        <v>30</v>
      </c>
      <c r="AB271">
        <v>6.36</v>
      </c>
      <c r="AC271" t="s">
        <v>85</v>
      </c>
      <c r="AD271" t="s">
        <v>645</v>
      </c>
      <c r="AE271" t="s">
        <v>63</v>
      </c>
      <c r="AI271">
        <v>3</v>
      </c>
      <c r="AV271" t="s">
        <v>448</v>
      </c>
    </row>
    <row r="272" spans="1:48" x14ac:dyDescent="0.3">
      <c r="A272" t="s">
        <v>989</v>
      </c>
      <c r="C272" t="s">
        <v>920</v>
      </c>
      <c r="D272" t="s">
        <v>81</v>
      </c>
      <c r="E272">
        <v>100000000</v>
      </c>
      <c r="H272">
        <v>25</v>
      </c>
      <c r="I272" t="s">
        <v>446</v>
      </c>
      <c r="J272">
        <v>2.5000000000000001E-5</v>
      </c>
      <c r="K272" t="s">
        <v>57</v>
      </c>
      <c r="O272">
        <v>0</v>
      </c>
      <c r="S272">
        <v>3</v>
      </c>
      <c r="T272">
        <v>21</v>
      </c>
      <c r="V272">
        <v>50</v>
      </c>
      <c r="W272" t="s">
        <v>990</v>
      </c>
      <c r="X272" t="s">
        <v>199</v>
      </c>
      <c r="Y272">
        <v>30</v>
      </c>
      <c r="AB272">
        <v>7.51</v>
      </c>
      <c r="AC272" t="s">
        <v>85</v>
      </c>
      <c r="AD272" t="s">
        <v>524</v>
      </c>
      <c r="AE272" t="s">
        <v>63</v>
      </c>
      <c r="AI272">
        <v>3</v>
      </c>
      <c r="AV272" t="s">
        <v>448</v>
      </c>
    </row>
    <row r="273" spans="1:53" x14ac:dyDescent="0.3">
      <c r="A273" t="s">
        <v>989</v>
      </c>
      <c r="C273" t="s">
        <v>920</v>
      </c>
      <c r="D273" t="s">
        <v>81</v>
      </c>
      <c r="E273">
        <v>100000000</v>
      </c>
      <c r="H273">
        <v>25</v>
      </c>
      <c r="I273" t="s">
        <v>446</v>
      </c>
      <c r="J273">
        <v>2.5000000000000001E-5</v>
      </c>
      <c r="K273" t="s">
        <v>57</v>
      </c>
      <c r="O273">
        <v>0</v>
      </c>
      <c r="S273">
        <v>3</v>
      </c>
      <c r="T273">
        <v>21</v>
      </c>
      <c r="V273">
        <v>50</v>
      </c>
      <c r="W273" t="s">
        <v>990</v>
      </c>
      <c r="X273" t="s">
        <v>199</v>
      </c>
      <c r="Y273">
        <v>30</v>
      </c>
      <c r="AB273">
        <v>6.85</v>
      </c>
      <c r="AC273" t="s">
        <v>85</v>
      </c>
      <c r="AD273" t="s">
        <v>106</v>
      </c>
      <c r="AE273" t="s">
        <v>63</v>
      </c>
      <c r="AI273">
        <v>3</v>
      </c>
      <c r="AV273" t="s">
        <v>448</v>
      </c>
    </row>
    <row r="274" spans="1:53" x14ac:dyDescent="0.3">
      <c r="A274" t="s">
        <v>989</v>
      </c>
      <c r="C274" t="s">
        <v>920</v>
      </c>
      <c r="D274" t="s">
        <v>81</v>
      </c>
      <c r="E274">
        <v>100000000</v>
      </c>
      <c r="H274">
        <v>25</v>
      </c>
      <c r="I274" t="s">
        <v>446</v>
      </c>
      <c r="J274">
        <v>2.5000000000000001E-5</v>
      </c>
      <c r="K274" t="s">
        <v>57</v>
      </c>
      <c r="O274">
        <v>0</v>
      </c>
      <c r="S274">
        <v>3</v>
      </c>
      <c r="T274">
        <v>21</v>
      </c>
      <c r="V274">
        <v>50</v>
      </c>
      <c r="W274" t="s">
        <v>990</v>
      </c>
      <c r="X274" t="s">
        <v>199</v>
      </c>
      <c r="Y274">
        <v>30</v>
      </c>
      <c r="AA274" t="s">
        <v>184</v>
      </c>
      <c r="AB274">
        <v>6.97</v>
      </c>
      <c r="AC274" t="s">
        <v>85</v>
      </c>
      <c r="AI274">
        <v>3</v>
      </c>
      <c r="AV274" t="s">
        <v>448</v>
      </c>
      <c r="AZ274">
        <v>0</v>
      </c>
      <c r="BA274">
        <v>6.97</v>
      </c>
    </row>
    <row r="275" spans="1:53" x14ac:dyDescent="0.3">
      <c r="A275" t="s">
        <v>989</v>
      </c>
      <c r="C275" t="s">
        <v>920</v>
      </c>
      <c r="D275" t="s">
        <v>81</v>
      </c>
      <c r="E275">
        <v>100000000</v>
      </c>
      <c r="H275">
        <v>25</v>
      </c>
      <c r="I275" t="s">
        <v>446</v>
      </c>
      <c r="J275">
        <v>2.5000000000000001E-5</v>
      </c>
      <c r="K275" t="s">
        <v>57</v>
      </c>
      <c r="O275">
        <v>0</v>
      </c>
      <c r="S275">
        <v>3</v>
      </c>
      <c r="T275">
        <v>21</v>
      </c>
      <c r="V275">
        <v>50</v>
      </c>
      <c r="W275" t="s">
        <v>990</v>
      </c>
      <c r="X275" t="s">
        <v>199</v>
      </c>
      <c r="Y275">
        <v>30</v>
      </c>
      <c r="AB275">
        <v>6.75</v>
      </c>
      <c r="AC275" t="s">
        <v>85</v>
      </c>
      <c r="AD275" t="s">
        <v>219</v>
      </c>
      <c r="AE275" t="s">
        <v>63</v>
      </c>
      <c r="AI275">
        <v>3</v>
      </c>
      <c r="AV275" t="s">
        <v>448</v>
      </c>
    </row>
    <row r="276" spans="1:53" x14ac:dyDescent="0.3">
      <c r="A276" t="s">
        <v>989</v>
      </c>
      <c r="C276" t="s">
        <v>920</v>
      </c>
      <c r="D276" t="s">
        <v>81</v>
      </c>
      <c r="E276">
        <v>100000000</v>
      </c>
      <c r="H276">
        <v>25</v>
      </c>
      <c r="I276" t="s">
        <v>446</v>
      </c>
      <c r="J276">
        <v>2.5000000000000001E-5</v>
      </c>
      <c r="K276" t="s">
        <v>57</v>
      </c>
      <c r="O276">
        <v>0</v>
      </c>
      <c r="S276">
        <v>3</v>
      </c>
      <c r="T276">
        <v>21</v>
      </c>
      <c r="V276">
        <v>50</v>
      </c>
      <c r="W276" t="s">
        <v>990</v>
      </c>
      <c r="X276" t="s">
        <v>199</v>
      </c>
      <c r="Y276">
        <v>30</v>
      </c>
      <c r="AA276" t="s">
        <v>184</v>
      </c>
      <c r="AB276">
        <v>7.6</v>
      </c>
      <c r="AC276" t="s">
        <v>85</v>
      </c>
      <c r="AI276">
        <v>3</v>
      </c>
      <c r="AV276" t="s">
        <v>448</v>
      </c>
      <c r="AZ276">
        <v>0</v>
      </c>
      <c r="BA276">
        <v>7.6</v>
      </c>
    </row>
    <row r="277" spans="1:53" x14ac:dyDescent="0.3">
      <c r="A277" t="s">
        <v>989</v>
      </c>
      <c r="C277" t="s">
        <v>920</v>
      </c>
      <c r="D277" t="s">
        <v>81</v>
      </c>
      <c r="E277">
        <v>100000000</v>
      </c>
      <c r="H277">
        <v>25</v>
      </c>
      <c r="I277" t="s">
        <v>446</v>
      </c>
      <c r="J277">
        <v>2.5000000000000001E-5</v>
      </c>
      <c r="K277" t="s">
        <v>57</v>
      </c>
      <c r="O277">
        <v>0</v>
      </c>
      <c r="S277">
        <v>3</v>
      </c>
      <c r="T277">
        <v>21</v>
      </c>
      <c r="V277">
        <v>50</v>
      </c>
      <c r="W277" t="s">
        <v>990</v>
      </c>
      <c r="X277" t="s">
        <v>199</v>
      </c>
      <c r="Y277">
        <v>30</v>
      </c>
      <c r="AB277">
        <v>6.4</v>
      </c>
      <c r="AC277" t="s">
        <v>85</v>
      </c>
      <c r="AD277" t="s">
        <v>503</v>
      </c>
      <c r="AE277" t="s">
        <v>63</v>
      </c>
      <c r="AI277">
        <v>3</v>
      </c>
      <c r="AV277" t="s">
        <v>448</v>
      </c>
    </row>
    <row r="278" spans="1:53" x14ac:dyDescent="0.3">
      <c r="A278" t="s">
        <v>989</v>
      </c>
      <c r="C278" t="s">
        <v>920</v>
      </c>
      <c r="D278" t="s">
        <v>81</v>
      </c>
      <c r="E278">
        <v>100000000</v>
      </c>
      <c r="H278">
        <v>25</v>
      </c>
      <c r="I278" t="s">
        <v>446</v>
      </c>
      <c r="J278">
        <v>2.5000000000000001E-5</v>
      </c>
      <c r="K278" t="s">
        <v>57</v>
      </c>
      <c r="O278">
        <v>0</v>
      </c>
      <c r="S278">
        <v>3</v>
      </c>
      <c r="T278">
        <v>21</v>
      </c>
      <c r="V278">
        <v>50</v>
      </c>
      <c r="W278" t="s">
        <v>990</v>
      </c>
      <c r="X278" t="s">
        <v>199</v>
      </c>
      <c r="Y278">
        <v>30</v>
      </c>
      <c r="AB278">
        <v>6.7</v>
      </c>
      <c r="AC278" t="s">
        <v>85</v>
      </c>
      <c r="AD278" t="s">
        <v>503</v>
      </c>
      <c r="AE278" t="s">
        <v>63</v>
      </c>
      <c r="AI278">
        <v>3</v>
      </c>
      <c r="AV278" t="s">
        <v>448</v>
      </c>
    </row>
    <row r="279" spans="1:53" x14ac:dyDescent="0.3">
      <c r="A279" t="s">
        <v>989</v>
      </c>
      <c r="C279" t="s">
        <v>920</v>
      </c>
      <c r="D279" t="s">
        <v>81</v>
      </c>
      <c r="E279">
        <v>100000000</v>
      </c>
      <c r="H279">
        <v>25</v>
      </c>
      <c r="I279" t="s">
        <v>446</v>
      </c>
      <c r="J279">
        <v>2.5000000000000001E-5</v>
      </c>
      <c r="K279" t="s">
        <v>57</v>
      </c>
      <c r="O279">
        <v>0</v>
      </c>
      <c r="S279">
        <v>3</v>
      </c>
      <c r="T279">
        <v>21</v>
      </c>
      <c r="V279">
        <v>50</v>
      </c>
      <c r="W279" t="s">
        <v>990</v>
      </c>
      <c r="X279" t="s">
        <v>199</v>
      </c>
      <c r="Y279">
        <v>30</v>
      </c>
      <c r="AB279">
        <v>7.51</v>
      </c>
      <c r="AC279" t="s">
        <v>85</v>
      </c>
      <c r="AD279" t="s">
        <v>242</v>
      </c>
      <c r="AE279" t="s">
        <v>63</v>
      </c>
      <c r="AI279">
        <v>3</v>
      </c>
      <c r="AV279" t="s">
        <v>448</v>
      </c>
    </row>
    <row r="280" spans="1:53" x14ac:dyDescent="0.3">
      <c r="A280" t="s">
        <v>989</v>
      </c>
      <c r="C280" t="s">
        <v>920</v>
      </c>
      <c r="D280" t="s">
        <v>81</v>
      </c>
      <c r="E280">
        <v>100000000</v>
      </c>
      <c r="H280">
        <v>25</v>
      </c>
      <c r="I280" t="s">
        <v>446</v>
      </c>
      <c r="J280">
        <v>2.5000000000000001E-5</v>
      </c>
      <c r="K280" t="s">
        <v>57</v>
      </c>
      <c r="O280">
        <v>0</v>
      </c>
      <c r="S280">
        <v>3</v>
      </c>
      <c r="T280">
        <v>21</v>
      </c>
      <c r="V280">
        <v>50</v>
      </c>
      <c r="W280" t="s">
        <v>990</v>
      </c>
      <c r="X280" t="s">
        <v>199</v>
      </c>
      <c r="Y280">
        <v>30</v>
      </c>
      <c r="AB280">
        <v>6.18</v>
      </c>
      <c r="AC280" t="s">
        <v>85</v>
      </c>
      <c r="AD280" t="s">
        <v>418</v>
      </c>
      <c r="AE280" t="s">
        <v>63</v>
      </c>
      <c r="AI280">
        <v>3</v>
      </c>
      <c r="AV280" t="s">
        <v>448</v>
      </c>
    </row>
    <row r="281" spans="1:53" x14ac:dyDescent="0.3">
      <c r="A281" t="s">
        <v>989</v>
      </c>
      <c r="C281" t="s">
        <v>920</v>
      </c>
      <c r="D281" t="s">
        <v>81</v>
      </c>
      <c r="E281">
        <v>100000000</v>
      </c>
      <c r="H281">
        <v>25</v>
      </c>
      <c r="I281" t="s">
        <v>446</v>
      </c>
      <c r="J281">
        <v>2.5000000000000001E-5</v>
      </c>
      <c r="K281" t="s">
        <v>57</v>
      </c>
      <c r="O281">
        <v>0</v>
      </c>
      <c r="S281">
        <v>3</v>
      </c>
      <c r="T281">
        <v>21</v>
      </c>
      <c r="V281">
        <v>50</v>
      </c>
      <c r="W281" t="s">
        <v>990</v>
      </c>
      <c r="X281" t="s">
        <v>199</v>
      </c>
      <c r="Y281">
        <v>30</v>
      </c>
      <c r="AB281">
        <v>6.47</v>
      </c>
      <c r="AC281" t="s">
        <v>85</v>
      </c>
      <c r="AD281" t="s">
        <v>100</v>
      </c>
      <c r="AE281" t="s">
        <v>63</v>
      </c>
      <c r="AI281">
        <v>3</v>
      </c>
      <c r="AV281" t="s">
        <v>448</v>
      </c>
    </row>
    <row r="282" spans="1:53" x14ac:dyDescent="0.3">
      <c r="A282" t="s">
        <v>989</v>
      </c>
      <c r="C282" t="s">
        <v>920</v>
      </c>
      <c r="D282" t="s">
        <v>81</v>
      </c>
      <c r="E282">
        <v>100000000</v>
      </c>
      <c r="H282">
        <v>25</v>
      </c>
      <c r="I282" t="s">
        <v>446</v>
      </c>
      <c r="J282">
        <v>2.5000000000000001E-5</v>
      </c>
      <c r="K282" t="s">
        <v>57</v>
      </c>
      <c r="O282">
        <v>10</v>
      </c>
      <c r="P282" t="s">
        <v>59</v>
      </c>
      <c r="S282">
        <v>3</v>
      </c>
      <c r="T282">
        <v>21</v>
      </c>
      <c r="V282">
        <v>50</v>
      </c>
      <c r="W282" t="s">
        <v>991</v>
      </c>
      <c r="X282" t="s">
        <v>199</v>
      </c>
      <c r="Y282">
        <v>30</v>
      </c>
      <c r="AB282">
        <v>5.84</v>
      </c>
      <c r="AC282" t="s">
        <v>85</v>
      </c>
      <c r="AD282" t="s">
        <v>314</v>
      </c>
      <c r="AE282" t="s">
        <v>63</v>
      </c>
      <c r="AI282">
        <v>3</v>
      </c>
      <c r="AV282" t="s">
        <v>448</v>
      </c>
    </row>
    <row r="283" spans="1:53" x14ac:dyDescent="0.3">
      <c r="A283" t="s">
        <v>989</v>
      </c>
      <c r="C283" t="s">
        <v>920</v>
      </c>
      <c r="D283" t="s">
        <v>81</v>
      </c>
      <c r="E283">
        <v>100000000</v>
      </c>
      <c r="H283">
        <v>25</v>
      </c>
      <c r="I283" t="s">
        <v>446</v>
      </c>
      <c r="J283">
        <v>2.5000000000000001E-5</v>
      </c>
      <c r="K283" t="s">
        <v>57</v>
      </c>
      <c r="O283">
        <v>10</v>
      </c>
      <c r="P283" t="s">
        <v>59</v>
      </c>
      <c r="S283">
        <v>3</v>
      </c>
      <c r="T283">
        <v>21</v>
      </c>
      <c r="V283">
        <v>50</v>
      </c>
      <c r="W283" t="s">
        <v>991</v>
      </c>
      <c r="X283" t="s">
        <v>199</v>
      </c>
      <c r="Y283">
        <v>30</v>
      </c>
      <c r="AB283">
        <v>8.06</v>
      </c>
      <c r="AC283" t="s">
        <v>85</v>
      </c>
      <c r="AD283" t="s">
        <v>939</v>
      </c>
      <c r="AE283" t="s">
        <v>63</v>
      </c>
      <c r="AI283">
        <v>3</v>
      </c>
      <c r="AV283" t="s">
        <v>448</v>
      </c>
    </row>
    <row r="284" spans="1:53" x14ac:dyDescent="0.3">
      <c r="A284" t="s">
        <v>989</v>
      </c>
      <c r="C284" t="s">
        <v>920</v>
      </c>
      <c r="D284" t="s">
        <v>81</v>
      </c>
      <c r="E284">
        <v>100000000</v>
      </c>
      <c r="H284">
        <v>25</v>
      </c>
      <c r="I284" t="s">
        <v>446</v>
      </c>
      <c r="J284">
        <v>2.5000000000000001E-5</v>
      </c>
      <c r="K284" t="s">
        <v>57</v>
      </c>
      <c r="O284">
        <v>10</v>
      </c>
      <c r="P284" t="s">
        <v>59</v>
      </c>
      <c r="S284">
        <v>3</v>
      </c>
      <c r="T284">
        <v>21</v>
      </c>
      <c r="V284">
        <v>50</v>
      </c>
      <c r="W284" t="s">
        <v>991</v>
      </c>
      <c r="X284" t="s">
        <v>199</v>
      </c>
      <c r="Y284">
        <v>30</v>
      </c>
      <c r="AB284">
        <v>5.33</v>
      </c>
      <c r="AC284" t="s">
        <v>85</v>
      </c>
      <c r="AD284" t="s">
        <v>590</v>
      </c>
      <c r="AE284" t="s">
        <v>63</v>
      </c>
      <c r="AI284">
        <v>3</v>
      </c>
      <c r="AV284" t="s">
        <v>448</v>
      </c>
    </row>
    <row r="285" spans="1:53" x14ac:dyDescent="0.3">
      <c r="A285" t="s">
        <v>989</v>
      </c>
      <c r="C285" t="s">
        <v>920</v>
      </c>
      <c r="D285" t="s">
        <v>81</v>
      </c>
      <c r="E285">
        <v>100000000</v>
      </c>
      <c r="H285">
        <v>25</v>
      </c>
      <c r="I285" t="s">
        <v>446</v>
      </c>
      <c r="J285">
        <v>2.5000000000000001E-5</v>
      </c>
      <c r="K285" t="s">
        <v>57</v>
      </c>
      <c r="O285">
        <v>10</v>
      </c>
      <c r="P285" t="s">
        <v>59</v>
      </c>
      <c r="S285">
        <v>3</v>
      </c>
      <c r="T285">
        <v>21</v>
      </c>
      <c r="V285">
        <v>50</v>
      </c>
      <c r="W285" t="s">
        <v>991</v>
      </c>
      <c r="X285" t="s">
        <v>199</v>
      </c>
      <c r="Y285">
        <v>30</v>
      </c>
      <c r="AB285">
        <v>7.13</v>
      </c>
      <c r="AC285" t="s">
        <v>85</v>
      </c>
      <c r="AD285" t="s">
        <v>321</v>
      </c>
      <c r="AE285" t="s">
        <v>63</v>
      </c>
      <c r="AI285">
        <v>3</v>
      </c>
      <c r="AV285" t="s">
        <v>448</v>
      </c>
    </row>
    <row r="286" spans="1:53" x14ac:dyDescent="0.3">
      <c r="A286" t="s">
        <v>989</v>
      </c>
      <c r="C286" t="s">
        <v>920</v>
      </c>
      <c r="D286" t="s">
        <v>81</v>
      </c>
      <c r="E286">
        <v>100000000</v>
      </c>
      <c r="H286">
        <v>25</v>
      </c>
      <c r="I286" t="s">
        <v>446</v>
      </c>
      <c r="J286">
        <v>2.5000000000000001E-5</v>
      </c>
      <c r="K286" t="s">
        <v>57</v>
      </c>
      <c r="O286">
        <v>10</v>
      </c>
      <c r="P286" t="s">
        <v>59</v>
      </c>
      <c r="S286">
        <v>3</v>
      </c>
      <c r="T286">
        <v>21</v>
      </c>
      <c r="V286">
        <v>50</v>
      </c>
      <c r="W286" t="s">
        <v>991</v>
      </c>
      <c r="X286" t="s">
        <v>199</v>
      </c>
      <c r="Y286">
        <v>30</v>
      </c>
      <c r="AB286">
        <v>6.19</v>
      </c>
      <c r="AC286" t="s">
        <v>85</v>
      </c>
      <c r="AD286" t="s">
        <v>493</v>
      </c>
      <c r="AE286" t="s">
        <v>63</v>
      </c>
      <c r="AI286">
        <v>3</v>
      </c>
      <c r="AV286" t="s">
        <v>448</v>
      </c>
    </row>
    <row r="287" spans="1:53" x14ac:dyDescent="0.3">
      <c r="A287" t="s">
        <v>989</v>
      </c>
      <c r="C287" t="s">
        <v>920</v>
      </c>
      <c r="D287" t="s">
        <v>81</v>
      </c>
      <c r="E287">
        <v>100000000</v>
      </c>
      <c r="H287">
        <v>25</v>
      </c>
      <c r="I287" t="s">
        <v>446</v>
      </c>
      <c r="J287">
        <v>2.5000000000000001E-5</v>
      </c>
      <c r="K287" t="s">
        <v>57</v>
      </c>
      <c r="O287">
        <v>10</v>
      </c>
      <c r="P287" t="s">
        <v>59</v>
      </c>
      <c r="S287">
        <v>3</v>
      </c>
      <c r="T287">
        <v>21</v>
      </c>
      <c r="V287">
        <v>50</v>
      </c>
      <c r="W287" t="s">
        <v>991</v>
      </c>
      <c r="X287" t="s">
        <v>199</v>
      </c>
      <c r="Y287">
        <v>30</v>
      </c>
      <c r="AA287" t="s">
        <v>184</v>
      </c>
      <c r="AB287">
        <v>7.06</v>
      </c>
      <c r="AC287" t="s">
        <v>85</v>
      </c>
      <c r="AI287">
        <v>3</v>
      </c>
      <c r="AV287" t="s">
        <v>448</v>
      </c>
      <c r="AZ287">
        <v>0</v>
      </c>
      <c r="BA287">
        <v>7.06</v>
      </c>
    </row>
    <row r="288" spans="1:53" x14ac:dyDescent="0.3">
      <c r="A288" t="s">
        <v>989</v>
      </c>
      <c r="C288" t="s">
        <v>920</v>
      </c>
      <c r="D288" t="s">
        <v>81</v>
      </c>
      <c r="E288">
        <v>100000000</v>
      </c>
      <c r="H288">
        <v>25</v>
      </c>
      <c r="I288" t="s">
        <v>446</v>
      </c>
      <c r="J288">
        <v>2.5000000000000001E-5</v>
      </c>
      <c r="K288" t="s">
        <v>57</v>
      </c>
      <c r="O288">
        <v>10</v>
      </c>
      <c r="P288" t="s">
        <v>59</v>
      </c>
      <c r="S288">
        <v>3</v>
      </c>
      <c r="T288">
        <v>21</v>
      </c>
      <c r="V288">
        <v>50</v>
      </c>
      <c r="W288" t="s">
        <v>991</v>
      </c>
      <c r="X288" t="s">
        <v>199</v>
      </c>
      <c r="Y288">
        <v>30</v>
      </c>
      <c r="AB288">
        <v>5.73</v>
      </c>
      <c r="AC288" t="s">
        <v>85</v>
      </c>
      <c r="AD288" t="s">
        <v>524</v>
      </c>
      <c r="AE288" t="s">
        <v>63</v>
      </c>
      <c r="AI288">
        <v>3</v>
      </c>
      <c r="AV288" t="s">
        <v>448</v>
      </c>
    </row>
    <row r="289" spans="1:48" x14ac:dyDescent="0.3">
      <c r="A289" t="s">
        <v>989</v>
      </c>
      <c r="C289" t="s">
        <v>920</v>
      </c>
      <c r="D289" t="s">
        <v>81</v>
      </c>
      <c r="E289">
        <v>100000000</v>
      </c>
      <c r="H289">
        <v>25</v>
      </c>
      <c r="I289" t="s">
        <v>446</v>
      </c>
      <c r="J289">
        <v>2.5000000000000001E-5</v>
      </c>
      <c r="K289" t="s">
        <v>57</v>
      </c>
      <c r="O289">
        <v>10</v>
      </c>
      <c r="P289" t="s">
        <v>59</v>
      </c>
      <c r="S289">
        <v>3</v>
      </c>
      <c r="T289">
        <v>21</v>
      </c>
      <c r="V289">
        <v>50</v>
      </c>
      <c r="W289" t="s">
        <v>991</v>
      </c>
      <c r="X289" t="s">
        <v>199</v>
      </c>
      <c r="Y289">
        <v>30</v>
      </c>
      <c r="AB289">
        <v>5.93</v>
      </c>
      <c r="AC289" t="s">
        <v>85</v>
      </c>
      <c r="AD289" t="s">
        <v>517</v>
      </c>
      <c r="AE289" t="s">
        <v>63</v>
      </c>
      <c r="AI289">
        <v>3</v>
      </c>
      <c r="AV289" t="s">
        <v>448</v>
      </c>
    </row>
    <row r="290" spans="1:48" x14ac:dyDescent="0.3">
      <c r="A290" t="s">
        <v>989</v>
      </c>
      <c r="C290" t="s">
        <v>920</v>
      </c>
      <c r="D290" t="s">
        <v>81</v>
      </c>
      <c r="E290">
        <v>100000000</v>
      </c>
      <c r="H290">
        <v>25</v>
      </c>
      <c r="I290" t="s">
        <v>446</v>
      </c>
      <c r="J290">
        <v>2.5000000000000001E-5</v>
      </c>
      <c r="K290" t="s">
        <v>57</v>
      </c>
      <c r="O290">
        <v>10</v>
      </c>
      <c r="P290" t="s">
        <v>59</v>
      </c>
      <c r="S290">
        <v>3</v>
      </c>
      <c r="T290">
        <v>21</v>
      </c>
      <c r="V290">
        <v>50</v>
      </c>
      <c r="W290" t="s">
        <v>991</v>
      </c>
      <c r="X290" t="s">
        <v>199</v>
      </c>
      <c r="Y290">
        <v>30</v>
      </c>
      <c r="AB290">
        <v>5.62</v>
      </c>
      <c r="AC290" t="s">
        <v>85</v>
      </c>
      <c r="AD290" t="s">
        <v>231</v>
      </c>
      <c r="AE290" t="s">
        <v>63</v>
      </c>
      <c r="AI290">
        <v>3</v>
      </c>
      <c r="AV290" t="s">
        <v>448</v>
      </c>
    </row>
    <row r="291" spans="1:48" x14ac:dyDescent="0.3">
      <c r="A291" t="s">
        <v>989</v>
      </c>
      <c r="C291" t="s">
        <v>920</v>
      </c>
      <c r="D291" t="s">
        <v>81</v>
      </c>
      <c r="E291">
        <v>100000000</v>
      </c>
      <c r="H291">
        <v>25</v>
      </c>
      <c r="I291" t="s">
        <v>446</v>
      </c>
      <c r="J291">
        <v>2.5000000000000001E-5</v>
      </c>
      <c r="K291" t="s">
        <v>57</v>
      </c>
      <c r="O291">
        <v>10</v>
      </c>
      <c r="P291" t="s">
        <v>59</v>
      </c>
      <c r="S291">
        <v>3</v>
      </c>
      <c r="T291">
        <v>21</v>
      </c>
      <c r="V291">
        <v>50</v>
      </c>
      <c r="W291" t="s">
        <v>991</v>
      </c>
      <c r="X291" t="s">
        <v>199</v>
      </c>
      <c r="Y291">
        <v>30</v>
      </c>
      <c r="AB291">
        <v>6.36</v>
      </c>
      <c r="AC291" t="s">
        <v>85</v>
      </c>
      <c r="AD291" t="s">
        <v>227</v>
      </c>
      <c r="AE291" t="s">
        <v>63</v>
      </c>
      <c r="AI291">
        <v>3</v>
      </c>
      <c r="AV291" t="s">
        <v>448</v>
      </c>
    </row>
    <row r="292" spans="1:48" x14ac:dyDescent="0.3">
      <c r="A292" t="s">
        <v>989</v>
      </c>
      <c r="C292" t="s">
        <v>920</v>
      </c>
      <c r="D292" t="s">
        <v>81</v>
      </c>
      <c r="E292">
        <v>100000000</v>
      </c>
      <c r="H292">
        <v>25</v>
      </c>
      <c r="I292" t="s">
        <v>446</v>
      </c>
      <c r="J292">
        <v>2.5000000000000001E-5</v>
      </c>
      <c r="K292" t="s">
        <v>57</v>
      </c>
      <c r="O292">
        <v>10</v>
      </c>
      <c r="P292" t="s">
        <v>59</v>
      </c>
      <c r="S292">
        <v>3</v>
      </c>
      <c r="T292">
        <v>21</v>
      </c>
      <c r="V292">
        <v>50</v>
      </c>
      <c r="W292" t="s">
        <v>991</v>
      </c>
      <c r="X292" t="s">
        <v>199</v>
      </c>
      <c r="Y292">
        <v>30</v>
      </c>
      <c r="AB292">
        <v>6.44</v>
      </c>
      <c r="AC292" t="s">
        <v>85</v>
      </c>
      <c r="AD292" t="s">
        <v>242</v>
      </c>
      <c r="AE292" t="s">
        <v>63</v>
      </c>
      <c r="AI292">
        <v>3</v>
      </c>
      <c r="AV292" t="s">
        <v>448</v>
      </c>
    </row>
    <row r="293" spans="1:48" x14ac:dyDescent="0.3">
      <c r="A293" t="s">
        <v>989</v>
      </c>
      <c r="C293" t="s">
        <v>920</v>
      </c>
      <c r="D293" t="s">
        <v>81</v>
      </c>
      <c r="E293">
        <v>100000000</v>
      </c>
      <c r="H293">
        <v>25</v>
      </c>
      <c r="I293" t="s">
        <v>446</v>
      </c>
      <c r="J293">
        <v>2.5000000000000001E-5</v>
      </c>
      <c r="K293" t="s">
        <v>57</v>
      </c>
      <c r="O293">
        <v>10</v>
      </c>
      <c r="P293" t="s">
        <v>59</v>
      </c>
      <c r="S293">
        <v>3</v>
      </c>
      <c r="T293">
        <v>21</v>
      </c>
      <c r="V293">
        <v>50</v>
      </c>
      <c r="W293" t="s">
        <v>991</v>
      </c>
      <c r="X293" t="s">
        <v>199</v>
      </c>
      <c r="Y293">
        <v>30</v>
      </c>
      <c r="AB293">
        <v>4.68</v>
      </c>
      <c r="AC293" t="s">
        <v>85</v>
      </c>
      <c r="AD293" t="s">
        <v>509</v>
      </c>
      <c r="AE293" t="s">
        <v>63</v>
      </c>
      <c r="AI293">
        <v>3</v>
      </c>
      <c r="AV293" t="s">
        <v>448</v>
      </c>
    </row>
    <row r="294" spans="1:48" x14ac:dyDescent="0.3">
      <c r="A294" t="s">
        <v>989</v>
      </c>
      <c r="C294" t="s">
        <v>920</v>
      </c>
      <c r="D294" t="s">
        <v>81</v>
      </c>
      <c r="E294">
        <v>100000000</v>
      </c>
      <c r="H294">
        <v>25</v>
      </c>
      <c r="I294" t="s">
        <v>446</v>
      </c>
      <c r="J294">
        <v>2.5000000000000001E-5</v>
      </c>
      <c r="K294" t="s">
        <v>57</v>
      </c>
      <c r="O294">
        <v>10</v>
      </c>
      <c r="P294" t="s">
        <v>59</v>
      </c>
      <c r="S294">
        <v>3</v>
      </c>
      <c r="T294">
        <v>21</v>
      </c>
      <c r="V294">
        <v>50</v>
      </c>
      <c r="W294" t="s">
        <v>991</v>
      </c>
      <c r="X294" t="s">
        <v>199</v>
      </c>
      <c r="Y294">
        <v>30</v>
      </c>
      <c r="AB294">
        <v>6.34</v>
      </c>
      <c r="AC294" t="s">
        <v>85</v>
      </c>
      <c r="AD294" t="s">
        <v>511</v>
      </c>
      <c r="AE294" t="s">
        <v>63</v>
      </c>
      <c r="AI294">
        <v>3</v>
      </c>
      <c r="AV294" t="s">
        <v>448</v>
      </c>
    </row>
    <row r="295" spans="1:48" x14ac:dyDescent="0.3">
      <c r="A295" t="s">
        <v>989</v>
      </c>
      <c r="C295" t="s">
        <v>920</v>
      </c>
      <c r="D295" t="s">
        <v>81</v>
      </c>
      <c r="E295">
        <v>100000000</v>
      </c>
      <c r="H295">
        <v>25</v>
      </c>
      <c r="I295" t="s">
        <v>446</v>
      </c>
      <c r="J295">
        <v>2.5000000000000001E-5</v>
      </c>
      <c r="K295" t="s">
        <v>57</v>
      </c>
      <c r="O295">
        <v>0.3</v>
      </c>
      <c r="P295" t="s">
        <v>59</v>
      </c>
      <c r="S295">
        <v>3</v>
      </c>
      <c r="T295">
        <v>21</v>
      </c>
      <c r="V295">
        <v>50</v>
      </c>
      <c r="W295" t="s">
        <v>991</v>
      </c>
      <c r="X295" t="s">
        <v>199</v>
      </c>
      <c r="Y295">
        <v>30</v>
      </c>
      <c r="AB295">
        <v>6.3</v>
      </c>
      <c r="AC295" t="s">
        <v>85</v>
      </c>
      <c r="AD295" t="s">
        <v>553</v>
      </c>
      <c r="AE295" t="s">
        <v>63</v>
      </c>
      <c r="AI295">
        <v>3</v>
      </c>
      <c r="AV295" t="s">
        <v>448</v>
      </c>
    </row>
    <row r="296" spans="1:48" x14ac:dyDescent="0.3">
      <c r="A296" t="s">
        <v>989</v>
      </c>
      <c r="C296" t="s">
        <v>920</v>
      </c>
      <c r="D296" t="s">
        <v>81</v>
      </c>
      <c r="E296">
        <v>100000000</v>
      </c>
      <c r="H296">
        <v>25</v>
      </c>
      <c r="I296" t="s">
        <v>446</v>
      </c>
      <c r="J296">
        <v>2.5000000000000001E-5</v>
      </c>
      <c r="K296" t="s">
        <v>57</v>
      </c>
      <c r="O296">
        <v>0.3</v>
      </c>
      <c r="P296" t="s">
        <v>59</v>
      </c>
      <c r="S296">
        <v>3</v>
      </c>
      <c r="T296">
        <v>21</v>
      </c>
      <c r="V296">
        <v>50</v>
      </c>
      <c r="W296" t="s">
        <v>991</v>
      </c>
      <c r="X296" t="s">
        <v>199</v>
      </c>
      <c r="Y296">
        <v>30</v>
      </c>
      <c r="AB296">
        <v>8.06</v>
      </c>
      <c r="AC296" t="s">
        <v>85</v>
      </c>
      <c r="AD296" t="s">
        <v>939</v>
      </c>
      <c r="AE296" t="s">
        <v>63</v>
      </c>
      <c r="AI296">
        <v>3</v>
      </c>
      <c r="AV296" t="s">
        <v>448</v>
      </c>
    </row>
    <row r="297" spans="1:48" x14ac:dyDescent="0.3">
      <c r="A297" t="s">
        <v>989</v>
      </c>
      <c r="C297" t="s">
        <v>920</v>
      </c>
      <c r="D297" t="s">
        <v>81</v>
      </c>
      <c r="E297">
        <v>100000000</v>
      </c>
      <c r="H297">
        <v>25</v>
      </c>
      <c r="I297" t="s">
        <v>446</v>
      </c>
      <c r="J297">
        <v>2.5000000000000001E-5</v>
      </c>
      <c r="K297" t="s">
        <v>57</v>
      </c>
      <c r="O297">
        <v>0.3</v>
      </c>
      <c r="P297" t="s">
        <v>59</v>
      </c>
      <c r="S297">
        <v>3</v>
      </c>
      <c r="T297">
        <v>21</v>
      </c>
      <c r="V297">
        <v>50</v>
      </c>
      <c r="W297" t="s">
        <v>991</v>
      </c>
      <c r="X297" t="s">
        <v>199</v>
      </c>
      <c r="Y297">
        <v>30</v>
      </c>
      <c r="AB297">
        <v>5.99</v>
      </c>
      <c r="AC297" t="s">
        <v>85</v>
      </c>
      <c r="AD297" t="s">
        <v>501</v>
      </c>
      <c r="AE297" t="s">
        <v>63</v>
      </c>
      <c r="AI297">
        <v>3</v>
      </c>
      <c r="AV297" t="s">
        <v>448</v>
      </c>
    </row>
    <row r="298" spans="1:48" x14ac:dyDescent="0.3">
      <c r="A298" t="s">
        <v>989</v>
      </c>
      <c r="C298" t="s">
        <v>920</v>
      </c>
      <c r="D298" t="s">
        <v>81</v>
      </c>
      <c r="E298">
        <v>100000000</v>
      </c>
      <c r="H298">
        <v>25</v>
      </c>
      <c r="I298" t="s">
        <v>446</v>
      </c>
      <c r="J298">
        <v>2.5000000000000001E-5</v>
      </c>
      <c r="K298" t="s">
        <v>57</v>
      </c>
      <c r="O298">
        <v>0.3</v>
      </c>
      <c r="P298" t="s">
        <v>59</v>
      </c>
      <c r="S298">
        <v>3</v>
      </c>
      <c r="T298">
        <v>21</v>
      </c>
      <c r="V298">
        <v>50</v>
      </c>
      <c r="W298" t="s">
        <v>991</v>
      </c>
      <c r="X298" t="s">
        <v>199</v>
      </c>
      <c r="Y298">
        <v>30</v>
      </c>
      <c r="AB298">
        <v>7.53</v>
      </c>
      <c r="AC298" t="s">
        <v>85</v>
      </c>
      <c r="AD298" t="s">
        <v>325</v>
      </c>
      <c r="AE298" t="s">
        <v>63</v>
      </c>
      <c r="AI298">
        <v>3</v>
      </c>
      <c r="AV298" t="s">
        <v>448</v>
      </c>
    </row>
    <row r="299" spans="1:48" x14ac:dyDescent="0.3">
      <c r="A299" t="s">
        <v>989</v>
      </c>
      <c r="C299" t="s">
        <v>920</v>
      </c>
      <c r="D299" t="s">
        <v>81</v>
      </c>
      <c r="E299">
        <v>100000000</v>
      </c>
      <c r="H299">
        <v>25</v>
      </c>
      <c r="I299" t="s">
        <v>446</v>
      </c>
      <c r="J299">
        <v>2.5000000000000001E-5</v>
      </c>
      <c r="K299" t="s">
        <v>57</v>
      </c>
      <c r="O299">
        <v>0.3</v>
      </c>
      <c r="P299" t="s">
        <v>59</v>
      </c>
      <c r="S299">
        <v>3</v>
      </c>
      <c r="T299">
        <v>21</v>
      </c>
      <c r="V299">
        <v>50</v>
      </c>
      <c r="W299" t="s">
        <v>991</v>
      </c>
      <c r="X299" t="s">
        <v>199</v>
      </c>
      <c r="Y299">
        <v>30</v>
      </c>
      <c r="AB299">
        <v>6.16</v>
      </c>
      <c r="AC299" t="s">
        <v>85</v>
      </c>
      <c r="AD299" t="s">
        <v>363</v>
      </c>
      <c r="AE299" t="s">
        <v>63</v>
      </c>
      <c r="AI299">
        <v>3</v>
      </c>
      <c r="AV299" t="s">
        <v>448</v>
      </c>
    </row>
    <row r="300" spans="1:48" x14ac:dyDescent="0.3">
      <c r="A300" t="s">
        <v>989</v>
      </c>
      <c r="C300" t="s">
        <v>920</v>
      </c>
      <c r="D300" t="s">
        <v>81</v>
      </c>
      <c r="E300">
        <v>100000000</v>
      </c>
      <c r="H300">
        <v>25</v>
      </c>
      <c r="I300" t="s">
        <v>446</v>
      </c>
      <c r="J300">
        <v>2.5000000000000001E-5</v>
      </c>
      <c r="K300" t="s">
        <v>57</v>
      </c>
      <c r="O300">
        <v>0.3</v>
      </c>
      <c r="P300" t="s">
        <v>59</v>
      </c>
      <c r="S300">
        <v>3</v>
      </c>
      <c r="T300">
        <v>21</v>
      </c>
      <c r="V300">
        <v>50</v>
      </c>
      <c r="W300" t="s">
        <v>991</v>
      </c>
      <c r="X300" t="s">
        <v>199</v>
      </c>
      <c r="Y300">
        <v>30</v>
      </c>
      <c r="AB300">
        <v>6.3</v>
      </c>
      <c r="AC300" t="s">
        <v>85</v>
      </c>
      <c r="AD300" t="s">
        <v>992</v>
      </c>
      <c r="AE300" t="s">
        <v>63</v>
      </c>
      <c r="AI300">
        <v>3</v>
      </c>
      <c r="AV300" t="s">
        <v>448</v>
      </c>
    </row>
    <row r="301" spans="1:48" x14ac:dyDescent="0.3">
      <c r="A301" t="s">
        <v>989</v>
      </c>
      <c r="C301" t="s">
        <v>920</v>
      </c>
      <c r="D301" t="s">
        <v>81</v>
      </c>
      <c r="E301">
        <v>100000000</v>
      </c>
      <c r="H301">
        <v>25</v>
      </c>
      <c r="I301" t="s">
        <v>446</v>
      </c>
      <c r="J301">
        <v>2.5000000000000001E-5</v>
      </c>
      <c r="K301" t="s">
        <v>57</v>
      </c>
      <c r="O301">
        <v>0.3</v>
      </c>
      <c r="P301" t="s">
        <v>59</v>
      </c>
      <c r="S301">
        <v>3</v>
      </c>
      <c r="T301">
        <v>21</v>
      </c>
      <c r="V301">
        <v>50</v>
      </c>
      <c r="W301" t="s">
        <v>991</v>
      </c>
      <c r="X301" t="s">
        <v>199</v>
      </c>
      <c r="Y301">
        <v>30</v>
      </c>
      <c r="AB301">
        <v>6.7</v>
      </c>
      <c r="AC301" t="s">
        <v>85</v>
      </c>
      <c r="AD301" t="s">
        <v>590</v>
      </c>
      <c r="AE301" t="s">
        <v>63</v>
      </c>
      <c r="AI301">
        <v>3</v>
      </c>
      <c r="AV301" t="s">
        <v>448</v>
      </c>
    </row>
    <row r="302" spans="1:48" x14ac:dyDescent="0.3">
      <c r="A302" t="s">
        <v>989</v>
      </c>
      <c r="C302" t="s">
        <v>920</v>
      </c>
      <c r="D302" t="s">
        <v>81</v>
      </c>
      <c r="E302">
        <v>100000000</v>
      </c>
      <c r="H302">
        <v>25</v>
      </c>
      <c r="I302" t="s">
        <v>446</v>
      </c>
      <c r="J302">
        <v>2.5000000000000001E-5</v>
      </c>
      <c r="K302" t="s">
        <v>57</v>
      </c>
      <c r="O302">
        <v>0.3</v>
      </c>
      <c r="P302" t="s">
        <v>59</v>
      </c>
      <c r="S302">
        <v>3</v>
      </c>
      <c r="T302">
        <v>21</v>
      </c>
      <c r="V302">
        <v>50</v>
      </c>
      <c r="W302" t="s">
        <v>991</v>
      </c>
      <c r="X302" t="s">
        <v>199</v>
      </c>
      <c r="Y302">
        <v>30</v>
      </c>
      <c r="AB302">
        <v>7.12</v>
      </c>
      <c r="AC302" t="s">
        <v>85</v>
      </c>
      <c r="AD302" t="s">
        <v>237</v>
      </c>
      <c r="AE302" t="s">
        <v>63</v>
      </c>
      <c r="AI302">
        <v>3</v>
      </c>
      <c r="AV302" t="s">
        <v>448</v>
      </c>
    </row>
    <row r="303" spans="1:48" x14ac:dyDescent="0.3">
      <c r="A303" t="s">
        <v>989</v>
      </c>
      <c r="C303" t="s">
        <v>920</v>
      </c>
      <c r="D303" t="s">
        <v>81</v>
      </c>
      <c r="E303">
        <v>100000000</v>
      </c>
      <c r="H303">
        <v>25</v>
      </c>
      <c r="I303" t="s">
        <v>446</v>
      </c>
      <c r="J303">
        <v>2.5000000000000001E-5</v>
      </c>
      <c r="K303" t="s">
        <v>57</v>
      </c>
      <c r="O303">
        <v>0.3</v>
      </c>
      <c r="P303" t="s">
        <v>59</v>
      </c>
      <c r="S303">
        <v>3</v>
      </c>
      <c r="T303">
        <v>21</v>
      </c>
      <c r="V303">
        <v>50</v>
      </c>
      <c r="W303" t="s">
        <v>991</v>
      </c>
      <c r="X303" t="s">
        <v>199</v>
      </c>
      <c r="Y303">
        <v>30</v>
      </c>
      <c r="AB303">
        <v>5.52</v>
      </c>
      <c r="AC303" t="s">
        <v>85</v>
      </c>
      <c r="AD303" t="s">
        <v>231</v>
      </c>
      <c r="AE303" t="s">
        <v>63</v>
      </c>
      <c r="AI303">
        <v>3</v>
      </c>
      <c r="AV303" t="s">
        <v>448</v>
      </c>
    </row>
    <row r="304" spans="1:48" x14ac:dyDescent="0.3">
      <c r="A304" t="s">
        <v>989</v>
      </c>
      <c r="C304" t="s">
        <v>920</v>
      </c>
      <c r="D304" t="s">
        <v>81</v>
      </c>
      <c r="E304">
        <v>100000000</v>
      </c>
      <c r="H304">
        <v>25</v>
      </c>
      <c r="I304" t="s">
        <v>446</v>
      </c>
      <c r="J304">
        <v>2.5000000000000001E-5</v>
      </c>
      <c r="K304" t="s">
        <v>57</v>
      </c>
      <c r="O304">
        <v>0.3</v>
      </c>
      <c r="P304" t="s">
        <v>59</v>
      </c>
      <c r="S304">
        <v>3</v>
      </c>
      <c r="T304">
        <v>21</v>
      </c>
      <c r="V304">
        <v>50</v>
      </c>
      <c r="W304" t="s">
        <v>991</v>
      </c>
      <c r="X304" t="s">
        <v>199</v>
      </c>
      <c r="Y304">
        <v>30</v>
      </c>
      <c r="AB304">
        <v>6.91</v>
      </c>
      <c r="AC304" t="s">
        <v>85</v>
      </c>
      <c r="AD304" t="s">
        <v>365</v>
      </c>
      <c r="AE304" t="s">
        <v>63</v>
      </c>
      <c r="AI304">
        <v>3</v>
      </c>
      <c r="AV304" t="s">
        <v>448</v>
      </c>
    </row>
    <row r="305" spans="1:48" x14ac:dyDescent="0.3">
      <c r="A305" t="s">
        <v>989</v>
      </c>
      <c r="C305" t="s">
        <v>920</v>
      </c>
      <c r="D305" t="s">
        <v>81</v>
      </c>
      <c r="E305">
        <v>100000000</v>
      </c>
      <c r="H305">
        <v>25</v>
      </c>
      <c r="I305" t="s">
        <v>446</v>
      </c>
      <c r="J305">
        <v>2.5000000000000001E-5</v>
      </c>
      <c r="K305" t="s">
        <v>57</v>
      </c>
      <c r="O305">
        <v>0.3</v>
      </c>
      <c r="P305" t="s">
        <v>59</v>
      </c>
      <c r="S305">
        <v>3</v>
      </c>
      <c r="T305">
        <v>21</v>
      </c>
      <c r="V305">
        <v>50</v>
      </c>
      <c r="W305" t="s">
        <v>991</v>
      </c>
      <c r="X305" t="s">
        <v>199</v>
      </c>
      <c r="Y305">
        <v>30</v>
      </c>
      <c r="AB305">
        <v>7.02</v>
      </c>
      <c r="AC305" t="s">
        <v>85</v>
      </c>
      <c r="AD305" t="s">
        <v>427</v>
      </c>
      <c r="AE305" t="s">
        <v>63</v>
      </c>
      <c r="AI305">
        <v>3</v>
      </c>
      <c r="AV305" t="s">
        <v>448</v>
      </c>
    </row>
    <row r="306" spans="1:48" x14ac:dyDescent="0.3">
      <c r="A306" t="s">
        <v>989</v>
      </c>
      <c r="C306" t="s">
        <v>920</v>
      </c>
      <c r="D306" t="s">
        <v>81</v>
      </c>
      <c r="E306">
        <v>100000000</v>
      </c>
      <c r="H306">
        <v>25</v>
      </c>
      <c r="I306" t="s">
        <v>446</v>
      </c>
      <c r="J306">
        <v>2.5000000000000001E-5</v>
      </c>
      <c r="K306" t="s">
        <v>57</v>
      </c>
      <c r="O306">
        <v>0.3</v>
      </c>
      <c r="P306" t="s">
        <v>59</v>
      </c>
      <c r="S306">
        <v>3</v>
      </c>
      <c r="T306">
        <v>21</v>
      </c>
      <c r="V306">
        <v>50</v>
      </c>
      <c r="W306" t="s">
        <v>991</v>
      </c>
      <c r="X306" t="s">
        <v>199</v>
      </c>
      <c r="Y306">
        <v>30</v>
      </c>
      <c r="AB306">
        <v>6.29</v>
      </c>
      <c r="AC306" t="s">
        <v>85</v>
      </c>
      <c r="AD306" t="s">
        <v>553</v>
      </c>
      <c r="AE306" t="s">
        <v>63</v>
      </c>
      <c r="AI306">
        <v>3</v>
      </c>
      <c r="AV306" t="s">
        <v>448</v>
      </c>
    </row>
    <row r="307" spans="1:48" x14ac:dyDescent="0.3">
      <c r="A307" t="s">
        <v>989</v>
      </c>
      <c r="C307" t="s">
        <v>920</v>
      </c>
      <c r="D307" t="s">
        <v>81</v>
      </c>
      <c r="E307">
        <v>100000000</v>
      </c>
      <c r="H307">
        <v>25</v>
      </c>
      <c r="I307" t="s">
        <v>446</v>
      </c>
      <c r="J307">
        <v>2.5000000000000001E-5</v>
      </c>
      <c r="K307" t="s">
        <v>57</v>
      </c>
      <c r="O307">
        <v>0.3</v>
      </c>
      <c r="P307" t="s">
        <v>59</v>
      </c>
      <c r="S307">
        <v>3</v>
      </c>
      <c r="T307">
        <v>21</v>
      </c>
      <c r="V307">
        <v>50</v>
      </c>
      <c r="W307" t="s">
        <v>991</v>
      </c>
      <c r="X307" t="s">
        <v>199</v>
      </c>
      <c r="Y307">
        <v>30</v>
      </c>
      <c r="AB307">
        <v>6.71</v>
      </c>
      <c r="AC307" t="s">
        <v>85</v>
      </c>
      <c r="AD307" t="s">
        <v>553</v>
      </c>
      <c r="AE307" t="s">
        <v>63</v>
      </c>
      <c r="AI307">
        <v>3</v>
      </c>
      <c r="AV307" t="s">
        <v>448</v>
      </c>
    </row>
    <row r="308" spans="1:48" x14ac:dyDescent="0.3">
      <c r="A308" t="s">
        <v>989</v>
      </c>
      <c r="C308" t="s">
        <v>920</v>
      </c>
      <c r="D308" t="s">
        <v>81</v>
      </c>
      <c r="E308">
        <v>100000000</v>
      </c>
      <c r="H308">
        <v>25</v>
      </c>
      <c r="I308" t="s">
        <v>446</v>
      </c>
      <c r="J308">
        <v>2.5000000000000001E-5</v>
      </c>
      <c r="K308" t="s">
        <v>57</v>
      </c>
      <c r="O308">
        <v>0</v>
      </c>
      <c r="S308">
        <v>3</v>
      </c>
      <c r="T308">
        <v>21</v>
      </c>
      <c r="V308">
        <v>50</v>
      </c>
      <c r="W308" t="s">
        <v>991</v>
      </c>
      <c r="X308" t="s">
        <v>199</v>
      </c>
      <c r="Y308">
        <v>30</v>
      </c>
      <c r="AB308">
        <v>0.75</v>
      </c>
      <c r="AC308" t="s">
        <v>85</v>
      </c>
      <c r="AD308" t="s">
        <v>493</v>
      </c>
      <c r="AE308" t="s">
        <v>63</v>
      </c>
      <c r="AI308">
        <v>3</v>
      </c>
      <c r="AV308" t="s">
        <v>448</v>
      </c>
    </row>
    <row r="309" spans="1:48" x14ac:dyDescent="0.3">
      <c r="A309" t="s">
        <v>989</v>
      </c>
      <c r="C309" t="s">
        <v>920</v>
      </c>
      <c r="D309" t="s">
        <v>81</v>
      </c>
      <c r="E309">
        <v>100000000</v>
      </c>
      <c r="H309">
        <v>25</v>
      </c>
      <c r="I309" t="s">
        <v>446</v>
      </c>
      <c r="J309">
        <v>2.5000000000000001E-5</v>
      </c>
      <c r="K309" t="s">
        <v>57</v>
      </c>
      <c r="O309">
        <v>0</v>
      </c>
      <c r="S309">
        <v>3</v>
      </c>
      <c r="T309">
        <v>21</v>
      </c>
      <c r="V309">
        <v>50</v>
      </c>
      <c r="W309" t="s">
        <v>991</v>
      </c>
      <c r="X309" t="s">
        <v>199</v>
      </c>
      <c r="Y309">
        <v>30</v>
      </c>
      <c r="AB309">
        <v>3.9</v>
      </c>
      <c r="AC309" t="s">
        <v>85</v>
      </c>
      <c r="AD309" t="s">
        <v>104</v>
      </c>
      <c r="AE309" t="s">
        <v>63</v>
      </c>
      <c r="AI309">
        <v>3</v>
      </c>
      <c r="AV309" t="s">
        <v>448</v>
      </c>
    </row>
    <row r="310" spans="1:48" x14ac:dyDescent="0.3">
      <c r="A310" t="s">
        <v>989</v>
      </c>
      <c r="C310" t="s">
        <v>920</v>
      </c>
      <c r="D310" t="s">
        <v>81</v>
      </c>
      <c r="E310">
        <v>100000000</v>
      </c>
      <c r="H310">
        <v>25</v>
      </c>
      <c r="I310" t="s">
        <v>446</v>
      </c>
      <c r="J310">
        <v>2.5000000000000001E-5</v>
      </c>
      <c r="K310" t="s">
        <v>57</v>
      </c>
      <c r="O310">
        <v>0</v>
      </c>
      <c r="S310">
        <v>3</v>
      </c>
      <c r="T310">
        <v>21</v>
      </c>
      <c r="V310">
        <v>50</v>
      </c>
      <c r="W310" t="s">
        <v>991</v>
      </c>
      <c r="X310" t="s">
        <v>199</v>
      </c>
      <c r="Y310">
        <v>30</v>
      </c>
      <c r="AB310">
        <v>2.54</v>
      </c>
      <c r="AC310" t="s">
        <v>85</v>
      </c>
      <c r="AD310" t="s">
        <v>365</v>
      </c>
      <c r="AE310" t="s">
        <v>63</v>
      </c>
      <c r="AI310">
        <v>3</v>
      </c>
      <c r="AV310" t="s">
        <v>448</v>
      </c>
    </row>
    <row r="311" spans="1:48" x14ac:dyDescent="0.3">
      <c r="A311" t="s">
        <v>989</v>
      </c>
      <c r="C311" t="s">
        <v>920</v>
      </c>
      <c r="D311" t="s">
        <v>81</v>
      </c>
      <c r="E311">
        <v>100000000</v>
      </c>
      <c r="H311">
        <v>25</v>
      </c>
      <c r="I311" t="s">
        <v>446</v>
      </c>
      <c r="J311">
        <v>2.5000000000000001E-5</v>
      </c>
      <c r="K311" t="s">
        <v>57</v>
      </c>
      <c r="O311">
        <v>0</v>
      </c>
      <c r="S311">
        <v>3</v>
      </c>
      <c r="T311">
        <v>21</v>
      </c>
      <c r="V311">
        <v>50</v>
      </c>
      <c r="W311" t="s">
        <v>991</v>
      </c>
      <c r="X311" t="s">
        <v>199</v>
      </c>
      <c r="Y311">
        <v>30</v>
      </c>
      <c r="AB311">
        <v>0.22</v>
      </c>
      <c r="AC311" t="s">
        <v>85</v>
      </c>
      <c r="AD311" t="s">
        <v>240</v>
      </c>
      <c r="AE311" t="s">
        <v>63</v>
      </c>
      <c r="AI311">
        <v>3</v>
      </c>
      <c r="AV311" t="s">
        <v>448</v>
      </c>
    </row>
    <row r="312" spans="1:48" x14ac:dyDescent="0.3">
      <c r="A312" t="s">
        <v>989</v>
      </c>
      <c r="C312" t="s">
        <v>920</v>
      </c>
      <c r="D312" t="s">
        <v>81</v>
      </c>
      <c r="E312">
        <v>100000000</v>
      </c>
      <c r="H312">
        <v>25</v>
      </c>
      <c r="I312" t="s">
        <v>446</v>
      </c>
      <c r="J312">
        <v>2.5000000000000001E-5</v>
      </c>
      <c r="K312" t="s">
        <v>57</v>
      </c>
      <c r="O312">
        <v>0</v>
      </c>
      <c r="S312">
        <v>3</v>
      </c>
      <c r="T312">
        <v>21</v>
      </c>
      <c r="V312">
        <v>50</v>
      </c>
      <c r="W312" t="s">
        <v>991</v>
      </c>
      <c r="X312" t="s">
        <v>199</v>
      </c>
      <c r="Y312">
        <v>30</v>
      </c>
      <c r="AB312">
        <v>0.85</v>
      </c>
      <c r="AC312" t="s">
        <v>85</v>
      </c>
      <c r="AD312" t="s">
        <v>487</v>
      </c>
      <c r="AE312" t="s">
        <v>63</v>
      </c>
      <c r="AI312">
        <v>3</v>
      </c>
      <c r="AV312" t="s">
        <v>448</v>
      </c>
    </row>
    <row r="313" spans="1:48" x14ac:dyDescent="0.3">
      <c r="A313" t="s">
        <v>989</v>
      </c>
      <c r="C313" t="s">
        <v>920</v>
      </c>
      <c r="D313" t="s">
        <v>81</v>
      </c>
      <c r="E313">
        <v>100000000</v>
      </c>
      <c r="H313">
        <v>25</v>
      </c>
      <c r="I313" t="s">
        <v>446</v>
      </c>
      <c r="J313">
        <v>2.5000000000000001E-5</v>
      </c>
      <c r="K313" t="s">
        <v>57</v>
      </c>
      <c r="O313">
        <v>0</v>
      </c>
      <c r="S313">
        <v>3</v>
      </c>
      <c r="T313">
        <v>21</v>
      </c>
      <c r="V313">
        <v>50</v>
      </c>
      <c r="W313" t="s">
        <v>991</v>
      </c>
      <c r="X313" t="s">
        <v>199</v>
      </c>
      <c r="Y313">
        <v>30</v>
      </c>
      <c r="AB313">
        <v>1.75</v>
      </c>
      <c r="AC313" t="s">
        <v>85</v>
      </c>
      <c r="AD313" t="s">
        <v>232</v>
      </c>
      <c r="AE313" t="s">
        <v>63</v>
      </c>
      <c r="AI313">
        <v>3</v>
      </c>
      <c r="AV313" t="s">
        <v>448</v>
      </c>
    </row>
    <row r="314" spans="1:48" x14ac:dyDescent="0.3">
      <c r="A314" t="s">
        <v>989</v>
      </c>
      <c r="C314" t="s">
        <v>920</v>
      </c>
      <c r="D314" t="s">
        <v>81</v>
      </c>
      <c r="E314">
        <v>100000000</v>
      </c>
      <c r="H314">
        <v>25</v>
      </c>
      <c r="I314" t="s">
        <v>446</v>
      </c>
      <c r="J314">
        <v>2.5000000000000001E-5</v>
      </c>
      <c r="K314" t="s">
        <v>57</v>
      </c>
      <c r="O314">
        <v>0</v>
      </c>
      <c r="S314">
        <v>3</v>
      </c>
      <c r="T314">
        <v>21</v>
      </c>
      <c r="V314">
        <v>50</v>
      </c>
      <c r="W314" t="s">
        <v>991</v>
      </c>
      <c r="X314" t="s">
        <v>199</v>
      </c>
      <c r="Y314">
        <v>30</v>
      </c>
      <c r="AB314">
        <v>0.87</v>
      </c>
      <c r="AC314" t="s">
        <v>85</v>
      </c>
      <c r="AD314" t="s">
        <v>232</v>
      </c>
      <c r="AE314" t="s">
        <v>63</v>
      </c>
      <c r="AI314">
        <v>3</v>
      </c>
      <c r="AV314" t="s">
        <v>448</v>
      </c>
    </row>
    <row r="315" spans="1:48" x14ac:dyDescent="0.3">
      <c r="A315" t="s">
        <v>989</v>
      </c>
      <c r="C315" t="s">
        <v>920</v>
      </c>
      <c r="D315" t="s">
        <v>81</v>
      </c>
      <c r="E315">
        <v>100000000</v>
      </c>
      <c r="H315">
        <v>25</v>
      </c>
      <c r="I315" t="s">
        <v>446</v>
      </c>
      <c r="J315">
        <v>2.5000000000000001E-5</v>
      </c>
      <c r="K315" t="s">
        <v>57</v>
      </c>
      <c r="O315">
        <v>0</v>
      </c>
      <c r="S315">
        <v>3</v>
      </c>
      <c r="T315">
        <v>21</v>
      </c>
      <c r="V315">
        <v>50</v>
      </c>
      <c r="W315" t="s">
        <v>991</v>
      </c>
      <c r="X315" t="s">
        <v>199</v>
      </c>
      <c r="Y315">
        <v>30</v>
      </c>
      <c r="AB315">
        <v>0.78</v>
      </c>
      <c r="AC315" t="s">
        <v>85</v>
      </c>
      <c r="AD315" t="s">
        <v>314</v>
      </c>
      <c r="AE315" t="s">
        <v>63</v>
      </c>
      <c r="AI315">
        <v>3</v>
      </c>
      <c r="AV315" t="s">
        <v>448</v>
      </c>
    </row>
    <row r="316" spans="1:48" x14ac:dyDescent="0.3">
      <c r="A316" t="s">
        <v>989</v>
      </c>
      <c r="C316" t="s">
        <v>920</v>
      </c>
      <c r="D316" t="s">
        <v>81</v>
      </c>
      <c r="E316">
        <v>100000000</v>
      </c>
      <c r="H316">
        <v>25</v>
      </c>
      <c r="I316" t="s">
        <v>446</v>
      </c>
      <c r="J316">
        <v>2.5000000000000001E-5</v>
      </c>
      <c r="K316" t="s">
        <v>57</v>
      </c>
      <c r="O316">
        <v>0</v>
      </c>
      <c r="S316">
        <v>3</v>
      </c>
      <c r="T316">
        <v>21</v>
      </c>
      <c r="V316">
        <v>50</v>
      </c>
      <c r="W316" t="s">
        <v>991</v>
      </c>
      <c r="X316" t="s">
        <v>199</v>
      </c>
      <c r="Y316">
        <v>30</v>
      </c>
      <c r="AB316">
        <v>1.08</v>
      </c>
      <c r="AC316" t="s">
        <v>85</v>
      </c>
      <c r="AD316" t="s">
        <v>227</v>
      </c>
      <c r="AE316" t="s">
        <v>63</v>
      </c>
      <c r="AI316">
        <v>3</v>
      </c>
      <c r="AV316" t="s">
        <v>448</v>
      </c>
    </row>
    <row r="317" spans="1:48" x14ac:dyDescent="0.3">
      <c r="A317" t="s">
        <v>989</v>
      </c>
      <c r="C317" t="s">
        <v>920</v>
      </c>
      <c r="D317" t="s">
        <v>81</v>
      </c>
      <c r="E317">
        <v>100000000</v>
      </c>
      <c r="H317">
        <v>25</v>
      </c>
      <c r="I317" t="s">
        <v>446</v>
      </c>
      <c r="J317">
        <v>2.5000000000000001E-5</v>
      </c>
      <c r="K317" t="s">
        <v>57</v>
      </c>
      <c r="O317">
        <v>0</v>
      </c>
      <c r="S317">
        <v>3</v>
      </c>
      <c r="T317">
        <v>21</v>
      </c>
      <c r="V317">
        <v>50</v>
      </c>
      <c r="W317" t="s">
        <v>991</v>
      </c>
      <c r="X317" t="s">
        <v>199</v>
      </c>
      <c r="Y317">
        <v>30</v>
      </c>
      <c r="AB317">
        <v>1.1599999999999899</v>
      </c>
      <c r="AC317" t="s">
        <v>85</v>
      </c>
      <c r="AD317" t="s">
        <v>939</v>
      </c>
      <c r="AE317" t="s">
        <v>63</v>
      </c>
      <c r="AI317">
        <v>3</v>
      </c>
      <c r="AV317" t="s">
        <v>448</v>
      </c>
    </row>
    <row r="318" spans="1:48" x14ac:dyDescent="0.3">
      <c r="A318" t="s">
        <v>989</v>
      </c>
      <c r="C318" t="s">
        <v>920</v>
      </c>
      <c r="D318" t="s">
        <v>81</v>
      </c>
      <c r="E318">
        <v>100000000</v>
      </c>
      <c r="H318">
        <v>25</v>
      </c>
      <c r="I318" t="s">
        <v>446</v>
      </c>
      <c r="J318">
        <v>2.5000000000000001E-5</v>
      </c>
      <c r="K318" t="s">
        <v>57</v>
      </c>
      <c r="O318">
        <v>0</v>
      </c>
      <c r="S318">
        <v>3</v>
      </c>
      <c r="T318">
        <v>21</v>
      </c>
      <c r="V318">
        <v>50</v>
      </c>
      <c r="W318" t="s">
        <v>991</v>
      </c>
      <c r="X318" t="s">
        <v>199</v>
      </c>
      <c r="Y318">
        <v>30</v>
      </c>
      <c r="AB318">
        <v>0.02</v>
      </c>
      <c r="AC318" t="s">
        <v>85</v>
      </c>
      <c r="AD318" t="s">
        <v>237</v>
      </c>
      <c r="AE318" t="s">
        <v>63</v>
      </c>
      <c r="AI318">
        <v>3</v>
      </c>
      <c r="AV318" t="s">
        <v>448</v>
      </c>
    </row>
    <row r="319" spans="1:48" x14ac:dyDescent="0.3">
      <c r="A319" t="s">
        <v>989</v>
      </c>
      <c r="C319" t="s">
        <v>920</v>
      </c>
      <c r="D319" t="s">
        <v>81</v>
      </c>
      <c r="E319">
        <v>100000000</v>
      </c>
      <c r="H319">
        <v>25</v>
      </c>
      <c r="I319" t="s">
        <v>446</v>
      </c>
      <c r="J319">
        <v>2.5000000000000001E-5</v>
      </c>
      <c r="K319" t="s">
        <v>57</v>
      </c>
      <c r="O319">
        <v>0</v>
      </c>
      <c r="S319">
        <v>3</v>
      </c>
      <c r="T319">
        <v>21</v>
      </c>
      <c r="V319">
        <v>50</v>
      </c>
      <c r="W319" t="s">
        <v>991</v>
      </c>
      <c r="X319" t="s">
        <v>199</v>
      </c>
      <c r="Y319">
        <v>30</v>
      </c>
      <c r="AB319">
        <v>1.57</v>
      </c>
      <c r="AC319" t="s">
        <v>85</v>
      </c>
      <c r="AD319" t="s">
        <v>240</v>
      </c>
      <c r="AE319" t="s">
        <v>63</v>
      </c>
      <c r="AI319">
        <v>3</v>
      </c>
      <c r="AV319" t="s">
        <v>448</v>
      </c>
    </row>
    <row r="320" spans="1:48" x14ac:dyDescent="0.3">
      <c r="A320" t="s">
        <v>989</v>
      </c>
      <c r="C320" t="s">
        <v>920</v>
      </c>
      <c r="D320" t="s">
        <v>81</v>
      </c>
      <c r="E320">
        <v>100000000</v>
      </c>
      <c r="H320">
        <v>25</v>
      </c>
      <c r="I320" t="s">
        <v>446</v>
      </c>
      <c r="J320">
        <v>2.5000000000000001E-5</v>
      </c>
      <c r="K320" t="s">
        <v>57</v>
      </c>
      <c r="O320">
        <v>0</v>
      </c>
      <c r="S320">
        <v>3</v>
      </c>
      <c r="T320">
        <v>21</v>
      </c>
      <c r="V320">
        <v>50</v>
      </c>
      <c r="W320" t="s">
        <v>991</v>
      </c>
      <c r="X320" t="s">
        <v>199</v>
      </c>
      <c r="Y320">
        <v>30</v>
      </c>
      <c r="AB320">
        <v>1.76</v>
      </c>
      <c r="AC320" t="s">
        <v>85</v>
      </c>
      <c r="AD320" t="s">
        <v>494</v>
      </c>
      <c r="AE320" t="s">
        <v>63</v>
      </c>
      <c r="AI320">
        <v>3</v>
      </c>
      <c r="AV320" t="s">
        <v>448</v>
      </c>
    </row>
    <row r="321" spans="1:53" x14ac:dyDescent="0.3">
      <c r="A321" t="s">
        <v>989</v>
      </c>
      <c r="C321" t="s">
        <v>920</v>
      </c>
      <c r="D321" t="s">
        <v>81</v>
      </c>
      <c r="E321">
        <v>100000000</v>
      </c>
      <c r="H321">
        <v>25</v>
      </c>
      <c r="I321" t="s">
        <v>446</v>
      </c>
      <c r="J321">
        <v>2.5000000000000001E-5</v>
      </c>
      <c r="K321" t="s">
        <v>57</v>
      </c>
      <c r="O321">
        <v>0</v>
      </c>
      <c r="S321">
        <v>3</v>
      </c>
      <c r="T321">
        <v>21</v>
      </c>
      <c r="V321">
        <v>50</v>
      </c>
      <c r="W321" t="s">
        <v>991</v>
      </c>
      <c r="X321" t="s">
        <v>199</v>
      </c>
      <c r="Y321">
        <v>30</v>
      </c>
      <c r="AB321">
        <v>6.5</v>
      </c>
      <c r="AC321" t="s">
        <v>85</v>
      </c>
      <c r="AD321" t="s">
        <v>437</v>
      </c>
      <c r="AE321" t="s">
        <v>63</v>
      </c>
      <c r="AI321">
        <v>3</v>
      </c>
      <c r="AV321" t="s">
        <v>448</v>
      </c>
    </row>
    <row r="322" spans="1:53" x14ac:dyDescent="0.3">
      <c r="A322" t="s">
        <v>989</v>
      </c>
      <c r="C322" t="s">
        <v>920</v>
      </c>
      <c r="D322" t="s">
        <v>81</v>
      </c>
      <c r="E322">
        <v>100000000</v>
      </c>
      <c r="H322">
        <v>25</v>
      </c>
      <c r="I322" t="s">
        <v>446</v>
      </c>
      <c r="J322">
        <v>2.5000000000000001E-5</v>
      </c>
      <c r="K322" t="s">
        <v>57</v>
      </c>
      <c r="O322">
        <v>0</v>
      </c>
      <c r="S322">
        <v>3</v>
      </c>
      <c r="T322">
        <v>21</v>
      </c>
      <c r="V322">
        <v>50</v>
      </c>
      <c r="W322" t="s">
        <v>991</v>
      </c>
      <c r="X322" t="s">
        <v>199</v>
      </c>
      <c r="Y322">
        <v>30</v>
      </c>
      <c r="AB322">
        <v>8.06</v>
      </c>
      <c r="AC322" t="s">
        <v>85</v>
      </c>
      <c r="AD322" t="s">
        <v>939</v>
      </c>
      <c r="AE322" t="s">
        <v>63</v>
      </c>
      <c r="AI322">
        <v>3</v>
      </c>
      <c r="AV322" t="s">
        <v>448</v>
      </c>
    </row>
    <row r="323" spans="1:53" x14ac:dyDescent="0.3">
      <c r="A323" t="s">
        <v>989</v>
      </c>
      <c r="C323" t="s">
        <v>920</v>
      </c>
      <c r="D323" t="s">
        <v>81</v>
      </c>
      <c r="E323">
        <v>100000000</v>
      </c>
      <c r="H323">
        <v>25</v>
      </c>
      <c r="I323" t="s">
        <v>446</v>
      </c>
      <c r="J323">
        <v>2.5000000000000001E-5</v>
      </c>
      <c r="K323" t="s">
        <v>57</v>
      </c>
      <c r="O323">
        <v>0</v>
      </c>
      <c r="S323">
        <v>3</v>
      </c>
      <c r="T323">
        <v>21</v>
      </c>
      <c r="V323">
        <v>50</v>
      </c>
      <c r="W323" t="s">
        <v>991</v>
      </c>
      <c r="X323" t="s">
        <v>199</v>
      </c>
      <c r="Y323">
        <v>30</v>
      </c>
      <c r="AB323">
        <v>6.77</v>
      </c>
      <c r="AC323" t="s">
        <v>85</v>
      </c>
      <c r="AD323" t="s">
        <v>238</v>
      </c>
      <c r="AE323" t="s">
        <v>63</v>
      </c>
      <c r="AI323">
        <v>3</v>
      </c>
      <c r="AV323" t="s">
        <v>448</v>
      </c>
    </row>
    <row r="324" spans="1:53" x14ac:dyDescent="0.3">
      <c r="A324" t="s">
        <v>989</v>
      </c>
      <c r="C324" t="s">
        <v>920</v>
      </c>
      <c r="D324" t="s">
        <v>81</v>
      </c>
      <c r="E324">
        <v>100000000</v>
      </c>
      <c r="H324">
        <v>25</v>
      </c>
      <c r="I324" t="s">
        <v>446</v>
      </c>
      <c r="J324">
        <v>2.5000000000000001E-5</v>
      </c>
      <c r="K324" t="s">
        <v>57</v>
      </c>
      <c r="O324">
        <v>0</v>
      </c>
      <c r="S324">
        <v>3</v>
      </c>
      <c r="T324">
        <v>21</v>
      </c>
      <c r="V324">
        <v>50</v>
      </c>
      <c r="W324" t="s">
        <v>991</v>
      </c>
      <c r="X324" t="s">
        <v>199</v>
      </c>
      <c r="Y324">
        <v>30</v>
      </c>
      <c r="AB324">
        <v>5.55</v>
      </c>
      <c r="AC324" t="s">
        <v>85</v>
      </c>
      <c r="AD324" t="s">
        <v>511</v>
      </c>
      <c r="AE324" t="s">
        <v>63</v>
      </c>
      <c r="AI324">
        <v>3</v>
      </c>
      <c r="AV324" t="s">
        <v>448</v>
      </c>
    </row>
    <row r="325" spans="1:53" x14ac:dyDescent="0.3">
      <c r="A325" t="s">
        <v>989</v>
      </c>
      <c r="C325" t="s">
        <v>920</v>
      </c>
      <c r="D325" t="s">
        <v>81</v>
      </c>
      <c r="E325">
        <v>100000000</v>
      </c>
      <c r="H325">
        <v>25</v>
      </c>
      <c r="I325" t="s">
        <v>446</v>
      </c>
      <c r="J325">
        <v>2.5000000000000001E-5</v>
      </c>
      <c r="K325" t="s">
        <v>57</v>
      </c>
      <c r="O325">
        <v>0</v>
      </c>
      <c r="S325">
        <v>3</v>
      </c>
      <c r="T325">
        <v>21</v>
      </c>
      <c r="V325">
        <v>50</v>
      </c>
      <c r="W325" t="s">
        <v>991</v>
      </c>
      <c r="X325" t="s">
        <v>199</v>
      </c>
      <c r="Y325">
        <v>30</v>
      </c>
      <c r="AB325">
        <v>6.91</v>
      </c>
      <c r="AC325" t="s">
        <v>85</v>
      </c>
      <c r="AD325" t="s">
        <v>242</v>
      </c>
      <c r="AE325" t="s">
        <v>63</v>
      </c>
      <c r="AI325">
        <v>3</v>
      </c>
      <c r="AV325" t="s">
        <v>448</v>
      </c>
    </row>
    <row r="326" spans="1:53" x14ac:dyDescent="0.3">
      <c r="A326" t="s">
        <v>989</v>
      </c>
      <c r="C326" t="s">
        <v>920</v>
      </c>
      <c r="D326" t="s">
        <v>81</v>
      </c>
      <c r="E326">
        <v>100000000</v>
      </c>
      <c r="H326">
        <v>25</v>
      </c>
      <c r="I326" t="s">
        <v>446</v>
      </c>
      <c r="J326">
        <v>2.5000000000000001E-5</v>
      </c>
      <c r="K326" t="s">
        <v>57</v>
      </c>
      <c r="O326">
        <v>0</v>
      </c>
      <c r="S326">
        <v>3</v>
      </c>
      <c r="T326">
        <v>21</v>
      </c>
      <c r="V326">
        <v>50</v>
      </c>
      <c r="W326" t="s">
        <v>991</v>
      </c>
      <c r="X326" t="s">
        <v>199</v>
      </c>
      <c r="Y326">
        <v>30</v>
      </c>
      <c r="AA326" t="s">
        <v>184</v>
      </c>
      <c r="AB326">
        <v>7.06</v>
      </c>
      <c r="AC326" t="s">
        <v>85</v>
      </c>
      <c r="AI326">
        <v>3</v>
      </c>
      <c r="AV326" t="s">
        <v>448</v>
      </c>
      <c r="AZ326">
        <v>0</v>
      </c>
      <c r="BA326">
        <v>7.06</v>
      </c>
    </row>
    <row r="327" spans="1:53" x14ac:dyDescent="0.3">
      <c r="A327" t="s">
        <v>989</v>
      </c>
      <c r="C327" t="s">
        <v>920</v>
      </c>
      <c r="D327" t="s">
        <v>81</v>
      </c>
      <c r="E327">
        <v>100000000</v>
      </c>
      <c r="H327">
        <v>25</v>
      </c>
      <c r="I327" t="s">
        <v>446</v>
      </c>
      <c r="J327">
        <v>2.5000000000000001E-5</v>
      </c>
      <c r="K327" t="s">
        <v>57</v>
      </c>
      <c r="O327">
        <v>0</v>
      </c>
      <c r="S327">
        <v>3</v>
      </c>
      <c r="T327">
        <v>21</v>
      </c>
      <c r="V327">
        <v>50</v>
      </c>
      <c r="W327" t="s">
        <v>991</v>
      </c>
      <c r="X327" t="s">
        <v>199</v>
      </c>
      <c r="Y327">
        <v>30</v>
      </c>
      <c r="AB327">
        <v>5.92</v>
      </c>
      <c r="AC327" t="s">
        <v>85</v>
      </c>
      <c r="AD327" t="s">
        <v>232</v>
      </c>
      <c r="AE327" t="s">
        <v>63</v>
      </c>
      <c r="AI327">
        <v>3</v>
      </c>
      <c r="AV327" t="s">
        <v>448</v>
      </c>
    </row>
    <row r="328" spans="1:53" x14ac:dyDescent="0.3">
      <c r="A328" t="s">
        <v>989</v>
      </c>
      <c r="C328" t="s">
        <v>920</v>
      </c>
      <c r="D328" t="s">
        <v>81</v>
      </c>
      <c r="E328">
        <v>100000000</v>
      </c>
      <c r="H328">
        <v>25</v>
      </c>
      <c r="I328" t="s">
        <v>446</v>
      </c>
      <c r="J328">
        <v>2.5000000000000001E-5</v>
      </c>
      <c r="K328" t="s">
        <v>57</v>
      </c>
      <c r="O328">
        <v>0</v>
      </c>
      <c r="S328">
        <v>3</v>
      </c>
      <c r="T328">
        <v>21</v>
      </c>
      <c r="V328">
        <v>50</v>
      </c>
      <c r="W328" t="s">
        <v>991</v>
      </c>
      <c r="X328" t="s">
        <v>199</v>
      </c>
      <c r="Y328">
        <v>30</v>
      </c>
      <c r="AA328" t="s">
        <v>184</v>
      </c>
      <c r="AB328">
        <v>8.0500000000000007</v>
      </c>
      <c r="AC328" t="s">
        <v>85</v>
      </c>
      <c r="AI328">
        <v>3</v>
      </c>
      <c r="AV328" t="s">
        <v>448</v>
      </c>
      <c r="AZ328">
        <v>0</v>
      </c>
      <c r="BA328">
        <v>8.0500000000000007</v>
      </c>
    </row>
    <row r="329" spans="1:53" x14ac:dyDescent="0.3">
      <c r="A329" t="s">
        <v>989</v>
      </c>
      <c r="C329" t="s">
        <v>920</v>
      </c>
      <c r="D329" t="s">
        <v>81</v>
      </c>
      <c r="E329">
        <v>100000000</v>
      </c>
      <c r="H329">
        <v>25</v>
      </c>
      <c r="I329" t="s">
        <v>446</v>
      </c>
      <c r="J329">
        <v>2.5000000000000001E-5</v>
      </c>
      <c r="K329" t="s">
        <v>57</v>
      </c>
      <c r="O329">
        <v>0</v>
      </c>
      <c r="S329">
        <v>3</v>
      </c>
      <c r="T329">
        <v>21</v>
      </c>
      <c r="V329">
        <v>50</v>
      </c>
      <c r="W329" t="s">
        <v>991</v>
      </c>
      <c r="X329" t="s">
        <v>199</v>
      </c>
      <c r="Y329">
        <v>30</v>
      </c>
      <c r="AB329">
        <v>5.8</v>
      </c>
      <c r="AC329" t="s">
        <v>85</v>
      </c>
      <c r="AD329" t="s">
        <v>611</v>
      </c>
      <c r="AE329" t="s">
        <v>63</v>
      </c>
      <c r="AI329">
        <v>3</v>
      </c>
      <c r="AV329" t="s">
        <v>448</v>
      </c>
    </row>
    <row r="330" spans="1:53" x14ac:dyDescent="0.3">
      <c r="A330" t="s">
        <v>989</v>
      </c>
      <c r="C330" t="s">
        <v>920</v>
      </c>
      <c r="D330" t="s">
        <v>81</v>
      </c>
      <c r="E330">
        <v>100000000</v>
      </c>
      <c r="H330">
        <v>25</v>
      </c>
      <c r="I330" t="s">
        <v>446</v>
      </c>
      <c r="J330">
        <v>2.5000000000000001E-5</v>
      </c>
      <c r="K330" t="s">
        <v>57</v>
      </c>
      <c r="O330">
        <v>0</v>
      </c>
      <c r="S330">
        <v>3</v>
      </c>
      <c r="T330">
        <v>21</v>
      </c>
      <c r="V330">
        <v>50</v>
      </c>
      <c r="W330" t="s">
        <v>991</v>
      </c>
      <c r="X330" t="s">
        <v>199</v>
      </c>
      <c r="Y330">
        <v>30</v>
      </c>
      <c r="AB330">
        <v>7.17</v>
      </c>
      <c r="AC330" t="s">
        <v>85</v>
      </c>
      <c r="AD330" t="s">
        <v>108</v>
      </c>
      <c r="AE330" t="s">
        <v>63</v>
      </c>
      <c r="AI330">
        <v>3</v>
      </c>
      <c r="AV330" t="s">
        <v>448</v>
      </c>
    </row>
    <row r="331" spans="1:53" x14ac:dyDescent="0.3">
      <c r="A331" t="s">
        <v>989</v>
      </c>
      <c r="C331" t="s">
        <v>920</v>
      </c>
      <c r="D331" t="s">
        <v>81</v>
      </c>
      <c r="E331">
        <v>100000000</v>
      </c>
      <c r="H331">
        <v>25</v>
      </c>
      <c r="I331" t="s">
        <v>446</v>
      </c>
      <c r="J331">
        <v>2.5000000000000001E-5</v>
      </c>
      <c r="K331" t="s">
        <v>57</v>
      </c>
      <c r="O331">
        <v>0</v>
      </c>
      <c r="S331">
        <v>3</v>
      </c>
      <c r="T331">
        <v>21</v>
      </c>
      <c r="V331">
        <v>50</v>
      </c>
      <c r="W331" t="s">
        <v>991</v>
      </c>
      <c r="X331" t="s">
        <v>199</v>
      </c>
      <c r="Y331">
        <v>30</v>
      </c>
      <c r="AB331">
        <v>6.71</v>
      </c>
      <c r="AC331" t="s">
        <v>85</v>
      </c>
      <c r="AD331" t="s">
        <v>503</v>
      </c>
      <c r="AE331" t="s">
        <v>63</v>
      </c>
      <c r="AI331">
        <v>3</v>
      </c>
      <c r="AV331" t="s">
        <v>448</v>
      </c>
    </row>
    <row r="332" spans="1:53" x14ac:dyDescent="0.3">
      <c r="A332" t="s">
        <v>989</v>
      </c>
      <c r="C332" t="s">
        <v>920</v>
      </c>
      <c r="D332" t="s">
        <v>81</v>
      </c>
      <c r="E332">
        <v>100000000</v>
      </c>
      <c r="H332">
        <v>25</v>
      </c>
      <c r="I332" t="s">
        <v>446</v>
      </c>
      <c r="J332">
        <v>2.5000000000000001E-5</v>
      </c>
      <c r="K332" t="s">
        <v>57</v>
      </c>
      <c r="O332">
        <v>0</v>
      </c>
      <c r="S332">
        <v>3</v>
      </c>
      <c r="T332">
        <v>21</v>
      </c>
      <c r="V332">
        <v>50</v>
      </c>
      <c r="W332" t="s">
        <v>991</v>
      </c>
      <c r="X332" t="s">
        <v>199</v>
      </c>
      <c r="Y332">
        <v>30</v>
      </c>
      <c r="AB332">
        <v>5.73</v>
      </c>
      <c r="AC332" t="s">
        <v>85</v>
      </c>
      <c r="AD332" t="s">
        <v>100</v>
      </c>
      <c r="AE332" t="s">
        <v>63</v>
      </c>
      <c r="AI332">
        <v>3</v>
      </c>
      <c r="AV332" t="s">
        <v>448</v>
      </c>
    </row>
    <row r="333" spans="1:53" x14ac:dyDescent="0.3">
      <c r="A333" t="s">
        <v>989</v>
      </c>
      <c r="C333" t="s">
        <v>920</v>
      </c>
      <c r="D333" t="s">
        <v>81</v>
      </c>
      <c r="E333">
        <v>100000000</v>
      </c>
      <c r="H333">
        <v>25</v>
      </c>
      <c r="I333" t="s">
        <v>446</v>
      </c>
      <c r="J333">
        <v>2.5000000000000001E-5</v>
      </c>
      <c r="K333" t="s">
        <v>57</v>
      </c>
      <c r="O333">
        <v>0</v>
      </c>
      <c r="S333">
        <v>3</v>
      </c>
      <c r="T333">
        <v>21</v>
      </c>
      <c r="V333">
        <v>50</v>
      </c>
      <c r="W333" t="s">
        <v>991</v>
      </c>
      <c r="X333" t="s">
        <v>199</v>
      </c>
      <c r="Y333">
        <v>30</v>
      </c>
      <c r="AB333">
        <v>6.52</v>
      </c>
      <c r="AC333" t="s">
        <v>85</v>
      </c>
      <c r="AD333" t="s">
        <v>494</v>
      </c>
      <c r="AE333" t="s">
        <v>63</v>
      </c>
      <c r="AI333">
        <v>3</v>
      </c>
      <c r="AV333" t="s">
        <v>448</v>
      </c>
    </row>
    <row r="334" spans="1:53" x14ac:dyDescent="0.3">
      <c r="A334" t="s">
        <v>993</v>
      </c>
      <c r="B334" t="s">
        <v>994</v>
      </c>
      <c r="C334" t="s">
        <v>920</v>
      </c>
      <c r="D334" t="s">
        <v>995</v>
      </c>
      <c r="E334">
        <v>100000000</v>
      </c>
      <c r="L334" t="s">
        <v>58</v>
      </c>
      <c r="O334">
        <v>1</v>
      </c>
      <c r="P334" t="s">
        <v>400</v>
      </c>
      <c r="T334">
        <v>25</v>
      </c>
      <c r="V334">
        <v>50</v>
      </c>
      <c r="W334" t="s">
        <v>996</v>
      </c>
      <c r="X334" t="s">
        <v>997</v>
      </c>
      <c r="Y334">
        <v>1440</v>
      </c>
      <c r="AB334">
        <v>2.8</v>
      </c>
      <c r="AC334" t="s">
        <v>85</v>
      </c>
      <c r="AI334">
        <v>3</v>
      </c>
    </row>
    <row r="335" spans="1:53" x14ac:dyDescent="0.3">
      <c r="A335" t="s">
        <v>993</v>
      </c>
      <c r="B335" t="s">
        <v>994</v>
      </c>
      <c r="C335" t="s">
        <v>920</v>
      </c>
      <c r="D335" t="s">
        <v>995</v>
      </c>
      <c r="E335">
        <v>100000000</v>
      </c>
      <c r="L335" t="s">
        <v>58</v>
      </c>
      <c r="O335">
        <v>100</v>
      </c>
      <c r="P335" t="s">
        <v>121</v>
      </c>
      <c r="T335">
        <v>25</v>
      </c>
      <c r="V335">
        <v>50</v>
      </c>
      <c r="W335" t="s">
        <v>996</v>
      </c>
      <c r="X335" t="s">
        <v>998</v>
      </c>
      <c r="Y335">
        <v>30</v>
      </c>
      <c r="AB335">
        <v>0.6</v>
      </c>
      <c r="AC335" t="s">
        <v>85</v>
      </c>
      <c r="AI335">
        <v>3</v>
      </c>
    </row>
    <row r="336" spans="1:53" x14ac:dyDescent="0.3">
      <c r="A336" t="s">
        <v>993</v>
      </c>
      <c r="B336" t="s">
        <v>994</v>
      </c>
      <c r="C336" t="s">
        <v>920</v>
      </c>
      <c r="D336" t="s">
        <v>995</v>
      </c>
      <c r="E336">
        <v>100000000</v>
      </c>
      <c r="L336" t="s">
        <v>58</v>
      </c>
      <c r="O336">
        <v>100</v>
      </c>
      <c r="P336" t="s">
        <v>121</v>
      </c>
      <c r="T336">
        <v>25</v>
      </c>
      <c r="V336">
        <v>50</v>
      </c>
      <c r="W336" t="s">
        <v>996</v>
      </c>
      <c r="X336" t="s">
        <v>999</v>
      </c>
      <c r="Y336">
        <v>30</v>
      </c>
      <c r="AB336">
        <v>4.5999999999999996</v>
      </c>
      <c r="AC336" t="s">
        <v>85</v>
      </c>
      <c r="AI336">
        <v>3</v>
      </c>
    </row>
    <row r="337" spans="1:35" x14ac:dyDescent="0.3">
      <c r="A337" t="s">
        <v>993</v>
      </c>
      <c r="B337" t="s">
        <v>994</v>
      </c>
      <c r="C337" t="s">
        <v>920</v>
      </c>
      <c r="D337" t="s">
        <v>995</v>
      </c>
      <c r="E337">
        <v>100000000</v>
      </c>
      <c r="L337" t="s">
        <v>58</v>
      </c>
      <c r="O337">
        <v>10</v>
      </c>
      <c r="P337" t="s">
        <v>121</v>
      </c>
      <c r="T337">
        <v>25</v>
      </c>
      <c r="V337">
        <v>50</v>
      </c>
      <c r="W337" t="s">
        <v>996</v>
      </c>
      <c r="X337" t="s">
        <v>999</v>
      </c>
      <c r="Y337">
        <v>30</v>
      </c>
      <c r="AB337">
        <v>2.4</v>
      </c>
      <c r="AC337" t="s">
        <v>85</v>
      </c>
      <c r="AI337">
        <v>3</v>
      </c>
    </row>
    <row r="338" spans="1:35" x14ac:dyDescent="0.3">
      <c r="A338" t="s">
        <v>993</v>
      </c>
      <c r="B338" t="s">
        <v>994</v>
      </c>
      <c r="C338" t="s">
        <v>920</v>
      </c>
      <c r="D338" t="s">
        <v>995</v>
      </c>
      <c r="E338">
        <v>100000000</v>
      </c>
      <c r="L338" t="s">
        <v>58</v>
      </c>
      <c r="O338">
        <v>10</v>
      </c>
      <c r="P338" t="s">
        <v>121</v>
      </c>
      <c r="T338">
        <v>25</v>
      </c>
      <c r="V338">
        <v>50</v>
      </c>
      <c r="W338" t="s">
        <v>996</v>
      </c>
      <c r="X338" t="s">
        <v>199</v>
      </c>
      <c r="Y338">
        <v>30</v>
      </c>
      <c r="AB338">
        <v>0</v>
      </c>
      <c r="AC338" t="s">
        <v>85</v>
      </c>
      <c r="AI338">
        <v>3</v>
      </c>
    </row>
    <row r="339" spans="1:35" x14ac:dyDescent="0.3">
      <c r="A339" t="s">
        <v>993</v>
      </c>
      <c r="B339" t="s">
        <v>994</v>
      </c>
      <c r="C339" t="s">
        <v>920</v>
      </c>
      <c r="D339" t="s">
        <v>995</v>
      </c>
      <c r="E339">
        <v>100000000</v>
      </c>
      <c r="L339" t="s">
        <v>58</v>
      </c>
      <c r="O339">
        <v>10</v>
      </c>
      <c r="P339" t="s">
        <v>121</v>
      </c>
      <c r="T339">
        <v>25</v>
      </c>
      <c r="V339">
        <v>50</v>
      </c>
      <c r="W339" t="s">
        <v>996</v>
      </c>
      <c r="X339" t="s">
        <v>999</v>
      </c>
      <c r="Y339">
        <v>30</v>
      </c>
      <c r="AB339">
        <v>3</v>
      </c>
      <c r="AC339" t="s">
        <v>85</v>
      </c>
      <c r="AI339">
        <v>3</v>
      </c>
    </row>
    <row r="340" spans="1:35" x14ac:dyDescent="0.3">
      <c r="A340" t="s">
        <v>993</v>
      </c>
      <c r="B340" t="s">
        <v>994</v>
      </c>
      <c r="C340" t="s">
        <v>920</v>
      </c>
      <c r="D340" t="s">
        <v>995</v>
      </c>
      <c r="E340">
        <v>100000000</v>
      </c>
      <c r="L340" t="s">
        <v>58</v>
      </c>
      <c r="O340">
        <v>0</v>
      </c>
      <c r="T340">
        <v>50</v>
      </c>
      <c r="V340">
        <v>50</v>
      </c>
      <c r="W340" t="s">
        <v>996</v>
      </c>
      <c r="X340" t="s">
        <v>1000</v>
      </c>
      <c r="Y340">
        <v>25</v>
      </c>
      <c r="AB340">
        <v>0</v>
      </c>
      <c r="AC340" t="s">
        <v>85</v>
      </c>
      <c r="AI340">
        <v>3</v>
      </c>
    </row>
    <row r="341" spans="1:35" x14ac:dyDescent="0.3">
      <c r="A341" t="s">
        <v>993</v>
      </c>
      <c r="B341" t="s">
        <v>994</v>
      </c>
      <c r="C341" t="s">
        <v>920</v>
      </c>
      <c r="D341" t="s">
        <v>995</v>
      </c>
      <c r="E341">
        <v>100000000</v>
      </c>
      <c r="L341" t="s">
        <v>58</v>
      </c>
      <c r="O341">
        <v>0</v>
      </c>
      <c r="T341">
        <v>50</v>
      </c>
      <c r="V341">
        <v>50</v>
      </c>
      <c r="W341" t="s">
        <v>996</v>
      </c>
      <c r="X341" t="s">
        <v>1000</v>
      </c>
      <c r="Y341">
        <v>25</v>
      </c>
      <c r="AB341">
        <v>4.5999999999999996</v>
      </c>
      <c r="AC341" t="s">
        <v>85</v>
      </c>
      <c r="AI341">
        <v>3</v>
      </c>
    </row>
    <row r="342" spans="1:35" x14ac:dyDescent="0.3">
      <c r="A342" t="s">
        <v>993</v>
      </c>
      <c r="B342" t="s">
        <v>994</v>
      </c>
      <c r="C342" t="s">
        <v>920</v>
      </c>
      <c r="D342" t="s">
        <v>995</v>
      </c>
      <c r="E342">
        <v>100000000</v>
      </c>
      <c r="L342" t="s">
        <v>58</v>
      </c>
      <c r="O342">
        <v>1</v>
      </c>
      <c r="P342" t="s">
        <v>400</v>
      </c>
      <c r="T342">
        <v>25</v>
      </c>
      <c r="V342">
        <v>50</v>
      </c>
      <c r="W342" t="s">
        <v>1001</v>
      </c>
      <c r="X342" t="s">
        <v>997</v>
      </c>
      <c r="Y342">
        <v>1440</v>
      </c>
      <c r="AB342">
        <v>1.5</v>
      </c>
      <c r="AC342" t="s">
        <v>85</v>
      </c>
      <c r="AI342">
        <v>3</v>
      </c>
    </row>
    <row r="343" spans="1:35" x14ac:dyDescent="0.3">
      <c r="A343" t="s">
        <v>993</v>
      </c>
      <c r="B343" t="s">
        <v>994</v>
      </c>
      <c r="C343" t="s">
        <v>920</v>
      </c>
      <c r="D343" t="s">
        <v>995</v>
      </c>
      <c r="E343">
        <v>100000000</v>
      </c>
      <c r="L343" t="s">
        <v>58</v>
      </c>
      <c r="O343">
        <v>100</v>
      </c>
      <c r="P343" t="s">
        <v>121</v>
      </c>
      <c r="T343">
        <v>25</v>
      </c>
      <c r="V343">
        <v>50</v>
      </c>
      <c r="W343" t="s">
        <v>1001</v>
      </c>
      <c r="X343" t="s">
        <v>998</v>
      </c>
      <c r="Y343">
        <v>30</v>
      </c>
      <c r="AB343">
        <v>0.5</v>
      </c>
      <c r="AC343" t="s">
        <v>85</v>
      </c>
      <c r="AI343">
        <v>3</v>
      </c>
    </row>
    <row r="344" spans="1:35" x14ac:dyDescent="0.3">
      <c r="A344" t="s">
        <v>993</v>
      </c>
      <c r="B344" t="s">
        <v>994</v>
      </c>
      <c r="C344" t="s">
        <v>920</v>
      </c>
      <c r="D344" t="s">
        <v>995</v>
      </c>
      <c r="E344">
        <v>100000000</v>
      </c>
      <c r="L344" t="s">
        <v>58</v>
      </c>
      <c r="O344">
        <v>100</v>
      </c>
      <c r="P344" t="s">
        <v>121</v>
      </c>
      <c r="T344">
        <v>25</v>
      </c>
      <c r="V344">
        <v>50</v>
      </c>
      <c r="W344" t="s">
        <v>1001</v>
      </c>
      <c r="X344" t="s">
        <v>999</v>
      </c>
      <c r="Y344">
        <v>30</v>
      </c>
      <c r="AB344">
        <v>3.1</v>
      </c>
      <c r="AC344" t="s">
        <v>85</v>
      </c>
      <c r="AI344">
        <v>3</v>
      </c>
    </row>
    <row r="345" spans="1:35" x14ac:dyDescent="0.3">
      <c r="A345" t="s">
        <v>993</v>
      </c>
      <c r="B345" t="s">
        <v>994</v>
      </c>
      <c r="C345" t="s">
        <v>920</v>
      </c>
      <c r="D345" t="s">
        <v>995</v>
      </c>
      <c r="E345">
        <v>100000000</v>
      </c>
      <c r="L345" t="s">
        <v>58</v>
      </c>
      <c r="O345">
        <v>10</v>
      </c>
      <c r="P345" t="s">
        <v>121</v>
      </c>
      <c r="T345">
        <v>25</v>
      </c>
      <c r="V345">
        <v>50</v>
      </c>
      <c r="W345" t="s">
        <v>1001</v>
      </c>
      <c r="X345" t="s">
        <v>999</v>
      </c>
      <c r="Y345">
        <v>30</v>
      </c>
      <c r="AB345">
        <v>1.5</v>
      </c>
      <c r="AC345" t="s">
        <v>85</v>
      </c>
      <c r="AI345">
        <v>3</v>
      </c>
    </row>
    <row r="346" spans="1:35" x14ac:dyDescent="0.3">
      <c r="A346" t="s">
        <v>993</v>
      </c>
      <c r="B346" t="s">
        <v>994</v>
      </c>
      <c r="C346" t="s">
        <v>920</v>
      </c>
      <c r="D346" t="s">
        <v>995</v>
      </c>
      <c r="E346">
        <v>100000000</v>
      </c>
      <c r="L346" t="s">
        <v>58</v>
      </c>
      <c r="O346">
        <v>10</v>
      </c>
      <c r="P346" t="s">
        <v>121</v>
      </c>
      <c r="T346">
        <v>25</v>
      </c>
      <c r="V346">
        <v>50</v>
      </c>
      <c r="W346" t="s">
        <v>1001</v>
      </c>
      <c r="X346" t="s">
        <v>199</v>
      </c>
      <c r="Y346">
        <v>30</v>
      </c>
      <c r="AB346">
        <v>1.3</v>
      </c>
      <c r="AC346" t="s">
        <v>85</v>
      </c>
      <c r="AI346">
        <v>3</v>
      </c>
    </row>
    <row r="347" spans="1:35" x14ac:dyDescent="0.3">
      <c r="A347" t="s">
        <v>993</v>
      </c>
      <c r="B347" t="s">
        <v>994</v>
      </c>
      <c r="C347" t="s">
        <v>920</v>
      </c>
      <c r="D347" t="s">
        <v>995</v>
      </c>
      <c r="E347">
        <v>100000000</v>
      </c>
      <c r="L347" t="s">
        <v>58</v>
      </c>
      <c r="O347">
        <v>10</v>
      </c>
      <c r="P347" t="s">
        <v>121</v>
      </c>
      <c r="T347">
        <v>25</v>
      </c>
      <c r="V347">
        <v>50</v>
      </c>
      <c r="W347" t="s">
        <v>1001</v>
      </c>
      <c r="X347" t="s">
        <v>999</v>
      </c>
      <c r="Y347">
        <v>30</v>
      </c>
      <c r="AB347">
        <v>2.2999999999999998</v>
      </c>
      <c r="AC347" t="s">
        <v>85</v>
      </c>
      <c r="AI347">
        <v>3</v>
      </c>
    </row>
    <row r="348" spans="1:35" x14ac:dyDescent="0.3">
      <c r="A348" t="s">
        <v>993</v>
      </c>
      <c r="B348" t="s">
        <v>994</v>
      </c>
      <c r="C348" t="s">
        <v>920</v>
      </c>
      <c r="D348" t="s">
        <v>995</v>
      </c>
      <c r="E348">
        <v>100000000</v>
      </c>
      <c r="L348" t="s">
        <v>58</v>
      </c>
      <c r="O348">
        <v>0</v>
      </c>
      <c r="T348">
        <v>50</v>
      </c>
      <c r="V348">
        <v>50</v>
      </c>
      <c r="W348" t="s">
        <v>1001</v>
      </c>
      <c r="X348" t="s">
        <v>1000</v>
      </c>
      <c r="Y348">
        <v>25</v>
      </c>
      <c r="AB348">
        <v>0.4</v>
      </c>
      <c r="AC348" t="s">
        <v>85</v>
      </c>
      <c r="AI348">
        <v>3</v>
      </c>
    </row>
    <row r="349" spans="1:35" x14ac:dyDescent="0.3">
      <c r="A349" t="s">
        <v>993</v>
      </c>
      <c r="B349" t="s">
        <v>994</v>
      </c>
      <c r="C349" t="s">
        <v>920</v>
      </c>
      <c r="D349" t="s">
        <v>995</v>
      </c>
      <c r="E349">
        <v>100000000</v>
      </c>
      <c r="L349" t="s">
        <v>58</v>
      </c>
      <c r="O349">
        <v>0</v>
      </c>
      <c r="T349">
        <v>50</v>
      </c>
      <c r="V349">
        <v>50</v>
      </c>
      <c r="W349" t="s">
        <v>1001</v>
      </c>
      <c r="X349" t="s">
        <v>1000</v>
      </c>
      <c r="Y349">
        <v>25</v>
      </c>
      <c r="AB349">
        <v>2.6</v>
      </c>
      <c r="AC349" t="s">
        <v>85</v>
      </c>
      <c r="AI349">
        <v>3</v>
      </c>
    </row>
    <row r="350" spans="1:35" x14ac:dyDescent="0.3">
      <c r="A350" t="s">
        <v>993</v>
      </c>
      <c r="B350" t="s">
        <v>994</v>
      </c>
      <c r="C350" t="s">
        <v>920</v>
      </c>
      <c r="D350" t="s">
        <v>995</v>
      </c>
      <c r="E350">
        <v>100000000</v>
      </c>
      <c r="L350" t="s">
        <v>58</v>
      </c>
      <c r="O350">
        <v>1</v>
      </c>
      <c r="P350" t="s">
        <v>400</v>
      </c>
      <c r="T350">
        <v>25</v>
      </c>
      <c r="V350">
        <v>50</v>
      </c>
      <c r="W350" t="s">
        <v>996</v>
      </c>
      <c r="X350" t="s">
        <v>997</v>
      </c>
      <c r="Y350">
        <v>1440</v>
      </c>
      <c r="AB350">
        <v>3</v>
      </c>
      <c r="AC350" t="s">
        <v>85</v>
      </c>
      <c r="AI350">
        <v>3</v>
      </c>
    </row>
    <row r="351" spans="1:35" x14ac:dyDescent="0.3">
      <c r="A351" t="s">
        <v>993</v>
      </c>
      <c r="B351" t="s">
        <v>994</v>
      </c>
      <c r="C351" t="s">
        <v>920</v>
      </c>
      <c r="D351" t="s">
        <v>995</v>
      </c>
      <c r="E351">
        <v>100000000</v>
      </c>
      <c r="L351" t="s">
        <v>58</v>
      </c>
      <c r="O351">
        <v>10</v>
      </c>
      <c r="P351" t="s">
        <v>121</v>
      </c>
      <c r="T351">
        <v>25</v>
      </c>
      <c r="V351">
        <v>50</v>
      </c>
      <c r="W351" t="s">
        <v>996</v>
      </c>
      <c r="X351" t="s">
        <v>998</v>
      </c>
      <c r="Y351">
        <v>30</v>
      </c>
      <c r="AB351">
        <v>0</v>
      </c>
      <c r="AC351" t="s">
        <v>85</v>
      </c>
      <c r="AI351">
        <v>3</v>
      </c>
    </row>
    <row r="352" spans="1:35" x14ac:dyDescent="0.3">
      <c r="A352" t="s">
        <v>993</v>
      </c>
      <c r="B352" t="s">
        <v>994</v>
      </c>
      <c r="C352" t="s">
        <v>920</v>
      </c>
      <c r="D352" t="s">
        <v>995</v>
      </c>
      <c r="E352">
        <v>100000000</v>
      </c>
      <c r="L352" t="s">
        <v>58</v>
      </c>
      <c r="O352">
        <v>10</v>
      </c>
      <c r="P352" t="s">
        <v>121</v>
      </c>
      <c r="T352">
        <v>25</v>
      </c>
      <c r="V352">
        <v>50</v>
      </c>
      <c r="W352" t="s">
        <v>996</v>
      </c>
      <c r="X352" t="s">
        <v>999</v>
      </c>
      <c r="Y352">
        <v>30</v>
      </c>
      <c r="AB352">
        <v>3</v>
      </c>
      <c r="AC352" t="s">
        <v>85</v>
      </c>
      <c r="AI352">
        <v>3</v>
      </c>
    </row>
    <row r="353" spans="1:48" x14ac:dyDescent="0.3">
      <c r="A353" t="s">
        <v>993</v>
      </c>
      <c r="B353" t="s">
        <v>994</v>
      </c>
      <c r="C353" t="s">
        <v>920</v>
      </c>
      <c r="D353" t="s">
        <v>995</v>
      </c>
      <c r="E353">
        <v>100000000</v>
      </c>
      <c r="L353" t="s">
        <v>58</v>
      </c>
      <c r="O353">
        <v>10</v>
      </c>
      <c r="P353" t="s">
        <v>121</v>
      </c>
      <c r="T353">
        <v>25</v>
      </c>
      <c r="V353">
        <v>50</v>
      </c>
      <c r="W353" t="s">
        <v>996</v>
      </c>
      <c r="X353" t="s">
        <v>199</v>
      </c>
      <c r="Y353">
        <v>30</v>
      </c>
      <c r="AB353">
        <v>1</v>
      </c>
      <c r="AC353" t="s">
        <v>85</v>
      </c>
      <c r="AI353">
        <v>3</v>
      </c>
    </row>
    <row r="354" spans="1:48" x14ac:dyDescent="0.3">
      <c r="A354" t="s">
        <v>993</v>
      </c>
      <c r="B354" t="s">
        <v>994</v>
      </c>
      <c r="C354" t="s">
        <v>920</v>
      </c>
      <c r="D354" t="s">
        <v>995</v>
      </c>
      <c r="E354">
        <v>100000000</v>
      </c>
      <c r="L354" t="s">
        <v>58</v>
      </c>
      <c r="O354">
        <v>10</v>
      </c>
      <c r="P354" t="s">
        <v>121</v>
      </c>
      <c r="T354">
        <v>25</v>
      </c>
      <c r="V354">
        <v>50</v>
      </c>
      <c r="W354" t="s">
        <v>996</v>
      </c>
      <c r="X354" t="s">
        <v>999</v>
      </c>
      <c r="Y354">
        <v>30</v>
      </c>
      <c r="AB354">
        <v>3.1</v>
      </c>
      <c r="AC354" t="s">
        <v>85</v>
      </c>
      <c r="AI354">
        <v>3</v>
      </c>
    </row>
    <row r="355" spans="1:48" x14ac:dyDescent="0.3">
      <c r="A355" t="s">
        <v>993</v>
      </c>
      <c r="B355" t="s">
        <v>994</v>
      </c>
      <c r="C355" t="s">
        <v>920</v>
      </c>
      <c r="D355" t="s">
        <v>995</v>
      </c>
      <c r="E355">
        <v>100000000</v>
      </c>
      <c r="L355" t="s">
        <v>58</v>
      </c>
      <c r="O355">
        <v>0</v>
      </c>
      <c r="T355">
        <v>50</v>
      </c>
      <c r="V355">
        <v>50</v>
      </c>
      <c r="W355" t="s">
        <v>996</v>
      </c>
      <c r="X355" t="s">
        <v>1000</v>
      </c>
      <c r="Y355">
        <v>25</v>
      </c>
      <c r="AB355">
        <v>0.4</v>
      </c>
      <c r="AC355" t="s">
        <v>85</v>
      </c>
      <c r="AI355">
        <v>3</v>
      </c>
    </row>
    <row r="356" spans="1:48" x14ac:dyDescent="0.3">
      <c r="A356" t="s">
        <v>993</v>
      </c>
      <c r="B356" t="s">
        <v>994</v>
      </c>
      <c r="C356" t="s">
        <v>920</v>
      </c>
      <c r="D356" t="s">
        <v>995</v>
      </c>
      <c r="E356">
        <v>100000000</v>
      </c>
      <c r="L356" t="s">
        <v>58</v>
      </c>
      <c r="O356">
        <v>0</v>
      </c>
      <c r="T356">
        <v>50</v>
      </c>
      <c r="V356">
        <v>50</v>
      </c>
      <c r="W356" t="s">
        <v>996</v>
      </c>
      <c r="X356" t="s">
        <v>1000</v>
      </c>
      <c r="Y356">
        <v>25</v>
      </c>
      <c r="AB356">
        <v>4.0999999999999996</v>
      </c>
      <c r="AC356" t="s">
        <v>85</v>
      </c>
      <c r="AI356">
        <v>3</v>
      </c>
    </row>
    <row r="357" spans="1:48" x14ac:dyDescent="0.3">
      <c r="A357" t="s">
        <v>993</v>
      </c>
      <c r="B357" t="s">
        <v>994</v>
      </c>
      <c r="C357" t="s">
        <v>920</v>
      </c>
      <c r="D357" t="s">
        <v>995</v>
      </c>
      <c r="E357">
        <v>100000000</v>
      </c>
      <c r="L357" t="s">
        <v>58</v>
      </c>
      <c r="O357">
        <v>1</v>
      </c>
      <c r="P357" t="s">
        <v>400</v>
      </c>
      <c r="T357">
        <v>25</v>
      </c>
      <c r="V357">
        <v>50</v>
      </c>
      <c r="W357" t="s">
        <v>1001</v>
      </c>
      <c r="X357" t="s">
        <v>997</v>
      </c>
      <c r="Y357">
        <v>1440</v>
      </c>
      <c r="AB357">
        <v>2.5</v>
      </c>
      <c r="AC357" t="s">
        <v>85</v>
      </c>
      <c r="AI357">
        <v>3</v>
      </c>
    </row>
    <row r="358" spans="1:48" x14ac:dyDescent="0.3">
      <c r="A358" t="s">
        <v>993</v>
      </c>
      <c r="B358" t="s">
        <v>994</v>
      </c>
      <c r="C358" t="s">
        <v>920</v>
      </c>
      <c r="D358" t="s">
        <v>995</v>
      </c>
      <c r="E358">
        <v>100000000</v>
      </c>
      <c r="L358" t="s">
        <v>58</v>
      </c>
      <c r="O358">
        <v>100</v>
      </c>
      <c r="P358" t="s">
        <v>121</v>
      </c>
      <c r="T358">
        <v>25</v>
      </c>
      <c r="V358">
        <v>50</v>
      </c>
      <c r="W358" t="s">
        <v>1001</v>
      </c>
      <c r="X358" t="s">
        <v>998</v>
      </c>
      <c r="Y358">
        <v>30</v>
      </c>
      <c r="AB358">
        <v>0.4</v>
      </c>
      <c r="AC358" t="s">
        <v>85</v>
      </c>
      <c r="AI358">
        <v>3</v>
      </c>
    </row>
    <row r="359" spans="1:48" x14ac:dyDescent="0.3">
      <c r="A359" t="s">
        <v>993</v>
      </c>
      <c r="B359" t="s">
        <v>994</v>
      </c>
      <c r="C359" t="s">
        <v>920</v>
      </c>
      <c r="D359" t="s">
        <v>995</v>
      </c>
      <c r="E359">
        <v>100000000</v>
      </c>
      <c r="L359" t="s">
        <v>58</v>
      </c>
      <c r="O359">
        <v>10</v>
      </c>
      <c r="P359" t="s">
        <v>121</v>
      </c>
      <c r="T359">
        <v>25</v>
      </c>
      <c r="V359">
        <v>50</v>
      </c>
      <c r="W359" t="s">
        <v>1001</v>
      </c>
      <c r="X359" t="s">
        <v>999</v>
      </c>
      <c r="Y359">
        <v>30</v>
      </c>
      <c r="AB359">
        <v>3.4</v>
      </c>
      <c r="AC359" t="s">
        <v>85</v>
      </c>
      <c r="AI359">
        <v>3</v>
      </c>
    </row>
    <row r="360" spans="1:48" x14ac:dyDescent="0.3">
      <c r="A360" t="s">
        <v>993</v>
      </c>
      <c r="B360" t="s">
        <v>994</v>
      </c>
      <c r="C360" t="s">
        <v>920</v>
      </c>
      <c r="D360" t="s">
        <v>995</v>
      </c>
      <c r="E360">
        <v>100000000</v>
      </c>
      <c r="L360" t="s">
        <v>58</v>
      </c>
      <c r="O360">
        <v>10</v>
      </c>
      <c r="P360" t="s">
        <v>121</v>
      </c>
      <c r="T360">
        <v>25</v>
      </c>
      <c r="V360">
        <v>50</v>
      </c>
      <c r="W360" t="s">
        <v>1001</v>
      </c>
      <c r="X360" t="s">
        <v>199</v>
      </c>
      <c r="Y360">
        <v>30</v>
      </c>
      <c r="AB360">
        <v>1.3</v>
      </c>
      <c r="AC360" t="s">
        <v>85</v>
      </c>
      <c r="AI360">
        <v>3</v>
      </c>
    </row>
    <row r="361" spans="1:48" x14ac:dyDescent="0.3">
      <c r="A361" t="s">
        <v>993</v>
      </c>
      <c r="B361" t="s">
        <v>994</v>
      </c>
      <c r="C361" t="s">
        <v>920</v>
      </c>
      <c r="D361" t="s">
        <v>995</v>
      </c>
      <c r="E361">
        <v>100000000</v>
      </c>
      <c r="L361" t="s">
        <v>58</v>
      </c>
      <c r="O361">
        <v>10</v>
      </c>
      <c r="P361" t="s">
        <v>121</v>
      </c>
      <c r="T361">
        <v>25</v>
      </c>
      <c r="V361">
        <v>50</v>
      </c>
      <c r="W361" t="s">
        <v>1001</v>
      </c>
      <c r="X361" t="s">
        <v>999</v>
      </c>
      <c r="Y361">
        <v>30</v>
      </c>
      <c r="AB361">
        <v>3.4</v>
      </c>
      <c r="AC361" t="s">
        <v>85</v>
      </c>
      <c r="AI361">
        <v>3</v>
      </c>
    </row>
    <row r="362" spans="1:48" x14ac:dyDescent="0.3">
      <c r="A362" t="s">
        <v>993</v>
      </c>
      <c r="B362" t="s">
        <v>994</v>
      </c>
      <c r="C362" t="s">
        <v>920</v>
      </c>
      <c r="D362" t="s">
        <v>995</v>
      </c>
      <c r="E362">
        <v>100000000</v>
      </c>
      <c r="L362" t="s">
        <v>58</v>
      </c>
      <c r="O362">
        <v>0</v>
      </c>
      <c r="T362">
        <v>50</v>
      </c>
      <c r="V362">
        <v>50</v>
      </c>
      <c r="W362" t="s">
        <v>1001</v>
      </c>
      <c r="X362" t="s">
        <v>1000</v>
      </c>
      <c r="Y362">
        <v>25</v>
      </c>
      <c r="AB362">
        <v>0.7</v>
      </c>
      <c r="AC362" t="s">
        <v>85</v>
      </c>
      <c r="AI362">
        <v>3</v>
      </c>
    </row>
    <row r="363" spans="1:48" x14ac:dyDescent="0.3">
      <c r="A363" t="s">
        <v>993</v>
      </c>
      <c r="B363" t="s">
        <v>994</v>
      </c>
      <c r="C363" t="s">
        <v>920</v>
      </c>
      <c r="D363" t="s">
        <v>995</v>
      </c>
      <c r="E363">
        <v>100000000</v>
      </c>
      <c r="L363" t="s">
        <v>58</v>
      </c>
      <c r="O363">
        <v>0</v>
      </c>
      <c r="T363">
        <v>50</v>
      </c>
      <c r="V363">
        <v>50</v>
      </c>
      <c r="W363" t="s">
        <v>1001</v>
      </c>
      <c r="X363" t="s">
        <v>1000</v>
      </c>
      <c r="Y363">
        <v>25</v>
      </c>
      <c r="AB363">
        <v>4.5999999999999996</v>
      </c>
      <c r="AC363" t="s">
        <v>85</v>
      </c>
      <c r="AI363">
        <v>3</v>
      </c>
    </row>
    <row r="364" spans="1:48" x14ac:dyDescent="0.3">
      <c r="A364" t="s">
        <v>1002</v>
      </c>
      <c r="C364" t="s">
        <v>920</v>
      </c>
      <c r="D364" t="s">
        <v>81</v>
      </c>
      <c r="E364">
        <v>100000000</v>
      </c>
      <c r="H364">
        <v>25</v>
      </c>
      <c r="I364" t="s">
        <v>446</v>
      </c>
      <c r="J364">
        <v>2.5000000000000001E-5</v>
      </c>
      <c r="K364" t="s">
        <v>57</v>
      </c>
      <c r="N364" t="s">
        <v>1003</v>
      </c>
      <c r="O364">
        <v>3000</v>
      </c>
      <c r="P364" t="s">
        <v>121</v>
      </c>
      <c r="S364">
        <v>1</v>
      </c>
      <c r="T364">
        <v>20</v>
      </c>
      <c r="V364">
        <v>50</v>
      </c>
      <c r="W364" t="s">
        <v>150</v>
      </c>
      <c r="X364" t="s">
        <v>199</v>
      </c>
      <c r="Y364">
        <v>10</v>
      </c>
      <c r="AB364">
        <v>0.56000000000000005</v>
      </c>
      <c r="AC364" t="s">
        <v>85</v>
      </c>
      <c r="AD364" t="s">
        <v>98</v>
      </c>
      <c r="AE364" t="s">
        <v>63</v>
      </c>
      <c r="AI364">
        <v>24</v>
      </c>
      <c r="AT364" t="s">
        <v>150</v>
      </c>
      <c r="AV364" t="s">
        <v>448</v>
      </c>
    </row>
    <row r="365" spans="1:48" x14ac:dyDescent="0.3">
      <c r="A365" t="s">
        <v>1002</v>
      </c>
      <c r="C365" t="s">
        <v>920</v>
      </c>
      <c r="D365" t="s">
        <v>81</v>
      </c>
      <c r="E365">
        <v>100000000</v>
      </c>
      <c r="H365">
        <v>25</v>
      </c>
      <c r="I365" t="s">
        <v>446</v>
      </c>
      <c r="J365">
        <v>2.5000000000000001E-5</v>
      </c>
      <c r="K365" t="s">
        <v>57</v>
      </c>
      <c r="N365" t="s">
        <v>1004</v>
      </c>
      <c r="O365">
        <v>6000</v>
      </c>
      <c r="P365" t="s">
        <v>121</v>
      </c>
      <c r="S365">
        <v>1</v>
      </c>
      <c r="T365">
        <v>20</v>
      </c>
      <c r="V365">
        <v>50</v>
      </c>
      <c r="W365" t="s">
        <v>150</v>
      </c>
      <c r="X365" t="s">
        <v>199</v>
      </c>
      <c r="Y365">
        <v>10</v>
      </c>
      <c r="AB365">
        <v>3.92</v>
      </c>
      <c r="AC365" t="s">
        <v>85</v>
      </c>
      <c r="AD365" t="s">
        <v>556</v>
      </c>
      <c r="AE365" t="s">
        <v>63</v>
      </c>
      <c r="AI365">
        <v>24</v>
      </c>
      <c r="AT365" t="s">
        <v>150</v>
      </c>
      <c r="AV365" t="s">
        <v>448</v>
      </c>
    </row>
    <row r="366" spans="1:48" x14ac:dyDescent="0.3">
      <c r="A366" t="s">
        <v>1002</v>
      </c>
      <c r="C366" t="s">
        <v>920</v>
      </c>
      <c r="D366" t="s">
        <v>81</v>
      </c>
      <c r="E366">
        <v>100000000</v>
      </c>
      <c r="H366">
        <v>25</v>
      </c>
      <c r="I366" t="s">
        <v>446</v>
      </c>
      <c r="J366">
        <v>2.5000000000000001E-5</v>
      </c>
      <c r="K366" t="s">
        <v>57</v>
      </c>
      <c r="N366" t="s">
        <v>1004</v>
      </c>
      <c r="O366">
        <v>6000</v>
      </c>
      <c r="P366" t="s">
        <v>121</v>
      </c>
      <c r="S366">
        <v>1</v>
      </c>
      <c r="T366">
        <v>20</v>
      </c>
      <c r="V366">
        <v>50</v>
      </c>
      <c r="W366" t="s">
        <v>150</v>
      </c>
      <c r="X366" t="s">
        <v>199</v>
      </c>
      <c r="Y366">
        <v>30</v>
      </c>
      <c r="AB366">
        <v>5.71</v>
      </c>
      <c r="AC366" t="s">
        <v>85</v>
      </c>
      <c r="AD366" t="s">
        <v>636</v>
      </c>
      <c r="AE366" t="s">
        <v>63</v>
      </c>
      <c r="AI366">
        <v>24</v>
      </c>
      <c r="AT366" t="s">
        <v>150</v>
      </c>
      <c r="AV366" t="s">
        <v>448</v>
      </c>
    </row>
    <row r="367" spans="1:48" x14ac:dyDescent="0.3">
      <c r="A367" t="s">
        <v>1002</v>
      </c>
      <c r="C367" t="s">
        <v>920</v>
      </c>
      <c r="D367" t="s">
        <v>81</v>
      </c>
      <c r="E367">
        <v>100000000</v>
      </c>
      <c r="H367">
        <v>25</v>
      </c>
      <c r="I367" t="s">
        <v>446</v>
      </c>
      <c r="J367">
        <v>2.5000000000000001E-5</v>
      </c>
      <c r="K367" t="s">
        <v>57</v>
      </c>
      <c r="O367">
        <v>0.08</v>
      </c>
      <c r="P367" t="s">
        <v>59</v>
      </c>
      <c r="S367">
        <v>1</v>
      </c>
      <c r="T367">
        <v>20</v>
      </c>
      <c r="V367">
        <v>50</v>
      </c>
      <c r="W367" t="s">
        <v>150</v>
      </c>
      <c r="X367" t="s">
        <v>199</v>
      </c>
      <c r="Y367">
        <v>1</v>
      </c>
      <c r="AB367">
        <v>1.41</v>
      </c>
      <c r="AC367" t="s">
        <v>85</v>
      </c>
      <c r="AD367" t="s">
        <v>665</v>
      </c>
      <c r="AE367" t="s">
        <v>63</v>
      </c>
      <c r="AI367">
        <v>24</v>
      </c>
      <c r="AT367" t="s">
        <v>150</v>
      </c>
      <c r="AV367" t="s">
        <v>448</v>
      </c>
    </row>
    <row r="368" spans="1:48" x14ac:dyDescent="0.3">
      <c r="A368" t="s">
        <v>1002</v>
      </c>
      <c r="C368" t="s">
        <v>920</v>
      </c>
      <c r="D368" t="s">
        <v>81</v>
      </c>
      <c r="E368">
        <v>100000000</v>
      </c>
      <c r="H368">
        <v>25</v>
      </c>
      <c r="I368" t="s">
        <v>446</v>
      </c>
      <c r="J368">
        <v>2.5000000000000001E-5</v>
      </c>
      <c r="K368" t="s">
        <v>57</v>
      </c>
      <c r="O368">
        <v>0.08</v>
      </c>
      <c r="P368" t="s">
        <v>59</v>
      </c>
      <c r="S368">
        <v>1</v>
      </c>
      <c r="T368">
        <v>20</v>
      </c>
      <c r="V368">
        <v>50</v>
      </c>
      <c r="W368" t="s">
        <v>150</v>
      </c>
      <c r="X368" t="s">
        <v>199</v>
      </c>
      <c r="Y368">
        <v>10</v>
      </c>
      <c r="AB368">
        <v>5.85</v>
      </c>
      <c r="AC368" t="s">
        <v>85</v>
      </c>
      <c r="AD368" t="s">
        <v>488</v>
      </c>
      <c r="AE368" t="s">
        <v>63</v>
      </c>
      <c r="AI368">
        <v>24</v>
      </c>
      <c r="AT368" t="s">
        <v>150</v>
      </c>
      <c r="AV368" t="s">
        <v>448</v>
      </c>
    </row>
    <row r="369" spans="1:48" x14ac:dyDescent="0.3">
      <c r="A369" t="s">
        <v>1002</v>
      </c>
      <c r="C369" t="s">
        <v>920</v>
      </c>
      <c r="D369" t="s">
        <v>81</v>
      </c>
      <c r="E369">
        <v>100000000</v>
      </c>
      <c r="H369">
        <v>25</v>
      </c>
      <c r="I369" t="s">
        <v>446</v>
      </c>
      <c r="J369">
        <v>2.5000000000000001E-5</v>
      </c>
      <c r="K369" t="s">
        <v>57</v>
      </c>
      <c r="O369">
        <v>0.08</v>
      </c>
      <c r="P369" t="s">
        <v>59</v>
      </c>
      <c r="S369">
        <v>1</v>
      </c>
      <c r="T369">
        <v>20</v>
      </c>
      <c r="V369">
        <v>50</v>
      </c>
      <c r="W369" t="s">
        <v>150</v>
      </c>
      <c r="X369" t="s">
        <v>199</v>
      </c>
      <c r="Y369">
        <v>30</v>
      </c>
      <c r="AB369">
        <v>5.85</v>
      </c>
      <c r="AC369" t="s">
        <v>85</v>
      </c>
      <c r="AD369" t="s">
        <v>666</v>
      </c>
      <c r="AE369" t="s">
        <v>63</v>
      </c>
      <c r="AI369">
        <v>24</v>
      </c>
      <c r="AT369" t="s">
        <v>150</v>
      </c>
      <c r="AV369" t="s">
        <v>448</v>
      </c>
    </row>
    <row r="370" spans="1:48" x14ac:dyDescent="0.3">
      <c r="A370" t="s">
        <v>1002</v>
      </c>
      <c r="C370" t="s">
        <v>920</v>
      </c>
      <c r="D370" t="s">
        <v>81</v>
      </c>
      <c r="E370">
        <v>100000000</v>
      </c>
      <c r="H370">
        <v>25</v>
      </c>
      <c r="I370" t="s">
        <v>446</v>
      </c>
      <c r="J370">
        <v>2.5000000000000001E-5</v>
      </c>
      <c r="K370" t="s">
        <v>57</v>
      </c>
      <c r="O370">
        <v>2.6</v>
      </c>
      <c r="P370" t="s">
        <v>59</v>
      </c>
      <c r="S370">
        <v>1</v>
      </c>
      <c r="T370">
        <v>20</v>
      </c>
      <c r="V370">
        <v>50</v>
      </c>
      <c r="W370" t="s">
        <v>150</v>
      </c>
      <c r="X370" t="s">
        <v>199</v>
      </c>
      <c r="Y370">
        <v>10</v>
      </c>
      <c r="AB370">
        <v>7.0000000000000007E-2</v>
      </c>
      <c r="AC370" t="s">
        <v>85</v>
      </c>
      <c r="AD370" t="s">
        <v>433</v>
      </c>
      <c r="AE370" t="s">
        <v>63</v>
      </c>
      <c r="AI370">
        <v>24</v>
      </c>
      <c r="AT370" t="s">
        <v>150</v>
      </c>
      <c r="AV370" t="s">
        <v>448</v>
      </c>
    </row>
    <row r="371" spans="1:48" x14ac:dyDescent="0.3">
      <c r="A371" t="s">
        <v>1002</v>
      </c>
      <c r="C371" t="s">
        <v>920</v>
      </c>
      <c r="D371" t="s">
        <v>81</v>
      </c>
      <c r="E371">
        <v>100000000</v>
      </c>
      <c r="H371">
        <v>25</v>
      </c>
      <c r="I371" t="s">
        <v>446</v>
      </c>
      <c r="J371">
        <v>2.5000000000000001E-5</v>
      </c>
      <c r="K371" t="s">
        <v>57</v>
      </c>
      <c r="O371">
        <v>2.6</v>
      </c>
      <c r="P371" t="s">
        <v>59</v>
      </c>
      <c r="S371">
        <v>1</v>
      </c>
      <c r="T371">
        <v>20</v>
      </c>
      <c r="V371">
        <v>50</v>
      </c>
      <c r="W371" t="s">
        <v>150</v>
      </c>
      <c r="X371" t="s">
        <v>199</v>
      </c>
      <c r="Y371">
        <v>60</v>
      </c>
      <c r="AB371">
        <v>3.81</v>
      </c>
      <c r="AC371" t="s">
        <v>85</v>
      </c>
      <c r="AD371" t="s">
        <v>230</v>
      </c>
      <c r="AE371" t="s">
        <v>63</v>
      </c>
      <c r="AI371">
        <v>24</v>
      </c>
      <c r="AT371" t="s">
        <v>150</v>
      </c>
      <c r="AV371" t="s">
        <v>448</v>
      </c>
    </row>
    <row r="372" spans="1:48" x14ac:dyDescent="0.3">
      <c r="A372" t="s">
        <v>1002</v>
      </c>
      <c r="C372" t="s">
        <v>920</v>
      </c>
      <c r="D372" t="s">
        <v>81</v>
      </c>
      <c r="E372">
        <v>100000000</v>
      </c>
      <c r="H372">
        <v>25</v>
      </c>
      <c r="I372" t="s">
        <v>446</v>
      </c>
      <c r="J372">
        <v>2.5000000000000001E-5</v>
      </c>
      <c r="K372" t="s">
        <v>57</v>
      </c>
      <c r="O372">
        <v>2.6</v>
      </c>
      <c r="P372" t="s">
        <v>59</v>
      </c>
      <c r="S372">
        <v>1</v>
      </c>
      <c r="T372">
        <v>20</v>
      </c>
      <c r="V372">
        <v>50</v>
      </c>
      <c r="W372" t="s">
        <v>150</v>
      </c>
      <c r="X372" t="s">
        <v>199</v>
      </c>
      <c r="Y372">
        <v>180</v>
      </c>
      <c r="AB372">
        <v>5.47</v>
      </c>
      <c r="AC372" t="s">
        <v>85</v>
      </c>
      <c r="AD372" t="s">
        <v>585</v>
      </c>
      <c r="AE372" t="s">
        <v>63</v>
      </c>
      <c r="AI372">
        <v>24</v>
      </c>
      <c r="AT372" t="s">
        <v>150</v>
      </c>
      <c r="AV372" t="s">
        <v>448</v>
      </c>
    </row>
    <row r="373" spans="1:48" x14ac:dyDescent="0.3">
      <c r="A373" t="s">
        <v>1002</v>
      </c>
      <c r="C373" t="s">
        <v>920</v>
      </c>
      <c r="D373" t="s">
        <v>81</v>
      </c>
      <c r="E373">
        <v>100000000</v>
      </c>
      <c r="H373">
        <v>25</v>
      </c>
      <c r="I373" t="s">
        <v>446</v>
      </c>
      <c r="J373">
        <v>2.5000000000000001E-5</v>
      </c>
      <c r="K373" t="s">
        <v>57</v>
      </c>
      <c r="N373" t="s">
        <v>1003</v>
      </c>
      <c r="O373">
        <v>3000</v>
      </c>
      <c r="P373" t="s">
        <v>121</v>
      </c>
      <c r="S373">
        <v>1</v>
      </c>
      <c r="T373">
        <v>20</v>
      </c>
      <c r="V373">
        <v>50</v>
      </c>
      <c r="W373" t="s">
        <v>150</v>
      </c>
      <c r="X373" t="s">
        <v>199</v>
      </c>
      <c r="Y373">
        <v>10</v>
      </c>
      <c r="AB373">
        <v>1.3</v>
      </c>
      <c r="AC373" t="s">
        <v>85</v>
      </c>
      <c r="AD373" t="s">
        <v>636</v>
      </c>
      <c r="AE373" t="s">
        <v>63</v>
      </c>
      <c r="AI373">
        <v>3</v>
      </c>
      <c r="AT373" t="s">
        <v>150</v>
      </c>
      <c r="AV373" t="s">
        <v>448</v>
      </c>
    </row>
    <row r="374" spans="1:48" x14ac:dyDescent="0.3">
      <c r="A374" t="s">
        <v>1002</v>
      </c>
      <c r="C374" t="s">
        <v>920</v>
      </c>
      <c r="D374" t="s">
        <v>81</v>
      </c>
      <c r="E374">
        <v>100000000</v>
      </c>
      <c r="H374">
        <v>25</v>
      </c>
      <c r="I374" t="s">
        <v>446</v>
      </c>
      <c r="J374">
        <v>2.5000000000000001E-5</v>
      </c>
      <c r="K374" t="s">
        <v>57</v>
      </c>
      <c r="N374" t="s">
        <v>1003</v>
      </c>
      <c r="O374">
        <v>3000</v>
      </c>
      <c r="P374" t="s">
        <v>121</v>
      </c>
      <c r="S374">
        <v>1</v>
      </c>
      <c r="T374">
        <v>20</v>
      </c>
      <c r="V374">
        <v>50</v>
      </c>
      <c r="W374" t="s">
        <v>150</v>
      </c>
      <c r="X374" t="s">
        <v>199</v>
      </c>
      <c r="Y374">
        <v>10</v>
      </c>
      <c r="AB374">
        <v>4.5</v>
      </c>
      <c r="AC374" t="s">
        <v>85</v>
      </c>
      <c r="AD374" t="s">
        <v>497</v>
      </c>
      <c r="AE374" t="s">
        <v>63</v>
      </c>
      <c r="AI374">
        <v>3</v>
      </c>
      <c r="AT374" t="s">
        <v>150</v>
      </c>
      <c r="AV374" t="s">
        <v>448</v>
      </c>
    </row>
    <row r="375" spans="1:48" x14ac:dyDescent="0.3">
      <c r="A375" t="s">
        <v>1002</v>
      </c>
      <c r="C375" t="s">
        <v>920</v>
      </c>
      <c r="D375" t="s">
        <v>81</v>
      </c>
      <c r="E375">
        <v>100000000</v>
      </c>
      <c r="H375">
        <v>25</v>
      </c>
      <c r="I375" t="s">
        <v>446</v>
      </c>
      <c r="J375">
        <v>2.5000000000000001E-5</v>
      </c>
      <c r="K375" t="s">
        <v>57</v>
      </c>
      <c r="N375" t="s">
        <v>1003</v>
      </c>
      <c r="O375">
        <v>3000</v>
      </c>
      <c r="P375" t="s">
        <v>121</v>
      </c>
      <c r="S375">
        <v>1</v>
      </c>
      <c r="T375">
        <v>20</v>
      </c>
      <c r="V375">
        <v>50</v>
      </c>
      <c r="W375" t="s">
        <v>150</v>
      </c>
      <c r="X375" t="s">
        <v>199</v>
      </c>
      <c r="Y375">
        <v>10</v>
      </c>
      <c r="AB375">
        <v>4.5999999999999899</v>
      </c>
      <c r="AC375" t="s">
        <v>85</v>
      </c>
      <c r="AD375" t="s">
        <v>1005</v>
      </c>
      <c r="AE375" t="s">
        <v>63</v>
      </c>
      <c r="AI375">
        <v>3</v>
      </c>
      <c r="AT375" t="s">
        <v>150</v>
      </c>
      <c r="AV375" t="s">
        <v>448</v>
      </c>
    </row>
    <row r="376" spans="1:48" x14ac:dyDescent="0.3">
      <c r="A376" t="s">
        <v>1002</v>
      </c>
      <c r="C376" t="s">
        <v>920</v>
      </c>
      <c r="D376" t="s">
        <v>81</v>
      </c>
      <c r="E376">
        <v>100000000</v>
      </c>
      <c r="H376">
        <v>25</v>
      </c>
      <c r="I376" t="s">
        <v>446</v>
      </c>
      <c r="J376">
        <v>2.5000000000000001E-5</v>
      </c>
      <c r="K376" t="s">
        <v>57</v>
      </c>
      <c r="N376" t="s">
        <v>1003</v>
      </c>
      <c r="O376">
        <v>3000</v>
      </c>
      <c r="P376" t="s">
        <v>121</v>
      </c>
      <c r="S376">
        <v>1</v>
      </c>
      <c r="T376">
        <v>20</v>
      </c>
      <c r="V376">
        <v>50</v>
      </c>
      <c r="W376" t="s">
        <v>150</v>
      </c>
      <c r="X376" t="s">
        <v>199</v>
      </c>
      <c r="Y376">
        <v>10</v>
      </c>
      <c r="AB376">
        <v>4.9000000000000004</v>
      </c>
      <c r="AC376" t="s">
        <v>85</v>
      </c>
      <c r="AD376" t="s">
        <v>519</v>
      </c>
      <c r="AE376" t="s">
        <v>63</v>
      </c>
      <c r="AI376">
        <v>3</v>
      </c>
      <c r="AT376" t="s">
        <v>150</v>
      </c>
      <c r="AV376" t="s">
        <v>448</v>
      </c>
    </row>
    <row r="377" spans="1:48" x14ac:dyDescent="0.3">
      <c r="A377" t="s">
        <v>1002</v>
      </c>
      <c r="C377" t="s">
        <v>920</v>
      </c>
      <c r="D377" t="s">
        <v>81</v>
      </c>
      <c r="E377">
        <v>100000000</v>
      </c>
      <c r="H377">
        <v>25</v>
      </c>
      <c r="I377" t="s">
        <v>446</v>
      </c>
      <c r="J377">
        <v>2.5000000000000001E-5</v>
      </c>
      <c r="K377" t="s">
        <v>57</v>
      </c>
      <c r="N377" t="s">
        <v>1003</v>
      </c>
      <c r="O377">
        <v>3000</v>
      </c>
      <c r="P377" t="s">
        <v>121</v>
      </c>
      <c r="S377">
        <v>1</v>
      </c>
      <c r="T377">
        <v>20</v>
      </c>
      <c r="V377">
        <v>50</v>
      </c>
      <c r="W377" t="s">
        <v>150</v>
      </c>
      <c r="X377" t="s">
        <v>199</v>
      </c>
      <c r="Y377">
        <v>10</v>
      </c>
      <c r="AB377">
        <v>5.8</v>
      </c>
      <c r="AC377" t="s">
        <v>85</v>
      </c>
      <c r="AD377" t="s">
        <v>557</v>
      </c>
      <c r="AE377" t="s">
        <v>63</v>
      </c>
      <c r="AI377">
        <v>3</v>
      </c>
      <c r="AT377" t="s">
        <v>150</v>
      </c>
      <c r="AV377" t="s">
        <v>448</v>
      </c>
    </row>
    <row r="378" spans="1:48" x14ac:dyDescent="0.3">
      <c r="A378" t="s">
        <v>1002</v>
      </c>
      <c r="C378" t="s">
        <v>920</v>
      </c>
      <c r="D378" t="s">
        <v>81</v>
      </c>
      <c r="E378">
        <v>100000000</v>
      </c>
      <c r="H378">
        <v>25</v>
      </c>
      <c r="I378" t="s">
        <v>446</v>
      </c>
      <c r="J378">
        <v>2.5000000000000001E-5</v>
      </c>
      <c r="K378" t="s">
        <v>57</v>
      </c>
      <c r="N378" t="s">
        <v>1003</v>
      </c>
      <c r="O378">
        <v>3000</v>
      </c>
      <c r="P378" t="s">
        <v>121</v>
      </c>
      <c r="S378">
        <v>1</v>
      </c>
      <c r="T378">
        <v>20</v>
      </c>
      <c r="V378">
        <v>50</v>
      </c>
      <c r="W378" t="s">
        <v>150</v>
      </c>
      <c r="X378" t="s">
        <v>199</v>
      </c>
      <c r="Y378">
        <v>10</v>
      </c>
      <c r="AB378">
        <v>6.1</v>
      </c>
      <c r="AC378" t="s">
        <v>85</v>
      </c>
      <c r="AD378" t="s">
        <v>503</v>
      </c>
      <c r="AE378" t="s">
        <v>63</v>
      </c>
      <c r="AI378">
        <v>3</v>
      </c>
      <c r="AT378" t="s">
        <v>150</v>
      </c>
      <c r="AV378" t="s">
        <v>448</v>
      </c>
    </row>
    <row r="379" spans="1:48" x14ac:dyDescent="0.3">
      <c r="A379" t="s">
        <v>1002</v>
      </c>
      <c r="C379" t="s">
        <v>920</v>
      </c>
      <c r="D379" t="s">
        <v>81</v>
      </c>
      <c r="E379">
        <v>100000000</v>
      </c>
      <c r="H379">
        <v>25</v>
      </c>
      <c r="I379" t="s">
        <v>446</v>
      </c>
      <c r="J379">
        <v>2.5000000000000001E-5</v>
      </c>
      <c r="K379" t="s">
        <v>57</v>
      </c>
      <c r="O379">
        <v>0.08</v>
      </c>
      <c r="P379" t="s">
        <v>59</v>
      </c>
      <c r="S379">
        <v>1</v>
      </c>
      <c r="T379">
        <v>20</v>
      </c>
      <c r="V379">
        <v>50</v>
      </c>
      <c r="W379" t="s">
        <v>150</v>
      </c>
      <c r="X379" t="s">
        <v>199</v>
      </c>
      <c r="Y379">
        <v>10</v>
      </c>
      <c r="AB379">
        <v>5.5</v>
      </c>
      <c r="AC379" t="s">
        <v>85</v>
      </c>
      <c r="AD379" t="s">
        <v>239</v>
      </c>
      <c r="AE379" t="s">
        <v>63</v>
      </c>
      <c r="AI379">
        <v>3</v>
      </c>
      <c r="AT379" t="s">
        <v>150</v>
      </c>
      <c r="AV379" t="s">
        <v>448</v>
      </c>
    </row>
    <row r="380" spans="1:48" x14ac:dyDescent="0.3">
      <c r="A380" t="s">
        <v>1002</v>
      </c>
      <c r="C380" t="s">
        <v>920</v>
      </c>
      <c r="D380" t="s">
        <v>81</v>
      </c>
      <c r="E380">
        <v>100000000</v>
      </c>
      <c r="H380">
        <v>25</v>
      </c>
      <c r="I380" t="s">
        <v>446</v>
      </c>
      <c r="J380">
        <v>2.5000000000000001E-5</v>
      </c>
      <c r="K380" t="s">
        <v>57</v>
      </c>
      <c r="O380">
        <v>0.08</v>
      </c>
      <c r="P380" t="s">
        <v>59</v>
      </c>
      <c r="S380">
        <v>1</v>
      </c>
      <c r="T380">
        <v>20</v>
      </c>
      <c r="V380">
        <v>50</v>
      </c>
      <c r="W380" t="s">
        <v>150</v>
      </c>
      <c r="X380" t="s">
        <v>199</v>
      </c>
      <c r="Y380">
        <v>10</v>
      </c>
      <c r="AB380">
        <v>5.0999999999999899</v>
      </c>
      <c r="AC380" t="s">
        <v>85</v>
      </c>
      <c r="AD380" t="s">
        <v>334</v>
      </c>
      <c r="AE380" t="s">
        <v>63</v>
      </c>
      <c r="AI380">
        <v>3</v>
      </c>
      <c r="AT380" t="s">
        <v>150</v>
      </c>
      <c r="AV380" t="s">
        <v>448</v>
      </c>
    </row>
    <row r="381" spans="1:48" x14ac:dyDescent="0.3">
      <c r="A381" t="s">
        <v>1002</v>
      </c>
      <c r="C381" t="s">
        <v>920</v>
      </c>
      <c r="D381" t="s">
        <v>81</v>
      </c>
      <c r="E381">
        <v>100000000</v>
      </c>
      <c r="H381">
        <v>25</v>
      </c>
      <c r="I381" t="s">
        <v>446</v>
      </c>
      <c r="J381">
        <v>2.5000000000000001E-5</v>
      </c>
      <c r="K381" t="s">
        <v>57</v>
      </c>
      <c r="O381">
        <v>0.08</v>
      </c>
      <c r="P381" t="s">
        <v>59</v>
      </c>
      <c r="S381">
        <v>1</v>
      </c>
      <c r="T381">
        <v>20</v>
      </c>
      <c r="V381">
        <v>50</v>
      </c>
      <c r="W381" t="s">
        <v>150</v>
      </c>
      <c r="X381" t="s">
        <v>199</v>
      </c>
      <c r="Y381">
        <v>10</v>
      </c>
      <c r="AB381">
        <v>5.9</v>
      </c>
      <c r="AC381" t="s">
        <v>85</v>
      </c>
      <c r="AD381" t="s">
        <v>650</v>
      </c>
      <c r="AE381" t="s">
        <v>63</v>
      </c>
      <c r="AI381">
        <v>3</v>
      </c>
      <c r="AT381" t="s">
        <v>150</v>
      </c>
      <c r="AV381" t="s">
        <v>448</v>
      </c>
    </row>
    <row r="382" spans="1:48" x14ac:dyDescent="0.3">
      <c r="A382" t="s">
        <v>1006</v>
      </c>
      <c r="C382" t="s">
        <v>920</v>
      </c>
      <c r="E382">
        <v>100000000</v>
      </c>
      <c r="H382">
        <v>256</v>
      </c>
      <c r="I382" t="s">
        <v>446</v>
      </c>
      <c r="J382">
        <v>2.5599999999999999E-4</v>
      </c>
      <c r="K382" t="s">
        <v>57</v>
      </c>
      <c r="O382">
        <v>1</v>
      </c>
      <c r="P382" t="s">
        <v>59</v>
      </c>
      <c r="T382">
        <v>25</v>
      </c>
      <c r="V382">
        <v>50</v>
      </c>
      <c r="W382" t="s">
        <v>1007</v>
      </c>
      <c r="X382" t="s">
        <v>114</v>
      </c>
      <c r="Y382">
        <v>59.401993355481657</v>
      </c>
      <c r="AB382">
        <v>1.1209426688222801</v>
      </c>
      <c r="AC382" t="s">
        <v>85</v>
      </c>
      <c r="AE382" t="s">
        <v>1008</v>
      </c>
      <c r="AI382">
        <v>5</v>
      </c>
      <c r="AT382" t="s">
        <v>382</v>
      </c>
      <c r="AV382" t="s">
        <v>448</v>
      </c>
    </row>
    <row r="383" spans="1:48" x14ac:dyDescent="0.3">
      <c r="A383" t="s">
        <v>1006</v>
      </c>
      <c r="C383" t="s">
        <v>920</v>
      </c>
      <c r="E383">
        <v>100000000</v>
      </c>
      <c r="H383">
        <v>256</v>
      </c>
      <c r="I383" t="s">
        <v>446</v>
      </c>
      <c r="J383">
        <v>2.5599999999999999E-4</v>
      </c>
      <c r="K383" t="s">
        <v>57</v>
      </c>
      <c r="O383">
        <v>1</v>
      </c>
      <c r="P383" t="s">
        <v>59</v>
      </c>
      <c r="T383">
        <v>25</v>
      </c>
      <c r="V383">
        <v>50</v>
      </c>
      <c r="W383" t="s">
        <v>1007</v>
      </c>
      <c r="X383" t="s">
        <v>114</v>
      </c>
      <c r="Y383">
        <v>179.60132890365421</v>
      </c>
      <c r="AB383">
        <v>1.90287277701778</v>
      </c>
      <c r="AC383" t="s">
        <v>85</v>
      </c>
      <c r="AE383" t="s">
        <v>1008</v>
      </c>
      <c r="AI383">
        <v>5</v>
      </c>
      <c r="AT383" t="s">
        <v>382</v>
      </c>
      <c r="AV383" t="s">
        <v>448</v>
      </c>
    </row>
    <row r="384" spans="1:48" x14ac:dyDescent="0.3">
      <c r="A384" t="s">
        <v>1006</v>
      </c>
      <c r="C384" t="s">
        <v>920</v>
      </c>
      <c r="E384">
        <v>100000000</v>
      </c>
      <c r="H384">
        <v>256</v>
      </c>
      <c r="I384" t="s">
        <v>446</v>
      </c>
      <c r="J384">
        <v>2.5599999999999999E-4</v>
      </c>
      <c r="K384" t="s">
        <v>57</v>
      </c>
      <c r="O384">
        <v>1</v>
      </c>
      <c r="P384" t="s">
        <v>59</v>
      </c>
      <c r="T384">
        <v>25</v>
      </c>
      <c r="V384">
        <v>50</v>
      </c>
      <c r="W384" t="s">
        <v>1007</v>
      </c>
      <c r="X384" t="s">
        <v>114</v>
      </c>
      <c r="Y384">
        <v>299.20265780730841</v>
      </c>
      <c r="AB384">
        <v>4.3693155909298103</v>
      </c>
      <c r="AC384" t="s">
        <v>85</v>
      </c>
      <c r="AE384" t="s">
        <v>1008</v>
      </c>
      <c r="AI384">
        <v>5</v>
      </c>
      <c r="AT384" t="s">
        <v>382</v>
      </c>
      <c r="AV384" t="s">
        <v>448</v>
      </c>
    </row>
    <row r="385" spans="1:48" x14ac:dyDescent="0.3">
      <c r="A385" t="s">
        <v>1006</v>
      </c>
      <c r="C385" t="s">
        <v>920</v>
      </c>
      <c r="E385">
        <v>100000000</v>
      </c>
      <c r="H385">
        <v>256</v>
      </c>
      <c r="I385" t="s">
        <v>446</v>
      </c>
      <c r="J385">
        <v>2.5599999999999999E-4</v>
      </c>
      <c r="K385" t="s">
        <v>57</v>
      </c>
      <c r="O385">
        <v>1</v>
      </c>
      <c r="P385" t="s">
        <v>59</v>
      </c>
      <c r="T385">
        <v>25</v>
      </c>
      <c r="V385">
        <v>50</v>
      </c>
      <c r="W385" t="s">
        <v>1007</v>
      </c>
      <c r="X385" t="s">
        <v>114</v>
      </c>
      <c r="Y385">
        <v>421.79401993355458</v>
      </c>
      <c r="AB385">
        <v>6.2741574431040901</v>
      </c>
      <c r="AC385" t="s">
        <v>85</v>
      </c>
      <c r="AE385" t="s">
        <v>1008</v>
      </c>
      <c r="AI385">
        <v>5</v>
      </c>
      <c r="AT385" t="s">
        <v>382</v>
      </c>
      <c r="AV385" t="s">
        <v>448</v>
      </c>
    </row>
    <row r="386" spans="1:48" x14ac:dyDescent="0.3">
      <c r="A386" t="s">
        <v>1006</v>
      </c>
      <c r="C386" t="s">
        <v>920</v>
      </c>
      <c r="E386">
        <v>100000000</v>
      </c>
      <c r="H386">
        <v>256</v>
      </c>
      <c r="I386" t="s">
        <v>446</v>
      </c>
      <c r="J386">
        <v>2.5599999999999999E-4</v>
      </c>
      <c r="K386" t="s">
        <v>57</v>
      </c>
      <c r="O386">
        <v>1</v>
      </c>
      <c r="P386" t="s">
        <v>59</v>
      </c>
      <c r="T386">
        <v>60</v>
      </c>
      <c r="V386">
        <v>50</v>
      </c>
      <c r="W386" t="s">
        <v>1007</v>
      </c>
      <c r="X386" t="s">
        <v>114</v>
      </c>
      <c r="Y386">
        <v>5.0066241346545404</v>
      </c>
      <c r="AB386">
        <v>1.3219424460431499</v>
      </c>
      <c r="AC386" t="s">
        <v>85</v>
      </c>
      <c r="AE386" t="s">
        <v>1008</v>
      </c>
      <c r="AI386">
        <v>5</v>
      </c>
      <c r="AT386" t="s">
        <v>382</v>
      </c>
      <c r="AV386" t="s">
        <v>448</v>
      </c>
    </row>
    <row r="387" spans="1:48" x14ac:dyDescent="0.3">
      <c r="A387" t="s">
        <v>1006</v>
      </c>
      <c r="C387" t="s">
        <v>920</v>
      </c>
      <c r="E387">
        <v>100000000</v>
      </c>
      <c r="H387">
        <v>256</v>
      </c>
      <c r="I387" t="s">
        <v>446</v>
      </c>
      <c r="J387">
        <v>2.5599999999999999E-4</v>
      </c>
      <c r="K387" t="s">
        <v>57</v>
      </c>
      <c r="O387">
        <v>1</v>
      </c>
      <c r="P387" t="s">
        <v>59</v>
      </c>
      <c r="T387">
        <v>60</v>
      </c>
      <c r="V387">
        <v>50</v>
      </c>
      <c r="W387" t="s">
        <v>1007</v>
      </c>
      <c r="X387" t="s">
        <v>114</v>
      </c>
      <c r="Y387">
        <v>7.0160988190579499</v>
      </c>
      <c r="AB387">
        <v>2.2158273381294902</v>
      </c>
      <c r="AC387" t="s">
        <v>85</v>
      </c>
      <c r="AE387" t="s">
        <v>1008</v>
      </c>
      <c r="AI387">
        <v>5</v>
      </c>
      <c r="AT387" t="s">
        <v>382</v>
      </c>
      <c r="AV387" t="s">
        <v>448</v>
      </c>
    </row>
    <row r="388" spans="1:48" x14ac:dyDescent="0.3">
      <c r="A388" t="s">
        <v>1006</v>
      </c>
      <c r="C388" t="s">
        <v>920</v>
      </c>
      <c r="E388">
        <v>100000000</v>
      </c>
      <c r="H388">
        <v>256</v>
      </c>
      <c r="I388" t="s">
        <v>446</v>
      </c>
      <c r="J388">
        <v>2.5599999999999999E-4</v>
      </c>
      <c r="K388" t="s">
        <v>57</v>
      </c>
      <c r="O388">
        <v>1</v>
      </c>
      <c r="P388" t="s">
        <v>59</v>
      </c>
      <c r="T388">
        <v>60</v>
      </c>
      <c r="V388">
        <v>50</v>
      </c>
      <c r="W388" t="s">
        <v>1007</v>
      </c>
      <c r="X388" t="s">
        <v>114</v>
      </c>
      <c r="Y388">
        <v>9.9984525587077506</v>
      </c>
      <c r="AB388">
        <v>6.2823741007194203</v>
      </c>
      <c r="AC388" t="s">
        <v>85</v>
      </c>
      <c r="AE388" t="s">
        <v>1008</v>
      </c>
      <c r="AI388">
        <v>5</v>
      </c>
      <c r="AT388" t="s">
        <v>382</v>
      </c>
      <c r="AV388" t="s">
        <v>448</v>
      </c>
    </row>
    <row r="389" spans="1:48" x14ac:dyDescent="0.3">
      <c r="A389" t="s">
        <v>1009</v>
      </c>
      <c r="C389" t="s">
        <v>920</v>
      </c>
      <c r="D389" t="s">
        <v>81</v>
      </c>
      <c r="E389">
        <v>100000000</v>
      </c>
      <c r="H389">
        <v>1600</v>
      </c>
      <c r="I389" t="s">
        <v>446</v>
      </c>
      <c r="J389">
        <v>1.6000000000000001E-3</v>
      </c>
      <c r="K389" t="s">
        <v>57</v>
      </c>
      <c r="O389">
        <v>7</v>
      </c>
      <c r="P389" t="s">
        <v>59</v>
      </c>
      <c r="T389">
        <v>32</v>
      </c>
      <c r="V389">
        <v>50</v>
      </c>
      <c r="W389" t="s">
        <v>1010</v>
      </c>
      <c r="X389" t="s">
        <v>114</v>
      </c>
      <c r="Y389">
        <v>0.1333333333333333</v>
      </c>
      <c r="AB389">
        <v>1.39</v>
      </c>
      <c r="AC389" t="s">
        <v>85</v>
      </c>
      <c r="AV389" t="s">
        <v>448</v>
      </c>
    </row>
    <row r="390" spans="1:48" x14ac:dyDescent="0.3">
      <c r="A390" t="s">
        <v>1009</v>
      </c>
      <c r="C390" t="s">
        <v>920</v>
      </c>
      <c r="D390" t="s">
        <v>81</v>
      </c>
      <c r="E390">
        <v>100000000</v>
      </c>
      <c r="H390">
        <v>1600</v>
      </c>
      <c r="I390" t="s">
        <v>446</v>
      </c>
      <c r="J390">
        <v>1.6000000000000001E-3</v>
      </c>
      <c r="K390" t="s">
        <v>57</v>
      </c>
      <c r="O390">
        <v>7</v>
      </c>
      <c r="P390" t="s">
        <v>59</v>
      </c>
      <c r="T390">
        <v>32</v>
      </c>
      <c r="V390">
        <v>50</v>
      </c>
      <c r="W390" t="s">
        <v>1010</v>
      </c>
      <c r="X390" t="s">
        <v>114</v>
      </c>
      <c r="Y390">
        <v>0.26666666666666672</v>
      </c>
      <c r="AB390">
        <v>0.7</v>
      </c>
      <c r="AC390" t="s">
        <v>85</v>
      </c>
      <c r="AV390" t="s">
        <v>448</v>
      </c>
    </row>
    <row r="391" spans="1:48" x14ac:dyDescent="0.3">
      <c r="A391" t="s">
        <v>1009</v>
      </c>
      <c r="C391" t="s">
        <v>920</v>
      </c>
      <c r="D391" t="s">
        <v>81</v>
      </c>
      <c r="E391">
        <v>100000000</v>
      </c>
      <c r="H391">
        <v>1600</v>
      </c>
      <c r="I391" t="s">
        <v>446</v>
      </c>
      <c r="J391">
        <v>1.6000000000000001E-3</v>
      </c>
      <c r="K391" t="s">
        <v>57</v>
      </c>
      <c r="O391">
        <v>7</v>
      </c>
      <c r="P391" t="s">
        <v>59</v>
      </c>
      <c r="T391">
        <v>60</v>
      </c>
      <c r="V391">
        <v>50</v>
      </c>
      <c r="W391" t="s">
        <v>1010</v>
      </c>
      <c r="X391" t="s">
        <v>114</v>
      </c>
      <c r="Y391">
        <v>0.1333333333333333</v>
      </c>
      <c r="AB391">
        <v>1.52</v>
      </c>
      <c r="AC391" t="s">
        <v>85</v>
      </c>
      <c r="AV391" t="s">
        <v>448</v>
      </c>
    </row>
    <row r="392" spans="1:48" x14ac:dyDescent="0.3">
      <c r="A392" t="s">
        <v>1009</v>
      </c>
      <c r="C392" t="s">
        <v>920</v>
      </c>
      <c r="D392" t="s">
        <v>81</v>
      </c>
      <c r="E392">
        <v>100000000</v>
      </c>
      <c r="H392">
        <v>1600</v>
      </c>
      <c r="I392" t="s">
        <v>446</v>
      </c>
      <c r="J392">
        <v>1.6000000000000001E-3</v>
      </c>
      <c r="K392" t="s">
        <v>57</v>
      </c>
      <c r="O392">
        <v>7</v>
      </c>
      <c r="P392" t="s">
        <v>59</v>
      </c>
      <c r="T392">
        <v>60</v>
      </c>
      <c r="V392">
        <v>50</v>
      </c>
      <c r="W392" t="s">
        <v>1010</v>
      </c>
      <c r="X392" t="s">
        <v>114</v>
      </c>
      <c r="Y392">
        <v>0.26666666666666672</v>
      </c>
      <c r="AB392">
        <v>2.00999999999999</v>
      </c>
      <c r="AC392" t="s">
        <v>85</v>
      </c>
      <c r="AV392" t="s">
        <v>448</v>
      </c>
    </row>
    <row r="393" spans="1:48" x14ac:dyDescent="0.3">
      <c r="A393" t="s">
        <v>1009</v>
      </c>
      <c r="C393" t="s">
        <v>920</v>
      </c>
      <c r="D393" t="s">
        <v>81</v>
      </c>
      <c r="E393">
        <v>100000000</v>
      </c>
      <c r="H393">
        <v>1600</v>
      </c>
      <c r="I393" t="s">
        <v>446</v>
      </c>
      <c r="J393">
        <v>1.6000000000000001E-3</v>
      </c>
      <c r="K393" t="s">
        <v>57</v>
      </c>
      <c r="O393">
        <v>28</v>
      </c>
      <c r="P393" t="s">
        <v>59</v>
      </c>
      <c r="T393">
        <v>32</v>
      </c>
      <c r="V393">
        <v>50</v>
      </c>
      <c r="W393" t="s">
        <v>1010</v>
      </c>
      <c r="X393" t="s">
        <v>114</v>
      </c>
      <c r="Y393">
        <v>0.1333333333333333</v>
      </c>
      <c r="AB393">
        <v>0.7</v>
      </c>
      <c r="AC393" t="s">
        <v>85</v>
      </c>
      <c r="AV393" t="s">
        <v>448</v>
      </c>
    </row>
    <row r="394" spans="1:48" x14ac:dyDescent="0.3">
      <c r="A394" t="s">
        <v>1009</v>
      </c>
      <c r="C394" t="s">
        <v>920</v>
      </c>
      <c r="D394" t="s">
        <v>81</v>
      </c>
      <c r="E394">
        <v>100000000</v>
      </c>
      <c r="H394">
        <v>1600</v>
      </c>
      <c r="I394" t="s">
        <v>446</v>
      </c>
      <c r="J394">
        <v>1.6000000000000001E-3</v>
      </c>
      <c r="K394" t="s">
        <v>57</v>
      </c>
      <c r="O394">
        <v>28</v>
      </c>
      <c r="P394" t="s">
        <v>59</v>
      </c>
      <c r="T394">
        <v>32</v>
      </c>
      <c r="V394">
        <v>50</v>
      </c>
      <c r="W394" t="s">
        <v>1010</v>
      </c>
      <c r="X394" t="s">
        <v>114</v>
      </c>
      <c r="Y394">
        <v>0.26666666666666672</v>
      </c>
      <c r="AB394">
        <v>0.62</v>
      </c>
      <c r="AC394" t="s">
        <v>85</v>
      </c>
      <c r="AV394" t="s">
        <v>448</v>
      </c>
    </row>
    <row r="395" spans="1:48" x14ac:dyDescent="0.3">
      <c r="A395" t="s">
        <v>1009</v>
      </c>
      <c r="C395" t="s">
        <v>920</v>
      </c>
      <c r="D395" t="s">
        <v>81</v>
      </c>
      <c r="E395">
        <v>100000000</v>
      </c>
      <c r="H395">
        <v>1600</v>
      </c>
      <c r="I395" t="s">
        <v>446</v>
      </c>
      <c r="J395">
        <v>1.6000000000000001E-3</v>
      </c>
      <c r="K395" t="s">
        <v>57</v>
      </c>
      <c r="O395">
        <v>28</v>
      </c>
      <c r="P395" t="s">
        <v>59</v>
      </c>
      <c r="T395">
        <v>60</v>
      </c>
      <c r="V395">
        <v>50</v>
      </c>
      <c r="W395" t="s">
        <v>1010</v>
      </c>
      <c r="X395" t="s">
        <v>114</v>
      </c>
      <c r="Y395">
        <v>0.1333333333333333</v>
      </c>
      <c r="AB395">
        <v>4.13</v>
      </c>
      <c r="AC395" t="s">
        <v>85</v>
      </c>
      <c r="AV395" t="s">
        <v>448</v>
      </c>
    </row>
    <row r="396" spans="1:48" x14ac:dyDescent="0.3">
      <c r="A396" t="s">
        <v>1009</v>
      </c>
      <c r="C396" t="s">
        <v>920</v>
      </c>
      <c r="D396" t="s">
        <v>81</v>
      </c>
      <c r="E396">
        <v>100000000</v>
      </c>
      <c r="H396">
        <v>1600</v>
      </c>
      <c r="I396" t="s">
        <v>446</v>
      </c>
      <c r="J396">
        <v>1.6000000000000001E-3</v>
      </c>
      <c r="K396" t="s">
        <v>57</v>
      </c>
      <c r="O396">
        <v>28</v>
      </c>
      <c r="P396" t="s">
        <v>59</v>
      </c>
      <c r="T396">
        <v>60</v>
      </c>
      <c r="V396">
        <v>50</v>
      </c>
      <c r="W396" t="s">
        <v>1010</v>
      </c>
      <c r="X396" t="s">
        <v>114</v>
      </c>
      <c r="Y396">
        <v>0.26666666666666672</v>
      </c>
      <c r="AB396">
        <v>7.01</v>
      </c>
      <c r="AC396" t="s">
        <v>85</v>
      </c>
      <c r="AV396" t="s">
        <v>448</v>
      </c>
    </row>
    <row r="397" spans="1:48" x14ac:dyDescent="0.3">
      <c r="A397" t="s">
        <v>1009</v>
      </c>
      <c r="C397" t="s">
        <v>920</v>
      </c>
      <c r="D397" t="s">
        <v>81</v>
      </c>
      <c r="E397">
        <v>10000000</v>
      </c>
      <c r="H397">
        <v>1600</v>
      </c>
      <c r="I397" t="s">
        <v>446</v>
      </c>
      <c r="J397">
        <v>1.6000000000000001E-3</v>
      </c>
      <c r="K397" t="s">
        <v>57</v>
      </c>
      <c r="O397">
        <v>18</v>
      </c>
      <c r="P397" t="s">
        <v>59</v>
      </c>
      <c r="T397">
        <v>46</v>
      </c>
      <c r="V397">
        <v>50</v>
      </c>
      <c r="W397" t="s">
        <v>1010</v>
      </c>
      <c r="X397" t="s">
        <v>114</v>
      </c>
      <c r="Y397">
        <v>8.3333333333333329E-2</v>
      </c>
      <c r="AB397">
        <v>0.64</v>
      </c>
      <c r="AC397" t="s">
        <v>85</v>
      </c>
      <c r="AV397" t="s">
        <v>448</v>
      </c>
    </row>
    <row r="398" spans="1:48" x14ac:dyDescent="0.3">
      <c r="A398" t="s">
        <v>1009</v>
      </c>
      <c r="C398" t="s">
        <v>920</v>
      </c>
      <c r="D398" t="s">
        <v>81</v>
      </c>
      <c r="E398">
        <v>10000000</v>
      </c>
      <c r="H398">
        <v>1600</v>
      </c>
      <c r="I398" t="s">
        <v>446</v>
      </c>
      <c r="J398">
        <v>1.6000000000000001E-3</v>
      </c>
      <c r="K398" t="s">
        <v>57</v>
      </c>
      <c r="O398">
        <v>18</v>
      </c>
      <c r="P398" t="s">
        <v>59</v>
      </c>
      <c r="T398">
        <v>46</v>
      </c>
      <c r="V398">
        <v>50</v>
      </c>
      <c r="W398" t="s">
        <v>1010</v>
      </c>
      <c r="X398" t="s">
        <v>114</v>
      </c>
      <c r="Y398">
        <v>0.31666666666666671</v>
      </c>
      <c r="AB398">
        <v>0.64</v>
      </c>
      <c r="AC398" t="s">
        <v>85</v>
      </c>
      <c r="AV398" t="s">
        <v>448</v>
      </c>
    </row>
    <row r="399" spans="1:48" x14ac:dyDescent="0.3">
      <c r="A399" t="s">
        <v>1009</v>
      </c>
      <c r="C399" t="s">
        <v>920</v>
      </c>
      <c r="D399" t="s">
        <v>81</v>
      </c>
      <c r="E399">
        <v>10000000</v>
      </c>
      <c r="H399">
        <v>1600</v>
      </c>
      <c r="I399" t="s">
        <v>446</v>
      </c>
      <c r="J399">
        <v>1.6000000000000001E-3</v>
      </c>
      <c r="K399" t="s">
        <v>57</v>
      </c>
      <c r="O399">
        <v>18</v>
      </c>
      <c r="P399" t="s">
        <v>59</v>
      </c>
      <c r="T399">
        <v>23</v>
      </c>
      <c r="V399">
        <v>50</v>
      </c>
      <c r="W399" t="s">
        <v>1010</v>
      </c>
      <c r="X399" t="s">
        <v>114</v>
      </c>
      <c r="Y399">
        <v>0.2</v>
      </c>
      <c r="AB399">
        <v>1.04</v>
      </c>
      <c r="AC399" t="s">
        <v>85</v>
      </c>
      <c r="AV399" t="s">
        <v>448</v>
      </c>
    </row>
    <row r="400" spans="1:48" x14ac:dyDescent="0.3">
      <c r="A400" t="s">
        <v>1009</v>
      </c>
      <c r="C400" t="s">
        <v>920</v>
      </c>
      <c r="D400" t="s">
        <v>81</v>
      </c>
      <c r="E400">
        <v>10000000</v>
      </c>
      <c r="H400">
        <v>1600</v>
      </c>
      <c r="I400" t="s">
        <v>446</v>
      </c>
      <c r="J400">
        <v>1.6000000000000001E-3</v>
      </c>
      <c r="K400" t="s">
        <v>57</v>
      </c>
      <c r="O400">
        <v>18</v>
      </c>
      <c r="P400" t="s">
        <v>59</v>
      </c>
      <c r="T400">
        <v>70</v>
      </c>
      <c r="V400">
        <v>50</v>
      </c>
      <c r="W400" t="s">
        <v>1010</v>
      </c>
      <c r="X400" t="s">
        <v>114</v>
      </c>
      <c r="Y400">
        <v>0.2</v>
      </c>
      <c r="AB400">
        <v>4.4400000000000004</v>
      </c>
      <c r="AC400" t="s">
        <v>85</v>
      </c>
      <c r="AV400" t="s">
        <v>448</v>
      </c>
    </row>
    <row r="401" spans="1:53" x14ac:dyDescent="0.3">
      <c r="A401" t="s">
        <v>1009</v>
      </c>
      <c r="C401" t="s">
        <v>920</v>
      </c>
      <c r="D401" t="s">
        <v>81</v>
      </c>
      <c r="E401">
        <v>10000000</v>
      </c>
      <c r="H401">
        <v>1600</v>
      </c>
      <c r="I401" t="s">
        <v>446</v>
      </c>
      <c r="J401">
        <v>1.6000000000000001E-3</v>
      </c>
      <c r="K401" t="s">
        <v>57</v>
      </c>
      <c r="O401">
        <v>0</v>
      </c>
      <c r="P401" t="s">
        <v>59</v>
      </c>
      <c r="T401">
        <v>46</v>
      </c>
      <c r="V401">
        <v>50</v>
      </c>
      <c r="W401" t="s">
        <v>1010</v>
      </c>
      <c r="X401" t="s">
        <v>114</v>
      </c>
      <c r="Y401">
        <v>0.2</v>
      </c>
      <c r="AB401">
        <v>0.06</v>
      </c>
      <c r="AC401" t="s">
        <v>85</v>
      </c>
      <c r="AV401" t="s">
        <v>448</v>
      </c>
    </row>
    <row r="402" spans="1:53" x14ac:dyDescent="0.3">
      <c r="A402" t="s">
        <v>1009</v>
      </c>
      <c r="C402" t="s">
        <v>920</v>
      </c>
      <c r="D402" t="s">
        <v>81</v>
      </c>
      <c r="E402">
        <v>10000000</v>
      </c>
      <c r="H402">
        <v>1600</v>
      </c>
      <c r="I402" t="s">
        <v>446</v>
      </c>
      <c r="J402">
        <v>1.6000000000000001E-3</v>
      </c>
      <c r="K402" t="s">
        <v>57</v>
      </c>
      <c r="O402">
        <v>35</v>
      </c>
      <c r="P402" t="s">
        <v>59</v>
      </c>
      <c r="T402">
        <v>46</v>
      </c>
      <c r="V402">
        <v>50</v>
      </c>
      <c r="W402" t="s">
        <v>1010</v>
      </c>
      <c r="X402" t="s">
        <v>114</v>
      </c>
      <c r="Y402">
        <v>0.2</v>
      </c>
      <c r="AB402">
        <v>4.76</v>
      </c>
      <c r="AC402" t="s">
        <v>85</v>
      </c>
      <c r="AV402" t="s">
        <v>448</v>
      </c>
    </row>
    <row r="403" spans="1:53" x14ac:dyDescent="0.3">
      <c r="A403" t="s">
        <v>1009</v>
      </c>
      <c r="C403" t="s">
        <v>920</v>
      </c>
      <c r="D403" t="s">
        <v>81</v>
      </c>
      <c r="E403">
        <v>10000000</v>
      </c>
      <c r="H403">
        <v>1600</v>
      </c>
      <c r="I403" t="s">
        <v>446</v>
      </c>
      <c r="J403">
        <v>1.6000000000000001E-3</v>
      </c>
      <c r="K403" t="s">
        <v>57</v>
      </c>
      <c r="O403">
        <v>18</v>
      </c>
      <c r="P403" t="s">
        <v>59</v>
      </c>
      <c r="T403">
        <v>46</v>
      </c>
      <c r="V403">
        <v>50</v>
      </c>
      <c r="W403" t="s">
        <v>1010</v>
      </c>
      <c r="X403" t="s">
        <v>114</v>
      </c>
      <c r="Y403">
        <v>0.2</v>
      </c>
      <c r="AB403">
        <v>0.17</v>
      </c>
      <c r="AC403" t="s">
        <v>85</v>
      </c>
      <c r="AV403" t="s">
        <v>448</v>
      </c>
    </row>
    <row r="404" spans="1:53" x14ac:dyDescent="0.3">
      <c r="A404" t="s">
        <v>1009</v>
      </c>
      <c r="C404" t="s">
        <v>920</v>
      </c>
      <c r="D404" t="s">
        <v>81</v>
      </c>
      <c r="E404">
        <v>10000000</v>
      </c>
      <c r="H404">
        <v>1600</v>
      </c>
      <c r="I404" t="s">
        <v>446</v>
      </c>
      <c r="J404">
        <v>1.6000000000000001E-3</v>
      </c>
      <c r="K404" t="s">
        <v>57</v>
      </c>
      <c r="O404">
        <v>18</v>
      </c>
      <c r="P404" t="s">
        <v>59</v>
      </c>
      <c r="T404">
        <v>46</v>
      </c>
      <c r="V404">
        <v>50</v>
      </c>
      <c r="W404" t="s">
        <v>1010</v>
      </c>
      <c r="X404" t="s">
        <v>114</v>
      </c>
      <c r="Y404">
        <v>0.2</v>
      </c>
      <c r="AB404">
        <v>0.38</v>
      </c>
      <c r="AC404" t="s">
        <v>85</v>
      </c>
      <c r="AV404" t="s">
        <v>448</v>
      </c>
    </row>
    <row r="405" spans="1:53" x14ac:dyDescent="0.3">
      <c r="A405" t="s">
        <v>1009</v>
      </c>
      <c r="C405" t="s">
        <v>920</v>
      </c>
      <c r="D405" t="s">
        <v>81</v>
      </c>
      <c r="E405">
        <v>10000000</v>
      </c>
      <c r="H405">
        <v>1600</v>
      </c>
      <c r="I405" t="s">
        <v>446</v>
      </c>
      <c r="J405">
        <v>1.6000000000000001E-3</v>
      </c>
      <c r="K405" t="s">
        <v>57</v>
      </c>
      <c r="O405">
        <v>18</v>
      </c>
      <c r="P405" t="s">
        <v>59</v>
      </c>
      <c r="T405">
        <v>46</v>
      </c>
      <c r="V405">
        <v>50</v>
      </c>
      <c r="W405" t="s">
        <v>1010</v>
      </c>
      <c r="X405" t="s">
        <v>114</v>
      </c>
      <c r="Y405">
        <v>0.2</v>
      </c>
      <c r="AB405">
        <v>0.92</v>
      </c>
      <c r="AC405" t="s">
        <v>85</v>
      </c>
      <c r="AV405" t="s">
        <v>448</v>
      </c>
    </row>
    <row r="406" spans="1:53" x14ac:dyDescent="0.3">
      <c r="A406" t="s">
        <v>1009</v>
      </c>
      <c r="C406" t="s">
        <v>920</v>
      </c>
      <c r="D406" t="s">
        <v>81</v>
      </c>
      <c r="E406">
        <v>1000000</v>
      </c>
      <c r="H406">
        <v>1600</v>
      </c>
      <c r="I406" t="s">
        <v>446</v>
      </c>
      <c r="J406">
        <v>1.6000000000000001E-3</v>
      </c>
      <c r="K406" t="s">
        <v>57</v>
      </c>
      <c r="O406">
        <v>18</v>
      </c>
      <c r="P406" t="s">
        <v>59</v>
      </c>
      <c r="T406">
        <v>46</v>
      </c>
      <c r="V406">
        <v>50</v>
      </c>
      <c r="W406" t="s">
        <v>1010</v>
      </c>
      <c r="X406" t="s">
        <v>114</v>
      </c>
      <c r="Y406">
        <v>0.2</v>
      </c>
      <c r="AB406">
        <v>0.42</v>
      </c>
      <c r="AC406" t="s">
        <v>85</v>
      </c>
      <c r="AV406" t="s">
        <v>448</v>
      </c>
    </row>
    <row r="407" spans="1:53" x14ac:dyDescent="0.3">
      <c r="A407" t="s">
        <v>1011</v>
      </c>
      <c r="C407" t="s">
        <v>920</v>
      </c>
      <c r="E407">
        <v>1000000</v>
      </c>
      <c r="L407" t="s">
        <v>112</v>
      </c>
      <c r="O407">
        <v>10</v>
      </c>
      <c r="P407" t="s">
        <v>262</v>
      </c>
      <c r="T407">
        <v>25</v>
      </c>
      <c r="V407">
        <v>50</v>
      </c>
      <c r="W407" t="s">
        <v>1012</v>
      </c>
      <c r="X407" t="s">
        <v>957</v>
      </c>
      <c r="Y407">
        <v>10</v>
      </c>
      <c r="AB407">
        <v>4.3</v>
      </c>
      <c r="AC407" t="s">
        <v>210</v>
      </c>
      <c r="AD407" t="s">
        <v>228</v>
      </c>
      <c r="AE407" t="s">
        <v>63</v>
      </c>
      <c r="AH407">
        <v>5.31</v>
      </c>
      <c r="AI407">
        <v>30</v>
      </c>
      <c r="BA407">
        <v>5.31</v>
      </c>
    </row>
    <row r="408" spans="1:53" x14ac:dyDescent="0.3">
      <c r="A408" t="s">
        <v>1011</v>
      </c>
      <c r="C408" t="s">
        <v>920</v>
      </c>
      <c r="E408">
        <v>1000000</v>
      </c>
      <c r="L408" t="s">
        <v>112</v>
      </c>
      <c r="O408">
        <v>10</v>
      </c>
      <c r="P408" t="s">
        <v>262</v>
      </c>
      <c r="T408">
        <v>25</v>
      </c>
      <c r="V408">
        <v>50</v>
      </c>
      <c r="W408" t="s">
        <v>1012</v>
      </c>
      <c r="X408" t="s">
        <v>957</v>
      </c>
      <c r="Y408">
        <v>30</v>
      </c>
      <c r="AB408">
        <v>3.33</v>
      </c>
      <c r="AC408" t="s">
        <v>210</v>
      </c>
      <c r="AD408" t="s">
        <v>527</v>
      </c>
      <c r="AE408" t="s">
        <v>63</v>
      </c>
      <c r="AH408">
        <v>5.31</v>
      </c>
      <c r="AI408">
        <v>30</v>
      </c>
      <c r="BA408">
        <v>5.31</v>
      </c>
    </row>
    <row r="409" spans="1:53" x14ac:dyDescent="0.3">
      <c r="A409" t="s">
        <v>1013</v>
      </c>
      <c r="C409" t="s">
        <v>920</v>
      </c>
      <c r="D409" t="s">
        <v>81</v>
      </c>
      <c r="E409">
        <v>1000000</v>
      </c>
      <c r="H409">
        <v>2</v>
      </c>
      <c r="I409" t="s">
        <v>56</v>
      </c>
      <c r="J409">
        <v>2.0000000000000001E-4</v>
      </c>
      <c r="K409" t="s">
        <v>57</v>
      </c>
      <c r="O409">
        <v>0.56000000000000005</v>
      </c>
      <c r="P409" t="s">
        <v>59</v>
      </c>
      <c r="T409">
        <v>25</v>
      </c>
      <c r="V409">
        <v>50</v>
      </c>
      <c r="W409" t="s">
        <v>1014</v>
      </c>
      <c r="X409" t="s">
        <v>957</v>
      </c>
      <c r="Y409">
        <v>15</v>
      </c>
      <c r="AA409" t="s">
        <v>184</v>
      </c>
      <c r="AB409">
        <v>6</v>
      </c>
      <c r="AC409" t="s">
        <v>85</v>
      </c>
      <c r="AV409" t="s">
        <v>88</v>
      </c>
      <c r="AZ409">
        <v>0</v>
      </c>
      <c r="BA409">
        <v>6</v>
      </c>
    </row>
    <row r="410" spans="1:53" x14ac:dyDescent="0.3">
      <c r="A410" t="s">
        <v>1013</v>
      </c>
      <c r="C410" t="s">
        <v>920</v>
      </c>
      <c r="D410" t="s">
        <v>81</v>
      </c>
      <c r="E410">
        <v>1000000</v>
      </c>
      <c r="H410">
        <v>2</v>
      </c>
      <c r="I410" t="s">
        <v>56</v>
      </c>
      <c r="J410">
        <v>2.0000000000000001E-4</v>
      </c>
      <c r="K410" t="s">
        <v>57</v>
      </c>
      <c r="O410">
        <v>0.56000000000000005</v>
      </c>
      <c r="P410" t="s">
        <v>59</v>
      </c>
      <c r="T410">
        <v>25</v>
      </c>
      <c r="V410">
        <v>50</v>
      </c>
      <c r="W410" t="s">
        <v>1015</v>
      </c>
      <c r="X410" t="s">
        <v>957</v>
      </c>
      <c r="Y410">
        <v>15</v>
      </c>
      <c r="AA410" t="s">
        <v>184</v>
      </c>
      <c r="AB410">
        <v>6</v>
      </c>
      <c r="AC410" t="s">
        <v>85</v>
      </c>
      <c r="AV410" t="s">
        <v>88</v>
      </c>
      <c r="AZ410">
        <v>0</v>
      </c>
      <c r="BA410">
        <v>6</v>
      </c>
    </row>
    <row r="411" spans="1:53" x14ac:dyDescent="0.3">
      <c r="A411" t="s">
        <v>1013</v>
      </c>
      <c r="C411" t="s">
        <v>920</v>
      </c>
      <c r="D411" t="s">
        <v>81</v>
      </c>
      <c r="E411">
        <v>1000000</v>
      </c>
      <c r="H411">
        <v>2</v>
      </c>
      <c r="I411" t="s">
        <v>56</v>
      </c>
      <c r="J411">
        <v>2.0000000000000001E-4</v>
      </c>
      <c r="K411" t="s">
        <v>57</v>
      </c>
      <c r="O411">
        <v>0.56000000000000005</v>
      </c>
      <c r="P411" t="s">
        <v>59</v>
      </c>
      <c r="T411">
        <v>25</v>
      </c>
      <c r="V411">
        <v>50</v>
      </c>
      <c r="W411" t="s">
        <v>1016</v>
      </c>
      <c r="X411" t="s">
        <v>957</v>
      </c>
      <c r="Y411">
        <v>15</v>
      </c>
      <c r="AA411" t="s">
        <v>184</v>
      </c>
      <c r="AB411">
        <v>6</v>
      </c>
      <c r="AC411" t="s">
        <v>85</v>
      </c>
      <c r="AV411" t="s">
        <v>88</v>
      </c>
      <c r="AZ411">
        <v>0</v>
      </c>
      <c r="BA411">
        <v>6</v>
      </c>
    </row>
    <row r="412" spans="1:53" x14ac:dyDescent="0.3">
      <c r="A412" t="s">
        <v>1013</v>
      </c>
      <c r="C412" t="s">
        <v>920</v>
      </c>
      <c r="D412" t="s">
        <v>81</v>
      </c>
      <c r="E412">
        <v>1000000</v>
      </c>
      <c r="H412">
        <v>2</v>
      </c>
      <c r="I412" t="s">
        <v>56</v>
      </c>
      <c r="J412">
        <v>2.0000000000000001E-4</v>
      </c>
      <c r="K412" t="s">
        <v>57</v>
      </c>
      <c r="O412">
        <v>0.56000000000000005</v>
      </c>
      <c r="P412" t="s">
        <v>59</v>
      </c>
      <c r="T412">
        <v>25</v>
      </c>
      <c r="V412">
        <v>50</v>
      </c>
      <c r="W412" t="s">
        <v>65</v>
      </c>
      <c r="X412" t="s">
        <v>957</v>
      </c>
      <c r="Y412">
        <v>15</v>
      </c>
      <c r="AA412" t="s">
        <v>184</v>
      </c>
      <c r="AB412">
        <v>6</v>
      </c>
      <c r="AC412" t="s">
        <v>85</v>
      </c>
      <c r="AT412" t="s">
        <v>65</v>
      </c>
      <c r="AV412" t="s">
        <v>88</v>
      </c>
      <c r="AZ412">
        <v>0</v>
      </c>
      <c r="BA412">
        <v>6</v>
      </c>
    </row>
    <row r="413" spans="1:53" x14ac:dyDescent="0.3">
      <c r="A413" t="s">
        <v>1013</v>
      </c>
      <c r="C413" t="s">
        <v>920</v>
      </c>
      <c r="D413" t="s">
        <v>81</v>
      </c>
      <c r="E413">
        <v>1000000</v>
      </c>
      <c r="H413">
        <v>2</v>
      </c>
      <c r="I413" t="s">
        <v>56</v>
      </c>
      <c r="J413">
        <v>2.0000000000000001E-4</v>
      </c>
      <c r="K413" t="s">
        <v>57</v>
      </c>
      <c r="O413">
        <v>0.23</v>
      </c>
      <c r="P413" t="s">
        <v>59</v>
      </c>
      <c r="T413">
        <v>25</v>
      </c>
      <c r="V413">
        <v>50</v>
      </c>
      <c r="W413" t="s">
        <v>1014</v>
      </c>
      <c r="X413" t="s">
        <v>957</v>
      </c>
      <c r="Y413">
        <v>15</v>
      </c>
      <c r="AA413" t="s">
        <v>184</v>
      </c>
      <c r="AB413">
        <v>6</v>
      </c>
      <c r="AC413" t="s">
        <v>85</v>
      </c>
      <c r="AV413" t="s">
        <v>88</v>
      </c>
      <c r="AZ413">
        <v>0</v>
      </c>
      <c r="BA413">
        <v>6</v>
      </c>
    </row>
    <row r="414" spans="1:53" x14ac:dyDescent="0.3">
      <c r="A414" t="s">
        <v>1013</v>
      </c>
      <c r="C414" t="s">
        <v>920</v>
      </c>
      <c r="D414" t="s">
        <v>81</v>
      </c>
      <c r="E414">
        <v>1000000</v>
      </c>
      <c r="H414">
        <v>2</v>
      </c>
      <c r="I414" t="s">
        <v>56</v>
      </c>
      <c r="J414">
        <v>2.0000000000000001E-4</v>
      </c>
      <c r="K414" t="s">
        <v>57</v>
      </c>
      <c r="O414">
        <v>0.23</v>
      </c>
      <c r="P414" t="s">
        <v>59</v>
      </c>
      <c r="T414">
        <v>25</v>
      </c>
      <c r="V414">
        <v>50</v>
      </c>
      <c r="W414" t="s">
        <v>1015</v>
      </c>
      <c r="X414" t="s">
        <v>957</v>
      </c>
      <c r="Y414">
        <v>15</v>
      </c>
      <c r="AA414" t="s">
        <v>184</v>
      </c>
      <c r="AB414">
        <v>6</v>
      </c>
      <c r="AC414" t="s">
        <v>85</v>
      </c>
      <c r="AV414" t="s">
        <v>88</v>
      </c>
      <c r="AZ414">
        <v>0</v>
      </c>
      <c r="BA414">
        <v>6</v>
      </c>
    </row>
    <row r="415" spans="1:53" x14ac:dyDescent="0.3">
      <c r="A415" t="s">
        <v>1013</v>
      </c>
      <c r="C415" t="s">
        <v>920</v>
      </c>
      <c r="D415" t="s">
        <v>81</v>
      </c>
      <c r="E415">
        <v>1000000</v>
      </c>
      <c r="H415">
        <v>2</v>
      </c>
      <c r="I415" t="s">
        <v>56</v>
      </c>
      <c r="J415">
        <v>2.0000000000000001E-4</v>
      </c>
      <c r="K415" t="s">
        <v>57</v>
      </c>
      <c r="O415">
        <v>0.23</v>
      </c>
      <c r="P415" t="s">
        <v>59</v>
      </c>
      <c r="T415">
        <v>25</v>
      </c>
      <c r="V415">
        <v>50</v>
      </c>
      <c r="W415" t="s">
        <v>1016</v>
      </c>
      <c r="X415" t="s">
        <v>957</v>
      </c>
      <c r="Y415">
        <v>15</v>
      </c>
      <c r="AA415" t="s">
        <v>184</v>
      </c>
      <c r="AB415">
        <v>6</v>
      </c>
      <c r="AC415" t="s">
        <v>85</v>
      </c>
      <c r="AV415" t="s">
        <v>88</v>
      </c>
      <c r="AZ415">
        <v>0</v>
      </c>
      <c r="BA415">
        <v>6</v>
      </c>
    </row>
    <row r="416" spans="1:53" x14ac:dyDescent="0.3">
      <c r="A416" t="s">
        <v>1013</v>
      </c>
      <c r="C416" t="s">
        <v>920</v>
      </c>
      <c r="D416" t="s">
        <v>81</v>
      </c>
      <c r="E416">
        <v>1000000</v>
      </c>
      <c r="H416">
        <v>2</v>
      </c>
      <c r="I416" t="s">
        <v>56</v>
      </c>
      <c r="J416">
        <v>2.0000000000000001E-4</v>
      </c>
      <c r="K416" t="s">
        <v>57</v>
      </c>
      <c r="O416">
        <v>0.23</v>
      </c>
      <c r="P416" t="s">
        <v>59</v>
      </c>
      <c r="T416">
        <v>25</v>
      </c>
      <c r="V416">
        <v>50</v>
      </c>
      <c r="W416" t="s">
        <v>65</v>
      </c>
      <c r="X416" t="s">
        <v>957</v>
      </c>
      <c r="Y416">
        <v>15</v>
      </c>
      <c r="AA416" t="s">
        <v>184</v>
      </c>
      <c r="AB416">
        <v>6</v>
      </c>
      <c r="AC416" t="s">
        <v>85</v>
      </c>
      <c r="AT416" t="s">
        <v>65</v>
      </c>
      <c r="AV416" t="s">
        <v>88</v>
      </c>
      <c r="AZ416">
        <v>0</v>
      </c>
      <c r="BA416">
        <v>6</v>
      </c>
    </row>
    <row r="417" spans="1:53" x14ac:dyDescent="0.3">
      <c r="A417" t="s">
        <v>1017</v>
      </c>
      <c r="C417" t="s">
        <v>920</v>
      </c>
      <c r="D417" t="s">
        <v>81</v>
      </c>
      <c r="E417">
        <v>1000000</v>
      </c>
      <c r="H417">
        <v>25</v>
      </c>
      <c r="I417" t="s">
        <v>56</v>
      </c>
      <c r="J417">
        <v>2.5000000000000001E-3</v>
      </c>
      <c r="K417" t="s">
        <v>57</v>
      </c>
      <c r="O417">
        <v>10</v>
      </c>
      <c r="P417" t="s">
        <v>59</v>
      </c>
      <c r="S417">
        <v>3</v>
      </c>
      <c r="T417">
        <v>21</v>
      </c>
      <c r="V417">
        <v>50</v>
      </c>
      <c r="W417" t="s">
        <v>1018</v>
      </c>
      <c r="X417" t="s">
        <v>957</v>
      </c>
      <c r="Y417">
        <v>30</v>
      </c>
      <c r="AB417">
        <v>6.61</v>
      </c>
      <c r="AC417" t="s">
        <v>85</v>
      </c>
      <c r="AD417" t="s">
        <v>517</v>
      </c>
      <c r="AE417" t="s">
        <v>63</v>
      </c>
      <c r="AI417">
        <v>3</v>
      </c>
      <c r="AV417" t="s">
        <v>88</v>
      </c>
    </row>
    <row r="418" spans="1:53" x14ac:dyDescent="0.3">
      <c r="A418" t="s">
        <v>1017</v>
      </c>
      <c r="C418" t="s">
        <v>920</v>
      </c>
      <c r="D418" t="s">
        <v>81</v>
      </c>
      <c r="E418">
        <v>1000000</v>
      </c>
      <c r="H418">
        <v>25</v>
      </c>
      <c r="I418" t="s">
        <v>56</v>
      </c>
      <c r="J418">
        <v>2.5000000000000001E-3</v>
      </c>
      <c r="K418" t="s">
        <v>57</v>
      </c>
      <c r="O418">
        <v>10</v>
      </c>
      <c r="P418" t="s">
        <v>59</v>
      </c>
      <c r="S418">
        <v>3</v>
      </c>
      <c r="T418">
        <v>21</v>
      </c>
      <c r="V418">
        <v>50</v>
      </c>
      <c r="W418" t="s">
        <v>1018</v>
      </c>
      <c r="X418" t="s">
        <v>957</v>
      </c>
      <c r="Y418">
        <v>30</v>
      </c>
      <c r="AB418">
        <v>6.1</v>
      </c>
      <c r="AC418" t="s">
        <v>85</v>
      </c>
      <c r="AD418" t="s">
        <v>321</v>
      </c>
      <c r="AE418" t="s">
        <v>63</v>
      </c>
      <c r="AI418">
        <v>3</v>
      </c>
      <c r="AV418" t="s">
        <v>88</v>
      </c>
    </row>
    <row r="419" spans="1:53" x14ac:dyDescent="0.3">
      <c r="A419" t="s">
        <v>1017</v>
      </c>
      <c r="C419" t="s">
        <v>920</v>
      </c>
      <c r="D419" t="s">
        <v>81</v>
      </c>
      <c r="E419">
        <v>1000000</v>
      </c>
      <c r="H419">
        <v>25</v>
      </c>
      <c r="I419" t="s">
        <v>56</v>
      </c>
      <c r="J419">
        <v>2.5000000000000001E-3</v>
      </c>
      <c r="K419" t="s">
        <v>57</v>
      </c>
      <c r="O419">
        <v>10</v>
      </c>
      <c r="P419" t="s">
        <v>59</v>
      </c>
      <c r="S419">
        <v>3</v>
      </c>
      <c r="T419">
        <v>21</v>
      </c>
      <c r="V419">
        <v>50</v>
      </c>
      <c r="W419" t="s">
        <v>1018</v>
      </c>
      <c r="X419" t="s">
        <v>957</v>
      </c>
      <c r="Y419">
        <v>30</v>
      </c>
      <c r="AB419">
        <v>4.97</v>
      </c>
      <c r="AC419" t="s">
        <v>85</v>
      </c>
      <c r="AD419" t="s">
        <v>314</v>
      </c>
      <c r="AE419" t="s">
        <v>63</v>
      </c>
      <c r="AI419">
        <v>3</v>
      </c>
      <c r="AV419" t="s">
        <v>88</v>
      </c>
    </row>
    <row r="420" spans="1:53" x14ac:dyDescent="0.3">
      <c r="A420" t="s">
        <v>1017</v>
      </c>
      <c r="C420" t="s">
        <v>920</v>
      </c>
      <c r="D420" t="s">
        <v>81</v>
      </c>
      <c r="E420">
        <v>1000000</v>
      </c>
      <c r="H420">
        <v>25</v>
      </c>
      <c r="I420" t="s">
        <v>56</v>
      </c>
      <c r="J420">
        <v>2.5000000000000001E-3</v>
      </c>
      <c r="K420" t="s">
        <v>57</v>
      </c>
      <c r="O420">
        <v>10</v>
      </c>
      <c r="P420" t="s">
        <v>59</v>
      </c>
      <c r="S420">
        <v>3</v>
      </c>
      <c r="T420">
        <v>21</v>
      </c>
      <c r="V420">
        <v>50</v>
      </c>
      <c r="W420" t="s">
        <v>1018</v>
      </c>
      <c r="X420" t="s">
        <v>957</v>
      </c>
      <c r="Y420">
        <v>30</v>
      </c>
      <c r="AA420" t="s">
        <v>184</v>
      </c>
      <c r="AB420">
        <v>7.67</v>
      </c>
      <c r="AC420" t="s">
        <v>85</v>
      </c>
      <c r="AI420">
        <v>3</v>
      </c>
      <c r="AV420" t="s">
        <v>88</v>
      </c>
      <c r="AZ420">
        <v>0</v>
      </c>
      <c r="BA420">
        <v>7.67</v>
      </c>
    </row>
    <row r="421" spans="1:53" x14ac:dyDescent="0.3">
      <c r="A421" t="s">
        <v>1017</v>
      </c>
      <c r="C421" t="s">
        <v>920</v>
      </c>
      <c r="D421" t="s">
        <v>81</v>
      </c>
      <c r="E421">
        <v>1000000</v>
      </c>
      <c r="H421">
        <v>25</v>
      </c>
      <c r="I421" t="s">
        <v>56</v>
      </c>
      <c r="J421">
        <v>2.5000000000000001E-3</v>
      </c>
      <c r="K421" t="s">
        <v>57</v>
      </c>
      <c r="O421">
        <v>10</v>
      </c>
      <c r="P421" t="s">
        <v>59</v>
      </c>
      <c r="S421">
        <v>3</v>
      </c>
      <c r="T421">
        <v>21</v>
      </c>
      <c r="V421">
        <v>50</v>
      </c>
      <c r="W421" t="s">
        <v>1018</v>
      </c>
      <c r="X421" t="s">
        <v>957</v>
      </c>
      <c r="Y421">
        <v>30</v>
      </c>
      <c r="AB421">
        <v>6.13</v>
      </c>
      <c r="AC421" t="s">
        <v>85</v>
      </c>
      <c r="AD421" t="s">
        <v>325</v>
      </c>
      <c r="AE421" t="s">
        <v>63</v>
      </c>
      <c r="AI421">
        <v>3</v>
      </c>
      <c r="AV421" t="s">
        <v>88</v>
      </c>
    </row>
    <row r="422" spans="1:53" x14ac:dyDescent="0.3">
      <c r="A422" t="s">
        <v>1017</v>
      </c>
      <c r="C422" t="s">
        <v>920</v>
      </c>
      <c r="D422" t="s">
        <v>81</v>
      </c>
      <c r="E422">
        <v>1000000</v>
      </c>
      <c r="H422">
        <v>25</v>
      </c>
      <c r="I422" t="s">
        <v>56</v>
      </c>
      <c r="J422">
        <v>2.5000000000000001E-3</v>
      </c>
      <c r="K422" t="s">
        <v>57</v>
      </c>
      <c r="O422">
        <v>10</v>
      </c>
      <c r="P422" t="s">
        <v>59</v>
      </c>
      <c r="S422">
        <v>3</v>
      </c>
      <c r="T422">
        <v>21</v>
      </c>
      <c r="V422">
        <v>50</v>
      </c>
      <c r="W422" t="s">
        <v>1018</v>
      </c>
      <c r="X422" t="s">
        <v>957</v>
      </c>
      <c r="Y422">
        <v>30</v>
      </c>
      <c r="AB422">
        <v>5.96</v>
      </c>
      <c r="AC422" t="s">
        <v>85</v>
      </c>
      <c r="AD422" t="s">
        <v>604</v>
      </c>
      <c r="AE422" t="s">
        <v>63</v>
      </c>
      <c r="AI422">
        <v>3</v>
      </c>
      <c r="AV422" t="s">
        <v>88</v>
      </c>
    </row>
    <row r="423" spans="1:53" x14ac:dyDescent="0.3">
      <c r="A423" t="s">
        <v>1017</v>
      </c>
      <c r="C423" t="s">
        <v>920</v>
      </c>
      <c r="D423" t="s">
        <v>81</v>
      </c>
      <c r="E423">
        <v>1000000</v>
      </c>
      <c r="H423">
        <v>25</v>
      </c>
      <c r="I423" t="s">
        <v>56</v>
      </c>
      <c r="J423">
        <v>2.5000000000000001E-3</v>
      </c>
      <c r="K423" t="s">
        <v>57</v>
      </c>
      <c r="O423">
        <v>10</v>
      </c>
      <c r="P423" t="s">
        <v>59</v>
      </c>
      <c r="S423">
        <v>3</v>
      </c>
      <c r="T423">
        <v>21</v>
      </c>
      <c r="V423">
        <v>50</v>
      </c>
      <c r="W423" t="s">
        <v>1018</v>
      </c>
      <c r="X423" t="s">
        <v>957</v>
      </c>
      <c r="Y423">
        <v>30</v>
      </c>
      <c r="AB423">
        <v>6.74</v>
      </c>
      <c r="AC423" t="s">
        <v>85</v>
      </c>
      <c r="AD423" t="s">
        <v>242</v>
      </c>
      <c r="AE423" t="s">
        <v>63</v>
      </c>
      <c r="AI423">
        <v>3</v>
      </c>
      <c r="AV423" t="s">
        <v>88</v>
      </c>
    </row>
    <row r="424" spans="1:53" x14ac:dyDescent="0.3">
      <c r="A424" t="s">
        <v>1017</v>
      </c>
      <c r="C424" t="s">
        <v>920</v>
      </c>
      <c r="D424" t="s">
        <v>81</v>
      </c>
      <c r="E424">
        <v>1000000</v>
      </c>
      <c r="H424">
        <v>25</v>
      </c>
      <c r="I424" t="s">
        <v>56</v>
      </c>
      <c r="J424">
        <v>2.5000000000000001E-3</v>
      </c>
      <c r="K424" t="s">
        <v>57</v>
      </c>
      <c r="O424">
        <v>10</v>
      </c>
      <c r="P424" t="s">
        <v>59</v>
      </c>
      <c r="S424">
        <v>3</v>
      </c>
      <c r="T424">
        <v>21</v>
      </c>
      <c r="V424">
        <v>50</v>
      </c>
      <c r="W424" t="s">
        <v>1018</v>
      </c>
      <c r="X424" t="s">
        <v>957</v>
      </c>
      <c r="Y424">
        <v>30</v>
      </c>
      <c r="AB424">
        <v>6.69</v>
      </c>
      <c r="AC424" t="s">
        <v>85</v>
      </c>
      <c r="AD424" t="s">
        <v>632</v>
      </c>
      <c r="AE424" t="s">
        <v>63</v>
      </c>
      <c r="AI424">
        <v>3</v>
      </c>
      <c r="AV424" t="s">
        <v>88</v>
      </c>
    </row>
    <row r="425" spans="1:53" x14ac:dyDescent="0.3">
      <c r="A425" t="s">
        <v>1017</v>
      </c>
      <c r="C425" t="s">
        <v>920</v>
      </c>
      <c r="D425" t="s">
        <v>81</v>
      </c>
      <c r="E425">
        <v>1000000</v>
      </c>
      <c r="H425">
        <v>25</v>
      </c>
      <c r="I425" t="s">
        <v>56</v>
      </c>
      <c r="J425">
        <v>2.5000000000000001E-3</v>
      </c>
      <c r="K425" t="s">
        <v>57</v>
      </c>
      <c r="O425">
        <v>10</v>
      </c>
      <c r="P425" t="s">
        <v>59</v>
      </c>
      <c r="S425">
        <v>3</v>
      </c>
      <c r="T425">
        <v>21</v>
      </c>
      <c r="V425">
        <v>50</v>
      </c>
      <c r="W425" t="s">
        <v>1018</v>
      </c>
      <c r="X425" t="s">
        <v>957</v>
      </c>
      <c r="Y425">
        <v>30</v>
      </c>
      <c r="AB425">
        <v>6.32</v>
      </c>
      <c r="AC425" t="s">
        <v>85</v>
      </c>
      <c r="AD425" t="s">
        <v>503</v>
      </c>
      <c r="AE425" t="s">
        <v>63</v>
      </c>
      <c r="AI425">
        <v>3</v>
      </c>
      <c r="AV425" t="s">
        <v>88</v>
      </c>
    </row>
    <row r="426" spans="1:53" x14ac:dyDescent="0.3">
      <c r="A426" t="s">
        <v>1017</v>
      </c>
      <c r="C426" t="s">
        <v>920</v>
      </c>
      <c r="D426" t="s">
        <v>81</v>
      </c>
      <c r="E426">
        <v>1000000</v>
      </c>
      <c r="H426">
        <v>25</v>
      </c>
      <c r="I426" t="s">
        <v>56</v>
      </c>
      <c r="J426">
        <v>2.5000000000000001E-3</v>
      </c>
      <c r="K426" t="s">
        <v>57</v>
      </c>
      <c r="O426">
        <v>10</v>
      </c>
      <c r="P426" t="s">
        <v>59</v>
      </c>
      <c r="S426">
        <v>3</v>
      </c>
      <c r="T426">
        <v>21</v>
      </c>
      <c r="V426">
        <v>50</v>
      </c>
      <c r="W426" t="s">
        <v>1018</v>
      </c>
      <c r="X426" t="s">
        <v>957</v>
      </c>
      <c r="Y426">
        <v>30</v>
      </c>
      <c r="AB426">
        <v>6.77</v>
      </c>
      <c r="AC426" t="s">
        <v>85</v>
      </c>
      <c r="AD426" t="s">
        <v>238</v>
      </c>
      <c r="AE426" t="s">
        <v>63</v>
      </c>
      <c r="AI426">
        <v>3</v>
      </c>
      <c r="AV426" t="s">
        <v>88</v>
      </c>
    </row>
    <row r="427" spans="1:53" x14ac:dyDescent="0.3">
      <c r="A427" t="s">
        <v>1017</v>
      </c>
      <c r="C427" t="s">
        <v>920</v>
      </c>
      <c r="D427" t="s">
        <v>81</v>
      </c>
      <c r="E427">
        <v>1000000</v>
      </c>
      <c r="H427">
        <v>25</v>
      </c>
      <c r="I427" t="s">
        <v>56</v>
      </c>
      <c r="J427">
        <v>2.5000000000000001E-3</v>
      </c>
      <c r="K427" t="s">
        <v>57</v>
      </c>
      <c r="O427">
        <v>10</v>
      </c>
      <c r="P427" t="s">
        <v>59</v>
      </c>
      <c r="S427">
        <v>3</v>
      </c>
      <c r="T427">
        <v>21</v>
      </c>
      <c r="V427">
        <v>50</v>
      </c>
      <c r="W427" t="s">
        <v>1018</v>
      </c>
      <c r="X427" t="s">
        <v>957</v>
      </c>
      <c r="Y427">
        <v>30</v>
      </c>
      <c r="AB427">
        <v>7.18</v>
      </c>
      <c r="AC427" t="s">
        <v>85</v>
      </c>
      <c r="AD427" t="s">
        <v>666</v>
      </c>
      <c r="AE427" t="s">
        <v>63</v>
      </c>
      <c r="AI427">
        <v>3</v>
      </c>
      <c r="AV427" t="s">
        <v>88</v>
      </c>
    </row>
    <row r="428" spans="1:53" x14ac:dyDescent="0.3">
      <c r="A428" t="s">
        <v>1017</v>
      </c>
      <c r="C428" t="s">
        <v>920</v>
      </c>
      <c r="D428" t="s">
        <v>81</v>
      </c>
      <c r="E428">
        <v>1000000</v>
      </c>
      <c r="H428">
        <v>25</v>
      </c>
      <c r="I428" t="s">
        <v>56</v>
      </c>
      <c r="J428">
        <v>2.5000000000000001E-3</v>
      </c>
      <c r="K428" t="s">
        <v>57</v>
      </c>
      <c r="O428">
        <v>10</v>
      </c>
      <c r="P428" t="s">
        <v>59</v>
      </c>
      <c r="S428">
        <v>3</v>
      </c>
      <c r="T428">
        <v>21</v>
      </c>
      <c r="V428">
        <v>50</v>
      </c>
      <c r="W428" t="s">
        <v>1018</v>
      </c>
      <c r="X428" t="s">
        <v>957</v>
      </c>
      <c r="Y428">
        <v>30</v>
      </c>
      <c r="AB428">
        <v>5.51</v>
      </c>
      <c r="AC428" t="s">
        <v>85</v>
      </c>
      <c r="AD428" t="s">
        <v>228</v>
      </c>
      <c r="AE428" t="s">
        <v>63</v>
      </c>
      <c r="AI428">
        <v>3</v>
      </c>
      <c r="AV428" t="s">
        <v>88</v>
      </c>
    </row>
    <row r="429" spans="1:53" x14ac:dyDescent="0.3">
      <c r="A429" t="s">
        <v>1017</v>
      </c>
      <c r="C429" t="s">
        <v>920</v>
      </c>
      <c r="D429" t="s">
        <v>81</v>
      </c>
      <c r="E429">
        <v>1000000</v>
      </c>
      <c r="H429">
        <v>25</v>
      </c>
      <c r="I429" t="s">
        <v>56</v>
      </c>
      <c r="J429">
        <v>2.5000000000000001E-3</v>
      </c>
      <c r="K429" t="s">
        <v>57</v>
      </c>
      <c r="O429">
        <v>10</v>
      </c>
      <c r="P429" t="s">
        <v>59</v>
      </c>
      <c r="S429">
        <v>3</v>
      </c>
      <c r="T429">
        <v>21</v>
      </c>
      <c r="V429">
        <v>50</v>
      </c>
      <c r="W429" t="s">
        <v>1018</v>
      </c>
      <c r="X429" t="s">
        <v>957</v>
      </c>
      <c r="Y429">
        <v>30</v>
      </c>
      <c r="AB429">
        <v>5.95</v>
      </c>
      <c r="AC429" t="s">
        <v>85</v>
      </c>
      <c r="AD429" t="s">
        <v>240</v>
      </c>
      <c r="AE429" t="s">
        <v>63</v>
      </c>
      <c r="AI429">
        <v>3</v>
      </c>
      <c r="AV429" t="s">
        <v>88</v>
      </c>
    </row>
    <row r="430" spans="1:53" x14ac:dyDescent="0.3">
      <c r="A430" t="s">
        <v>1017</v>
      </c>
      <c r="C430" t="s">
        <v>920</v>
      </c>
      <c r="D430" t="s">
        <v>81</v>
      </c>
      <c r="E430">
        <v>1000000</v>
      </c>
      <c r="H430">
        <v>25</v>
      </c>
      <c r="I430" t="s">
        <v>56</v>
      </c>
      <c r="J430">
        <v>2.5000000000000001E-3</v>
      </c>
      <c r="K430" t="s">
        <v>57</v>
      </c>
      <c r="O430">
        <v>10</v>
      </c>
      <c r="P430" t="s">
        <v>59</v>
      </c>
      <c r="S430">
        <v>3</v>
      </c>
      <c r="T430">
        <v>21</v>
      </c>
      <c r="V430">
        <v>50</v>
      </c>
      <c r="W430" t="s">
        <v>1019</v>
      </c>
      <c r="X430" t="s">
        <v>957</v>
      </c>
      <c r="Y430">
        <v>30</v>
      </c>
      <c r="AB430">
        <v>5.84</v>
      </c>
      <c r="AC430" t="s">
        <v>85</v>
      </c>
      <c r="AD430" t="s">
        <v>314</v>
      </c>
      <c r="AE430" t="s">
        <v>63</v>
      </c>
      <c r="AI430">
        <v>3</v>
      </c>
      <c r="AV430" t="s">
        <v>88</v>
      </c>
    </row>
    <row r="431" spans="1:53" x14ac:dyDescent="0.3">
      <c r="A431" t="s">
        <v>1017</v>
      </c>
      <c r="C431" t="s">
        <v>920</v>
      </c>
      <c r="D431" t="s">
        <v>81</v>
      </c>
      <c r="E431">
        <v>1000000</v>
      </c>
      <c r="H431">
        <v>25</v>
      </c>
      <c r="I431" t="s">
        <v>56</v>
      </c>
      <c r="J431">
        <v>2.5000000000000001E-3</v>
      </c>
      <c r="K431" t="s">
        <v>57</v>
      </c>
      <c r="O431">
        <v>10</v>
      </c>
      <c r="P431" t="s">
        <v>59</v>
      </c>
      <c r="S431">
        <v>3</v>
      </c>
      <c r="T431">
        <v>21</v>
      </c>
      <c r="V431">
        <v>50</v>
      </c>
      <c r="W431" t="s">
        <v>1019</v>
      </c>
      <c r="X431" t="s">
        <v>957</v>
      </c>
      <c r="Y431">
        <v>30</v>
      </c>
      <c r="AB431">
        <v>8.06</v>
      </c>
      <c r="AC431" t="s">
        <v>85</v>
      </c>
      <c r="AD431" t="s">
        <v>939</v>
      </c>
      <c r="AE431" t="s">
        <v>63</v>
      </c>
      <c r="AI431">
        <v>3</v>
      </c>
      <c r="AV431" t="s">
        <v>88</v>
      </c>
    </row>
    <row r="432" spans="1:53" x14ac:dyDescent="0.3">
      <c r="A432" t="s">
        <v>1017</v>
      </c>
      <c r="C432" t="s">
        <v>920</v>
      </c>
      <c r="D432" t="s">
        <v>81</v>
      </c>
      <c r="E432">
        <v>1000000</v>
      </c>
      <c r="H432">
        <v>25</v>
      </c>
      <c r="I432" t="s">
        <v>56</v>
      </c>
      <c r="J432">
        <v>2.5000000000000001E-3</v>
      </c>
      <c r="K432" t="s">
        <v>57</v>
      </c>
      <c r="O432">
        <v>10</v>
      </c>
      <c r="P432" t="s">
        <v>59</v>
      </c>
      <c r="S432">
        <v>3</v>
      </c>
      <c r="T432">
        <v>21</v>
      </c>
      <c r="V432">
        <v>50</v>
      </c>
      <c r="W432" t="s">
        <v>1019</v>
      </c>
      <c r="X432" t="s">
        <v>957</v>
      </c>
      <c r="Y432">
        <v>30</v>
      </c>
      <c r="AB432">
        <v>5.33</v>
      </c>
      <c r="AC432" t="s">
        <v>85</v>
      </c>
      <c r="AD432" t="s">
        <v>590</v>
      </c>
      <c r="AE432" t="s">
        <v>63</v>
      </c>
      <c r="AI432">
        <v>3</v>
      </c>
      <c r="AV432" t="s">
        <v>88</v>
      </c>
    </row>
    <row r="433" spans="1:53" x14ac:dyDescent="0.3">
      <c r="A433" t="s">
        <v>1017</v>
      </c>
      <c r="C433" t="s">
        <v>920</v>
      </c>
      <c r="D433" t="s">
        <v>81</v>
      </c>
      <c r="E433">
        <v>1000000</v>
      </c>
      <c r="H433">
        <v>25</v>
      </c>
      <c r="I433" t="s">
        <v>56</v>
      </c>
      <c r="J433">
        <v>2.5000000000000001E-3</v>
      </c>
      <c r="K433" t="s">
        <v>57</v>
      </c>
      <c r="O433">
        <v>10</v>
      </c>
      <c r="P433" t="s">
        <v>59</v>
      </c>
      <c r="S433">
        <v>3</v>
      </c>
      <c r="T433">
        <v>21</v>
      </c>
      <c r="V433">
        <v>50</v>
      </c>
      <c r="W433" t="s">
        <v>1019</v>
      </c>
      <c r="X433" t="s">
        <v>957</v>
      </c>
      <c r="Y433">
        <v>30</v>
      </c>
      <c r="AB433">
        <v>7.13</v>
      </c>
      <c r="AC433" t="s">
        <v>85</v>
      </c>
      <c r="AD433" t="s">
        <v>321</v>
      </c>
      <c r="AE433" t="s">
        <v>63</v>
      </c>
      <c r="AI433">
        <v>3</v>
      </c>
      <c r="AV433" t="s">
        <v>88</v>
      </c>
    </row>
    <row r="434" spans="1:53" x14ac:dyDescent="0.3">
      <c r="A434" t="s">
        <v>1017</v>
      </c>
      <c r="C434" t="s">
        <v>920</v>
      </c>
      <c r="D434" t="s">
        <v>81</v>
      </c>
      <c r="E434">
        <v>1000000</v>
      </c>
      <c r="H434">
        <v>25</v>
      </c>
      <c r="I434" t="s">
        <v>56</v>
      </c>
      <c r="J434">
        <v>2.5000000000000001E-3</v>
      </c>
      <c r="K434" t="s">
        <v>57</v>
      </c>
      <c r="O434">
        <v>10</v>
      </c>
      <c r="P434" t="s">
        <v>59</v>
      </c>
      <c r="S434">
        <v>3</v>
      </c>
      <c r="T434">
        <v>21</v>
      </c>
      <c r="V434">
        <v>50</v>
      </c>
      <c r="W434" t="s">
        <v>1019</v>
      </c>
      <c r="X434" t="s">
        <v>957</v>
      </c>
      <c r="Y434">
        <v>30</v>
      </c>
      <c r="AB434">
        <v>6.19</v>
      </c>
      <c r="AC434" t="s">
        <v>85</v>
      </c>
      <c r="AD434" t="s">
        <v>493</v>
      </c>
      <c r="AE434" t="s">
        <v>63</v>
      </c>
      <c r="AI434">
        <v>3</v>
      </c>
      <c r="AV434" t="s">
        <v>88</v>
      </c>
    </row>
    <row r="435" spans="1:53" x14ac:dyDescent="0.3">
      <c r="A435" t="s">
        <v>1017</v>
      </c>
      <c r="C435" t="s">
        <v>920</v>
      </c>
      <c r="D435" t="s">
        <v>81</v>
      </c>
      <c r="E435">
        <v>1000000</v>
      </c>
      <c r="H435">
        <v>25</v>
      </c>
      <c r="I435" t="s">
        <v>56</v>
      </c>
      <c r="J435">
        <v>2.5000000000000001E-3</v>
      </c>
      <c r="K435" t="s">
        <v>57</v>
      </c>
      <c r="O435">
        <v>10</v>
      </c>
      <c r="P435" t="s">
        <v>59</v>
      </c>
      <c r="S435">
        <v>3</v>
      </c>
      <c r="T435">
        <v>21</v>
      </c>
      <c r="V435">
        <v>50</v>
      </c>
      <c r="W435" t="s">
        <v>1019</v>
      </c>
      <c r="X435" t="s">
        <v>957</v>
      </c>
      <c r="Y435">
        <v>30</v>
      </c>
      <c r="AA435" t="s">
        <v>184</v>
      </c>
      <c r="AB435">
        <v>7.06</v>
      </c>
      <c r="AC435" t="s">
        <v>85</v>
      </c>
      <c r="AI435">
        <v>3</v>
      </c>
      <c r="AV435" t="s">
        <v>88</v>
      </c>
      <c r="AZ435">
        <v>0</v>
      </c>
      <c r="BA435">
        <v>7.06</v>
      </c>
    </row>
    <row r="436" spans="1:53" x14ac:dyDescent="0.3">
      <c r="A436" t="s">
        <v>1017</v>
      </c>
      <c r="C436" t="s">
        <v>920</v>
      </c>
      <c r="D436" t="s">
        <v>81</v>
      </c>
      <c r="E436">
        <v>1000000</v>
      </c>
      <c r="H436">
        <v>25</v>
      </c>
      <c r="I436" t="s">
        <v>56</v>
      </c>
      <c r="J436">
        <v>2.5000000000000001E-3</v>
      </c>
      <c r="K436" t="s">
        <v>57</v>
      </c>
      <c r="O436">
        <v>10</v>
      </c>
      <c r="P436" t="s">
        <v>59</v>
      </c>
      <c r="S436">
        <v>3</v>
      </c>
      <c r="T436">
        <v>21</v>
      </c>
      <c r="V436">
        <v>50</v>
      </c>
      <c r="W436" t="s">
        <v>1019</v>
      </c>
      <c r="X436" t="s">
        <v>957</v>
      </c>
      <c r="Y436">
        <v>30</v>
      </c>
      <c r="AB436">
        <v>5.73</v>
      </c>
      <c r="AC436" t="s">
        <v>85</v>
      </c>
      <c r="AD436" t="s">
        <v>524</v>
      </c>
      <c r="AE436" t="s">
        <v>63</v>
      </c>
      <c r="AI436">
        <v>3</v>
      </c>
      <c r="AV436" t="s">
        <v>88</v>
      </c>
    </row>
    <row r="437" spans="1:53" x14ac:dyDescent="0.3">
      <c r="A437" t="s">
        <v>1017</v>
      </c>
      <c r="C437" t="s">
        <v>920</v>
      </c>
      <c r="D437" t="s">
        <v>81</v>
      </c>
      <c r="E437">
        <v>1000000</v>
      </c>
      <c r="H437">
        <v>25</v>
      </c>
      <c r="I437" t="s">
        <v>56</v>
      </c>
      <c r="J437">
        <v>2.5000000000000001E-3</v>
      </c>
      <c r="K437" t="s">
        <v>57</v>
      </c>
      <c r="O437">
        <v>10</v>
      </c>
      <c r="P437" t="s">
        <v>59</v>
      </c>
      <c r="S437">
        <v>3</v>
      </c>
      <c r="T437">
        <v>21</v>
      </c>
      <c r="V437">
        <v>50</v>
      </c>
      <c r="W437" t="s">
        <v>1019</v>
      </c>
      <c r="X437" t="s">
        <v>957</v>
      </c>
      <c r="Y437">
        <v>30</v>
      </c>
      <c r="AB437">
        <v>5.93</v>
      </c>
      <c r="AC437" t="s">
        <v>85</v>
      </c>
      <c r="AD437" t="s">
        <v>517</v>
      </c>
      <c r="AE437" t="s">
        <v>63</v>
      </c>
      <c r="AI437">
        <v>3</v>
      </c>
      <c r="AV437" t="s">
        <v>88</v>
      </c>
    </row>
    <row r="438" spans="1:53" x14ac:dyDescent="0.3">
      <c r="A438" t="s">
        <v>1017</v>
      </c>
      <c r="C438" t="s">
        <v>920</v>
      </c>
      <c r="D438" t="s">
        <v>81</v>
      </c>
      <c r="E438">
        <v>1000000</v>
      </c>
      <c r="H438">
        <v>25</v>
      </c>
      <c r="I438" t="s">
        <v>56</v>
      </c>
      <c r="J438">
        <v>2.5000000000000001E-3</v>
      </c>
      <c r="K438" t="s">
        <v>57</v>
      </c>
      <c r="O438">
        <v>10</v>
      </c>
      <c r="P438" t="s">
        <v>59</v>
      </c>
      <c r="S438">
        <v>3</v>
      </c>
      <c r="T438">
        <v>21</v>
      </c>
      <c r="V438">
        <v>50</v>
      </c>
      <c r="W438" t="s">
        <v>1019</v>
      </c>
      <c r="X438" t="s">
        <v>957</v>
      </c>
      <c r="Y438">
        <v>30</v>
      </c>
      <c r="AB438">
        <v>5.62</v>
      </c>
      <c r="AC438" t="s">
        <v>85</v>
      </c>
      <c r="AD438" t="s">
        <v>231</v>
      </c>
      <c r="AE438" t="s">
        <v>63</v>
      </c>
      <c r="AI438">
        <v>3</v>
      </c>
      <c r="AV438" t="s">
        <v>88</v>
      </c>
    </row>
    <row r="439" spans="1:53" x14ac:dyDescent="0.3">
      <c r="A439" t="s">
        <v>1017</v>
      </c>
      <c r="C439" t="s">
        <v>920</v>
      </c>
      <c r="D439" t="s">
        <v>81</v>
      </c>
      <c r="E439">
        <v>1000000</v>
      </c>
      <c r="H439">
        <v>25</v>
      </c>
      <c r="I439" t="s">
        <v>56</v>
      </c>
      <c r="J439">
        <v>2.5000000000000001E-3</v>
      </c>
      <c r="K439" t="s">
        <v>57</v>
      </c>
      <c r="O439">
        <v>10</v>
      </c>
      <c r="P439" t="s">
        <v>59</v>
      </c>
      <c r="S439">
        <v>3</v>
      </c>
      <c r="T439">
        <v>21</v>
      </c>
      <c r="V439">
        <v>50</v>
      </c>
      <c r="W439" t="s">
        <v>1019</v>
      </c>
      <c r="X439" t="s">
        <v>957</v>
      </c>
      <c r="Y439">
        <v>30</v>
      </c>
      <c r="AB439">
        <v>6.36</v>
      </c>
      <c r="AC439" t="s">
        <v>85</v>
      </c>
      <c r="AD439" t="s">
        <v>227</v>
      </c>
      <c r="AE439" t="s">
        <v>63</v>
      </c>
      <c r="AI439">
        <v>3</v>
      </c>
      <c r="AV439" t="s">
        <v>88</v>
      </c>
    </row>
    <row r="440" spans="1:53" x14ac:dyDescent="0.3">
      <c r="A440" t="s">
        <v>1017</v>
      </c>
      <c r="C440" t="s">
        <v>920</v>
      </c>
      <c r="D440" t="s">
        <v>81</v>
      </c>
      <c r="E440">
        <v>1000000</v>
      </c>
      <c r="H440">
        <v>25</v>
      </c>
      <c r="I440" t="s">
        <v>56</v>
      </c>
      <c r="J440">
        <v>2.5000000000000001E-3</v>
      </c>
      <c r="K440" t="s">
        <v>57</v>
      </c>
      <c r="O440">
        <v>10</v>
      </c>
      <c r="P440" t="s">
        <v>59</v>
      </c>
      <c r="S440">
        <v>3</v>
      </c>
      <c r="T440">
        <v>21</v>
      </c>
      <c r="V440">
        <v>50</v>
      </c>
      <c r="W440" t="s">
        <v>1019</v>
      </c>
      <c r="X440" t="s">
        <v>957</v>
      </c>
      <c r="Y440">
        <v>30</v>
      </c>
      <c r="AB440">
        <v>6.44</v>
      </c>
      <c r="AC440" t="s">
        <v>85</v>
      </c>
      <c r="AD440" t="s">
        <v>242</v>
      </c>
      <c r="AE440" t="s">
        <v>63</v>
      </c>
      <c r="AI440">
        <v>3</v>
      </c>
      <c r="AV440" t="s">
        <v>88</v>
      </c>
    </row>
    <row r="441" spans="1:53" x14ac:dyDescent="0.3">
      <c r="A441" t="s">
        <v>1017</v>
      </c>
      <c r="C441" t="s">
        <v>920</v>
      </c>
      <c r="D441" t="s">
        <v>81</v>
      </c>
      <c r="E441">
        <v>1000000</v>
      </c>
      <c r="H441">
        <v>25</v>
      </c>
      <c r="I441" t="s">
        <v>56</v>
      </c>
      <c r="J441">
        <v>2.5000000000000001E-3</v>
      </c>
      <c r="K441" t="s">
        <v>57</v>
      </c>
      <c r="O441">
        <v>10</v>
      </c>
      <c r="P441" t="s">
        <v>59</v>
      </c>
      <c r="S441">
        <v>3</v>
      </c>
      <c r="T441">
        <v>21</v>
      </c>
      <c r="V441">
        <v>50</v>
      </c>
      <c r="W441" t="s">
        <v>1019</v>
      </c>
      <c r="X441" t="s">
        <v>957</v>
      </c>
      <c r="Y441">
        <v>30</v>
      </c>
      <c r="AB441">
        <v>4.68</v>
      </c>
      <c r="AC441" t="s">
        <v>85</v>
      </c>
      <c r="AD441" t="s">
        <v>509</v>
      </c>
      <c r="AE441" t="s">
        <v>63</v>
      </c>
      <c r="AI441">
        <v>3</v>
      </c>
      <c r="AV441" t="s">
        <v>88</v>
      </c>
    </row>
    <row r="442" spans="1:53" x14ac:dyDescent="0.3">
      <c r="A442" t="s">
        <v>1017</v>
      </c>
      <c r="C442" t="s">
        <v>920</v>
      </c>
      <c r="D442" t="s">
        <v>81</v>
      </c>
      <c r="E442">
        <v>1000000</v>
      </c>
      <c r="H442">
        <v>25</v>
      </c>
      <c r="I442" t="s">
        <v>56</v>
      </c>
      <c r="J442">
        <v>2.5000000000000001E-3</v>
      </c>
      <c r="K442" t="s">
        <v>57</v>
      </c>
      <c r="O442">
        <v>10</v>
      </c>
      <c r="P442" t="s">
        <v>59</v>
      </c>
      <c r="S442">
        <v>3</v>
      </c>
      <c r="T442">
        <v>21</v>
      </c>
      <c r="V442">
        <v>50</v>
      </c>
      <c r="W442" t="s">
        <v>1019</v>
      </c>
      <c r="X442" t="s">
        <v>957</v>
      </c>
      <c r="Y442">
        <v>30</v>
      </c>
      <c r="AB442">
        <v>6.34</v>
      </c>
      <c r="AC442" t="s">
        <v>85</v>
      </c>
      <c r="AD442" t="s">
        <v>511</v>
      </c>
      <c r="AE442" t="s">
        <v>63</v>
      </c>
      <c r="AI442">
        <v>3</v>
      </c>
      <c r="AV442" t="s">
        <v>88</v>
      </c>
    </row>
    <row r="443" spans="1:53" x14ac:dyDescent="0.3">
      <c r="A443" t="s">
        <v>1017</v>
      </c>
      <c r="C443" t="s">
        <v>920</v>
      </c>
      <c r="D443" t="s">
        <v>81</v>
      </c>
      <c r="E443">
        <v>1000000</v>
      </c>
      <c r="H443">
        <v>25</v>
      </c>
      <c r="I443" t="s">
        <v>56</v>
      </c>
      <c r="J443">
        <v>2.5000000000000001E-3</v>
      </c>
      <c r="K443" t="s">
        <v>57</v>
      </c>
      <c r="O443">
        <v>0.3</v>
      </c>
      <c r="P443" t="s">
        <v>59</v>
      </c>
      <c r="S443">
        <v>3</v>
      </c>
      <c r="T443">
        <v>21</v>
      </c>
      <c r="V443">
        <v>50</v>
      </c>
      <c r="W443" t="s">
        <v>1018</v>
      </c>
      <c r="X443" t="s">
        <v>957</v>
      </c>
      <c r="Y443">
        <v>30</v>
      </c>
      <c r="AB443">
        <v>6.99</v>
      </c>
      <c r="AC443" t="s">
        <v>85</v>
      </c>
      <c r="AD443" t="s">
        <v>238</v>
      </c>
      <c r="AE443" t="s">
        <v>63</v>
      </c>
      <c r="AI443">
        <v>3</v>
      </c>
      <c r="AV443" t="s">
        <v>88</v>
      </c>
    </row>
    <row r="444" spans="1:53" x14ac:dyDescent="0.3">
      <c r="A444" t="s">
        <v>1017</v>
      </c>
      <c r="C444" t="s">
        <v>920</v>
      </c>
      <c r="D444" t="s">
        <v>81</v>
      </c>
      <c r="E444">
        <v>1000000</v>
      </c>
      <c r="H444">
        <v>25</v>
      </c>
      <c r="I444" t="s">
        <v>56</v>
      </c>
      <c r="J444">
        <v>2.5000000000000001E-3</v>
      </c>
      <c r="K444" t="s">
        <v>57</v>
      </c>
      <c r="O444">
        <v>0.3</v>
      </c>
      <c r="P444" t="s">
        <v>59</v>
      </c>
      <c r="S444">
        <v>3</v>
      </c>
      <c r="T444">
        <v>21</v>
      </c>
      <c r="V444">
        <v>50</v>
      </c>
      <c r="W444" t="s">
        <v>1018</v>
      </c>
      <c r="X444" t="s">
        <v>957</v>
      </c>
      <c r="Y444">
        <v>30</v>
      </c>
      <c r="AB444">
        <v>7.41</v>
      </c>
      <c r="AC444" t="s">
        <v>85</v>
      </c>
      <c r="AD444" t="s">
        <v>496</v>
      </c>
      <c r="AE444" t="s">
        <v>63</v>
      </c>
      <c r="AI444">
        <v>3</v>
      </c>
      <c r="AV444" t="s">
        <v>88</v>
      </c>
    </row>
    <row r="445" spans="1:53" x14ac:dyDescent="0.3">
      <c r="A445" t="s">
        <v>1017</v>
      </c>
      <c r="C445" t="s">
        <v>920</v>
      </c>
      <c r="D445" t="s">
        <v>81</v>
      </c>
      <c r="E445">
        <v>1000000</v>
      </c>
      <c r="H445">
        <v>25</v>
      </c>
      <c r="I445" t="s">
        <v>56</v>
      </c>
      <c r="J445">
        <v>2.5000000000000001E-3</v>
      </c>
      <c r="K445" t="s">
        <v>57</v>
      </c>
      <c r="O445">
        <v>0.3</v>
      </c>
      <c r="P445" t="s">
        <v>59</v>
      </c>
      <c r="S445">
        <v>3</v>
      </c>
      <c r="T445">
        <v>21</v>
      </c>
      <c r="V445">
        <v>50</v>
      </c>
      <c r="W445" t="s">
        <v>1018</v>
      </c>
      <c r="X445" t="s">
        <v>957</v>
      </c>
      <c r="Y445">
        <v>30</v>
      </c>
      <c r="AB445">
        <v>6.32</v>
      </c>
      <c r="AC445" t="s">
        <v>85</v>
      </c>
      <c r="AD445" t="s">
        <v>328</v>
      </c>
      <c r="AE445" t="s">
        <v>63</v>
      </c>
      <c r="AI445">
        <v>3</v>
      </c>
      <c r="AV445" t="s">
        <v>88</v>
      </c>
    </row>
    <row r="446" spans="1:53" x14ac:dyDescent="0.3">
      <c r="A446" t="s">
        <v>1017</v>
      </c>
      <c r="C446" t="s">
        <v>920</v>
      </c>
      <c r="D446" t="s">
        <v>81</v>
      </c>
      <c r="E446">
        <v>1000000</v>
      </c>
      <c r="H446">
        <v>25</v>
      </c>
      <c r="I446" t="s">
        <v>56</v>
      </c>
      <c r="J446">
        <v>2.5000000000000001E-3</v>
      </c>
      <c r="K446" t="s">
        <v>57</v>
      </c>
      <c r="O446">
        <v>0.3</v>
      </c>
      <c r="P446" t="s">
        <v>59</v>
      </c>
      <c r="S446">
        <v>3</v>
      </c>
      <c r="T446">
        <v>21</v>
      </c>
      <c r="V446">
        <v>50</v>
      </c>
      <c r="W446" t="s">
        <v>1018</v>
      </c>
      <c r="X446" t="s">
        <v>957</v>
      </c>
      <c r="Y446">
        <v>30</v>
      </c>
      <c r="AA446" t="s">
        <v>184</v>
      </c>
      <c r="AB446">
        <v>7.67</v>
      </c>
      <c r="AC446" t="s">
        <v>85</v>
      </c>
      <c r="AI446">
        <v>3</v>
      </c>
      <c r="AV446" t="s">
        <v>88</v>
      </c>
      <c r="AZ446">
        <v>0</v>
      </c>
      <c r="BA446">
        <v>7.67</v>
      </c>
    </row>
    <row r="447" spans="1:53" x14ac:dyDescent="0.3">
      <c r="A447" t="s">
        <v>1017</v>
      </c>
      <c r="C447" t="s">
        <v>920</v>
      </c>
      <c r="D447" t="s">
        <v>81</v>
      </c>
      <c r="E447">
        <v>1000000</v>
      </c>
      <c r="H447">
        <v>25</v>
      </c>
      <c r="I447" t="s">
        <v>56</v>
      </c>
      <c r="J447">
        <v>2.5000000000000001E-3</v>
      </c>
      <c r="K447" t="s">
        <v>57</v>
      </c>
      <c r="O447">
        <v>0.3</v>
      </c>
      <c r="P447" t="s">
        <v>59</v>
      </c>
      <c r="S447">
        <v>3</v>
      </c>
      <c r="T447">
        <v>21</v>
      </c>
      <c r="V447">
        <v>50</v>
      </c>
      <c r="W447" t="s">
        <v>1018</v>
      </c>
      <c r="X447" t="s">
        <v>957</v>
      </c>
      <c r="Y447">
        <v>30</v>
      </c>
      <c r="AB447">
        <v>6.1</v>
      </c>
      <c r="AC447" t="s">
        <v>85</v>
      </c>
      <c r="AD447" t="s">
        <v>658</v>
      </c>
      <c r="AE447" t="s">
        <v>63</v>
      </c>
      <c r="AI447">
        <v>3</v>
      </c>
      <c r="AV447" t="s">
        <v>88</v>
      </c>
    </row>
    <row r="448" spans="1:53" x14ac:dyDescent="0.3">
      <c r="A448" t="s">
        <v>1017</v>
      </c>
      <c r="C448" t="s">
        <v>920</v>
      </c>
      <c r="D448" t="s">
        <v>81</v>
      </c>
      <c r="E448">
        <v>1000000</v>
      </c>
      <c r="H448">
        <v>25</v>
      </c>
      <c r="I448" t="s">
        <v>56</v>
      </c>
      <c r="J448">
        <v>2.5000000000000001E-3</v>
      </c>
      <c r="K448" t="s">
        <v>57</v>
      </c>
      <c r="O448">
        <v>0.3</v>
      </c>
      <c r="P448" t="s">
        <v>59</v>
      </c>
      <c r="S448">
        <v>3</v>
      </c>
      <c r="T448">
        <v>21</v>
      </c>
      <c r="V448">
        <v>50</v>
      </c>
      <c r="W448" t="s">
        <v>1018</v>
      </c>
      <c r="X448" t="s">
        <v>957</v>
      </c>
      <c r="Y448">
        <v>30</v>
      </c>
      <c r="AB448">
        <v>5.94</v>
      </c>
      <c r="AC448" t="s">
        <v>85</v>
      </c>
      <c r="AD448" t="s">
        <v>528</v>
      </c>
      <c r="AE448" t="s">
        <v>63</v>
      </c>
      <c r="AI448">
        <v>3</v>
      </c>
      <c r="AV448" t="s">
        <v>88</v>
      </c>
    </row>
    <row r="449" spans="1:53" x14ac:dyDescent="0.3">
      <c r="A449" t="s">
        <v>1017</v>
      </c>
      <c r="C449" t="s">
        <v>920</v>
      </c>
      <c r="D449" t="s">
        <v>81</v>
      </c>
      <c r="E449">
        <v>1000000</v>
      </c>
      <c r="H449">
        <v>25</v>
      </c>
      <c r="I449" t="s">
        <v>56</v>
      </c>
      <c r="J449">
        <v>2.5000000000000001E-3</v>
      </c>
      <c r="K449" t="s">
        <v>57</v>
      </c>
      <c r="O449">
        <v>0.3</v>
      </c>
      <c r="P449" t="s">
        <v>59</v>
      </c>
      <c r="S449">
        <v>3</v>
      </c>
      <c r="T449">
        <v>21</v>
      </c>
      <c r="V449">
        <v>50</v>
      </c>
      <c r="W449" t="s">
        <v>1018</v>
      </c>
      <c r="X449" t="s">
        <v>957</v>
      </c>
      <c r="Y449">
        <v>30</v>
      </c>
      <c r="AB449">
        <v>6.93</v>
      </c>
      <c r="AC449" t="s">
        <v>85</v>
      </c>
      <c r="AD449" t="s">
        <v>482</v>
      </c>
      <c r="AE449" t="s">
        <v>63</v>
      </c>
      <c r="AI449">
        <v>3</v>
      </c>
      <c r="AV449" t="s">
        <v>88</v>
      </c>
    </row>
    <row r="450" spans="1:53" x14ac:dyDescent="0.3">
      <c r="A450" t="s">
        <v>1017</v>
      </c>
      <c r="C450" t="s">
        <v>920</v>
      </c>
      <c r="D450" t="s">
        <v>81</v>
      </c>
      <c r="E450">
        <v>1000000</v>
      </c>
      <c r="H450">
        <v>25</v>
      </c>
      <c r="I450" t="s">
        <v>56</v>
      </c>
      <c r="J450">
        <v>2.5000000000000001E-3</v>
      </c>
      <c r="K450" t="s">
        <v>57</v>
      </c>
      <c r="O450">
        <v>0.3</v>
      </c>
      <c r="P450" t="s">
        <v>59</v>
      </c>
      <c r="S450">
        <v>3</v>
      </c>
      <c r="T450">
        <v>21</v>
      </c>
      <c r="V450">
        <v>50</v>
      </c>
      <c r="W450" t="s">
        <v>1018</v>
      </c>
      <c r="X450" t="s">
        <v>957</v>
      </c>
      <c r="Y450">
        <v>30</v>
      </c>
      <c r="AB450">
        <v>7.05</v>
      </c>
      <c r="AC450" t="s">
        <v>85</v>
      </c>
      <c r="AD450" t="s">
        <v>633</v>
      </c>
      <c r="AE450" t="s">
        <v>63</v>
      </c>
      <c r="AI450">
        <v>3</v>
      </c>
      <c r="AV450" t="s">
        <v>88</v>
      </c>
    </row>
    <row r="451" spans="1:53" x14ac:dyDescent="0.3">
      <c r="A451" t="s">
        <v>1017</v>
      </c>
      <c r="C451" t="s">
        <v>920</v>
      </c>
      <c r="D451" t="s">
        <v>81</v>
      </c>
      <c r="E451">
        <v>1000000</v>
      </c>
      <c r="H451">
        <v>25</v>
      </c>
      <c r="I451" t="s">
        <v>56</v>
      </c>
      <c r="J451">
        <v>2.5000000000000001E-3</v>
      </c>
      <c r="K451" t="s">
        <v>57</v>
      </c>
      <c r="O451">
        <v>0.3</v>
      </c>
      <c r="P451" t="s">
        <v>59</v>
      </c>
      <c r="S451">
        <v>3</v>
      </c>
      <c r="T451">
        <v>21</v>
      </c>
      <c r="V451">
        <v>50</v>
      </c>
      <c r="W451" t="s">
        <v>1018</v>
      </c>
      <c r="X451" t="s">
        <v>957</v>
      </c>
      <c r="Y451">
        <v>30</v>
      </c>
      <c r="AB451">
        <v>6.33</v>
      </c>
      <c r="AC451" t="s">
        <v>85</v>
      </c>
      <c r="AD451" t="s">
        <v>521</v>
      </c>
      <c r="AE451" t="s">
        <v>63</v>
      </c>
      <c r="AI451">
        <v>3</v>
      </c>
      <c r="AV451" t="s">
        <v>88</v>
      </c>
    </row>
    <row r="452" spans="1:53" x14ac:dyDescent="0.3">
      <c r="A452" t="s">
        <v>1017</v>
      </c>
      <c r="C452" t="s">
        <v>920</v>
      </c>
      <c r="D452" t="s">
        <v>81</v>
      </c>
      <c r="E452">
        <v>1000000</v>
      </c>
      <c r="H452">
        <v>25</v>
      </c>
      <c r="I452" t="s">
        <v>56</v>
      </c>
      <c r="J452">
        <v>2.5000000000000001E-3</v>
      </c>
      <c r="K452" t="s">
        <v>57</v>
      </c>
      <c r="O452">
        <v>0.3</v>
      </c>
      <c r="P452" t="s">
        <v>59</v>
      </c>
      <c r="S452">
        <v>3</v>
      </c>
      <c r="T452">
        <v>21</v>
      </c>
      <c r="V452">
        <v>50</v>
      </c>
      <c r="W452" t="s">
        <v>1018</v>
      </c>
      <c r="X452" t="s">
        <v>957</v>
      </c>
      <c r="Y452">
        <v>30</v>
      </c>
      <c r="AA452" t="s">
        <v>184</v>
      </c>
      <c r="AB452">
        <v>6.87</v>
      </c>
      <c r="AC452" t="s">
        <v>85</v>
      </c>
      <c r="AI452">
        <v>3</v>
      </c>
      <c r="AV452" t="s">
        <v>88</v>
      </c>
      <c r="AZ452">
        <v>0</v>
      </c>
      <c r="BA452">
        <v>6.87</v>
      </c>
    </row>
    <row r="453" spans="1:53" x14ac:dyDescent="0.3">
      <c r="A453" t="s">
        <v>1017</v>
      </c>
      <c r="C453" t="s">
        <v>920</v>
      </c>
      <c r="D453" t="s">
        <v>81</v>
      </c>
      <c r="E453">
        <v>1000000</v>
      </c>
      <c r="H453">
        <v>25</v>
      </c>
      <c r="I453" t="s">
        <v>56</v>
      </c>
      <c r="J453">
        <v>2.5000000000000001E-3</v>
      </c>
      <c r="K453" t="s">
        <v>57</v>
      </c>
      <c r="O453">
        <v>0.3</v>
      </c>
      <c r="P453" t="s">
        <v>59</v>
      </c>
      <c r="S453">
        <v>3</v>
      </c>
      <c r="T453">
        <v>21</v>
      </c>
      <c r="V453">
        <v>50</v>
      </c>
      <c r="W453" t="s">
        <v>1018</v>
      </c>
      <c r="X453" t="s">
        <v>957</v>
      </c>
      <c r="Y453">
        <v>30</v>
      </c>
      <c r="AB453">
        <v>7.09</v>
      </c>
      <c r="AC453" t="s">
        <v>85</v>
      </c>
      <c r="AD453" t="s">
        <v>239</v>
      </c>
      <c r="AE453" t="s">
        <v>63</v>
      </c>
      <c r="AI453">
        <v>3</v>
      </c>
      <c r="AV453" t="s">
        <v>88</v>
      </c>
    </row>
    <row r="454" spans="1:53" x14ac:dyDescent="0.3">
      <c r="A454" t="s">
        <v>1017</v>
      </c>
      <c r="C454" t="s">
        <v>920</v>
      </c>
      <c r="D454" t="s">
        <v>81</v>
      </c>
      <c r="E454">
        <v>1000000</v>
      </c>
      <c r="H454">
        <v>25</v>
      </c>
      <c r="I454" t="s">
        <v>56</v>
      </c>
      <c r="J454">
        <v>2.5000000000000001E-3</v>
      </c>
      <c r="K454" t="s">
        <v>57</v>
      </c>
      <c r="O454">
        <v>0.3</v>
      </c>
      <c r="P454" t="s">
        <v>59</v>
      </c>
      <c r="S454">
        <v>3</v>
      </c>
      <c r="T454">
        <v>21</v>
      </c>
      <c r="V454">
        <v>50</v>
      </c>
      <c r="W454" t="s">
        <v>1018</v>
      </c>
      <c r="X454" t="s">
        <v>957</v>
      </c>
      <c r="Y454">
        <v>30</v>
      </c>
      <c r="AB454">
        <v>6.3</v>
      </c>
      <c r="AC454" t="s">
        <v>85</v>
      </c>
      <c r="AD454" t="s">
        <v>525</v>
      </c>
      <c r="AE454" t="s">
        <v>63</v>
      </c>
      <c r="AI454">
        <v>3</v>
      </c>
      <c r="AV454" t="s">
        <v>88</v>
      </c>
    </row>
    <row r="455" spans="1:53" x14ac:dyDescent="0.3">
      <c r="A455" t="s">
        <v>1017</v>
      </c>
      <c r="C455" t="s">
        <v>920</v>
      </c>
      <c r="D455" t="s">
        <v>81</v>
      </c>
      <c r="E455">
        <v>1000000</v>
      </c>
      <c r="H455">
        <v>25</v>
      </c>
      <c r="I455" t="s">
        <v>56</v>
      </c>
      <c r="J455">
        <v>2.5000000000000001E-3</v>
      </c>
      <c r="K455" t="s">
        <v>57</v>
      </c>
      <c r="O455">
        <v>0.3</v>
      </c>
      <c r="P455" t="s">
        <v>59</v>
      </c>
      <c r="S455">
        <v>3</v>
      </c>
      <c r="T455">
        <v>21</v>
      </c>
      <c r="V455">
        <v>50</v>
      </c>
      <c r="W455" t="s">
        <v>1018</v>
      </c>
      <c r="X455" t="s">
        <v>957</v>
      </c>
      <c r="Y455">
        <v>30</v>
      </c>
      <c r="AB455">
        <v>6.28</v>
      </c>
      <c r="AC455" t="s">
        <v>85</v>
      </c>
      <c r="AD455" t="s">
        <v>632</v>
      </c>
      <c r="AE455" t="s">
        <v>63</v>
      </c>
      <c r="AI455">
        <v>3</v>
      </c>
      <c r="AV455" t="s">
        <v>88</v>
      </c>
    </row>
    <row r="456" spans="1:53" x14ac:dyDescent="0.3">
      <c r="A456" t="s">
        <v>1017</v>
      </c>
      <c r="C456" t="s">
        <v>920</v>
      </c>
      <c r="D456" t="s">
        <v>81</v>
      </c>
      <c r="E456">
        <v>1000000</v>
      </c>
      <c r="H456">
        <v>25</v>
      </c>
      <c r="I456" t="s">
        <v>56</v>
      </c>
      <c r="J456">
        <v>2.5000000000000001E-3</v>
      </c>
      <c r="K456" t="s">
        <v>57</v>
      </c>
      <c r="O456">
        <v>0.3</v>
      </c>
      <c r="P456" t="s">
        <v>59</v>
      </c>
      <c r="S456">
        <v>3</v>
      </c>
      <c r="T456">
        <v>21</v>
      </c>
      <c r="V456">
        <v>50</v>
      </c>
      <c r="W456" t="s">
        <v>1019</v>
      </c>
      <c r="X456" t="s">
        <v>957</v>
      </c>
      <c r="Y456">
        <v>30</v>
      </c>
      <c r="AB456">
        <v>6.3</v>
      </c>
      <c r="AC456" t="s">
        <v>85</v>
      </c>
      <c r="AD456" t="s">
        <v>553</v>
      </c>
      <c r="AE456" t="s">
        <v>63</v>
      </c>
      <c r="AI456">
        <v>3</v>
      </c>
      <c r="AV456" t="s">
        <v>88</v>
      </c>
    </row>
    <row r="457" spans="1:53" x14ac:dyDescent="0.3">
      <c r="A457" t="s">
        <v>1017</v>
      </c>
      <c r="C457" t="s">
        <v>920</v>
      </c>
      <c r="D457" t="s">
        <v>81</v>
      </c>
      <c r="E457">
        <v>1000000</v>
      </c>
      <c r="H457">
        <v>25</v>
      </c>
      <c r="I457" t="s">
        <v>56</v>
      </c>
      <c r="J457">
        <v>2.5000000000000001E-3</v>
      </c>
      <c r="K457" t="s">
        <v>57</v>
      </c>
      <c r="O457">
        <v>0.3</v>
      </c>
      <c r="P457" t="s">
        <v>59</v>
      </c>
      <c r="S457">
        <v>3</v>
      </c>
      <c r="T457">
        <v>21</v>
      </c>
      <c r="V457">
        <v>50</v>
      </c>
      <c r="W457" t="s">
        <v>1019</v>
      </c>
      <c r="X457" t="s">
        <v>957</v>
      </c>
      <c r="Y457">
        <v>30</v>
      </c>
      <c r="AB457">
        <v>8.06</v>
      </c>
      <c r="AC457" t="s">
        <v>85</v>
      </c>
      <c r="AD457" t="s">
        <v>939</v>
      </c>
      <c r="AE457" t="s">
        <v>63</v>
      </c>
      <c r="AI457">
        <v>3</v>
      </c>
      <c r="AV457" t="s">
        <v>88</v>
      </c>
    </row>
    <row r="458" spans="1:53" x14ac:dyDescent="0.3">
      <c r="A458" t="s">
        <v>1017</v>
      </c>
      <c r="C458" t="s">
        <v>920</v>
      </c>
      <c r="D458" t="s">
        <v>81</v>
      </c>
      <c r="E458">
        <v>1000000</v>
      </c>
      <c r="H458">
        <v>25</v>
      </c>
      <c r="I458" t="s">
        <v>56</v>
      </c>
      <c r="J458">
        <v>2.5000000000000001E-3</v>
      </c>
      <c r="K458" t="s">
        <v>57</v>
      </c>
      <c r="O458">
        <v>0.3</v>
      </c>
      <c r="P458" t="s">
        <v>59</v>
      </c>
      <c r="S458">
        <v>3</v>
      </c>
      <c r="T458">
        <v>21</v>
      </c>
      <c r="V458">
        <v>50</v>
      </c>
      <c r="W458" t="s">
        <v>1019</v>
      </c>
      <c r="X458" t="s">
        <v>957</v>
      </c>
      <c r="Y458">
        <v>30</v>
      </c>
      <c r="AB458">
        <v>5.99</v>
      </c>
      <c r="AC458" t="s">
        <v>85</v>
      </c>
      <c r="AD458" t="s">
        <v>501</v>
      </c>
      <c r="AE458" t="s">
        <v>63</v>
      </c>
      <c r="AI458">
        <v>3</v>
      </c>
      <c r="AV458" t="s">
        <v>88</v>
      </c>
    </row>
    <row r="459" spans="1:53" x14ac:dyDescent="0.3">
      <c r="A459" t="s">
        <v>1017</v>
      </c>
      <c r="C459" t="s">
        <v>920</v>
      </c>
      <c r="D459" t="s">
        <v>81</v>
      </c>
      <c r="E459">
        <v>1000000</v>
      </c>
      <c r="H459">
        <v>25</v>
      </c>
      <c r="I459" t="s">
        <v>56</v>
      </c>
      <c r="J459">
        <v>2.5000000000000001E-3</v>
      </c>
      <c r="K459" t="s">
        <v>57</v>
      </c>
      <c r="O459">
        <v>0.3</v>
      </c>
      <c r="P459" t="s">
        <v>59</v>
      </c>
      <c r="S459">
        <v>3</v>
      </c>
      <c r="T459">
        <v>21</v>
      </c>
      <c r="V459">
        <v>50</v>
      </c>
      <c r="W459" t="s">
        <v>1019</v>
      </c>
      <c r="X459" t="s">
        <v>957</v>
      </c>
      <c r="Y459">
        <v>30</v>
      </c>
      <c r="AB459">
        <v>7.53</v>
      </c>
      <c r="AC459" t="s">
        <v>85</v>
      </c>
      <c r="AD459" t="s">
        <v>325</v>
      </c>
      <c r="AE459" t="s">
        <v>63</v>
      </c>
      <c r="AI459">
        <v>3</v>
      </c>
      <c r="AV459" t="s">
        <v>88</v>
      </c>
    </row>
    <row r="460" spans="1:53" x14ac:dyDescent="0.3">
      <c r="A460" t="s">
        <v>1017</v>
      </c>
      <c r="C460" t="s">
        <v>920</v>
      </c>
      <c r="D460" t="s">
        <v>81</v>
      </c>
      <c r="E460">
        <v>1000000</v>
      </c>
      <c r="H460">
        <v>25</v>
      </c>
      <c r="I460" t="s">
        <v>56</v>
      </c>
      <c r="J460">
        <v>2.5000000000000001E-3</v>
      </c>
      <c r="K460" t="s">
        <v>57</v>
      </c>
      <c r="O460">
        <v>0.3</v>
      </c>
      <c r="P460" t="s">
        <v>59</v>
      </c>
      <c r="S460">
        <v>3</v>
      </c>
      <c r="T460">
        <v>21</v>
      </c>
      <c r="V460">
        <v>50</v>
      </c>
      <c r="W460" t="s">
        <v>1019</v>
      </c>
      <c r="X460" t="s">
        <v>957</v>
      </c>
      <c r="Y460">
        <v>30</v>
      </c>
      <c r="AB460">
        <v>6.16</v>
      </c>
      <c r="AC460" t="s">
        <v>85</v>
      </c>
      <c r="AD460" t="s">
        <v>363</v>
      </c>
      <c r="AE460" t="s">
        <v>63</v>
      </c>
      <c r="AI460">
        <v>3</v>
      </c>
      <c r="AV460" t="s">
        <v>88</v>
      </c>
    </row>
    <row r="461" spans="1:53" x14ac:dyDescent="0.3">
      <c r="A461" t="s">
        <v>1017</v>
      </c>
      <c r="C461" t="s">
        <v>920</v>
      </c>
      <c r="D461" t="s">
        <v>81</v>
      </c>
      <c r="E461">
        <v>1000000</v>
      </c>
      <c r="H461">
        <v>25</v>
      </c>
      <c r="I461" t="s">
        <v>56</v>
      </c>
      <c r="J461">
        <v>2.5000000000000001E-3</v>
      </c>
      <c r="K461" t="s">
        <v>57</v>
      </c>
      <c r="O461">
        <v>0.3</v>
      </c>
      <c r="P461" t="s">
        <v>59</v>
      </c>
      <c r="S461">
        <v>3</v>
      </c>
      <c r="T461">
        <v>21</v>
      </c>
      <c r="V461">
        <v>50</v>
      </c>
      <c r="W461" t="s">
        <v>1019</v>
      </c>
      <c r="X461" t="s">
        <v>957</v>
      </c>
      <c r="Y461">
        <v>30</v>
      </c>
      <c r="AB461">
        <v>6.3</v>
      </c>
      <c r="AC461" t="s">
        <v>85</v>
      </c>
      <c r="AD461" t="s">
        <v>992</v>
      </c>
      <c r="AE461" t="s">
        <v>63</v>
      </c>
      <c r="AI461">
        <v>3</v>
      </c>
      <c r="AV461" t="s">
        <v>88</v>
      </c>
    </row>
    <row r="462" spans="1:53" x14ac:dyDescent="0.3">
      <c r="A462" t="s">
        <v>1017</v>
      </c>
      <c r="C462" t="s">
        <v>920</v>
      </c>
      <c r="D462" t="s">
        <v>81</v>
      </c>
      <c r="E462">
        <v>1000000</v>
      </c>
      <c r="H462">
        <v>25</v>
      </c>
      <c r="I462" t="s">
        <v>56</v>
      </c>
      <c r="J462">
        <v>2.5000000000000001E-3</v>
      </c>
      <c r="K462" t="s">
        <v>57</v>
      </c>
      <c r="O462">
        <v>0.3</v>
      </c>
      <c r="P462" t="s">
        <v>59</v>
      </c>
      <c r="S462">
        <v>3</v>
      </c>
      <c r="T462">
        <v>21</v>
      </c>
      <c r="V462">
        <v>50</v>
      </c>
      <c r="W462" t="s">
        <v>1019</v>
      </c>
      <c r="X462" t="s">
        <v>957</v>
      </c>
      <c r="Y462">
        <v>30</v>
      </c>
      <c r="AB462">
        <v>6.7</v>
      </c>
      <c r="AC462" t="s">
        <v>85</v>
      </c>
      <c r="AD462" t="s">
        <v>590</v>
      </c>
      <c r="AE462" t="s">
        <v>63</v>
      </c>
      <c r="AI462">
        <v>3</v>
      </c>
      <c r="AV462" t="s">
        <v>88</v>
      </c>
    </row>
    <row r="463" spans="1:53" x14ac:dyDescent="0.3">
      <c r="A463" t="s">
        <v>1017</v>
      </c>
      <c r="C463" t="s">
        <v>920</v>
      </c>
      <c r="D463" t="s">
        <v>81</v>
      </c>
      <c r="E463">
        <v>1000000</v>
      </c>
      <c r="H463">
        <v>25</v>
      </c>
      <c r="I463" t="s">
        <v>56</v>
      </c>
      <c r="J463">
        <v>2.5000000000000001E-3</v>
      </c>
      <c r="K463" t="s">
        <v>57</v>
      </c>
      <c r="O463">
        <v>0.3</v>
      </c>
      <c r="P463" t="s">
        <v>59</v>
      </c>
      <c r="S463">
        <v>3</v>
      </c>
      <c r="T463">
        <v>21</v>
      </c>
      <c r="V463">
        <v>50</v>
      </c>
      <c r="W463" t="s">
        <v>1019</v>
      </c>
      <c r="X463" t="s">
        <v>957</v>
      </c>
      <c r="Y463">
        <v>30</v>
      </c>
      <c r="AB463">
        <v>7.12</v>
      </c>
      <c r="AC463" t="s">
        <v>85</v>
      </c>
      <c r="AD463" t="s">
        <v>237</v>
      </c>
      <c r="AE463" t="s">
        <v>63</v>
      </c>
      <c r="AI463">
        <v>3</v>
      </c>
      <c r="AV463" t="s">
        <v>88</v>
      </c>
    </row>
    <row r="464" spans="1:53" x14ac:dyDescent="0.3">
      <c r="A464" t="s">
        <v>1017</v>
      </c>
      <c r="C464" t="s">
        <v>920</v>
      </c>
      <c r="D464" t="s">
        <v>81</v>
      </c>
      <c r="E464">
        <v>1000000</v>
      </c>
      <c r="H464">
        <v>25</v>
      </c>
      <c r="I464" t="s">
        <v>56</v>
      </c>
      <c r="J464">
        <v>2.5000000000000001E-3</v>
      </c>
      <c r="K464" t="s">
        <v>57</v>
      </c>
      <c r="O464">
        <v>0.3</v>
      </c>
      <c r="P464" t="s">
        <v>59</v>
      </c>
      <c r="S464">
        <v>3</v>
      </c>
      <c r="T464">
        <v>21</v>
      </c>
      <c r="V464">
        <v>50</v>
      </c>
      <c r="W464" t="s">
        <v>1019</v>
      </c>
      <c r="X464" t="s">
        <v>957</v>
      </c>
      <c r="Y464">
        <v>30</v>
      </c>
      <c r="AB464">
        <v>5.52</v>
      </c>
      <c r="AC464" t="s">
        <v>85</v>
      </c>
      <c r="AD464" t="s">
        <v>231</v>
      </c>
      <c r="AE464" t="s">
        <v>63</v>
      </c>
      <c r="AI464">
        <v>3</v>
      </c>
      <c r="AV464" t="s">
        <v>88</v>
      </c>
    </row>
    <row r="465" spans="1:48" x14ac:dyDescent="0.3">
      <c r="A465" t="s">
        <v>1017</v>
      </c>
      <c r="C465" t="s">
        <v>920</v>
      </c>
      <c r="D465" t="s">
        <v>81</v>
      </c>
      <c r="E465">
        <v>1000000</v>
      </c>
      <c r="H465">
        <v>25</v>
      </c>
      <c r="I465" t="s">
        <v>56</v>
      </c>
      <c r="J465">
        <v>2.5000000000000001E-3</v>
      </c>
      <c r="K465" t="s">
        <v>57</v>
      </c>
      <c r="O465">
        <v>0.3</v>
      </c>
      <c r="P465" t="s">
        <v>59</v>
      </c>
      <c r="S465">
        <v>3</v>
      </c>
      <c r="T465">
        <v>21</v>
      </c>
      <c r="V465">
        <v>50</v>
      </c>
      <c r="W465" t="s">
        <v>1019</v>
      </c>
      <c r="X465" t="s">
        <v>957</v>
      </c>
      <c r="Y465">
        <v>30</v>
      </c>
      <c r="AB465">
        <v>6.91</v>
      </c>
      <c r="AC465" t="s">
        <v>85</v>
      </c>
      <c r="AD465" t="s">
        <v>365</v>
      </c>
      <c r="AE465" t="s">
        <v>63</v>
      </c>
      <c r="AI465">
        <v>3</v>
      </c>
      <c r="AV465" t="s">
        <v>88</v>
      </c>
    </row>
    <row r="466" spans="1:48" x14ac:dyDescent="0.3">
      <c r="A466" t="s">
        <v>1017</v>
      </c>
      <c r="C466" t="s">
        <v>920</v>
      </c>
      <c r="D466" t="s">
        <v>81</v>
      </c>
      <c r="E466">
        <v>1000000</v>
      </c>
      <c r="H466">
        <v>25</v>
      </c>
      <c r="I466" t="s">
        <v>56</v>
      </c>
      <c r="J466">
        <v>2.5000000000000001E-3</v>
      </c>
      <c r="K466" t="s">
        <v>57</v>
      </c>
      <c r="O466">
        <v>0.3</v>
      </c>
      <c r="P466" t="s">
        <v>59</v>
      </c>
      <c r="S466">
        <v>3</v>
      </c>
      <c r="T466">
        <v>21</v>
      </c>
      <c r="V466">
        <v>50</v>
      </c>
      <c r="W466" t="s">
        <v>1019</v>
      </c>
      <c r="X466" t="s">
        <v>957</v>
      </c>
      <c r="Y466">
        <v>30</v>
      </c>
      <c r="AB466">
        <v>7.02</v>
      </c>
      <c r="AC466" t="s">
        <v>85</v>
      </c>
      <c r="AD466" t="s">
        <v>427</v>
      </c>
      <c r="AE466" t="s">
        <v>63</v>
      </c>
      <c r="AI466">
        <v>3</v>
      </c>
      <c r="AV466" t="s">
        <v>88</v>
      </c>
    </row>
    <row r="467" spans="1:48" x14ac:dyDescent="0.3">
      <c r="A467" t="s">
        <v>1017</v>
      </c>
      <c r="C467" t="s">
        <v>920</v>
      </c>
      <c r="D467" t="s">
        <v>81</v>
      </c>
      <c r="E467">
        <v>1000000</v>
      </c>
      <c r="H467">
        <v>25</v>
      </c>
      <c r="I467" t="s">
        <v>56</v>
      </c>
      <c r="J467">
        <v>2.5000000000000001E-3</v>
      </c>
      <c r="K467" t="s">
        <v>57</v>
      </c>
      <c r="O467">
        <v>0.3</v>
      </c>
      <c r="P467" t="s">
        <v>59</v>
      </c>
      <c r="S467">
        <v>3</v>
      </c>
      <c r="T467">
        <v>21</v>
      </c>
      <c r="V467">
        <v>50</v>
      </c>
      <c r="W467" t="s">
        <v>1019</v>
      </c>
      <c r="X467" t="s">
        <v>957</v>
      </c>
      <c r="Y467">
        <v>30</v>
      </c>
      <c r="AB467">
        <v>6.29</v>
      </c>
      <c r="AC467" t="s">
        <v>85</v>
      </c>
      <c r="AD467" t="s">
        <v>553</v>
      </c>
      <c r="AE467" t="s">
        <v>63</v>
      </c>
      <c r="AI467">
        <v>3</v>
      </c>
      <c r="AV467" t="s">
        <v>88</v>
      </c>
    </row>
    <row r="468" spans="1:48" x14ac:dyDescent="0.3">
      <c r="A468" t="s">
        <v>1017</v>
      </c>
      <c r="C468" t="s">
        <v>920</v>
      </c>
      <c r="D468" t="s">
        <v>81</v>
      </c>
      <c r="E468">
        <v>1000000</v>
      </c>
      <c r="H468">
        <v>25</v>
      </c>
      <c r="I468" t="s">
        <v>56</v>
      </c>
      <c r="J468">
        <v>2.5000000000000001E-3</v>
      </c>
      <c r="K468" t="s">
        <v>57</v>
      </c>
      <c r="O468">
        <v>0.3</v>
      </c>
      <c r="P468" t="s">
        <v>59</v>
      </c>
      <c r="S468">
        <v>3</v>
      </c>
      <c r="T468">
        <v>21</v>
      </c>
      <c r="V468">
        <v>50</v>
      </c>
      <c r="W468" t="s">
        <v>1019</v>
      </c>
      <c r="X468" t="s">
        <v>957</v>
      </c>
      <c r="Y468">
        <v>30</v>
      </c>
      <c r="AB468">
        <v>6.71</v>
      </c>
      <c r="AC468" t="s">
        <v>85</v>
      </c>
      <c r="AD468" t="s">
        <v>553</v>
      </c>
      <c r="AE468" t="s">
        <v>63</v>
      </c>
      <c r="AI468">
        <v>3</v>
      </c>
      <c r="AV468" t="s">
        <v>88</v>
      </c>
    </row>
    <row r="469" spans="1:48" x14ac:dyDescent="0.3">
      <c r="A469" t="s">
        <v>1017</v>
      </c>
      <c r="C469" t="s">
        <v>920</v>
      </c>
      <c r="D469" t="s">
        <v>81</v>
      </c>
      <c r="E469">
        <v>1000000</v>
      </c>
      <c r="H469">
        <v>25</v>
      </c>
      <c r="I469" t="s">
        <v>56</v>
      </c>
      <c r="J469">
        <v>2.5000000000000001E-3</v>
      </c>
      <c r="K469" t="s">
        <v>57</v>
      </c>
      <c r="S469">
        <v>3</v>
      </c>
      <c r="T469">
        <v>21</v>
      </c>
      <c r="V469">
        <v>50</v>
      </c>
      <c r="W469" t="s">
        <v>1018</v>
      </c>
      <c r="X469" t="s">
        <v>957</v>
      </c>
      <c r="Y469">
        <v>30</v>
      </c>
      <c r="AB469">
        <v>0.05</v>
      </c>
      <c r="AC469" t="s">
        <v>85</v>
      </c>
      <c r="AD469" t="s">
        <v>487</v>
      </c>
      <c r="AE469" t="s">
        <v>63</v>
      </c>
      <c r="AI469">
        <v>3</v>
      </c>
      <c r="AV469" t="s">
        <v>88</v>
      </c>
    </row>
    <row r="470" spans="1:48" x14ac:dyDescent="0.3">
      <c r="A470" t="s">
        <v>1017</v>
      </c>
      <c r="C470" t="s">
        <v>920</v>
      </c>
      <c r="D470" t="s">
        <v>81</v>
      </c>
      <c r="E470">
        <v>1000000</v>
      </c>
      <c r="H470">
        <v>25</v>
      </c>
      <c r="I470" t="s">
        <v>56</v>
      </c>
      <c r="J470">
        <v>2.5000000000000001E-3</v>
      </c>
      <c r="K470" t="s">
        <v>57</v>
      </c>
      <c r="S470">
        <v>3</v>
      </c>
      <c r="T470">
        <v>21</v>
      </c>
      <c r="V470">
        <v>50</v>
      </c>
      <c r="W470" t="s">
        <v>1018</v>
      </c>
      <c r="X470" t="s">
        <v>957</v>
      </c>
      <c r="Y470">
        <v>30</v>
      </c>
      <c r="AB470">
        <v>3.33</v>
      </c>
      <c r="AC470" t="s">
        <v>85</v>
      </c>
      <c r="AD470" t="s">
        <v>232</v>
      </c>
      <c r="AE470" t="s">
        <v>63</v>
      </c>
      <c r="AI470">
        <v>3</v>
      </c>
      <c r="AV470" t="s">
        <v>88</v>
      </c>
    </row>
    <row r="471" spans="1:48" x14ac:dyDescent="0.3">
      <c r="A471" t="s">
        <v>1017</v>
      </c>
      <c r="C471" t="s">
        <v>920</v>
      </c>
      <c r="D471" t="s">
        <v>81</v>
      </c>
      <c r="E471">
        <v>1000000</v>
      </c>
      <c r="H471">
        <v>25</v>
      </c>
      <c r="I471" t="s">
        <v>56</v>
      </c>
      <c r="J471">
        <v>2.5000000000000001E-3</v>
      </c>
      <c r="K471" t="s">
        <v>57</v>
      </c>
      <c r="S471">
        <v>3</v>
      </c>
      <c r="T471">
        <v>21</v>
      </c>
      <c r="V471">
        <v>50</v>
      </c>
      <c r="W471" t="s">
        <v>1018</v>
      </c>
      <c r="X471" t="s">
        <v>957</v>
      </c>
      <c r="Y471">
        <v>30</v>
      </c>
      <c r="AB471">
        <v>0.49</v>
      </c>
      <c r="AC471" t="s">
        <v>85</v>
      </c>
      <c r="AD471" t="s">
        <v>494</v>
      </c>
      <c r="AE471" t="s">
        <v>63</v>
      </c>
      <c r="AI471">
        <v>3</v>
      </c>
      <c r="AV471" t="s">
        <v>88</v>
      </c>
    </row>
    <row r="472" spans="1:48" x14ac:dyDescent="0.3">
      <c r="A472" t="s">
        <v>1017</v>
      </c>
      <c r="C472" t="s">
        <v>920</v>
      </c>
      <c r="D472" t="s">
        <v>81</v>
      </c>
      <c r="E472">
        <v>1000000</v>
      </c>
      <c r="H472">
        <v>25</v>
      </c>
      <c r="I472" t="s">
        <v>56</v>
      </c>
      <c r="J472">
        <v>2.5000000000000001E-3</v>
      </c>
      <c r="K472" t="s">
        <v>57</v>
      </c>
      <c r="S472">
        <v>3</v>
      </c>
      <c r="T472">
        <v>21</v>
      </c>
      <c r="V472">
        <v>50</v>
      </c>
      <c r="W472" t="s">
        <v>1018</v>
      </c>
      <c r="X472" t="s">
        <v>957</v>
      </c>
      <c r="Y472">
        <v>30</v>
      </c>
      <c r="AB472">
        <v>0.16</v>
      </c>
      <c r="AC472" t="s">
        <v>85</v>
      </c>
      <c r="AD472" t="s">
        <v>314</v>
      </c>
      <c r="AE472" t="s">
        <v>63</v>
      </c>
      <c r="AI472">
        <v>3</v>
      </c>
      <c r="AV472" t="s">
        <v>88</v>
      </c>
    </row>
    <row r="473" spans="1:48" x14ac:dyDescent="0.3">
      <c r="A473" t="s">
        <v>1017</v>
      </c>
      <c r="C473" t="s">
        <v>920</v>
      </c>
      <c r="D473" t="s">
        <v>81</v>
      </c>
      <c r="E473">
        <v>1000000</v>
      </c>
      <c r="H473">
        <v>25</v>
      </c>
      <c r="I473" t="s">
        <v>56</v>
      </c>
      <c r="J473">
        <v>2.5000000000000001E-3</v>
      </c>
      <c r="K473" t="s">
        <v>57</v>
      </c>
      <c r="S473">
        <v>3</v>
      </c>
      <c r="T473">
        <v>21</v>
      </c>
      <c r="V473">
        <v>50</v>
      </c>
      <c r="W473" t="s">
        <v>1018</v>
      </c>
      <c r="X473" t="s">
        <v>957</v>
      </c>
      <c r="Y473">
        <v>30</v>
      </c>
      <c r="AB473">
        <v>0.79</v>
      </c>
      <c r="AC473" t="s">
        <v>85</v>
      </c>
      <c r="AD473" t="s">
        <v>487</v>
      </c>
      <c r="AE473" t="s">
        <v>63</v>
      </c>
      <c r="AI473">
        <v>3</v>
      </c>
      <c r="AV473" t="s">
        <v>88</v>
      </c>
    </row>
    <row r="474" spans="1:48" x14ac:dyDescent="0.3">
      <c r="A474" t="s">
        <v>1017</v>
      </c>
      <c r="C474" t="s">
        <v>920</v>
      </c>
      <c r="D474" t="s">
        <v>81</v>
      </c>
      <c r="E474">
        <v>1000000</v>
      </c>
      <c r="H474">
        <v>25</v>
      </c>
      <c r="I474" t="s">
        <v>56</v>
      </c>
      <c r="J474">
        <v>2.5000000000000001E-3</v>
      </c>
      <c r="K474" t="s">
        <v>57</v>
      </c>
      <c r="S474">
        <v>3</v>
      </c>
      <c r="T474">
        <v>21</v>
      </c>
      <c r="V474">
        <v>50</v>
      </c>
      <c r="W474" t="s">
        <v>1018</v>
      </c>
      <c r="X474" t="s">
        <v>957</v>
      </c>
      <c r="Y474">
        <v>30</v>
      </c>
      <c r="AB474">
        <v>2.04</v>
      </c>
      <c r="AC474" t="s">
        <v>85</v>
      </c>
      <c r="AD474" t="s">
        <v>104</v>
      </c>
      <c r="AE474" t="s">
        <v>63</v>
      </c>
      <c r="AI474">
        <v>3</v>
      </c>
      <c r="AV474" t="s">
        <v>88</v>
      </c>
    </row>
    <row r="475" spans="1:48" x14ac:dyDescent="0.3">
      <c r="A475" t="s">
        <v>1017</v>
      </c>
      <c r="C475" t="s">
        <v>920</v>
      </c>
      <c r="D475" t="s">
        <v>81</v>
      </c>
      <c r="E475">
        <v>1000000</v>
      </c>
      <c r="H475">
        <v>25</v>
      </c>
      <c r="I475" t="s">
        <v>56</v>
      </c>
      <c r="J475">
        <v>2.5000000000000001E-3</v>
      </c>
      <c r="K475" t="s">
        <v>57</v>
      </c>
      <c r="S475">
        <v>3</v>
      </c>
      <c r="T475">
        <v>21</v>
      </c>
      <c r="V475">
        <v>50</v>
      </c>
      <c r="W475" t="s">
        <v>1018</v>
      </c>
      <c r="X475" t="s">
        <v>957</v>
      </c>
      <c r="Y475">
        <v>30</v>
      </c>
      <c r="AB475">
        <v>1.34</v>
      </c>
      <c r="AC475" t="s">
        <v>85</v>
      </c>
      <c r="AD475" t="s">
        <v>227</v>
      </c>
      <c r="AE475" t="s">
        <v>63</v>
      </c>
      <c r="AI475">
        <v>3</v>
      </c>
      <c r="AV475" t="s">
        <v>88</v>
      </c>
    </row>
    <row r="476" spans="1:48" x14ac:dyDescent="0.3">
      <c r="A476" t="s">
        <v>1017</v>
      </c>
      <c r="C476" t="s">
        <v>920</v>
      </c>
      <c r="D476" t="s">
        <v>81</v>
      </c>
      <c r="E476">
        <v>1000000</v>
      </c>
      <c r="H476">
        <v>25</v>
      </c>
      <c r="I476" t="s">
        <v>56</v>
      </c>
      <c r="J476">
        <v>2.5000000000000001E-3</v>
      </c>
      <c r="K476" t="s">
        <v>57</v>
      </c>
      <c r="S476">
        <v>3</v>
      </c>
      <c r="T476">
        <v>21</v>
      </c>
      <c r="V476">
        <v>50</v>
      </c>
      <c r="W476" t="s">
        <v>1018</v>
      </c>
      <c r="X476" t="s">
        <v>957</v>
      </c>
      <c r="Y476">
        <v>30</v>
      </c>
      <c r="AB476">
        <v>1.7</v>
      </c>
      <c r="AC476" t="s">
        <v>85</v>
      </c>
      <c r="AD476" t="s">
        <v>248</v>
      </c>
      <c r="AE476" t="s">
        <v>63</v>
      </c>
      <c r="AI476">
        <v>3</v>
      </c>
      <c r="AV476" t="s">
        <v>88</v>
      </c>
    </row>
    <row r="477" spans="1:48" x14ac:dyDescent="0.3">
      <c r="A477" t="s">
        <v>1017</v>
      </c>
      <c r="C477" t="s">
        <v>920</v>
      </c>
      <c r="D477" t="s">
        <v>81</v>
      </c>
      <c r="E477">
        <v>1000000</v>
      </c>
      <c r="H477">
        <v>25</v>
      </c>
      <c r="I477" t="s">
        <v>56</v>
      </c>
      <c r="J477">
        <v>2.5000000000000001E-3</v>
      </c>
      <c r="K477" t="s">
        <v>57</v>
      </c>
      <c r="S477">
        <v>3</v>
      </c>
      <c r="T477">
        <v>21</v>
      </c>
      <c r="V477">
        <v>50</v>
      </c>
      <c r="W477" t="s">
        <v>1018</v>
      </c>
      <c r="X477" t="s">
        <v>957</v>
      </c>
      <c r="Y477">
        <v>30</v>
      </c>
      <c r="AB477">
        <v>1.45</v>
      </c>
      <c r="AC477" t="s">
        <v>85</v>
      </c>
      <c r="AD477" t="s">
        <v>418</v>
      </c>
      <c r="AE477" t="s">
        <v>63</v>
      </c>
      <c r="AI477">
        <v>3</v>
      </c>
      <c r="AV477" t="s">
        <v>88</v>
      </c>
    </row>
    <row r="478" spans="1:48" x14ac:dyDescent="0.3">
      <c r="A478" t="s">
        <v>1017</v>
      </c>
      <c r="C478" t="s">
        <v>920</v>
      </c>
      <c r="D478" t="s">
        <v>81</v>
      </c>
      <c r="E478">
        <v>1000000</v>
      </c>
      <c r="H478">
        <v>25</v>
      </c>
      <c r="I478" t="s">
        <v>56</v>
      </c>
      <c r="J478">
        <v>2.5000000000000001E-3</v>
      </c>
      <c r="K478" t="s">
        <v>57</v>
      </c>
      <c r="S478">
        <v>3</v>
      </c>
      <c r="T478">
        <v>21</v>
      </c>
      <c r="V478">
        <v>50</v>
      </c>
      <c r="W478" t="s">
        <v>1018</v>
      </c>
      <c r="X478" t="s">
        <v>957</v>
      </c>
      <c r="Y478">
        <v>30</v>
      </c>
      <c r="AB478">
        <v>1.4</v>
      </c>
      <c r="AC478" t="s">
        <v>85</v>
      </c>
      <c r="AD478" t="s">
        <v>500</v>
      </c>
      <c r="AE478" t="s">
        <v>63</v>
      </c>
      <c r="AI478">
        <v>3</v>
      </c>
      <c r="AV478" t="s">
        <v>88</v>
      </c>
    </row>
    <row r="479" spans="1:48" x14ac:dyDescent="0.3">
      <c r="A479" t="s">
        <v>1017</v>
      </c>
      <c r="C479" t="s">
        <v>920</v>
      </c>
      <c r="D479" t="s">
        <v>81</v>
      </c>
      <c r="E479">
        <v>1000000</v>
      </c>
      <c r="H479">
        <v>25</v>
      </c>
      <c r="I479" t="s">
        <v>56</v>
      </c>
      <c r="J479">
        <v>2.5000000000000001E-3</v>
      </c>
      <c r="K479" t="s">
        <v>57</v>
      </c>
      <c r="S479">
        <v>3</v>
      </c>
      <c r="T479">
        <v>21</v>
      </c>
      <c r="V479">
        <v>50</v>
      </c>
      <c r="W479" t="s">
        <v>1018</v>
      </c>
      <c r="X479" t="s">
        <v>957</v>
      </c>
      <c r="Y479">
        <v>30</v>
      </c>
      <c r="AB479">
        <v>0.09</v>
      </c>
      <c r="AC479" t="s">
        <v>85</v>
      </c>
      <c r="AD479" t="s">
        <v>248</v>
      </c>
      <c r="AE479" t="s">
        <v>63</v>
      </c>
      <c r="AI479">
        <v>3</v>
      </c>
      <c r="AV479" t="s">
        <v>88</v>
      </c>
    </row>
    <row r="480" spans="1:48" x14ac:dyDescent="0.3">
      <c r="A480" t="s">
        <v>1017</v>
      </c>
      <c r="C480" t="s">
        <v>920</v>
      </c>
      <c r="D480" t="s">
        <v>81</v>
      </c>
      <c r="E480">
        <v>1000000</v>
      </c>
      <c r="H480">
        <v>25</v>
      </c>
      <c r="I480" t="s">
        <v>56</v>
      </c>
      <c r="J480">
        <v>2.5000000000000001E-3</v>
      </c>
      <c r="K480" t="s">
        <v>57</v>
      </c>
      <c r="S480">
        <v>3</v>
      </c>
      <c r="T480">
        <v>21</v>
      </c>
      <c r="V480">
        <v>50</v>
      </c>
      <c r="W480" t="s">
        <v>1018</v>
      </c>
      <c r="X480" t="s">
        <v>957</v>
      </c>
      <c r="Y480">
        <v>30</v>
      </c>
      <c r="AB480">
        <v>1.9</v>
      </c>
      <c r="AC480" t="s">
        <v>85</v>
      </c>
      <c r="AD480" t="s">
        <v>553</v>
      </c>
      <c r="AE480" t="s">
        <v>63</v>
      </c>
      <c r="AI480">
        <v>3</v>
      </c>
      <c r="AV480" t="s">
        <v>88</v>
      </c>
    </row>
    <row r="481" spans="1:48" x14ac:dyDescent="0.3">
      <c r="A481" t="s">
        <v>1017</v>
      </c>
      <c r="C481" t="s">
        <v>920</v>
      </c>
      <c r="D481" t="s">
        <v>81</v>
      </c>
      <c r="E481">
        <v>1000000</v>
      </c>
      <c r="H481">
        <v>25</v>
      </c>
      <c r="I481" t="s">
        <v>56</v>
      </c>
      <c r="J481">
        <v>2.5000000000000001E-3</v>
      </c>
      <c r="K481" t="s">
        <v>57</v>
      </c>
      <c r="S481">
        <v>3</v>
      </c>
      <c r="T481">
        <v>21</v>
      </c>
      <c r="V481">
        <v>50</v>
      </c>
      <c r="W481" t="s">
        <v>1018</v>
      </c>
      <c r="X481" t="s">
        <v>957</v>
      </c>
      <c r="Y481">
        <v>30</v>
      </c>
      <c r="AB481">
        <v>1.97</v>
      </c>
      <c r="AC481" t="s">
        <v>85</v>
      </c>
      <c r="AD481" t="s">
        <v>100</v>
      </c>
      <c r="AE481" t="s">
        <v>63</v>
      </c>
      <c r="AI481">
        <v>3</v>
      </c>
      <c r="AV481" t="s">
        <v>88</v>
      </c>
    </row>
    <row r="482" spans="1:48" x14ac:dyDescent="0.3">
      <c r="A482" t="s">
        <v>1017</v>
      </c>
      <c r="C482" t="s">
        <v>920</v>
      </c>
      <c r="D482" t="s">
        <v>81</v>
      </c>
      <c r="E482">
        <v>1000000</v>
      </c>
      <c r="H482">
        <v>25</v>
      </c>
      <c r="I482" t="s">
        <v>56</v>
      </c>
      <c r="J482">
        <v>2.5000000000000001E-3</v>
      </c>
      <c r="K482" t="s">
        <v>57</v>
      </c>
      <c r="S482">
        <v>3</v>
      </c>
      <c r="T482">
        <v>21</v>
      </c>
      <c r="V482">
        <v>50</v>
      </c>
      <c r="W482" t="s">
        <v>1019</v>
      </c>
      <c r="X482" t="s">
        <v>957</v>
      </c>
      <c r="Y482">
        <v>30</v>
      </c>
      <c r="AB482">
        <v>0.75</v>
      </c>
      <c r="AC482" t="s">
        <v>85</v>
      </c>
      <c r="AD482" t="s">
        <v>493</v>
      </c>
      <c r="AE482" t="s">
        <v>63</v>
      </c>
      <c r="AI482">
        <v>3</v>
      </c>
      <c r="AV482" t="s">
        <v>88</v>
      </c>
    </row>
    <row r="483" spans="1:48" x14ac:dyDescent="0.3">
      <c r="A483" t="s">
        <v>1017</v>
      </c>
      <c r="C483" t="s">
        <v>920</v>
      </c>
      <c r="D483" t="s">
        <v>81</v>
      </c>
      <c r="E483">
        <v>1000000</v>
      </c>
      <c r="H483">
        <v>25</v>
      </c>
      <c r="I483" t="s">
        <v>56</v>
      </c>
      <c r="J483">
        <v>2.5000000000000001E-3</v>
      </c>
      <c r="K483" t="s">
        <v>57</v>
      </c>
      <c r="S483">
        <v>3</v>
      </c>
      <c r="T483">
        <v>21</v>
      </c>
      <c r="V483">
        <v>50</v>
      </c>
      <c r="W483" t="s">
        <v>1019</v>
      </c>
      <c r="X483" t="s">
        <v>957</v>
      </c>
      <c r="Y483">
        <v>30</v>
      </c>
      <c r="AB483">
        <v>3.9</v>
      </c>
      <c r="AC483" t="s">
        <v>85</v>
      </c>
      <c r="AD483" t="s">
        <v>104</v>
      </c>
      <c r="AE483" t="s">
        <v>63</v>
      </c>
      <c r="AI483">
        <v>3</v>
      </c>
      <c r="AV483" t="s">
        <v>88</v>
      </c>
    </row>
    <row r="484" spans="1:48" x14ac:dyDescent="0.3">
      <c r="A484" t="s">
        <v>1017</v>
      </c>
      <c r="C484" t="s">
        <v>920</v>
      </c>
      <c r="D484" t="s">
        <v>81</v>
      </c>
      <c r="E484">
        <v>1000000</v>
      </c>
      <c r="H484">
        <v>25</v>
      </c>
      <c r="I484" t="s">
        <v>56</v>
      </c>
      <c r="J484">
        <v>2.5000000000000001E-3</v>
      </c>
      <c r="K484" t="s">
        <v>57</v>
      </c>
      <c r="S484">
        <v>3</v>
      </c>
      <c r="T484">
        <v>21</v>
      </c>
      <c r="V484">
        <v>50</v>
      </c>
      <c r="W484" t="s">
        <v>1019</v>
      </c>
      <c r="X484" t="s">
        <v>957</v>
      </c>
      <c r="Y484">
        <v>30</v>
      </c>
      <c r="AB484">
        <v>2.54</v>
      </c>
      <c r="AC484" t="s">
        <v>85</v>
      </c>
      <c r="AD484" t="s">
        <v>365</v>
      </c>
      <c r="AE484" t="s">
        <v>63</v>
      </c>
      <c r="AI484">
        <v>3</v>
      </c>
      <c r="AV484" t="s">
        <v>88</v>
      </c>
    </row>
    <row r="485" spans="1:48" x14ac:dyDescent="0.3">
      <c r="A485" t="s">
        <v>1017</v>
      </c>
      <c r="C485" t="s">
        <v>920</v>
      </c>
      <c r="D485" t="s">
        <v>81</v>
      </c>
      <c r="E485">
        <v>1000000</v>
      </c>
      <c r="H485">
        <v>25</v>
      </c>
      <c r="I485" t="s">
        <v>56</v>
      </c>
      <c r="J485">
        <v>2.5000000000000001E-3</v>
      </c>
      <c r="K485" t="s">
        <v>57</v>
      </c>
      <c r="S485">
        <v>3</v>
      </c>
      <c r="T485">
        <v>21</v>
      </c>
      <c r="V485">
        <v>50</v>
      </c>
      <c r="W485" t="s">
        <v>1019</v>
      </c>
      <c r="X485" t="s">
        <v>957</v>
      </c>
      <c r="Y485">
        <v>30</v>
      </c>
      <c r="AB485">
        <v>0.22</v>
      </c>
      <c r="AC485" t="s">
        <v>85</v>
      </c>
      <c r="AD485" t="s">
        <v>240</v>
      </c>
      <c r="AE485" t="s">
        <v>63</v>
      </c>
      <c r="AI485">
        <v>3</v>
      </c>
      <c r="AV485" t="s">
        <v>88</v>
      </c>
    </row>
    <row r="486" spans="1:48" x14ac:dyDescent="0.3">
      <c r="A486" t="s">
        <v>1017</v>
      </c>
      <c r="C486" t="s">
        <v>920</v>
      </c>
      <c r="D486" t="s">
        <v>81</v>
      </c>
      <c r="E486">
        <v>1000000</v>
      </c>
      <c r="H486">
        <v>25</v>
      </c>
      <c r="I486" t="s">
        <v>56</v>
      </c>
      <c r="J486">
        <v>2.5000000000000001E-3</v>
      </c>
      <c r="K486" t="s">
        <v>57</v>
      </c>
      <c r="S486">
        <v>3</v>
      </c>
      <c r="T486">
        <v>21</v>
      </c>
      <c r="V486">
        <v>50</v>
      </c>
      <c r="W486" t="s">
        <v>1019</v>
      </c>
      <c r="X486" t="s">
        <v>957</v>
      </c>
      <c r="Y486">
        <v>30</v>
      </c>
      <c r="AB486">
        <v>0.85</v>
      </c>
      <c r="AC486" t="s">
        <v>85</v>
      </c>
      <c r="AD486" t="s">
        <v>487</v>
      </c>
      <c r="AE486" t="s">
        <v>63</v>
      </c>
      <c r="AI486">
        <v>3</v>
      </c>
      <c r="AV486" t="s">
        <v>88</v>
      </c>
    </row>
    <row r="487" spans="1:48" x14ac:dyDescent="0.3">
      <c r="A487" t="s">
        <v>1017</v>
      </c>
      <c r="C487" t="s">
        <v>920</v>
      </c>
      <c r="D487" t="s">
        <v>81</v>
      </c>
      <c r="E487">
        <v>1000000</v>
      </c>
      <c r="H487">
        <v>25</v>
      </c>
      <c r="I487" t="s">
        <v>56</v>
      </c>
      <c r="J487">
        <v>2.5000000000000001E-3</v>
      </c>
      <c r="K487" t="s">
        <v>57</v>
      </c>
      <c r="S487">
        <v>3</v>
      </c>
      <c r="T487">
        <v>21</v>
      </c>
      <c r="V487">
        <v>50</v>
      </c>
      <c r="W487" t="s">
        <v>1019</v>
      </c>
      <c r="X487" t="s">
        <v>957</v>
      </c>
      <c r="Y487">
        <v>30</v>
      </c>
      <c r="AB487">
        <v>1.75</v>
      </c>
      <c r="AC487" t="s">
        <v>85</v>
      </c>
      <c r="AD487" t="s">
        <v>232</v>
      </c>
      <c r="AE487" t="s">
        <v>63</v>
      </c>
      <c r="AI487">
        <v>3</v>
      </c>
      <c r="AV487" t="s">
        <v>88</v>
      </c>
    </row>
    <row r="488" spans="1:48" x14ac:dyDescent="0.3">
      <c r="A488" t="s">
        <v>1017</v>
      </c>
      <c r="C488" t="s">
        <v>920</v>
      </c>
      <c r="D488" t="s">
        <v>81</v>
      </c>
      <c r="E488">
        <v>1000000</v>
      </c>
      <c r="H488">
        <v>25</v>
      </c>
      <c r="I488" t="s">
        <v>56</v>
      </c>
      <c r="J488">
        <v>2.5000000000000001E-3</v>
      </c>
      <c r="K488" t="s">
        <v>57</v>
      </c>
      <c r="S488">
        <v>3</v>
      </c>
      <c r="T488">
        <v>21</v>
      </c>
      <c r="V488">
        <v>50</v>
      </c>
      <c r="W488" t="s">
        <v>1019</v>
      </c>
      <c r="X488" t="s">
        <v>957</v>
      </c>
      <c r="Y488">
        <v>30</v>
      </c>
      <c r="AB488">
        <v>0.87</v>
      </c>
      <c r="AC488" t="s">
        <v>85</v>
      </c>
      <c r="AD488" t="s">
        <v>232</v>
      </c>
      <c r="AE488" t="s">
        <v>63</v>
      </c>
      <c r="AI488">
        <v>3</v>
      </c>
      <c r="AV488" t="s">
        <v>88</v>
      </c>
    </row>
    <row r="489" spans="1:48" x14ac:dyDescent="0.3">
      <c r="A489" t="s">
        <v>1017</v>
      </c>
      <c r="C489" t="s">
        <v>920</v>
      </c>
      <c r="D489" t="s">
        <v>81</v>
      </c>
      <c r="E489">
        <v>1000000</v>
      </c>
      <c r="H489">
        <v>25</v>
      </c>
      <c r="I489" t="s">
        <v>56</v>
      </c>
      <c r="J489">
        <v>2.5000000000000001E-3</v>
      </c>
      <c r="K489" t="s">
        <v>57</v>
      </c>
      <c r="S489">
        <v>3</v>
      </c>
      <c r="T489">
        <v>21</v>
      </c>
      <c r="V489">
        <v>50</v>
      </c>
      <c r="W489" t="s">
        <v>1019</v>
      </c>
      <c r="X489" t="s">
        <v>957</v>
      </c>
      <c r="Y489">
        <v>30</v>
      </c>
      <c r="AB489">
        <v>0.78</v>
      </c>
      <c r="AC489" t="s">
        <v>85</v>
      </c>
      <c r="AD489" t="s">
        <v>314</v>
      </c>
      <c r="AE489" t="s">
        <v>63</v>
      </c>
      <c r="AI489">
        <v>3</v>
      </c>
      <c r="AV489" t="s">
        <v>88</v>
      </c>
    </row>
    <row r="490" spans="1:48" x14ac:dyDescent="0.3">
      <c r="A490" t="s">
        <v>1017</v>
      </c>
      <c r="C490" t="s">
        <v>920</v>
      </c>
      <c r="D490" t="s">
        <v>81</v>
      </c>
      <c r="E490">
        <v>1000000</v>
      </c>
      <c r="H490">
        <v>25</v>
      </c>
      <c r="I490" t="s">
        <v>56</v>
      </c>
      <c r="J490">
        <v>2.5000000000000001E-3</v>
      </c>
      <c r="K490" t="s">
        <v>57</v>
      </c>
      <c r="S490">
        <v>3</v>
      </c>
      <c r="T490">
        <v>21</v>
      </c>
      <c r="V490">
        <v>50</v>
      </c>
      <c r="W490" t="s">
        <v>1019</v>
      </c>
      <c r="X490" t="s">
        <v>957</v>
      </c>
      <c r="Y490">
        <v>30</v>
      </c>
      <c r="AB490">
        <v>1.08</v>
      </c>
      <c r="AC490" t="s">
        <v>85</v>
      </c>
      <c r="AD490" t="s">
        <v>227</v>
      </c>
      <c r="AE490" t="s">
        <v>63</v>
      </c>
      <c r="AI490">
        <v>3</v>
      </c>
      <c r="AV490" t="s">
        <v>88</v>
      </c>
    </row>
    <row r="491" spans="1:48" x14ac:dyDescent="0.3">
      <c r="A491" t="s">
        <v>1017</v>
      </c>
      <c r="C491" t="s">
        <v>920</v>
      </c>
      <c r="D491" t="s">
        <v>81</v>
      </c>
      <c r="E491">
        <v>1000000</v>
      </c>
      <c r="H491">
        <v>25</v>
      </c>
      <c r="I491" t="s">
        <v>56</v>
      </c>
      <c r="J491">
        <v>2.5000000000000001E-3</v>
      </c>
      <c r="K491" t="s">
        <v>57</v>
      </c>
      <c r="S491">
        <v>3</v>
      </c>
      <c r="T491">
        <v>21</v>
      </c>
      <c r="V491">
        <v>50</v>
      </c>
      <c r="W491" t="s">
        <v>1019</v>
      </c>
      <c r="X491" t="s">
        <v>957</v>
      </c>
      <c r="Y491">
        <v>30</v>
      </c>
      <c r="AB491">
        <v>1.1599999999999899</v>
      </c>
      <c r="AC491" t="s">
        <v>85</v>
      </c>
      <c r="AD491" t="s">
        <v>939</v>
      </c>
      <c r="AE491" t="s">
        <v>63</v>
      </c>
      <c r="AI491">
        <v>3</v>
      </c>
      <c r="AV491" t="s">
        <v>88</v>
      </c>
    </row>
    <row r="492" spans="1:48" x14ac:dyDescent="0.3">
      <c r="A492" t="s">
        <v>1017</v>
      </c>
      <c r="C492" t="s">
        <v>920</v>
      </c>
      <c r="D492" t="s">
        <v>81</v>
      </c>
      <c r="E492">
        <v>1000000</v>
      </c>
      <c r="H492">
        <v>25</v>
      </c>
      <c r="I492" t="s">
        <v>56</v>
      </c>
      <c r="J492">
        <v>2.5000000000000001E-3</v>
      </c>
      <c r="K492" t="s">
        <v>57</v>
      </c>
      <c r="S492">
        <v>3</v>
      </c>
      <c r="T492">
        <v>21</v>
      </c>
      <c r="V492">
        <v>50</v>
      </c>
      <c r="W492" t="s">
        <v>1019</v>
      </c>
      <c r="X492" t="s">
        <v>957</v>
      </c>
      <c r="Y492">
        <v>30</v>
      </c>
      <c r="AB492">
        <v>0.02</v>
      </c>
      <c r="AC492" t="s">
        <v>85</v>
      </c>
      <c r="AD492" t="s">
        <v>237</v>
      </c>
      <c r="AE492" t="s">
        <v>63</v>
      </c>
      <c r="AI492">
        <v>3</v>
      </c>
      <c r="AV492" t="s">
        <v>88</v>
      </c>
    </row>
    <row r="493" spans="1:48" x14ac:dyDescent="0.3">
      <c r="A493" t="s">
        <v>1017</v>
      </c>
      <c r="C493" t="s">
        <v>920</v>
      </c>
      <c r="D493" t="s">
        <v>81</v>
      </c>
      <c r="E493">
        <v>1000000</v>
      </c>
      <c r="H493">
        <v>25</v>
      </c>
      <c r="I493" t="s">
        <v>56</v>
      </c>
      <c r="J493">
        <v>2.5000000000000001E-3</v>
      </c>
      <c r="K493" t="s">
        <v>57</v>
      </c>
      <c r="S493">
        <v>3</v>
      </c>
      <c r="T493">
        <v>21</v>
      </c>
      <c r="V493">
        <v>50</v>
      </c>
      <c r="W493" t="s">
        <v>1019</v>
      </c>
      <c r="X493" t="s">
        <v>957</v>
      </c>
      <c r="Y493">
        <v>30</v>
      </c>
      <c r="AB493">
        <v>1.57</v>
      </c>
      <c r="AC493" t="s">
        <v>85</v>
      </c>
      <c r="AD493" t="s">
        <v>240</v>
      </c>
      <c r="AE493" t="s">
        <v>63</v>
      </c>
      <c r="AI493">
        <v>3</v>
      </c>
      <c r="AV493" t="s">
        <v>88</v>
      </c>
    </row>
    <row r="494" spans="1:48" x14ac:dyDescent="0.3">
      <c r="A494" t="s">
        <v>1017</v>
      </c>
      <c r="C494" t="s">
        <v>920</v>
      </c>
      <c r="D494" t="s">
        <v>81</v>
      </c>
      <c r="E494">
        <v>1000000</v>
      </c>
      <c r="H494">
        <v>25</v>
      </c>
      <c r="I494" t="s">
        <v>56</v>
      </c>
      <c r="J494">
        <v>2.5000000000000001E-3</v>
      </c>
      <c r="K494" t="s">
        <v>57</v>
      </c>
      <c r="S494">
        <v>3</v>
      </c>
      <c r="T494">
        <v>21</v>
      </c>
      <c r="V494">
        <v>50</v>
      </c>
      <c r="W494" t="s">
        <v>1019</v>
      </c>
      <c r="X494" t="s">
        <v>957</v>
      </c>
      <c r="Y494">
        <v>30</v>
      </c>
      <c r="AB494">
        <v>1.76</v>
      </c>
      <c r="AC494" t="s">
        <v>85</v>
      </c>
      <c r="AD494" t="s">
        <v>494</v>
      </c>
      <c r="AE494" t="s">
        <v>63</v>
      </c>
      <c r="AI494">
        <v>3</v>
      </c>
      <c r="AV494" t="s">
        <v>88</v>
      </c>
    </row>
    <row r="495" spans="1:48" x14ac:dyDescent="0.3">
      <c r="A495" t="s">
        <v>1017</v>
      </c>
      <c r="C495" t="s">
        <v>920</v>
      </c>
      <c r="D495" t="s">
        <v>81</v>
      </c>
      <c r="E495">
        <v>1000000</v>
      </c>
      <c r="H495">
        <v>25</v>
      </c>
      <c r="I495" t="s">
        <v>56</v>
      </c>
      <c r="J495">
        <v>2.5000000000000001E-3</v>
      </c>
      <c r="K495" t="s">
        <v>57</v>
      </c>
      <c r="S495">
        <v>3</v>
      </c>
      <c r="T495">
        <v>21</v>
      </c>
      <c r="V495">
        <v>50</v>
      </c>
      <c r="W495" t="s">
        <v>1018</v>
      </c>
      <c r="X495" t="s">
        <v>957</v>
      </c>
      <c r="Y495">
        <v>30</v>
      </c>
      <c r="AB495">
        <v>7.09</v>
      </c>
      <c r="AC495" t="s">
        <v>85</v>
      </c>
      <c r="AD495" t="s">
        <v>939</v>
      </c>
      <c r="AE495" t="s">
        <v>63</v>
      </c>
      <c r="AI495">
        <v>3</v>
      </c>
      <c r="AV495" t="s">
        <v>88</v>
      </c>
    </row>
    <row r="496" spans="1:48" x14ac:dyDescent="0.3">
      <c r="A496" t="s">
        <v>1017</v>
      </c>
      <c r="C496" t="s">
        <v>920</v>
      </c>
      <c r="D496" t="s">
        <v>81</v>
      </c>
      <c r="E496">
        <v>1000000</v>
      </c>
      <c r="H496">
        <v>25</v>
      </c>
      <c r="I496" t="s">
        <v>56</v>
      </c>
      <c r="J496">
        <v>2.5000000000000001E-3</v>
      </c>
      <c r="K496" t="s">
        <v>57</v>
      </c>
      <c r="S496">
        <v>3</v>
      </c>
      <c r="T496">
        <v>21</v>
      </c>
      <c r="V496">
        <v>50</v>
      </c>
      <c r="W496" t="s">
        <v>1018</v>
      </c>
      <c r="X496" t="s">
        <v>957</v>
      </c>
      <c r="Y496">
        <v>30</v>
      </c>
      <c r="AB496">
        <v>7.86</v>
      </c>
      <c r="AC496" t="s">
        <v>85</v>
      </c>
      <c r="AD496" t="s">
        <v>235</v>
      </c>
      <c r="AE496" t="s">
        <v>63</v>
      </c>
      <c r="AI496">
        <v>3</v>
      </c>
      <c r="AV496" t="s">
        <v>88</v>
      </c>
    </row>
    <row r="497" spans="1:53" x14ac:dyDescent="0.3">
      <c r="A497" t="s">
        <v>1017</v>
      </c>
      <c r="C497" t="s">
        <v>920</v>
      </c>
      <c r="D497" t="s">
        <v>81</v>
      </c>
      <c r="E497">
        <v>1000000</v>
      </c>
      <c r="H497">
        <v>25</v>
      </c>
      <c r="I497" t="s">
        <v>56</v>
      </c>
      <c r="J497">
        <v>2.5000000000000001E-3</v>
      </c>
      <c r="K497" t="s">
        <v>57</v>
      </c>
      <c r="S497">
        <v>3</v>
      </c>
      <c r="T497">
        <v>21</v>
      </c>
      <c r="V497">
        <v>50</v>
      </c>
      <c r="W497" t="s">
        <v>1018</v>
      </c>
      <c r="X497" t="s">
        <v>957</v>
      </c>
      <c r="Y497">
        <v>30</v>
      </c>
      <c r="AB497">
        <v>6.36</v>
      </c>
      <c r="AC497" t="s">
        <v>85</v>
      </c>
      <c r="AD497" t="s">
        <v>645</v>
      </c>
      <c r="AE497" t="s">
        <v>63</v>
      </c>
      <c r="AI497">
        <v>3</v>
      </c>
      <c r="AV497" t="s">
        <v>88</v>
      </c>
    </row>
    <row r="498" spans="1:53" x14ac:dyDescent="0.3">
      <c r="A498" t="s">
        <v>1017</v>
      </c>
      <c r="C498" t="s">
        <v>920</v>
      </c>
      <c r="D498" t="s">
        <v>81</v>
      </c>
      <c r="E498">
        <v>1000000</v>
      </c>
      <c r="H498">
        <v>25</v>
      </c>
      <c r="I498" t="s">
        <v>56</v>
      </c>
      <c r="J498">
        <v>2.5000000000000001E-3</v>
      </c>
      <c r="K498" t="s">
        <v>57</v>
      </c>
      <c r="S498">
        <v>3</v>
      </c>
      <c r="T498">
        <v>21</v>
      </c>
      <c r="V498">
        <v>50</v>
      </c>
      <c r="W498" t="s">
        <v>1018</v>
      </c>
      <c r="X498" t="s">
        <v>957</v>
      </c>
      <c r="Y498">
        <v>30</v>
      </c>
      <c r="AB498">
        <v>7.51</v>
      </c>
      <c r="AC498" t="s">
        <v>85</v>
      </c>
      <c r="AD498" t="s">
        <v>524</v>
      </c>
      <c r="AE498" t="s">
        <v>63</v>
      </c>
      <c r="AI498">
        <v>3</v>
      </c>
      <c r="AV498" t="s">
        <v>88</v>
      </c>
    </row>
    <row r="499" spans="1:53" x14ac:dyDescent="0.3">
      <c r="A499" t="s">
        <v>1017</v>
      </c>
      <c r="C499" t="s">
        <v>920</v>
      </c>
      <c r="D499" t="s">
        <v>81</v>
      </c>
      <c r="E499">
        <v>1000000</v>
      </c>
      <c r="H499">
        <v>25</v>
      </c>
      <c r="I499" t="s">
        <v>56</v>
      </c>
      <c r="J499">
        <v>2.5000000000000001E-3</v>
      </c>
      <c r="K499" t="s">
        <v>57</v>
      </c>
      <c r="S499">
        <v>3</v>
      </c>
      <c r="T499">
        <v>21</v>
      </c>
      <c r="V499">
        <v>50</v>
      </c>
      <c r="W499" t="s">
        <v>1018</v>
      </c>
      <c r="X499" t="s">
        <v>957</v>
      </c>
      <c r="Y499">
        <v>30</v>
      </c>
      <c r="AB499">
        <v>6.85</v>
      </c>
      <c r="AC499" t="s">
        <v>85</v>
      </c>
      <c r="AD499" t="s">
        <v>106</v>
      </c>
      <c r="AE499" t="s">
        <v>63</v>
      </c>
      <c r="AI499">
        <v>3</v>
      </c>
      <c r="AV499" t="s">
        <v>88</v>
      </c>
    </row>
    <row r="500" spans="1:53" x14ac:dyDescent="0.3">
      <c r="A500" t="s">
        <v>1017</v>
      </c>
      <c r="C500" t="s">
        <v>920</v>
      </c>
      <c r="D500" t="s">
        <v>81</v>
      </c>
      <c r="E500">
        <v>1000000</v>
      </c>
      <c r="H500">
        <v>25</v>
      </c>
      <c r="I500" t="s">
        <v>56</v>
      </c>
      <c r="J500">
        <v>2.5000000000000001E-3</v>
      </c>
      <c r="K500" t="s">
        <v>57</v>
      </c>
      <c r="S500">
        <v>3</v>
      </c>
      <c r="T500">
        <v>21</v>
      </c>
      <c r="V500">
        <v>50</v>
      </c>
      <c r="W500" t="s">
        <v>1018</v>
      </c>
      <c r="X500" t="s">
        <v>957</v>
      </c>
      <c r="Y500">
        <v>30</v>
      </c>
      <c r="AA500" t="s">
        <v>184</v>
      </c>
      <c r="AB500">
        <v>6.97</v>
      </c>
      <c r="AC500" t="s">
        <v>85</v>
      </c>
      <c r="AI500">
        <v>3</v>
      </c>
      <c r="AV500" t="s">
        <v>88</v>
      </c>
      <c r="AZ500">
        <v>0</v>
      </c>
      <c r="BA500">
        <v>6.97</v>
      </c>
    </row>
    <row r="501" spans="1:53" x14ac:dyDescent="0.3">
      <c r="A501" t="s">
        <v>1017</v>
      </c>
      <c r="C501" t="s">
        <v>920</v>
      </c>
      <c r="D501" t="s">
        <v>81</v>
      </c>
      <c r="E501">
        <v>1000000</v>
      </c>
      <c r="H501">
        <v>25</v>
      </c>
      <c r="I501" t="s">
        <v>56</v>
      </c>
      <c r="J501">
        <v>2.5000000000000001E-3</v>
      </c>
      <c r="K501" t="s">
        <v>57</v>
      </c>
      <c r="S501">
        <v>3</v>
      </c>
      <c r="T501">
        <v>21</v>
      </c>
      <c r="V501">
        <v>50</v>
      </c>
      <c r="W501" t="s">
        <v>1018</v>
      </c>
      <c r="X501" t="s">
        <v>957</v>
      </c>
      <c r="Y501">
        <v>30</v>
      </c>
      <c r="AB501">
        <v>6.75</v>
      </c>
      <c r="AC501" t="s">
        <v>85</v>
      </c>
      <c r="AD501" t="s">
        <v>219</v>
      </c>
      <c r="AE501" t="s">
        <v>63</v>
      </c>
      <c r="AI501">
        <v>3</v>
      </c>
      <c r="AV501" t="s">
        <v>88</v>
      </c>
    </row>
    <row r="502" spans="1:53" x14ac:dyDescent="0.3">
      <c r="A502" t="s">
        <v>1017</v>
      </c>
      <c r="C502" t="s">
        <v>920</v>
      </c>
      <c r="D502" t="s">
        <v>81</v>
      </c>
      <c r="E502">
        <v>1000000</v>
      </c>
      <c r="H502">
        <v>25</v>
      </c>
      <c r="I502" t="s">
        <v>56</v>
      </c>
      <c r="J502">
        <v>2.5000000000000001E-3</v>
      </c>
      <c r="K502" t="s">
        <v>57</v>
      </c>
      <c r="S502">
        <v>3</v>
      </c>
      <c r="T502">
        <v>21</v>
      </c>
      <c r="V502">
        <v>50</v>
      </c>
      <c r="W502" t="s">
        <v>1018</v>
      </c>
      <c r="X502" t="s">
        <v>957</v>
      </c>
      <c r="Y502">
        <v>30</v>
      </c>
      <c r="AA502" t="s">
        <v>184</v>
      </c>
      <c r="AB502">
        <v>7.6</v>
      </c>
      <c r="AC502" t="s">
        <v>85</v>
      </c>
      <c r="AI502">
        <v>3</v>
      </c>
      <c r="AV502" t="s">
        <v>88</v>
      </c>
      <c r="AZ502">
        <v>0</v>
      </c>
      <c r="BA502">
        <v>7.6</v>
      </c>
    </row>
    <row r="503" spans="1:53" x14ac:dyDescent="0.3">
      <c r="A503" t="s">
        <v>1017</v>
      </c>
      <c r="C503" t="s">
        <v>920</v>
      </c>
      <c r="D503" t="s">
        <v>81</v>
      </c>
      <c r="E503">
        <v>1000000</v>
      </c>
      <c r="H503">
        <v>25</v>
      </c>
      <c r="I503" t="s">
        <v>56</v>
      </c>
      <c r="J503">
        <v>2.5000000000000001E-3</v>
      </c>
      <c r="K503" t="s">
        <v>57</v>
      </c>
      <c r="S503">
        <v>3</v>
      </c>
      <c r="T503">
        <v>21</v>
      </c>
      <c r="V503">
        <v>50</v>
      </c>
      <c r="W503" t="s">
        <v>1018</v>
      </c>
      <c r="X503" t="s">
        <v>957</v>
      </c>
      <c r="Y503">
        <v>30</v>
      </c>
      <c r="AB503">
        <v>6.4</v>
      </c>
      <c r="AC503" t="s">
        <v>85</v>
      </c>
      <c r="AD503" t="s">
        <v>503</v>
      </c>
      <c r="AE503" t="s">
        <v>63</v>
      </c>
      <c r="AI503">
        <v>3</v>
      </c>
      <c r="AV503" t="s">
        <v>88</v>
      </c>
    </row>
    <row r="504" spans="1:53" x14ac:dyDescent="0.3">
      <c r="A504" t="s">
        <v>1017</v>
      </c>
      <c r="C504" t="s">
        <v>920</v>
      </c>
      <c r="D504" t="s">
        <v>81</v>
      </c>
      <c r="E504">
        <v>1000000</v>
      </c>
      <c r="H504">
        <v>25</v>
      </c>
      <c r="I504" t="s">
        <v>56</v>
      </c>
      <c r="J504">
        <v>2.5000000000000001E-3</v>
      </c>
      <c r="K504" t="s">
        <v>57</v>
      </c>
      <c r="S504">
        <v>3</v>
      </c>
      <c r="T504">
        <v>21</v>
      </c>
      <c r="V504">
        <v>50</v>
      </c>
      <c r="W504" t="s">
        <v>1018</v>
      </c>
      <c r="X504" t="s">
        <v>957</v>
      </c>
      <c r="Y504">
        <v>30</v>
      </c>
      <c r="AB504">
        <v>6.7</v>
      </c>
      <c r="AC504" t="s">
        <v>85</v>
      </c>
      <c r="AD504" t="s">
        <v>503</v>
      </c>
      <c r="AE504" t="s">
        <v>63</v>
      </c>
      <c r="AI504">
        <v>3</v>
      </c>
      <c r="AV504" t="s">
        <v>88</v>
      </c>
    </row>
    <row r="505" spans="1:53" x14ac:dyDescent="0.3">
      <c r="A505" t="s">
        <v>1017</v>
      </c>
      <c r="C505" t="s">
        <v>920</v>
      </c>
      <c r="D505" t="s">
        <v>81</v>
      </c>
      <c r="E505">
        <v>1000000</v>
      </c>
      <c r="H505">
        <v>25</v>
      </c>
      <c r="I505" t="s">
        <v>56</v>
      </c>
      <c r="J505">
        <v>2.5000000000000001E-3</v>
      </c>
      <c r="K505" t="s">
        <v>57</v>
      </c>
      <c r="S505">
        <v>3</v>
      </c>
      <c r="T505">
        <v>21</v>
      </c>
      <c r="V505">
        <v>50</v>
      </c>
      <c r="W505" t="s">
        <v>1018</v>
      </c>
      <c r="X505" t="s">
        <v>957</v>
      </c>
      <c r="Y505">
        <v>30</v>
      </c>
      <c r="AB505">
        <v>7.51</v>
      </c>
      <c r="AC505" t="s">
        <v>85</v>
      </c>
      <c r="AD505" t="s">
        <v>242</v>
      </c>
      <c r="AE505" t="s">
        <v>63</v>
      </c>
      <c r="AI505">
        <v>3</v>
      </c>
      <c r="AV505" t="s">
        <v>88</v>
      </c>
    </row>
    <row r="506" spans="1:53" x14ac:dyDescent="0.3">
      <c r="A506" t="s">
        <v>1017</v>
      </c>
      <c r="C506" t="s">
        <v>920</v>
      </c>
      <c r="D506" t="s">
        <v>81</v>
      </c>
      <c r="E506">
        <v>1000000</v>
      </c>
      <c r="H506">
        <v>25</v>
      </c>
      <c r="I506" t="s">
        <v>56</v>
      </c>
      <c r="J506">
        <v>2.5000000000000001E-3</v>
      </c>
      <c r="K506" t="s">
        <v>57</v>
      </c>
      <c r="S506">
        <v>3</v>
      </c>
      <c r="T506">
        <v>21</v>
      </c>
      <c r="V506">
        <v>50</v>
      </c>
      <c r="W506" t="s">
        <v>1018</v>
      </c>
      <c r="X506" t="s">
        <v>957</v>
      </c>
      <c r="Y506">
        <v>30</v>
      </c>
      <c r="AB506">
        <v>6.18</v>
      </c>
      <c r="AC506" t="s">
        <v>85</v>
      </c>
      <c r="AD506" t="s">
        <v>418</v>
      </c>
      <c r="AE506" t="s">
        <v>63</v>
      </c>
      <c r="AI506">
        <v>3</v>
      </c>
      <c r="AV506" t="s">
        <v>88</v>
      </c>
    </row>
    <row r="507" spans="1:53" x14ac:dyDescent="0.3">
      <c r="A507" t="s">
        <v>1017</v>
      </c>
      <c r="C507" t="s">
        <v>920</v>
      </c>
      <c r="D507" t="s">
        <v>81</v>
      </c>
      <c r="E507">
        <v>1000000</v>
      </c>
      <c r="H507">
        <v>25</v>
      </c>
      <c r="I507" t="s">
        <v>56</v>
      </c>
      <c r="J507">
        <v>2.5000000000000001E-3</v>
      </c>
      <c r="K507" t="s">
        <v>57</v>
      </c>
      <c r="S507">
        <v>3</v>
      </c>
      <c r="T507">
        <v>21</v>
      </c>
      <c r="V507">
        <v>50</v>
      </c>
      <c r="W507" t="s">
        <v>1018</v>
      </c>
      <c r="X507" t="s">
        <v>957</v>
      </c>
      <c r="Y507">
        <v>30</v>
      </c>
      <c r="AB507">
        <v>6.47</v>
      </c>
      <c r="AC507" t="s">
        <v>85</v>
      </c>
      <c r="AD507" t="s">
        <v>100</v>
      </c>
      <c r="AE507" t="s">
        <v>63</v>
      </c>
      <c r="AI507">
        <v>3</v>
      </c>
      <c r="AV507" t="s">
        <v>88</v>
      </c>
    </row>
    <row r="508" spans="1:53" x14ac:dyDescent="0.3">
      <c r="A508" t="s">
        <v>1017</v>
      </c>
      <c r="C508" t="s">
        <v>920</v>
      </c>
      <c r="D508" t="s">
        <v>81</v>
      </c>
      <c r="E508">
        <v>1000000</v>
      </c>
      <c r="H508">
        <v>25</v>
      </c>
      <c r="I508" t="s">
        <v>56</v>
      </c>
      <c r="J508">
        <v>2.5000000000000001E-3</v>
      </c>
      <c r="K508" t="s">
        <v>57</v>
      </c>
      <c r="S508">
        <v>3</v>
      </c>
      <c r="T508">
        <v>21</v>
      </c>
      <c r="V508">
        <v>50</v>
      </c>
      <c r="W508" t="s">
        <v>1019</v>
      </c>
      <c r="X508" t="s">
        <v>957</v>
      </c>
      <c r="Y508">
        <v>30</v>
      </c>
      <c r="AB508">
        <v>6.5</v>
      </c>
      <c r="AC508" t="s">
        <v>85</v>
      </c>
      <c r="AD508" t="s">
        <v>437</v>
      </c>
      <c r="AE508" t="s">
        <v>63</v>
      </c>
      <c r="AI508">
        <v>3</v>
      </c>
      <c r="AV508" t="s">
        <v>88</v>
      </c>
    </row>
    <row r="509" spans="1:53" x14ac:dyDescent="0.3">
      <c r="A509" t="s">
        <v>1017</v>
      </c>
      <c r="C509" t="s">
        <v>920</v>
      </c>
      <c r="D509" t="s">
        <v>81</v>
      </c>
      <c r="E509">
        <v>1000000</v>
      </c>
      <c r="H509">
        <v>25</v>
      </c>
      <c r="I509" t="s">
        <v>56</v>
      </c>
      <c r="J509">
        <v>2.5000000000000001E-3</v>
      </c>
      <c r="K509" t="s">
        <v>57</v>
      </c>
      <c r="S509">
        <v>3</v>
      </c>
      <c r="T509">
        <v>21</v>
      </c>
      <c r="V509">
        <v>50</v>
      </c>
      <c r="W509" t="s">
        <v>1019</v>
      </c>
      <c r="X509" t="s">
        <v>957</v>
      </c>
      <c r="Y509">
        <v>30</v>
      </c>
      <c r="AB509">
        <v>8.06</v>
      </c>
      <c r="AC509" t="s">
        <v>85</v>
      </c>
      <c r="AD509" t="s">
        <v>939</v>
      </c>
      <c r="AE509" t="s">
        <v>63</v>
      </c>
      <c r="AI509">
        <v>3</v>
      </c>
      <c r="AV509" t="s">
        <v>88</v>
      </c>
    </row>
    <row r="510" spans="1:53" x14ac:dyDescent="0.3">
      <c r="A510" t="s">
        <v>1017</v>
      </c>
      <c r="C510" t="s">
        <v>920</v>
      </c>
      <c r="D510" t="s">
        <v>81</v>
      </c>
      <c r="E510">
        <v>1000000</v>
      </c>
      <c r="H510">
        <v>25</v>
      </c>
      <c r="I510" t="s">
        <v>56</v>
      </c>
      <c r="J510">
        <v>2.5000000000000001E-3</v>
      </c>
      <c r="K510" t="s">
        <v>57</v>
      </c>
      <c r="S510">
        <v>3</v>
      </c>
      <c r="T510">
        <v>21</v>
      </c>
      <c r="V510">
        <v>50</v>
      </c>
      <c r="W510" t="s">
        <v>1019</v>
      </c>
      <c r="X510" t="s">
        <v>957</v>
      </c>
      <c r="Y510">
        <v>30</v>
      </c>
      <c r="AB510">
        <v>6.77</v>
      </c>
      <c r="AC510" t="s">
        <v>85</v>
      </c>
      <c r="AD510" t="s">
        <v>238</v>
      </c>
      <c r="AE510" t="s">
        <v>63</v>
      </c>
      <c r="AI510">
        <v>3</v>
      </c>
      <c r="AV510" t="s">
        <v>88</v>
      </c>
    </row>
    <row r="511" spans="1:53" x14ac:dyDescent="0.3">
      <c r="A511" t="s">
        <v>1017</v>
      </c>
      <c r="C511" t="s">
        <v>920</v>
      </c>
      <c r="D511" t="s">
        <v>81</v>
      </c>
      <c r="E511">
        <v>1000000</v>
      </c>
      <c r="H511">
        <v>25</v>
      </c>
      <c r="I511" t="s">
        <v>56</v>
      </c>
      <c r="J511">
        <v>2.5000000000000001E-3</v>
      </c>
      <c r="K511" t="s">
        <v>57</v>
      </c>
      <c r="S511">
        <v>3</v>
      </c>
      <c r="T511">
        <v>21</v>
      </c>
      <c r="V511">
        <v>50</v>
      </c>
      <c r="W511" t="s">
        <v>1019</v>
      </c>
      <c r="X511" t="s">
        <v>957</v>
      </c>
      <c r="Y511">
        <v>30</v>
      </c>
      <c r="AB511">
        <v>5.55</v>
      </c>
      <c r="AC511" t="s">
        <v>85</v>
      </c>
      <c r="AD511" t="s">
        <v>511</v>
      </c>
      <c r="AE511" t="s">
        <v>63</v>
      </c>
      <c r="AI511">
        <v>3</v>
      </c>
      <c r="AV511" t="s">
        <v>88</v>
      </c>
    </row>
    <row r="512" spans="1:53" x14ac:dyDescent="0.3">
      <c r="A512" t="s">
        <v>1017</v>
      </c>
      <c r="C512" t="s">
        <v>920</v>
      </c>
      <c r="D512" t="s">
        <v>81</v>
      </c>
      <c r="E512">
        <v>1000000</v>
      </c>
      <c r="H512">
        <v>25</v>
      </c>
      <c r="I512" t="s">
        <v>56</v>
      </c>
      <c r="J512">
        <v>2.5000000000000001E-3</v>
      </c>
      <c r="K512" t="s">
        <v>57</v>
      </c>
      <c r="S512">
        <v>3</v>
      </c>
      <c r="T512">
        <v>21</v>
      </c>
      <c r="V512">
        <v>50</v>
      </c>
      <c r="W512" t="s">
        <v>1019</v>
      </c>
      <c r="X512" t="s">
        <v>957</v>
      </c>
      <c r="Y512">
        <v>30</v>
      </c>
      <c r="AB512">
        <v>6.91</v>
      </c>
      <c r="AC512" t="s">
        <v>85</v>
      </c>
      <c r="AD512" t="s">
        <v>242</v>
      </c>
      <c r="AE512" t="s">
        <v>63</v>
      </c>
      <c r="AI512">
        <v>3</v>
      </c>
      <c r="AV512" t="s">
        <v>88</v>
      </c>
    </row>
    <row r="513" spans="1:53" x14ac:dyDescent="0.3">
      <c r="A513" t="s">
        <v>1017</v>
      </c>
      <c r="C513" t="s">
        <v>920</v>
      </c>
      <c r="D513" t="s">
        <v>81</v>
      </c>
      <c r="E513">
        <v>1000000</v>
      </c>
      <c r="H513">
        <v>25</v>
      </c>
      <c r="I513" t="s">
        <v>56</v>
      </c>
      <c r="J513">
        <v>2.5000000000000001E-3</v>
      </c>
      <c r="K513" t="s">
        <v>57</v>
      </c>
      <c r="S513">
        <v>3</v>
      </c>
      <c r="T513">
        <v>21</v>
      </c>
      <c r="V513">
        <v>50</v>
      </c>
      <c r="W513" t="s">
        <v>1019</v>
      </c>
      <c r="X513" t="s">
        <v>957</v>
      </c>
      <c r="Y513">
        <v>30</v>
      </c>
      <c r="AA513" t="s">
        <v>184</v>
      </c>
      <c r="AB513">
        <v>7.06</v>
      </c>
      <c r="AC513" t="s">
        <v>85</v>
      </c>
      <c r="AI513">
        <v>3</v>
      </c>
      <c r="AV513" t="s">
        <v>88</v>
      </c>
      <c r="AZ513">
        <v>0</v>
      </c>
      <c r="BA513">
        <v>7.06</v>
      </c>
    </row>
    <row r="514" spans="1:53" x14ac:dyDescent="0.3">
      <c r="A514" t="s">
        <v>1017</v>
      </c>
      <c r="C514" t="s">
        <v>920</v>
      </c>
      <c r="D514" t="s">
        <v>81</v>
      </c>
      <c r="E514">
        <v>1000000</v>
      </c>
      <c r="H514">
        <v>25</v>
      </c>
      <c r="I514" t="s">
        <v>56</v>
      </c>
      <c r="J514">
        <v>2.5000000000000001E-3</v>
      </c>
      <c r="K514" t="s">
        <v>57</v>
      </c>
      <c r="S514">
        <v>3</v>
      </c>
      <c r="T514">
        <v>21</v>
      </c>
      <c r="V514">
        <v>50</v>
      </c>
      <c r="W514" t="s">
        <v>1019</v>
      </c>
      <c r="X514" t="s">
        <v>957</v>
      </c>
      <c r="Y514">
        <v>30</v>
      </c>
      <c r="AB514">
        <v>5.92</v>
      </c>
      <c r="AC514" t="s">
        <v>85</v>
      </c>
      <c r="AD514" t="s">
        <v>232</v>
      </c>
      <c r="AE514" t="s">
        <v>63</v>
      </c>
      <c r="AI514">
        <v>3</v>
      </c>
      <c r="AV514" t="s">
        <v>88</v>
      </c>
    </row>
    <row r="515" spans="1:53" x14ac:dyDescent="0.3">
      <c r="A515" t="s">
        <v>1017</v>
      </c>
      <c r="C515" t="s">
        <v>920</v>
      </c>
      <c r="D515" t="s">
        <v>81</v>
      </c>
      <c r="E515">
        <v>1000000</v>
      </c>
      <c r="H515">
        <v>25</v>
      </c>
      <c r="I515" t="s">
        <v>56</v>
      </c>
      <c r="J515">
        <v>2.5000000000000001E-3</v>
      </c>
      <c r="K515" t="s">
        <v>57</v>
      </c>
      <c r="S515">
        <v>3</v>
      </c>
      <c r="T515">
        <v>21</v>
      </c>
      <c r="V515">
        <v>50</v>
      </c>
      <c r="W515" t="s">
        <v>1019</v>
      </c>
      <c r="X515" t="s">
        <v>957</v>
      </c>
      <c r="Y515">
        <v>30</v>
      </c>
      <c r="AA515" t="s">
        <v>184</v>
      </c>
      <c r="AB515">
        <v>8.0500000000000007</v>
      </c>
      <c r="AC515" t="s">
        <v>85</v>
      </c>
      <c r="AI515">
        <v>3</v>
      </c>
      <c r="AV515" t="s">
        <v>88</v>
      </c>
      <c r="AZ515">
        <v>0</v>
      </c>
      <c r="BA515">
        <v>8.0500000000000007</v>
      </c>
    </row>
    <row r="516" spans="1:53" x14ac:dyDescent="0.3">
      <c r="A516" t="s">
        <v>1017</v>
      </c>
      <c r="C516" t="s">
        <v>920</v>
      </c>
      <c r="D516" t="s">
        <v>81</v>
      </c>
      <c r="E516">
        <v>1000000</v>
      </c>
      <c r="H516">
        <v>25</v>
      </c>
      <c r="I516" t="s">
        <v>56</v>
      </c>
      <c r="J516">
        <v>2.5000000000000001E-3</v>
      </c>
      <c r="K516" t="s">
        <v>57</v>
      </c>
      <c r="S516">
        <v>3</v>
      </c>
      <c r="T516">
        <v>21</v>
      </c>
      <c r="V516">
        <v>50</v>
      </c>
      <c r="W516" t="s">
        <v>1019</v>
      </c>
      <c r="X516" t="s">
        <v>957</v>
      </c>
      <c r="Y516">
        <v>30</v>
      </c>
      <c r="AB516">
        <v>5.8</v>
      </c>
      <c r="AC516" t="s">
        <v>85</v>
      </c>
      <c r="AD516" t="s">
        <v>611</v>
      </c>
      <c r="AE516" t="s">
        <v>63</v>
      </c>
      <c r="AI516">
        <v>3</v>
      </c>
      <c r="AV516" t="s">
        <v>88</v>
      </c>
    </row>
    <row r="517" spans="1:53" x14ac:dyDescent="0.3">
      <c r="A517" t="s">
        <v>1017</v>
      </c>
      <c r="C517" t="s">
        <v>920</v>
      </c>
      <c r="D517" t="s">
        <v>81</v>
      </c>
      <c r="E517">
        <v>1000000</v>
      </c>
      <c r="H517">
        <v>25</v>
      </c>
      <c r="I517" t="s">
        <v>56</v>
      </c>
      <c r="J517">
        <v>2.5000000000000001E-3</v>
      </c>
      <c r="K517" t="s">
        <v>57</v>
      </c>
      <c r="S517">
        <v>3</v>
      </c>
      <c r="T517">
        <v>21</v>
      </c>
      <c r="V517">
        <v>50</v>
      </c>
      <c r="W517" t="s">
        <v>1019</v>
      </c>
      <c r="X517" t="s">
        <v>957</v>
      </c>
      <c r="Y517">
        <v>30</v>
      </c>
      <c r="AB517">
        <v>7.17</v>
      </c>
      <c r="AC517" t="s">
        <v>85</v>
      </c>
      <c r="AD517" t="s">
        <v>108</v>
      </c>
      <c r="AE517" t="s">
        <v>63</v>
      </c>
      <c r="AI517">
        <v>3</v>
      </c>
      <c r="AV517" t="s">
        <v>88</v>
      </c>
    </row>
    <row r="518" spans="1:53" x14ac:dyDescent="0.3">
      <c r="A518" t="s">
        <v>1017</v>
      </c>
      <c r="C518" t="s">
        <v>920</v>
      </c>
      <c r="D518" t="s">
        <v>81</v>
      </c>
      <c r="E518">
        <v>1000000</v>
      </c>
      <c r="H518">
        <v>25</v>
      </c>
      <c r="I518" t="s">
        <v>56</v>
      </c>
      <c r="J518">
        <v>2.5000000000000001E-3</v>
      </c>
      <c r="K518" t="s">
        <v>57</v>
      </c>
      <c r="S518">
        <v>3</v>
      </c>
      <c r="T518">
        <v>21</v>
      </c>
      <c r="V518">
        <v>50</v>
      </c>
      <c r="W518" t="s">
        <v>1019</v>
      </c>
      <c r="X518" t="s">
        <v>957</v>
      </c>
      <c r="Y518">
        <v>30</v>
      </c>
      <c r="AB518">
        <v>6.71</v>
      </c>
      <c r="AC518" t="s">
        <v>85</v>
      </c>
      <c r="AD518" t="s">
        <v>503</v>
      </c>
      <c r="AE518" t="s">
        <v>63</v>
      </c>
      <c r="AI518">
        <v>3</v>
      </c>
      <c r="AV518" t="s">
        <v>88</v>
      </c>
    </row>
    <row r="519" spans="1:53" x14ac:dyDescent="0.3">
      <c r="A519" t="s">
        <v>1017</v>
      </c>
      <c r="C519" t="s">
        <v>920</v>
      </c>
      <c r="D519" t="s">
        <v>81</v>
      </c>
      <c r="E519">
        <v>1000000</v>
      </c>
      <c r="H519">
        <v>25</v>
      </c>
      <c r="I519" t="s">
        <v>56</v>
      </c>
      <c r="J519">
        <v>2.5000000000000001E-3</v>
      </c>
      <c r="K519" t="s">
        <v>57</v>
      </c>
      <c r="S519">
        <v>3</v>
      </c>
      <c r="T519">
        <v>21</v>
      </c>
      <c r="V519">
        <v>50</v>
      </c>
      <c r="W519" t="s">
        <v>1019</v>
      </c>
      <c r="X519" t="s">
        <v>957</v>
      </c>
      <c r="Y519">
        <v>30</v>
      </c>
      <c r="AB519">
        <v>5.73</v>
      </c>
      <c r="AC519" t="s">
        <v>85</v>
      </c>
      <c r="AD519" t="s">
        <v>100</v>
      </c>
      <c r="AE519" t="s">
        <v>63</v>
      </c>
      <c r="AI519">
        <v>3</v>
      </c>
      <c r="AV519" t="s">
        <v>88</v>
      </c>
    </row>
    <row r="520" spans="1:53" x14ac:dyDescent="0.3">
      <c r="A520" t="s">
        <v>1017</v>
      </c>
      <c r="C520" t="s">
        <v>920</v>
      </c>
      <c r="D520" t="s">
        <v>81</v>
      </c>
      <c r="E520">
        <v>1000000</v>
      </c>
      <c r="H520">
        <v>25</v>
      </c>
      <c r="I520" t="s">
        <v>56</v>
      </c>
      <c r="J520">
        <v>2.5000000000000001E-3</v>
      </c>
      <c r="K520" t="s">
        <v>57</v>
      </c>
      <c r="S520">
        <v>3</v>
      </c>
      <c r="T520">
        <v>21</v>
      </c>
      <c r="V520">
        <v>50</v>
      </c>
      <c r="W520" t="s">
        <v>1019</v>
      </c>
      <c r="X520" t="s">
        <v>957</v>
      </c>
      <c r="Y520">
        <v>30</v>
      </c>
      <c r="AB520">
        <v>6.52</v>
      </c>
      <c r="AC520" t="s">
        <v>85</v>
      </c>
      <c r="AD520" t="s">
        <v>494</v>
      </c>
      <c r="AE520" t="s">
        <v>63</v>
      </c>
      <c r="AI520">
        <v>3</v>
      </c>
      <c r="AV520" t="s">
        <v>88</v>
      </c>
    </row>
    <row r="521" spans="1:53" x14ac:dyDescent="0.3">
      <c r="A521" t="s">
        <v>467</v>
      </c>
      <c r="C521" t="s">
        <v>920</v>
      </c>
      <c r="D521" t="s">
        <v>81</v>
      </c>
      <c r="E521">
        <v>1000000</v>
      </c>
      <c r="O521">
        <v>2</v>
      </c>
      <c r="P521" t="s">
        <v>59</v>
      </c>
      <c r="S521">
        <v>2</v>
      </c>
      <c r="T521">
        <v>20</v>
      </c>
      <c r="V521">
        <v>50</v>
      </c>
      <c r="W521" t="s">
        <v>472</v>
      </c>
      <c r="X521" t="s">
        <v>957</v>
      </c>
      <c r="Y521">
        <v>60</v>
      </c>
      <c r="AB521">
        <v>1</v>
      </c>
      <c r="AC521" t="s">
        <v>297</v>
      </c>
      <c r="AE521" t="s">
        <v>63</v>
      </c>
      <c r="AH521">
        <v>6.59</v>
      </c>
      <c r="AI521">
        <v>30</v>
      </c>
      <c r="AT521" t="s">
        <v>203</v>
      </c>
      <c r="AV521" t="s">
        <v>88</v>
      </c>
      <c r="AZ521">
        <v>1</v>
      </c>
      <c r="BA521">
        <v>6.59</v>
      </c>
    </row>
    <row r="522" spans="1:53" x14ac:dyDescent="0.3">
      <c r="A522" t="s">
        <v>467</v>
      </c>
      <c r="C522" t="s">
        <v>920</v>
      </c>
      <c r="D522" t="s">
        <v>81</v>
      </c>
      <c r="E522">
        <v>1000000</v>
      </c>
      <c r="O522">
        <v>2</v>
      </c>
      <c r="P522" t="s">
        <v>59</v>
      </c>
      <c r="S522">
        <v>2</v>
      </c>
      <c r="T522">
        <v>20</v>
      </c>
      <c r="V522">
        <v>50</v>
      </c>
      <c r="W522" t="s">
        <v>472</v>
      </c>
      <c r="X522" t="s">
        <v>957</v>
      </c>
      <c r="Y522">
        <v>60</v>
      </c>
      <c r="AB522">
        <v>0</v>
      </c>
      <c r="AC522" t="s">
        <v>297</v>
      </c>
      <c r="AE522" t="s">
        <v>63</v>
      </c>
      <c r="AH522">
        <v>6.65</v>
      </c>
      <c r="AI522">
        <v>30</v>
      </c>
      <c r="AT522" t="s">
        <v>203</v>
      </c>
      <c r="AV522" t="s">
        <v>88</v>
      </c>
      <c r="AZ522">
        <v>0</v>
      </c>
      <c r="BA522">
        <v>6.65</v>
      </c>
    </row>
    <row r="523" spans="1:53" x14ac:dyDescent="0.3">
      <c r="A523" t="s">
        <v>467</v>
      </c>
      <c r="C523" t="s">
        <v>920</v>
      </c>
      <c r="D523" t="s">
        <v>81</v>
      </c>
      <c r="E523">
        <v>1000000</v>
      </c>
      <c r="O523">
        <v>2</v>
      </c>
      <c r="P523" t="s">
        <v>59</v>
      </c>
      <c r="S523">
        <v>2</v>
      </c>
      <c r="T523">
        <v>20</v>
      </c>
      <c r="V523">
        <v>50</v>
      </c>
      <c r="W523" t="s">
        <v>472</v>
      </c>
      <c r="X523" t="s">
        <v>957</v>
      </c>
      <c r="Y523">
        <v>10</v>
      </c>
      <c r="AB523">
        <v>4</v>
      </c>
      <c r="AC523" t="s">
        <v>297</v>
      </c>
      <c r="AE523" t="s">
        <v>63</v>
      </c>
      <c r="AH523">
        <v>6.59</v>
      </c>
      <c r="AI523">
        <v>30</v>
      </c>
      <c r="AT523" t="s">
        <v>203</v>
      </c>
      <c r="AV523" t="s">
        <v>88</v>
      </c>
      <c r="AZ523">
        <v>4</v>
      </c>
      <c r="BA523">
        <v>6.59</v>
      </c>
    </row>
    <row r="524" spans="1:53" x14ac:dyDescent="0.3">
      <c r="A524" t="s">
        <v>467</v>
      </c>
      <c r="C524" t="s">
        <v>920</v>
      </c>
      <c r="D524" t="s">
        <v>81</v>
      </c>
      <c r="E524">
        <v>1000000</v>
      </c>
      <c r="O524">
        <v>2</v>
      </c>
      <c r="P524" t="s">
        <v>59</v>
      </c>
      <c r="S524">
        <v>2</v>
      </c>
      <c r="T524">
        <v>20</v>
      </c>
      <c r="V524">
        <v>50</v>
      </c>
      <c r="W524" t="s">
        <v>472</v>
      </c>
      <c r="X524" t="s">
        <v>957</v>
      </c>
      <c r="Y524">
        <v>10</v>
      </c>
      <c r="AB524">
        <v>2</v>
      </c>
      <c r="AC524" t="s">
        <v>297</v>
      </c>
      <c r="AE524" t="s">
        <v>63</v>
      </c>
      <c r="AH524">
        <v>6.65</v>
      </c>
      <c r="AI524">
        <v>30</v>
      </c>
      <c r="AT524" t="s">
        <v>203</v>
      </c>
      <c r="AV524" t="s">
        <v>88</v>
      </c>
      <c r="AZ524">
        <v>2</v>
      </c>
      <c r="BA524">
        <v>6.65</v>
      </c>
    </row>
    <row r="525" spans="1:53" x14ac:dyDescent="0.3">
      <c r="A525" t="s">
        <v>467</v>
      </c>
      <c r="C525" t="s">
        <v>920</v>
      </c>
      <c r="D525" t="s">
        <v>81</v>
      </c>
      <c r="E525">
        <v>1000000</v>
      </c>
      <c r="O525">
        <v>2</v>
      </c>
      <c r="P525" t="s">
        <v>59</v>
      </c>
      <c r="S525">
        <v>2</v>
      </c>
      <c r="T525">
        <v>20</v>
      </c>
      <c r="V525">
        <v>50</v>
      </c>
      <c r="W525" t="s">
        <v>473</v>
      </c>
      <c r="X525" t="s">
        <v>957</v>
      </c>
      <c r="Y525">
        <v>60</v>
      </c>
      <c r="AB525">
        <v>0</v>
      </c>
      <c r="AC525" t="s">
        <v>297</v>
      </c>
      <c r="AE525" t="s">
        <v>63</v>
      </c>
      <c r="AH525">
        <v>6.59</v>
      </c>
      <c r="AI525">
        <v>30</v>
      </c>
      <c r="AV525" t="s">
        <v>88</v>
      </c>
      <c r="AZ525">
        <v>0</v>
      </c>
      <c r="BA525">
        <v>6.59</v>
      </c>
    </row>
    <row r="526" spans="1:53" x14ac:dyDescent="0.3">
      <c r="A526" t="s">
        <v>467</v>
      </c>
      <c r="C526" t="s">
        <v>920</v>
      </c>
      <c r="D526" t="s">
        <v>81</v>
      </c>
      <c r="E526">
        <v>1000000</v>
      </c>
      <c r="O526">
        <v>2</v>
      </c>
      <c r="P526" t="s">
        <v>59</v>
      </c>
      <c r="S526">
        <v>2</v>
      </c>
      <c r="T526">
        <v>20</v>
      </c>
      <c r="V526">
        <v>50</v>
      </c>
      <c r="W526" t="s">
        <v>473</v>
      </c>
      <c r="X526" t="s">
        <v>957</v>
      </c>
      <c r="Y526">
        <v>60</v>
      </c>
      <c r="AB526">
        <v>1</v>
      </c>
      <c r="AC526" t="s">
        <v>297</v>
      </c>
      <c r="AE526" t="s">
        <v>63</v>
      </c>
      <c r="AH526">
        <v>5.9</v>
      </c>
      <c r="AI526">
        <v>30</v>
      </c>
      <c r="AV526" t="s">
        <v>88</v>
      </c>
      <c r="AZ526">
        <v>1</v>
      </c>
      <c r="BA526">
        <v>5.9</v>
      </c>
    </row>
    <row r="527" spans="1:53" x14ac:dyDescent="0.3">
      <c r="A527" t="s">
        <v>467</v>
      </c>
      <c r="C527" t="s">
        <v>920</v>
      </c>
      <c r="D527" t="s">
        <v>81</v>
      </c>
      <c r="E527">
        <v>1000000</v>
      </c>
      <c r="O527">
        <v>2</v>
      </c>
      <c r="P527" t="s">
        <v>59</v>
      </c>
      <c r="S527">
        <v>2</v>
      </c>
      <c r="T527">
        <v>20</v>
      </c>
      <c r="V527">
        <v>50</v>
      </c>
      <c r="W527" t="s">
        <v>473</v>
      </c>
      <c r="X527" t="s">
        <v>957</v>
      </c>
      <c r="Y527">
        <v>10</v>
      </c>
      <c r="AB527">
        <v>30</v>
      </c>
      <c r="AC527" t="s">
        <v>297</v>
      </c>
      <c r="AE527" t="s">
        <v>63</v>
      </c>
      <c r="AH527">
        <v>6.59</v>
      </c>
      <c r="AI527">
        <v>30</v>
      </c>
      <c r="AV527" t="s">
        <v>88</v>
      </c>
      <c r="AZ527">
        <v>30</v>
      </c>
      <c r="BA527">
        <v>6.59</v>
      </c>
    </row>
    <row r="528" spans="1:53" x14ac:dyDescent="0.3">
      <c r="A528" t="s">
        <v>467</v>
      </c>
      <c r="C528" t="s">
        <v>920</v>
      </c>
      <c r="D528" t="s">
        <v>81</v>
      </c>
      <c r="E528">
        <v>1000000</v>
      </c>
      <c r="O528">
        <v>2</v>
      </c>
      <c r="P528" t="s">
        <v>59</v>
      </c>
      <c r="S528">
        <v>2</v>
      </c>
      <c r="T528">
        <v>20</v>
      </c>
      <c r="V528">
        <v>50</v>
      </c>
      <c r="W528" t="s">
        <v>473</v>
      </c>
      <c r="X528" t="s">
        <v>957</v>
      </c>
      <c r="Y528">
        <v>10</v>
      </c>
      <c r="AB528">
        <v>30</v>
      </c>
      <c r="AC528" t="s">
        <v>297</v>
      </c>
      <c r="AE528" t="s">
        <v>63</v>
      </c>
      <c r="AH528">
        <v>5.9</v>
      </c>
      <c r="AI528">
        <v>30</v>
      </c>
      <c r="AV528" t="s">
        <v>88</v>
      </c>
      <c r="AZ528">
        <v>30</v>
      </c>
      <c r="BA528">
        <v>5.9</v>
      </c>
    </row>
    <row r="529" spans="1:53" x14ac:dyDescent="0.3">
      <c r="A529" t="s">
        <v>467</v>
      </c>
      <c r="C529" t="s">
        <v>920</v>
      </c>
      <c r="D529" t="s">
        <v>470</v>
      </c>
      <c r="E529">
        <v>1000000</v>
      </c>
      <c r="H529">
        <v>0.25</v>
      </c>
      <c r="I529" t="s">
        <v>56</v>
      </c>
      <c r="J529">
        <v>2.5000000000000001E-5</v>
      </c>
      <c r="K529" t="s">
        <v>57</v>
      </c>
      <c r="O529">
        <v>2</v>
      </c>
      <c r="P529" t="s">
        <v>59</v>
      </c>
      <c r="S529">
        <v>2</v>
      </c>
      <c r="T529">
        <v>20</v>
      </c>
      <c r="V529">
        <v>50</v>
      </c>
      <c r="W529" t="s">
        <v>471</v>
      </c>
      <c r="X529" t="s">
        <v>957</v>
      </c>
      <c r="Y529">
        <v>60</v>
      </c>
      <c r="AB529">
        <v>5.7</v>
      </c>
      <c r="AC529" t="s">
        <v>85</v>
      </c>
      <c r="AE529" t="s">
        <v>63</v>
      </c>
      <c r="AI529">
        <v>3</v>
      </c>
      <c r="AT529" t="s">
        <v>150</v>
      </c>
      <c r="AV529" t="s">
        <v>88</v>
      </c>
    </row>
    <row r="530" spans="1:53" x14ac:dyDescent="0.3">
      <c r="A530" t="s">
        <v>467</v>
      </c>
      <c r="C530" t="s">
        <v>920</v>
      </c>
      <c r="D530" t="s">
        <v>470</v>
      </c>
      <c r="E530">
        <v>1000000</v>
      </c>
      <c r="H530">
        <v>0.25</v>
      </c>
      <c r="I530" t="s">
        <v>56</v>
      </c>
      <c r="J530">
        <v>2.5000000000000001E-5</v>
      </c>
      <c r="K530" t="s">
        <v>57</v>
      </c>
      <c r="O530">
        <v>2</v>
      </c>
      <c r="P530" t="s">
        <v>59</v>
      </c>
      <c r="S530">
        <v>2</v>
      </c>
      <c r="T530">
        <v>20</v>
      </c>
      <c r="V530">
        <v>50</v>
      </c>
      <c r="W530" t="s">
        <v>471</v>
      </c>
      <c r="X530" t="s">
        <v>957</v>
      </c>
      <c r="Y530">
        <v>60</v>
      </c>
      <c r="AB530">
        <v>5.0999999999999899</v>
      </c>
      <c r="AC530" t="s">
        <v>85</v>
      </c>
      <c r="AE530" t="s">
        <v>63</v>
      </c>
      <c r="AI530">
        <v>3</v>
      </c>
      <c r="AT530" t="s">
        <v>150</v>
      </c>
      <c r="AV530" t="s">
        <v>88</v>
      </c>
    </row>
    <row r="531" spans="1:53" x14ac:dyDescent="0.3">
      <c r="A531" t="s">
        <v>467</v>
      </c>
      <c r="C531" t="s">
        <v>920</v>
      </c>
      <c r="D531" t="s">
        <v>470</v>
      </c>
      <c r="E531">
        <v>1000000</v>
      </c>
      <c r="H531">
        <v>0.25</v>
      </c>
      <c r="I531" t="s">
        <v>56</v>
      </c>
      <c r="J531">
        <v>2.5000000000000001E-5</v>
      </c>
      <c r="K531" t="s">
        <v>57</v>
      </c>
      <c r="O531">
        <v>2</v>
      </c>
      <c r="P531" t="s">
        <v>59</v>
      </c>
      <c r="S531">
        <v>2</v>
      </c>
      <c r="T531">
        <v>20</v>
      </c>
      <c r="V531">
        <v>50</v>
      </c>
      <c r="W531" t="s">
        <v>471</v>
      </c>
      <c r="X531" t="s">
        <v>957</v>
      </c>
      <c r="Y531">
        <v>60</v>
      </c>
      <c r="AA531" t="s">
        <v>94</v>
      </c>
      <c r="AB531">
        <v>6.2</v>
      </c>
      <c r="AC531" t="s">
        <v>85</v>
      </c>
      <c r="AI531">
        <v>3</v>
      </c>
      <c r="AT531" t="s">
        <v>150</v>
      </c>
      <c r="AV531" t="s">
        <v>88</v>
      </c>
      <c r="AZ531">
        <v>0</v>
      </c>
      <c r="BA531">
        <v>6.2</v>
      </c>
    </row>
    <row r="532" spans="1:53" x14ac:dyDescent="0.3">
      <c r="A532" t="s">
        <v>467</v>
      </c>
      <c r="C532" t="s">
        <v>920</v>
      </c>
      <c r="D532" t="s">
        <v>470</v>
      </c>
      <c r="E532">
        <v>1000000</v>
      </c>
      <c r="H532">
        <v>0.25</v>
      </c>
      <c r="I532" t="s">
        <v>56</v>
      </c>
      <c r="J532">
        <v>2.5000000000000001E-5</v>
      </c>
      <c r="K532" t="s">
        <v>57</v>
      </c>
      <c r="O532">
        <v>2</v>
      </c>
      <c r="P532" t="s">
        <v>59</v>
      </c>
      <c r="S532">
        <v>2</v>
      </c>
      <c r="T532">
        <v>20</v>
      </c>
      <c r="V532">
        <v>50</v>
      </c>
      <c r="W532" t="s">
        <v>471</v>
      </c>
      <c r="X532" t="s">
        <v>957</v>
      </c>
      <c r="Y532">
        <v>60</v>
      </c>
      <c r="AA532" t="s">
        <v>94</v>
      </c>
      <c r="AB532">
        <v>6</v>
      </c>
      <c r="AC532" t="s">
        <v>85</v>
      </c>
      <c r="AI532">
        <v>3</v>
      </c>
      <c r="AT532" t="s">
        <v>150</v>
      </c>
      <c r="AV532" t="s">
        <v>88</v>
      </c>
      <c r="AZ532">
        <v>0</v>
      </c>
      <c r="BA532">
        <v>6</v>
      </c>
    </row>
    <row r="533" spans="1:53" x14ac:dyDescent="0.3">
      <c r="A533" t="s">
        <v>467</v>
      </c>
      <c r="C533" t="s">
        <v>920</v>
      </c>
      <c r="D533" t="s">
        <v>470</v>
      </c>
      <c r="E533">
        <v>1000000</v>
      </c>
      <c r="H533">
        <v>0.25</v>
      </c>
      <c r="I533" t="s">
        <v>56</v>
      </c>
      <c r="J533">
        <v>2.5000000000000001E-5</v>
      </c>
      <c r="K533" t="s">
        <v>57</v>
      </c>
      <c r="O533">
        <v>2</v>
      </c>
      <c r="P533" t="s">
        <v>59</v>
      </c>
      <c r="S533">
        <v>2</v>
      </c>
      <c r="T533">
        <v>20</v>
      </c>
      <c r="V533">
        <v>50</v>
      </c>
      <c r="W533" t="s">
        <v>471</v>
      </c>
      <c r="X533" t="s">
        <v>957</v>
      </c>
      <c r="Y533">
        <v>10</v>
      </c>
      <c r="AB533">
        <v>4.2</v>
      </c>
      <c r="AC533" t="s">
        <v>85</v>
      </c>
      <c r="AE533" t="s">
        <v>63</v>
      </c>
      <c r="AI533">
        <v>3</v>
      </c>
      <c r="AT533" t="s">
        <v>150</v>
      </c>
      <c r="AV533" t="s">
        <v>88</v>
      </c>
    </row>
    <row r="534" spans="1:53" x14ac:dyDescent="0.3">
      <c r="A534" t="s">
        <v>467</v>
      </c>
      <c r="C534" t="s">
        <v>920</v>
      </c>
      <c r="D534" t="s">
        <v>470</v>
      </c>
      <c r="E534">
        <v>1000000</v>
      </c>
      <c r="H534">
        <v>0.25</v>
      </c>
      <c r="I534" t="s">
        <v>56</v>
      </c>
      <c r="J534">
        <v>2.5000000000000001E-5</v>
      </c>
      <c r="K534" t="s">
        <v>57</v>
      </c>
      <c r="O534">
        <v>2</v>
      </c>
      <c r="P534" t="s">
        <v>59</v>
      </c>
      <c r="S534">
        <v>2</v>
      </c>
      <c r="T534">
        <v>20</v>
      </c>
      <c r="V534">
        <v>50</v>
      </c>
      <c r="W534" t="s">
        <v>471</v>
      </c>
      <c r="X534" t="s">
        <v>957</v>
      </c>
      <c r="Y534">
        <v>10</v>
      </c>
      <c r="AB534">
        <v>5.3</v>
      </c>
      <c r="AC534" t="s">
        <v>85</v>
      </c>
      <c r="AE534" t="s">
        <v>63</v>
      </c>
      <c r="AI534">
        <v>3</v>
      </c>
      <c r="AT534" t="s">
        <v>150</v>
      </c>
      <c r="AV534" t="s">
        <v>88</v>
      </c>
    </row>
    <row r="535" spans="1:53" x14ac:dyDescent="0.3">
      <c r="A535" t="s">
        <v>467</v>
      </c>
      <c r="C535" t="s">
        <v>920</v>
      </c>
      <c r="D535" t="s">
        <v>470</v>
      </c>
      <c r="E535">
        <v>1000000</v>
      </c>
      <c r="H535">
        <v>0.25</v>
      </c>
      <c r="I535" t="s">
        <v>56</v>
      </c>
      <c r="J535">
        <v>2.5000000000000001E-5</v>
      </c>
      <c r="K535" t="s">
        <v>57</v>
      </c>
      <c r="O535">
        <v>2</v>
      </c>
      <c r="P535" t="s">
        <v>59</v>
      </c>
      <c r="S535">
        <v>2</v>
      </c>
      <c r="T535">
        <v>20</v>
      </c>
      <c r="V535">
        <v>50</v>
      </c>
      <c r="W535" t="s">
        <v>471</v>
      </c>
      <c r="X535" t="s">
        <v>957</v>
      </c>
      <c r="Y535">
        <v>10</v>
      </c>
      <c r="AA535" t="s">
        <v>94</v>
      </c>
      <c r="AB535">
        <v>6.2</v>
      </c>
      <c r="AC535" t="s">
        <v>85</v>
      </c>
      <c r="AI535">
        <v>3</v>
      </c>
      <c r="AT535" t="s">
        <v>150</v>
      </c>
      <c r="AV535" t="s">
        <v>88</v>
      </c>
      <c r="AZ535">
        <v>0</v>
      </c>
      <c r="BA535">
        <v>6.2</v>
      </c>
    </row>
    <row r="536" spans="1:53" x14ac:dyDescent="0.3">
      <c r="A536" t="s">
        <v>467</v>
      </c>
      <c r="C536" t="s">
        <v>920</v>
      </c>
      <c r="D536" t="s">
        <v>470</v>
      </c>
      <c r="E536">
        <v>1000000</v>
      </c>
      <c r="H536">
        <v>0.25</v>
      </c>
      <c r="I536" t="s">
        <v>56</v>
      </c>
      <c r="J536">
        <v>2.5000000000000001E-5</v>
      </c>
      <c r="K536" t="s">
        <v>57</v>
      </c>
      <c r="O536">
        <v>2</v>
      </c>
      <c r="P536" t="s">
        <v>59</v>
      </c>
      <c r="S536">
        <v>2</v>
      </c>
      <c r="T536">
        <v>20</v>
      </c>
      <c r="V536">
        <v>50</v>
      </c>
      <c r="W536" t="s">
        <v>471</v>
      </c>
      <c r="X536" t="s">
        <v>957</v>
      </c>
      <c r="Y536">
        <v>10</v>
      </c>
      <c r="AB536">
        <v>6.1</v>
      </c>
      <c r="AC536" t="s">
        <v>85</v>
      </c>
      <c r="AE536" t="s">
        <v>63</v>
      </c>
      <c r="AI536">
        <v>3</v>
      </c>
      <c r="AT536" t="s">
        <v>150</v>
      </c>
      <c r="AV536" t="s">
        <v>88</v>
      </c>
    </row>
    <row r="537" spans="1:53" x14ac:dyDescent="0.3">
      <c r="A537" t="s">
        <v>467</v>
      </c>
      <c r="C537" t="s">
        <v>920</v>
      </c>
      <c r="D537" t="s">
        <v>81</v>
      </c>
      <c r="E537">
        <v>1000000</v>
      </c>
      <c r="H537">
        <v>14.25</v>
      </c>
      <c r="I537" t="s">
        <v>56</v>
      </c>
      <c r="J537">
        <v>1.4250000000000001E-3</v>
      </c>
      <c r="K537" t="s">
        <v>57</v>
      </c>
      <c r="O537">
        <v>2</v>
      </c>
      <c r="P537" t="s">
        <v>59</v>
      </c>
      <c r="S537">
        <v>2</v>
      </c>
      <c r="T537">
        <v>20</v>
      </c>
      <c r="V537">
        <v>50</v>
      </c>
      <c r="W537" t="s">
        <v>72</v>
      </c>
      <c r="X537" t="s">
        <v>957</v>
      </c>
      <c r="Y537">
        <v>60</v>
      </c>
      <c r="AA537" t="s">
        <v>94</v>
      </c>
      <c r="AB537">
        <v>7.1</v>
      </c>
      <c r="AC537" t="s">
        <v>85</v>
      </c>
      <c r="AI537">
        <v>5</v>
      </c>
      <c r="AT537" t="s">
        <v>73</v>
      </c>
      <c r="AV537" t="s">
        <v>88</v>
      </c>
      <c r="AZ537">
        <v>0</v>
      </c>
      <c r="BA537">
        <v>7.1</v>
      </c>
    </row>
    <row r="538" spans="1:53" x14ac:dyDescent="0.3">
      <c r="A538" t="s">
        <v>467</v>
      </c>
      <c r="C538" t="s">
        <v>920</v>
      </c>
      <c r="D538" t="s">
        <v>81</v>
      </c>
      <c r="E538">
        <v>1000000</v>
      </c>
      <c r="H538">
        <v>14.25</v>
      </c>
      <c r="I538" t="s">
        <v>56</v>
      </c>
      <c r="J538">
        <v>1.4250000000000001E-3</v>
      </c>
      <c r="K538" t="s">
        <v>57</v>
      </c>
      <c r="O538">
        <v>2</v>
      </c>
      <c r="P538" t="s">
        <v>59</v>
      </c>
      <c r="S538">
        <v>2</v>
      </c>
      <c r="T538">
        <v>20</v>
      </c>
      <c r="V538">
        <v>50</v>
      </c>
      <c r="W538" t="s">
        <v>72</v>
      </c>
      <c r="X538" t="s">
        <v>957</v>
      </c>
      <c r="Y538">
        <v>60</v>
      </c>
      <c r="AA538" t="s">
        <v>94</v>
      </c>
      <c r="AB538">
        <v>7.1</v>
      </c>
      <c r="AC538" t="s">
        <v>85</v>
      </c>
      <c r="AI538">
        <v>5</v>
      </c>
      <c r="AT538" t="s">
        <v>73</v>
      </c>
      <c r="AV538" t="s">
        <v>88</v>
      </c>
      <c r="AZ538">
        <v>0</v>
      </c>
      <c r="BA538">
        <v>7.1</v>
      </c>
    </row>
    <row r="539" spans="1:53" x14ac:dyDescent="0.3">
      <c r="A539" t="s">
        <v>467</v>
      </c>
      <c r="C539" t="s">
        <v>920</v>
      </c>
      <c r="D539" t="s">
        <v>81</v>
      </c>
      <c r="E539">
        <v>1000000</v>
      </c>
      <c r="H539">
        <v>14.25</v>
      </c>
      <c r="I539" t="s">
        <v>56</v>
      </c>
      <c r="J539">
        <v>1.4250000000000001E-3</v>
      </c>
      <c r="K539" t="s">
        <v>57</v>
      </c>
      <c r="O539">
        <v>2</v>
      </c>
      <c r="P539" t="s">
        <v>59</v>
      </c>
      <c r="S539">
        <v>2</v>
      </c>
      <c r="T539">
        <v>20</v>
      </c>
      <c r="V539">
        <v>50</v>
      </c>
      <c r="W539" t="s">
        <v>72</v>
      </c>
      <c r="X539" t="s">
        <v>957</v>
      </c>
      <c r="Y539">
        <v>10</v>
      </c>
      <c r="AA539" t="s">
        <v>94</v>
      </c>
      <c r="AB539">
        <v>7.1</v>
      </c>
      <c r="AC539" t="s">
        <v>85</v>
      </c>
      <c r="AI539">
        <v>5</v>
      </c>
      <c r="AT539" t="s">
        <v>73</v>
      </c>
      <c r="AV539" t="s">
        <v>88</v>
      </c>
      <c r="AZ539">
        <v>0</v>
      </c>
      <c r="BA539">
        <v>7.1</v>
      </c>
    </row>
    <row r="540" spans="1:53" x14ac:dyDescent="0.3">
      <c r="A540" t="s">
        <v>467</v>
      </c>
      <c r="C540" t="s">
        <v>920</v>
      </c>
      <c r="D540" t="s">
        <v>81</v>
      </c>
      <c r="E540">
        <v>1000000</v>
      </c>
      <c r="H540">
        <v>14.25</v>
      </c>
      <c r="I540" t="s">
        <v>56</v>
      </c>
      <c r="J540">
        <v>1.4250000000000001E-3</v>
      </c>
      <c r="K540" t="s">
        <v>57</v>
      </c>
      <c r="O540">
        <v>2</v>
      </c>
      <c r="P540" t="s">
        <v>59</v>
      </c>
      <c r="S540">
        <v>2</v>
      </c>
      <c r="T540">
        <v>20</v>
      </c>
      <c r="V540">
        <v>50</v>
      </c>
      <c r="W540" t="s">
        <v>72</v>
      </c>
      <c r="X540" t="s">
        <v>957</v>
      </c>
      <c r="Y540">
        <v>10</v>
      </c>
      <c r="AA540" t="s">
        <v>94</v>
      </c>
      <c r="AB540">
        <v>7.1</v>
      </c>
      <c r="AC540" t="s">
        <v>85</v>
      </c>
      <c r="AI540">
        <v>5</v>
      </c>
      <c r="AT540" t="s">
        <v>73</v>
      </c>
      <c r="AV540" t="s">
        <v>88</v>
      </c>
      <c r="AZ540">
        <v>0</v>
      </c>
      <c r="BA540">
        <v>7.1</v>
      </c>
    </row>
    <row r="541" spans="1:53" x14ac:dyDescent="0.3">
      <c r="A541" t="s">
        <v>467</v>
      </c>
      <c r="C541" t="s">
        <v>920</v>
      </c>
      <c r="D541" t="s">
        <v>81</v>
      </c>
      <c r="E541">
        <v>1000000</v>
      </c>
      <c r="H541">
        <v>14.25</v>
      </c>
      <c r="I541" t="s">
        <v>56</v>
      </c>
      <c r="J541">
        <v>1.4250000000000001E-3</v>
      </c>
      <c r="K541" t="s">
        <v>57</v>
      </c>
      <c r="O541">
        <v>2</v>
      </c>
      <c r="P541" t="s">
        <v>59</v>
      </c>
      <c r="S541">
        <v>2</v>
      </c>
      <c r="T541">
        <v>20</v>
      </c>
      <c r="V541">
        <v>50</v>
      </c>
      <c r="W541" t="s">
        <v>469</v>
      </c>
      <c r="X541" t="s">
        <v>957</v>
      </c>
      <c r="Y541">
        <v>60</v>
      </c>
      <c r="AB541">
        <v>6.8</v>
      </c>
      <c r="AC541" t="s">
        <v>85</v>
      </c>
      <c r="AD541" t="s">
        <v>324</v>
      </c>
      <c r="AE541" t="s">
        <v>63</v>
      </c>
      <c r="AI541">
        <v>5</v>
      </c>
      <c r="AT541" t="s">
        <v>65</v>
      </c>
      <c r="AV541" t="s">
        <v>88</v>
      </c>
    </row>
    <row r="542" spans="1:53" x14ac:dyDescent="0.3">
      <c r="A542" t="s">
        <v>467</v>
      </c>
      <c r="C542" t="s">
        <v>920</v>
      </c>
      <c r="D542" t="s">
        <v>81</v>
      </c>
      <c r="E542">
        <v>1000000</v>
      </c>
      <c r="H542">
        <v>14.25</v>
      </c>
      <c r="I542" t="s">
        <v>56</v>
      </c>
      <c r="J542">
        <v>1.4250000000000001E-3</v>
      </c>
      <c r="K542" t="s">
        <v>57</v>
      </c>
      <c r="O542">
        <v>2</v>
      </c>
      <c r="P542" t="s">
        <v>59</v>
      </c>
      <c r="S542">
        <v>2</v>
      </c>
      <c r="T542">
        <v>20</v>
      </c>
      <c r="V542">
        <v>50</v>
      </c>
      <c r="W542" t="s">
        <v>469</v>
      </c>
      <c r="X542" t="s">
        <v>957</v>
      </c>
      <c r="Y542">
        <v>60</v>
      </c>
      <c r="AA542" t="s">
        <v>94</v>
      </c>
      <c r="AB542">
        <v>6.9</v>
      </c>
      <c r="AC542" t="s">
        <v>85</v>
      </c>
      <c r="AI542">
        <v>5</v>
      </c>
      <c r="AT542" t="s">
        <v>65</v>
      </c>
      <c r="AV542" t="s">
        <v>88</v>
      </c>
      <c r="AZ542">
        <v>0</v>
      </c>
      <c r="BA542">
        <v>6.9</v>
      </c>
    </row>
    <row r="543" spans="1:53" x14ac:dyDescent="0.3">
      <c r="A543" t="s">
        <v>467</v>
      </c>
      <c r="C543" t="s">
        <v>920</v>
      </c>
      <c r="D543" t="s">
        <v>81</v>
      </c>
      <c r="E543">
        <v>1000000</v>
      </c>
      <c r="H543">
        <v>14.25</v>
      </c>
      <c r="I543" t="s">
        <v>56</v>
      </c>
      <c r="J543">
        <v>1.4250000000000001E-3</v>
      </c>
      <c r="K543" t="s">
        <v>57</v>
      </c>
      <c r="O543">
        <v>2</v>
      </c>
      <c r="P543" t="s">
        <v>59</v>
      </c>
      <c r="S543">
        <v>2</v>
      </c>
      <c r="T543">
        <v>20</v>
      </c>
      <c r="V543">
        <v>50</v>
      </c>
      <c r="W543" t="s">
        <v>469</v>
      </c>
      <c r="X543" t="s">
        <v>957</v>
      </c>
      <c r="Y543">
        <v>10</v>
      </c>
      <c r="AA543" t="s">
        <v>94</v>
      </c>
      <c r="AB543">
        <v>7.1</v>
      </c>
      <c r="AC543" t="s">
        <v>85</v>
      </c>
      <c r="AI543">
        <v>5</v>
      </c>
      <c r="AT543" t="s">
        <v>65</v>
      </c>
      <c r="AV543" t="s">
        <v>88</v>
      </c>
      <c r="AZ543">
        <v>0</v>
      </c>
      <c r="BA543">
        <v>7.1</v>
      </c>
    </row>
    <row r="544" spans="1:53" x14ac:dyDescent="0.3">
      <c r="A544" t="s">
        <v>467</v>
      </c>
      <c r="C544" t="s">
        <v>920</v>
      </c>
      <c r="D544" t="s">
        <v>81</v>
      </c>
      <c r="E544">
        <v>1000000</v>
      </c>
      <c r="H544">
        <v>14.25</v>
      </c>
      <c r="I544" t="s">
        <v>56</v>
      </c>
      <c r="J544">
        <v>1.4250000000000001E-3</v>
      </c>
      <c r="K544" t="s">
        <v>57</v>
      </c>
      <c r="O544">
        <v>2</v>
      </c>
      <c r="P544" t="s">
        <v>59</v>
      </c>
      <c r="S544">
        <v>2</v>
      </c>
      <c r="T544">
        <v>20</v>
      </c>
      <c r="V544">
        <v>50</v>
      </c>
      <c r="W544" t="s">
        <v>469</v>
      </c>
      <c r="X544" t="s">
        <v>957</v>
      </c>
      <c r="Y544">
        <v>10</v>
      </c>
      <c r="AA544" t="s">
        <v>94</v>
      </c>
      <c r="AB544">
        <v>6.9</v>
      </c>
      <c r="AC544" t="s">
        <v>85</v>
      </c>
      <c r="AI544">
        <v>5</v>
      </c>
      <c r="AT544" t="s">
        <v>65</v>
      </c>
      <c r="AV544" t="s">
        <v>88</v>
      </c>
      <c r="AZ544">
        <v>0</v>
      </c>
      <c r="BA544">
        <v>6.9</v>
      </c>
    </row>
    <row r="545" spans="1:53" x14ac:dyDescent="0.3">
      <c r="A545" t="s">
        <v>467</v>
      </c>
      <c r="C545" t="s">
        <v>920</v>
      </c>
      <c r="D545" t="s">
        <v>81</v>
      </c>
      <c r="E545">
        <v>1000000</v>
      </c>
      <c r="H545">
        <v>0.25</v>
      </c>
      <c r="I545" t="s">
        <v>56</v>
      </c>
      <c r="J545">
        <v>2.5000000000000001E-5</v>
      </c>
      <c r="K545" t="s">
        <v>57</v>
      </c>
      <c r="O545">
        <v>2</v>
      </c>
      <c r="P545" t="s">
        <v>59</v>
      </c>
      <c r="S545">
        <v>2</v>
      </c>
      <c r="T545">
        <v>20</v>
      </c>
      <c r="V545">
        <v>50</v>
      </c>
      <c r="W545" t="s">
        <v>147</v>
      </c>
      <c r="X545" t="s">
        <v>957</v>
      </c>
      <c r="Y545">
        <v>60</v>
      </c>
      <c r="AA545" t="s">
        <v>94</v>
      </c>
      <c r="AB545">
        <v>7.1</v>
      </c>
      <c r="AC545" t="s">
        <v>85</v>
      </c>
      <c r="AI545">
        <v>5</v>
      </c>
      <c r="AT545" t="s">
        <v>150</v>
      </c>
      <c r="AV545" t="s">
        <v>88</v>
      </c>
      <c r="AZ545">
        <v>0</v>
      </c>
      <c r="BA545">
        <v>7.1</v>
      </c>
    </row>
    <row r="546" spans="1:53" x14ac:dyDescent="0.3">
      <c r="A546" t="s">
        <v>467</v>
      </c>
      <c r="C546" t="s">
        <v>920</v>
      </c>
      <c r="D546" t="s">
        <v>81</v>
      </c>
      <c r="E546">
        <v>1000000</v>
      </c>
      <c r="H546">
        <v>0.25</v>
      </c>
      <c r="I546" t="s">
        <v>56</v>
      </c>
      <c r="J546">
        <v>2.5000000000000001E-5</v>
      </c>
      <c r="K546" t="s">
        <v>57</v>
      </c>
      <c r="O546">
        <v>2</v>
      </c>
      <c r="P546" t="s">
        <v>59</v>
      </c>
      <c r="S546">
        <v>2</v>
      </c>
      <c r="T546">
        <v>20</v>
      </c>
      <c r="V546">
        <v>50</v>
      </c>
      <c r="W546" t="s">
        <v>147</v>
      </c>
      <c r="X546" t="s">
        <v>957</v>
      </c>
      <c r="Y546">
        <v>60</v>
      </c>
      <c r="AA546" t="s">
        <v>94</v>
      </c>
      <c r="AB546">
        <v>6.9</v>
      </c>
      <c r="AC546" t="s">
        <v>85</v>
      </c>
      <c r="AI546">
        <v>5</v>
      </c>
      <c r="AT546" t="s">
        <v>150</v>
      </c>
      <c r="AV546" t="s">
        <v>88</v>
      </c>
      <c r="AZ546">
        <v>0</v>
      </c>
      <c r="BA546">
        <v>6.9</v>
      </c>
    </row>
    <row r="547" spans="1:53" x14ac:dyDescent="0.3">
      <c r="A547" t="s">
        <v>467</v>
      </c>
      <c r="C547" t="s">
        <v>920</v>
      </c>
      <c r="D547" t="s">
        <v>81</v>
      </c>
      <c r="E547">
        <v>1000000</v>
      </c>
      <c r="H547">
        <v>0.25</v>
      </c>
      <c r="I547" t="s">
        <v>56</v>
      </c>
      <c r="J547">
        <v>2.5000000000000001E-5</v>
      </c>
      <c r="K547" t="s">
        <v>57</v>
      </c>
      <c r="O547">
        <v>2</v>
      </c>
      <c r="P547" t="s">
        <v>59</v>
      </c>
      <c r="S547">
        <v>2</v>
      </c>
      <c r="T547">
        <v>20</v>
      </c>
      <c r="V547">
        <v>50</v>
      </c>
      <c r="W547" t="s">
        <v>147</v>
      </c>
      <c r="X547" t="s">
        <v>957</v>
      </c>
      <c r="Y547">
        <v>10</v>
      </c>
      <c r="AB547">
        <v>6.7</v>
      </c>
      <c r="AC547" t="s">
        <v>85</v>
      </c>
      <c r="AD547" t="s">
        <v>326</v>
      </c>
      <c r="AE547" t="s">
        <v>63</v>
      </c>
      <c r="AI547">
        <v>5</v>
      </c>
      <c r="AT547" t="s">
        <v>150</v>
      </c>
      <c r="AV547" t="s">
        <v>88</v>
      </c>
    </row>
    <row r="548" spans="1:53" x14ac:dyDescent="0.3">
      <c r="A548" t="s">
        <v>467</v>
      </c>
      <c r="C548" t="s">
        <v>920</v>
      </c>
      <c r="D548" t="s">
        <v>81</v>
      </c>
      <c r="E548">
        <v>1000000</v>
      </c>
      <c r="H548">
        <v>0.25</v>
      </c>
      <c r="I548" t="s">
        <v>56</v>
      </c>
      <c r="J548">
        <v>2.5000000000000001E-5</v>
      </c>
      <c r="K548" t="s">
        <v>57</v>
      </c>
      <c r="O548">
        <v>2</v>
      </c>
      <c r="P548" t="s">
        <v>59</v>
      </c>
      <c r="S548">
        <v>2</v>
      </c>
      <c r="T548">
        <v>20</v>
      </c>
      <c r="V548">
        <v>50</v>
      </c>
      <c r="W548" t="s">
        <v>147</v>
      </c>
      <c r="X548" t="s">
        <v>957</v>
      </c>
      <c r="Y548">
        <v>10</v>
      </c>
      <c r="AA548" t="s">
        <v>94</v>
      </c>
      <c r="AB548">
        <v>6.9</v>
      </c>
      <c r="AC548" t="s">
        <v>85</v>
      </c>
      <c r="AI548">
        <v>5</v>
      </c>
      <c r="AT548" t="s">
        <v>150</v>
      </c>
      <c r="AV548" t="s">
        <v>88</v>
      </c>
      <c r="AZ548">
        <v>0</v>
      </c>
      <c r="BA548">
        <v>6.9</v>
      </c>
    </row>
    <row r="549" spans="1:53" x14ac:dyDescent="0.3">
      <c r="A549" t="s">
        <v>467</v>
      </c>
      <c r="C549" t="s">
        <v>920</v>
      </c>
      <c r="D549" t="s">
        <v>81</v>
      </c>
      <c r="E549">
        <v>1000000</v>
      </c>
      <c r="O549">
        <v>1</v>
      </c>
      <c r="P549" t="s">
        <v>59</v>
      </c>
      <c r="S549">
        <v>2</v>
      </c>
      <c r="T549">
        <v>20</v>
      </c>
      <c r="V549">
        <v>50</v>
      </c>
      <c r="W549" t="s">
        <v>476</v>
      </c>
      <c r="X549" t="s">
        <v>957</v>
      </c>
      <c r="Y549">
        <v>30</v>
      </c>
      <c r="AB549">
        <v>3</v>
      </c>
      <c r="AC549" t="s">
        <v>297</v>
      </c>
      <c r="AE549" t="s">
        <v>63</v>
      </c>
      <c r="AH549">
        <v>6.08</v>
      </c>
      <c r="AI549">
        <v>30</v>
      </c>
      <c r="AT549" t="s">
        <v>203</v>
      </c>
      <c r="AV549" t="s">
        <v>88</v>
      </c>
      <c r="AZ549">
        <v>3</v>
      </c>
      <c r="BA549">
        <v>6.08</v>
      </c>
    </row>
    <row r="550" spans="1:53" x14ac:dyDescent="0.3">
      <c r="A550" t="s">
        <v>467</v>
      </c>
      <c r="C550" t="s">
        <v>920</v>
      </c>
      <c r="D550" t="s">
        <v>81</v>
      </c>
      <c r="E550">
        <v>1000000</v>
      </c>
      <c r="O550">
        <v>1</v>
      </c>
      <c r="P550" t="s">
        <v>59</v>
      </c>
      <c r="S550">
        <v>2</v>
      </c>
      <c r="T550">
        <v>20</v>
      </c>
      <c r="V550">
        <v>50</v>
      </c>
      <c r="W550" t="s">
        <v>476</v>
      </c>
      <c r="X550" t="s">
        <v>957</v>
      </c>
      <c r="Y550">
        <v>30</v>
      </c>
      <c r="AB550">
        <v>0</v>
      </c>
      <c r="AC550" t="s">
        <v>297</v>
      </c>
      <c r="AE550" t="s">
        <v>63</v>
      </c>
      <c r="AH550">
        <v>6.11</v>
      </c>
      <c r="AI550">
        <v>30</v>
      </c>
      <c r="AT550" t="s">
        <v>203</v>
      </c>
      <c r="AV550" t="s">
        <v>88</v>
      </c>
      <c r="AZ550">
        <v>0</v>
      </c>
      <c r="BA550">
        <v>6.11</v>
      </c>
    </row>
    <row r="551" spans="1:53" x14ac:dyDescent="0.3">
      <c r="A551" t="s">
        <v>467</v>
      </c>
      <c r="C551" t="s">
        <v>920</v>
      </c>
      <c r="D551" t="s">
        <v>81</v>
      </c>
      <c r="E551">
        <v>1000000</v>
      </c>
      <c r="O551">
        <v>1</v>
      </c>
      <c r="P551" t="s">
        <v>59</v>
      </c>
      <c r="S551">
        <v>2</v>
      </c>
      <c r="T551">
        <v>20</v>
      </c>
      <c r="V551">
        <v>50</v>
      </c>
      <c r="W551" t="s">
        <v>476</v>
      </c>
      <c r="X551" t="s">
        <v>957</v>
      </c>
      <c r="Y551">
        <v>30</v>
      </c>
      <c r="AB551">
        <v>0</v>
      </c>
      <c r="AC551" t="s">
        <v>297</v>
      </c>
      <c r="AE551" t="s">
        <v>63</v>
      </c>
      <c r="AH551">
        <v>5.71</v>
      </c>
      <c r="AI551">
        <v>30</v>
      </c>
      <c r="AT551" t="s">
        <v>203</v>
      </c>
      <c r="AV551" t="s">
        <v>88</v>
      </c>
      <c r="AZ551">
        <v>0</v>
      </c>
      <c r="BA551">
        <v>5.71</v>
      </c>
    </row>
    <row r="552" spans="1:53" x14ac:dyDescent="0.3">
      <c r="A552" t="s">
        <v>467</v>
      </c>
      <c r="C552" t="s">
        <v>920</v>
      </c>
      <c r="D552" t="s">
        <v>81</v>
      </c>
      <c r="E552">
        <v>1000000</v>
      </c>
      <c r="O552">
        <v>1</v>
      </c>
      <c r="P552" t="s">
        <v>59</v>
      </c>
      <c r="S552">
        <v>2</v>
      </c>
      <c r="T552">
        <v>20</v>
      </c>
      <c r="V552">
        <v>50</v>
      </c>
      <c r="W552" t="s">
        <v>476</v>
      </c>
      <c r="X552" t="s">
        <v>957</v>
      </c>
      <c r="Y552">
        <v>30</v>
      </c>
      <c r="AB552">
        <v>0</v>
      </c>
      <c r="AC552" t="s">
        <v>297</v>
      </c>
      <c r="AE552" t="s">
        <v>63</v>
      </c>
      <c r="AH552">
        <v>5.71</v>
      </c>
      <c r="AI552">
        <v>30</v>
      </c>
      <c r="AT552" t="s">
        <v>203</v>
      </c>
      <c r="AV552" t="s">
        <v>88</v>
      </c>
      <c r="AZ552">
        <v>0</v>
      </c>
      <c r="BA552">
        <v>5.71</v>
      </c>
    </row>
    <row r="553" spans="1:53" x14ac:dyDescent="0.3">
      <c r="A553" t="s">
        <v>467</v>
      </c>
      <c r="C553" t="s">
        <v>920</v>
      </c>
      <c r="D553" t="s">
        <v>81</v>
      </c>
      <c r="E553">
        <v>1000000</v>
      </c>
      <c r="O553">
        <v>1</v>
      </c>
      <c r="P553" t="s">
        <v>59</v>
      </c>
      <c r="S553">
        <v>2</v>
      </c>
      <c r="T553">
        <v>20</v>
      </c>
      <c r="V553">
        <v>50</v>
      </c>
      <c r="W553" t="s">
        <v>476</v>
      </c>
      <c r="X553" t="s">
        <v>957</v>
      </c>
      <c r="Y553">
        <v>10</v>
      </c>
      <c r="AB553">
        <v>5</v>
      </c>
      <c r="AC553" t="s">
        <v>297</v>
      </c>
      <c r="AE553" t="s">
        <v>63</v>
      </c>
      <c r="AH553">
        <v>6.08</v>
      </c>
      <c r="AI553">
        <v>30</v>
      </c>
      <c r="AT553" t="s">
        <v>203</v>
      </c>
      <c r="AV553" t="s">
        <v>88</v>
      </c>
      <c r="AZ553">
        <v>5</v>
      </c>
      <c r="BA553">
        <v>6.08</v>
      </c>
    </row>
    <row r="554" spans="1:53" x14ac:dyDescent="0.3">
      <c r="A554" t="s">
        <v>467</v>
      </c>
      <c r="C554" t="s">
        <v>920</v>
      </c>
      <c r="D554" t="s">
        <v>81</v>
      </c>
      <c r="E554">
        <v>1000000</v>
      </c>
      <c r="O554">
        <v>1</v>
      </c>
      <c r="P554" t="s">
        <v>59</v>
      </c>
      <c r="S554">
        <v>2</v>
      </c>
      <c r="T554">
        <v>20</v>
      </c>
      <c r="V554">
        <v>50</v>
      </c>
      <c r="W554" t="s">
        <v>476</v>
      </c>
      <c r="X554" t="s">
        <v>957</v>
      </c>
      <c r="Y554">
        <v>10</v>
      </c>
      <c r="AB554">
        <v>15</v>
      </c>
      <c r="AC554" t="s">
        <v>297</v>
      </c>
      <c r="AE554" t="s">
        <v>63</v>
      </c>
      <c r="AH554">
        <v>6.11</v>
      </c>
      <c r="AI554">
        <v>30</v>
      </c>
      <c r="AT554" t="s">
        <v>203</v>
      </c>
      <c r="AV554" t="s">
        <v>88</v>
      </c>
      <c r="AZ554">
        <v>15</v>
      </c>
      <c r="BA554">
        <v>6.11</v>
      </c>
    </row>
    <row r="555" spans="1:53" x14ac:dyDescent="0.3">
      <c r="A555" t="s">
        <v>467</v>
      </c>
      <c r="C555" t="s">
        <v>920</v>
      </c>
      <c r="D555" t="s">
        <v>81</v>
      </c>
      <c r="E555">
        <v>1000000</v>
      </c>
      <c r="O555">
        <v>1</v>
      </c>
      <c r="P555" t="s">
        <v>59</v>
      </c>
      <c r="S555">
        <v>2</v>
      </c>
      <c r="T555">
        <v>20</v>
      </c>
      <c r="V555">
        <v>50</v>
      </c>
      <c r="W555" t="s">
        <v>476</v>
      </c>
      <c r="X555" t="s">
        <v>957</v>
      </c>
      <c r="Y555">
        <v>10</v>
      </c>
      <c r="AB555">
        <v>0</v>
      </c>
      <c r="AC555" t="s">
        <v>297</v>
      </c>
      <c r="AE555" t="s">
        <v>63</v>
      </c>
      <c r="AH555">
        <v>5.71</v>
      </c>
      <c r="AI555">
        <v>30</v>
      </c>
      <c r="AT555" t="s">
        <v>203</v>
      </c>
      <c r="AV555" t="s">
        <v>88</v>
      </c>
      <c r="AZ555">
        <v>0</v>
      </c>
      <c r="BA555">
        <v>5.71</v>
      </c>
    </row>
    <row r="556" spans="1:53" x14ac:dyDescent="0.3">
      <c r="A556" t="s">
        <v>467</v>
      </c>
      <c r="C556" t="s">
        <v>920</v>
      </c>
      <c r="D556" t="s">
        <v>81</v>
      </c>
      <c r="E556">
        <v>1000000</v>
      </c>
      <c r="O556">
        <v>1</v>
      </c>
      <c r="P556" t="s">
        <v>59</v>
      </c>
      <c r="S556">
        <v>2</v>
      </c>
      <c r="T556">
        <v>20</v>
      </c>
      <c r="V556">
        <v>50</v>
      </c>
      <c r="W556" t="s">
        <v>476</v>
      </c>
      <c r="X556" t="s">
        <v>957</v>
      </c>
      <c r="Y556">
        <v>10</v>
      </c>
      <c r="AB556">
        <v>1</v>
      </c>
      <c r="AC556" t="s">
        <v>297</v>
      </c>
      <c r="AE556" t="s">
        <v>63</v>
      </c>
      <c r="AH556">
        <v>5.71</v>
      </c>
      <c r="AI556">
        <v>30</v>
      </c>
      <c r="AT556" t="s">
        <v>203</v>
      </c>
      <c r="AV556" t="s">
        <v>88</v>
      </c>
      <c r="AZ556">
        <v>1</v>
      </c>
      <c r="BA556">
        <v>5.71</v>
      </c>
    </row>
    <row r="557" spans="1:53" x14ac:dyDescent="0.3">
      <c r="A557" t="s">
        <v>467</v>
      </c>
      <c r="C557" t="s">
        <v>920</v>
      </c>
      <c r="D557" t="s">
        <v>81</v>
      </c>
      <c r="E557">
        <v>1000000</v>
      </c>
      <c r="O557">
        <v>1</v>
      </c>
      <c r="P557" t="s">
        <v>59</v>
      </c>
      <c r="S557">
        <v>2</v>
      </c>
      <c r="T557">
        <v>20</v>
      </c>
      <c r="V557">
        <v>50</v>
      </c>
      <c r="W557" t="s">
        <v>473</v>
      </c>
      <c r="X557" t="s">
        <v>957</v>
      </c>
      <c r="Y557">
        <v>30</v>
      </c>
      <c r="AB557">
        <v>26</v>
      </c>
      <c r="AC557" t="s">
        <v>297</v>
      </c>
      <c r="AE557" t="s">
        <v>63</v>
      </c>
      <c r="AH557">
        <v>6.11</v>
      </c>
      <c r="AI557">
        <v>30</v>
      </c>
      <c r="AV557" t="s">
        <v>88</v>
      </c>
      <c r="AZ557">
        <v>26</v>
      </c>
      <c r="BA557">
        <v>6.11</v>
      </c>
    </row>
    <row r="558" spans="1:53" x14ac:dyDescent="0.3">
      <c r="A558" t="s">
        <v>467</v>
      </c>
      <c r="C558" t="s">
        <v>920</v>
      </c>
      <c r="D558" t="s">
        <v>81</v>
      </c>
      <c r="E558">
        <v>1000000</v>
      </c>
      <c r="O558">
        <v>1</v>
      </c>
      <c r="P558" t="s">
        <v>59</v>
      </c>
      <c r="S558">
        <v>2</v>
      </c>
      <c r="T558">
        <v>20</v>
      </c>
      <c r="V558">
        <v>50</v>
      </c>
      <c r="W558" t="s">
        <v>473</v>
      </c>
      <c r="X558" t="s">
        <v>957</v>
      </c>
      <c r="Y558">
        <v>30</v>
      </c>
      <c r="AB558">
        <v>27</v>
      </c>
      <c r="AC558" t="s">
        <v>297</v>
      </c>
      <c r="AE558" t="s">
        <v>63</v>
      </c>
      <c r="AH558">
        <v>6.11</v>
      </c>
      <c r="AI558">
        <v>30</v>
      </c>
      <c r="AV558" t="s">
        <v>88</v>
      </c>
      <c r="AZ558">
        <v>27</v>
      </c>
      <c r="BA558">
        <v>6.11</v>
      </c>
    </row>
    <row r="559" spans="1:53" x14ac:dyDescent="0.3">
      <c r="A559" t="s">
        <v>467</v>
      </c>
      <c r="C559" t="s">
        <v>920</v>
      </c>
      <c r="D559" t="s">
        <v>81</v>
      </c>
      <c r="E559">
        <v>1000000</v>
      </c>
      <c r="O559">
        <v>1</v>
      </c>
      <c r="P559" t="s">
        <v>59</v>
      </c>
      <c r="S559">
        <v>2</v>
      </c>
      <c r="T559">
        <v>20</v>
      </c>
      <c r="V559">
        <v>50</v>
      </c>
      <c r="W559" t="s">
        <v>473</v>
      </c>
      <c r="X559" t="s">
        <v>957</v>
      </c>
      <c r="Y559">
        <v>30</v>
      </c>
      <c r="AB559">
        <v>17</v>
      </c>
      <c r="AC559" t="s">
        <v>297</v>
      </c>
      <c r="AE559" t="s">
        <v>63</v>
      </c>
      <c r="AH559">
        <v>6.59</v>
      </c>
      <c r="AI559">
        <v>30</v>
      </c>
      <c r="AV559" t="s">
        <v>88</v>
      </c>
      <c r="AZ559">
        <v>17</v>
      </c>
      <c r="BA559">
        <v>6.59</v>
      </c>
    </row>
    <row r="560" spans="1:53" x14ac:dyDescent="0.3">
      <c r="A560" t="s">
        <v>467</v>
      </c>
      <c r="C560" t="s">
        <v>920</v>
      </c>
      <c r="D560" t="s">
        <v>81</v>
      </c>
      <c r="E560">
        <v>1000000</v>
      </c>
      <c r="O560">
        <v>1</v>
      </c>
      <c r="P560" t="s">
        <v>59</v>
      </c>
      <c r="S560">
        <v>2</v>
      </c>
      <c r="T560">
        <v>20</v>
      </c>
      <c r="V560">
        <v>50</v>
      </c>
      <c r="W560" t="s">
        <v>473</v>
      </c>
      <c r="X560" t="s">
        <v>957</v>
      </c>
      <c r="Y560">
        <v>30</v>
      </c>
      <c r="AB560">
        <v>16</v>
      </c>
      <c r="AC560" t="s">
        <v>297</v>
      </c>
      <c r="AE560" t="s">
        <v>63</v>
      </c>
      <c r="AH560">
        <v>6.59</v>
      </c>
      <c r="AI560">
        <v>30</v>
      </c>
      <c r="AV560" t="s">
        <v>88</v>
      </c>
      <c r="AZ560">
        <v>16</v>
      </c>
      <c r="BA560">
        <v>6.59</v>
      </c>
    </row>
    <row r="561" spans="1:53" x14ac:dyDescent="0.3">
      <c r="A561" t="s">
        <v>467</v>
      </c>
      <c r="C561" t="s">
        <v>920</v>
      </c>
      <c r="D561" t="s">
        <v>81</v>
      </c>
      <c r="E561">
        <v>1000000</v>
      </c>
      <c r="O561">
        <v>1</v>
      </c>
      <c r="P561" t="s">
        <v>59</v>
      </c>
      <c r="S561">
        <v>2</v>
      </c>
      <c r="T561">
        <v>20</v>
      </c>
      <c r="V561">
        <v>50</v>
      </c>
      <c r="W561" t="s">
        <v>473</v>
      </c>
      <c r="X561" t="s">
        <v>957</v>
      </c>
      <c r="Y561">
        <v>10</v>
      </c>
      <c r="AB561">
        <v>30</v>
      </c>
      <c r="AC561" t="s">
        <v>297</v>
      </c>
      <c r="AE561" t="s">
        <v>63</v>
      </c>
      <c r="AH561">
        <v>6.11</v>
      </c>
      <c r="AI561">
        <v>30</v>
      </c>
      <c r="AV561" t="s">
        <v>88</v>
      </c>
      <c r="AZ561">
        <v>30</v>
      </c>
      <c r="BA561">
        <v>6.11</v>
      </c>
    </row>
    <row r="562" spans="1:53" x14ac:dyDescent="0.3">
      <c r="A562" t="s">
        <v>467</v>
      </c>
      <c r="C562" t="s">
        <v>920</v>
      </c>
      <c r="D562" t="s">
        <v>81</v>
      </c>
      <c r="E562">
        <v>1000000</v>
      </c>
      <c r="O562">
        <v>1</v>
      </c>
      <c r="P562" t="s">
        <v>59</v>
      </c>
      <c r="S562">
        <v>2</v>
      </c>
      <c r="T562">
        <v>20</v>
      </c>
      <c r="V562">
        <v>50</v>
      </c>
      <c r="W562" t="s">
        <v>473</v>
      </c>
      <c r="X562" t="s">
        <v>957</v>
      </c>
      <c r="Y562">
        <v>10</v>
      </c>
      <c r="AB562">
        <v>30</v>
      </c>
      <c r="AC562" t="s">
        <v>297</v>
      </c>
      <c r="AE562" t="s">
        <v>63</v>
      </c>
      <c r="AH562">
        <v>6.11</v>
      </c>
      <c r="AI562">
        <v>30</v>
      </c>
      <c r="AV562" t="s">
        <v>88</v>
      </c>
      <c r="AZ562">
        <v>30</v>
      </c>
      <c r="BA562">
        <v>6.11</v>
      </c>
    </row>
    <row r="563" spans="1:53" x14ac:dyDescent="0.3">
      <c r="A563" t="s">
        <v>467</v>
      </c>
      <c r="C563" t="s">
        <v>920</v>
      </c>
      <c r="D563" t="s">
        <v>81</v>
      </c>
      <c r="E563">
        <v>1000000</v>
      </c>
      <c r="O563">
        <v>1</v>
      </c>
      <c r="P563" t="s">
        <v>59</v>
      </c>
      <c r="S563">
        <v>2</v>
      </c>
      <c r="T563">
        <v>20</v>
      </c>
      <c r="V563">
        <v>50</v>
      </c>
      <c r="W563" t="s">
        <v>473</v>
      </c>
      <c r="X563" t="s">
        <v>957</v>
      </c>
      <c r="Y563">
        <v>10</v>
      </c>
      <c r="AB563">
        <v>30</v>
      </c>
      <c r="AC563" t="s">
        <v>297</v>
      </c>
      <c r="AE563" t="s">
        <v>63</v>
      </c>
      <c r="AH563">
        <v>6.59</v>
      </c>
      <c r="AI563">
        <v>30</v>
      </c>
      <c r="AV563" t="s">
        <v>88</v>
      </c>
      <c r="AZ563">
        <v>30</v>
      </c>
      <c r="BA563">
        <v>6.59</v>
      </c>
    </row>
    <row r="564" spans="1:53" x14ac:dyDescent="0.3">
      <c r="A564" t="s">
        <v>467</v>
      </c>
      <c r="C564" t="s">
        <v>920</v>
      </c>
      <c r="D564" t="s">
        <v>81</v>
      </c>
      <c r="E564">
        <v>1000000</v>
      </c>
      <c r="O564">
        <v>1</v>
      </c>
      <c r="P564" t="s">
        <v>59</v>
      </c>
      <c r="S564">
        <v>2</v>
      </c>
      <c r="T564">
        <v>20</v>
      </c>
      <c r="V564">
        <v>50</v>
      </c>
      <c r="W564" t="s">
        <v>473</v>
      </c>
      <c r="X564" t="s">
        <v>957</v>
      </c>
      <c r="Y564">
        <v>10</v>
      </c>
      <c r="AB564">
        <v>30</v>
      </c>
      <c r="AC564" t="s">
        <v>297</v>
      </c>
      <c r="AE564" t="s">
        <v>63</v>
      </c>
      <c r="AH564">
        <v>6.59</v>
      </c>
      <c r="AI564">
        <v>30</v>
      </c>
      <c r="AV564" t="s">
        <v>88</v>
      </c>
      <c r="AZ564">
        <v>30</v>
      </c>
      <c r="BA564">
        <v>6.59</v>
      </c>
    </row>
    <row r="565" spans="1:53" x14ac:dyDescent="0.3">
      <c r="A565" t="s">
        <v>467</v>
      </c>
      <c r="C565" t="s">
        <v>920</v>
      </c>
      <c r="D565" t="s">
        <v>470</v>
      </c>
      <c r="E565">
        <v>20000000</v>
      </c>
      <c r="H565">
        <v>0.25</v>
      </c>
      <c r="I565" t="s">
        <v>56</v>
      </c>
      <c r="J565">
        <v>2.5000000000000001E-5</v>
      </c>
      <c r="K565" t="s">
        <v>57</v>
      </c>
      <c r="O565">
        <v>1</v>
      </c>
      <c r="P565" t="s">
        <v>59</v>
      </c>
      <c r="S565">
        <v>2</v>
      </c>
      <c r="T565">
        <v>20</v>
      </c>
      <c r="V565">
        <v>50</v>
      </c>
      <c r="W565" t="s">
        <v>471</v>
      </c>
      <c r="X565" t="s">
        <v>957</v>
      </c>
      <c r="Y565">
        <v>30</v>
      </c>
      <c r="AA565" t="s">
        <v>94</v>
      </c>
      <c r="AB565">
        <v>5.9</v>
      </c>
      <c r="AC565" t="s">
        <v>85</v>
      </c>
      <c r="AI565">
        <v>3</v>
      </c>
      <c r="AT565" t="s">
        <v>150</v>
      </c>
      <c r="AV565" t="s">
        <v>88</v>
      </c>
      <c r="AZ565">
        <v>0</v>
      </c>
      <c r="BA565">
        <v>5.9</v>
      </c>
    </row>
    <row r="566" spans="1:53" x14ac:dyDescent="0.3">
      <c r="A566" t="s">
        <v>467</v>
      </c>
      <c r="C566" t="s">
        <v>920</v>
      </c>
      <c r="D566" t="s">
        <v>470</v>
      </c>
      <c r="E566">
        <v>20000000</v>
      </c>
      <c r="H566">
        <v>0.25</v>
      </c>
      <c r="I566" t="s">
        <v>56</v>
      </c>
      <c r="J566">
        <v>2.5000000000000001E-5</v>
      </c>
      <c r="K566" t="s">
        <v>57</v>
      </c>
      <c r="O566">
        <v>1</v>
      </c>
      <c r="P566" t="s">
        <v>59</v>
      </c>
      <c r="S566">
        <v>2</v>
      </c>
      <c r="T566">
        <v>20</v>
      </c>
      <c r="V566">
        <v>50</v>
      </c>
      <c r="W566" t="s">
        <v>471</v>
      </c>
      <c r="X566" t="s">
        <v>957</v>
      </c>
      <c r="Y566">
        <v>30</v>
      </c>
      <c r="AB566">
        <v>5.0999999999999899</v>
      </c>
      <c r="AC566" t="s">
        <v>85</v>
      </c>
      <c r="AE566" t="s">
        <v>63</v>
      </c>
      <c r="AI566">
        <v>3</v>
      </c>
      <c r="AT566" t="s">
        <v>150</v>
      </c>
      <c r="AV566" t="s">
        <v>88</v>
      </c>
    </row>
    <row r="567" spans="1:53" x14ac:dyDescent="0.3">
      <c r="A567" t="s">
        <v>467</v>
      </c>
      <c r="C567" t="s">
        <v>920</v>
      </c>
      <c r="D567" t="s">
        <v>470</v>
      </c>
      <c r="E567">
        <v>20000000</v>
      </c>
      <c r="H567">
        <v>0.25</v>
      </c>
      <c r="I567" t="s">
        <v>56</v>
      </c>
      <c r="J567">
        <v>2.5000000000000001E-5</v>
      </c>
      <c r="K567" t="s">
        <v>57</v>
      </c>
      <c r="O567">
        <v>1</v>
      </c>
      <c r="P567" t="s">
        <v>59</v>
      </c>
      <c r="S567">
        <v>2</v>
      </c>
      <c r="T567">
        <v>20</v>
      </c>
      <c r="V567">
        <v>50</v>
      </c>
      <c r="W567" t="s">
        <v>471</v>
      </c>
      <c r="X567" t="s">
        <v>957</v>
      </c>
      <c r="Y567">
        <v>30</v>
      </c>
      <c r="AA567" t="s">
        <v>94</v>
      </c>
      <c r="AB567">
        <v>6.2</v>
      </c>
      <c r="AC567" t="s">
        <v>85</v>
      </c>
      <c r="AI567">
        <v>3</v>
      </c>
      <c r="AT567" t="s">
        <v>150</v>
      </c>
      <c r="AV567" t="s">
        <v>88</v>
      </c>
      <c r="AZ567">
        <v>0</v>
      </c>
      <c r="BA567">
        <v>6.2</v>
      </c>
    </row>
    <row r="568" spans="1:53" x14ac:dyDescent="0.3">
      <c r="A568" t="s">
        <v>467</v>
      </c>
      <c r="C568" t="s">
        <v>920</v>
      </c>
      <c r="D568" t="s">
        <v>470</v>
      </c>
      <c r="E568">
        <v>20000000</v>
      </c>
      <c r="H568">
        <v>0.25</v>
      </c>
      <c r="I568" t="s">
        <v>56</v>
      </c>
      <c r="J568">
        <v>2.5000000000000001E-5</v>
      </c>
      <c r="K568" t="s">
        <v>57</v>
      </c>
      <c r="O568">
        <v>1</v>
      </c>
      <c r="P568" t="s">
        <v>59</v>
      </c>
      <c r="S568">
        <v>2</v>
      </c>
      <c r="T568">
        <v>20</v>
      </c>
      <c r="V568">
        <v>50</v>
      </c>
      <c r="W568" t="s">
        <v>471</v>
      </c>
      <c r="X568" t="s">
        <v>957</v>
      </c>
      <c r="Y568">
        <v>30</v>
      </c>
      <c r="AB568">
        <v>6.1</v>
      </c>
      <c r="AC568" t="s">
        <v>85</v>
      </c>
      <c r="AE568" t="s">
        <v>63</v>
      </c>
      <c r="AI568">
        <v>3</v>
      </c>
      <c r="AT568" t="s">
        <v>150</v>
      </c>
      <c r="AV568" t="s">
        <v>88</v>
      </c>
    </row>
    <row r="569" spans="1:53" x14ac:dyDescent="0.3">
      <c r="A569" t="s">
        <v>467</v>
      </c>
      <c r="C569" t="s">
        <v>920</v>
      </c>
      <c r="D569" t="s">
        <v>470</v>
      </c>
      <c r="E569">
        <v>20000000</v>
      </c>
      <c r="H569">
        <v>0.25</v>
      </c>
      <c r="I569" t="s">
        <v>56</v>
      </c>
      <c r="J569">
        <v>2.5000000000000001E-5</v>
      </c>
      <c r="K569" t="s">
        <v>57</v>
      </c>
      <c r="O569">
        <v>1</v>
      </c>
      <c r="P569" t="s">
        <v>59</v>
      </c>
      <c r="S569">
        <v>2</v>
      </c>
      <c r="T569">
        <v>20</v>
      </c>
      <c r="V569">
        <v>50</v>
      </c>
      <c r="W569" t="s">
        <v>471</v>
      </c>
      <c r="X569" t="s">
        <v>957</v>
      </c>
      <c r="Y569">
        <v>10</v>
      </c>
      <c r="AB569">
        <v>5.7</v>
      </c>
      <c r="AC569" t="s">
        <v>85</v>
      </c>
      <c r="AE569" t="s">
        <v>63</v>
      </c>
      <c r="AI569">
        <v>3</v>
      </c>
      <c r="AT569" t="s">
        <v>150</v>
      </c>
      <c r="AV569" t="s">
        <v>88</v>
      </c>
    </row>
    <row r="570" spans="1:53" x14ac:dyDescent="0.3">
      <c r="A570" t="s">
        <v>467</v>
      </c>
      <c r="C570" t="s">
        <v>920</v>
      </c>
      <c r="D570" t="s">
        <v>470</v>
      </c>
      <c r="E570">
        <v>20000000</v>
      </c>
      <c r="H570">
        <v>0.25</v>
      </c>
      <c r="I570" t="s">
        <v>56</v>
      </c>
      <c r="J570">
        <v>2.5000000000000001E-5</v>
      </c>
      <c r="K570" t="s">
        <v>57</v>
      </c>
      <c r="O570">
        <v>1</v>
      </c>
      <c r="P570" t="s">
        <v>59</v>
      </c>
      <c r="S570">
        <v>2</v>
      </c>
      <c r="T570">
        <v>20</v>
      </c>
      <c r="V570">
        <v>50</v>
      </c>
      <c r="W570" t="s">
        <v>471</v>
      </c>
      <c r="X570" t="s">
        <v>957</v>
      </c>
      <c r="Y570">
        <v>10</v>
      </c>
      <c r="AB570">
        <v>5.2</v>
      </c>
      <c r="AC570" t="s">
        <v>85</v>
      </c>
      <c r="AE570" t="s">
        <v>63</v>
      </c>
      <c r="AI570">
        <v>3</v>
      </c>
      <c r="AT570" t="s">
        <v>150</v>
      </c>
      <c r="AV570" t="s">
        <v>88</v>
      </c>
    </row>
    <row r="571" spans="1:53" x14ac:dyDescent="0.3">
      <c r="A571" t="s">
        <v>467</v>
      </c>
      <c r="C571" t="s">
        <v>920</v>
      </c>
      <c r="D571" t="s">
        <v>470</v>
      </c>
      <c r="E571">
        <v>20000000</v>
      </c>
      <c r="H571">
        <v>0.25</v>
      </c>
      <c r="I571" t="s">
        <v>56</v>
      </c>
      <c r="J571">
        <v>2.5000000000000001E-5</v>
      </c>
      <c r="K571" t="s">
        <v>57</v>
      </c>
      <c r="O571">
        <v>1</v>
      </c>
      <c r="P571" t="s">
        <v>59</v>
      </c>
      <c r="S571">
        <v>2</v>
      </c>
      <c r="T571">
        <v>20</v>
      </c>
      <c r="V571">
        <v>50</v>
      </c>
      <c r="W571" t="s">
        <v>471</v>
      </c>
      <c r="X571" t="s">
        <v>957</v>
      </c>
      <c r="Y571">
        <v>10</v>
      </c>
      <c r="AA571" t="s">
        <v>94</v>
      </c>
      <c r="AB571">
        <v>6.2</v>
      </c>
      <c r="AC571" t="s">
        <v>85</v>
      </c>
      <c r="AI571">
        <v>3</v>
      </c>
      <c r="AT571" t="s">
        <v>150</v>
      </c>
      <c r="AV571" t="s">
        <v>88</v>
      </c>
      <c r="AZ571">
        <v>0</v>
      </c>
      <c r="BA571">
        <v>6.2</v>
      </c>
    </row>
    <row r="572" spans="1:53" x14ac:dyDescent="0.3">
      <c r="A572" t="s">
        <v>467</v>
      </c>
      <c r="C572" t="s">
        <v>920</v>
      </c>
      <c r="D572" t="s">
        <v>470</v>
      </c>
      <c r="E572">
        <v>20000000</v>
      </c>
      <c r="H572">
        <v>0.25</v>
      </c>
      <c r="I572" t="s">
        <v>56</v>
      </c>
      <c r="J572">
        <v>2.5000000000000001E-5</v>
      </c>
      <c r="K572" t="s">
        <v>57</v>
      </c>
      <c r="O572">
        <v>1</v>
      </c>
      <c r="P572" t="s">
        <v>59</v>
      </c>
      <c r="S572">
        <v>2</v>
      </c>
      <c r="T572">
        <v>20</v>
      </c>
      <c r="V572">
        <v>50</v>
      </c>
      <c r="W572" t="s">
        <v>471</v>
      </c>
      <c r="X572" t="s">
        <v>957</v>
      </c>
      <c r="Y572">
        <v>10</v>
      </c>
      <c r="AA572" t="s">
        <v>94</v>
      </c>
      <c r="AB572">
        <v>6.3</v>
      </c>
      <c r="AC572" t="s">
        <v>85</v>
      </c>
      <c r="AI572">
        <v>3</v>
      </c>
      <c r="AT572" t="s">
        <v>150</v>
      </c>
      <c r="AV572" t="s">
        <v>88</v>
      </c>
      <c r="AZ572">
        <v>0</v>
      </c>
      <c r="BA572">
        <v>6.3</v>
      </c>
    </row>
    <row r="573" spans="1:53" x14ac:dyDescent="0.3">
      <c r="A573" t="s">
        <v>467</v>
      </c>
      <c r="C573" t="s">
        <v>920</v>
      </c>
      <c r="D573" t="s">
        <v>81</v>
      </c>
      <c r="E573">
        <v>20000000</v>
      </c>
      <c r="H573">
        <v>14.25</v>
      </c>
      <c r="I573" t="s">
        <v>56</v>
      </c>
      <c r="J573">
        <v>1.4250000000000001E-3</v>
      </c>
      <c r="K573" t="s">
        <v>57</v>
      </c>
      <c r="O573">
        <v>1</v>
      </c>
      <c r="P573" t="s">
        <v>59</v>
      </c>
      <c r="S573">
        <v>2</v>
      </c>
      <c r="T573">
        <v>20</v>
      </c>
      <c r="V573">
        <v>50</v>
      </c>
      <c r="W573" t="s">
        <v>72</v>
      </c>
      <c r="X573" t="s">
        <v>957</v>
      </c>
      <c r="Y573">
        <v>60</v>
      </c>
      <c r="AA573" t="s">
        <v>94</v>
      </c>
      <c r="AB573">
        <v>7.1</v>
      </c>
      <c r="AC573" t="s">
        <v>85</v>
      </c>
      <c r="AI573">
        <v>5</v>
      </c>
      <c r="AT573" t="s">
        <v>73</v>
      </c>
      <c r="AV573" t="s">
        <v>88</v>
      </c>
      <c r="AZ573">
        <v>0</v>
      </c>
      <c r="BA573">
        <v>7.1</v>
      </c>
    </row>
    <row r="574" spans="1:53" x14ac:dyDescent="0.3">
      <c r="A574" t="s">
        <v>467</v>
      </c>
      <c r="C574" t="s">
        <v>920</v>
      </c>
      <c r="D574" t="s">
        <v>81</v>
      </c>
      <c r="E574">
        <v>20000000</v>
      </c>
      <c r="H574">
        <v>14.25</v>
      </c>
      <c r="I574" t="s">
        <v>56</v>
      </c>
      <c r="J574">
        <v>1.4250000000000001E-3</v>
      </c>
      <c r="K574" t="s">
        <v>57</v>
      </c>
      <c r="O574">
        <v>1</v>
      </c>
      <c r="P574" t="s">
        <v>59</v>
      </c>
      <c r="S574">
        <v>2</v>
      </c>
      <c r="T574">
        <v>20</v>
      </c>
      <c r="V574">
        <v>50</v>
      </c>
      <c r="W574" t="s">
        <v>72</v>
      </c>
      <c r="X574" t="s">
        <v>957</v>
      </c>
      <c r="Y574">
        <v>60</v>
      </c>
      <c r="AA574" t="s">
        <v>94</v>
      </c>
      <c r="AB574">
        <v>7.1</v>
      </c>
      <c r="AC574" t="s">
        <v>85</v>
      </c>
      <c r="AI574">
        <v>5</v>
      </c>
      <c r="AT574" t="s">
        <v>73</v>
      </c>
      <c r="AV574" t="s">
        <v>88</v>
      </c>
      <c r="AZ574">
        <v>0</v>
      </c>
      <c r="BA574">
        <v>7.1</v>
      </c>
    </row>
    <row r="575" spans="1:53" x14ac:dyDescent="0.3">
      <c r="A575" t="s">
        <v>467</v>
      </c>
      <c r="C575" t="s">
        <v>920</v>
      </c>
      <c r="D575" t="s">
        <v>81</v>
      </c>
      <c r="E575">
        <v>20000000</v>
      </c>
      <c r="H575">
        <v>14.25</v>
      </c>
      <c r="I575" t="s">
        <v>56</v>
      </c>
      <c r="J575">
        <v>1.4250000000000001E-3</v>
      </c>
      <c r="K575" t="s">
        <v>57</v>
      </c>
      <c r="O575">
        <v>1</v>
      </c>
      <c r="P575" t="s">
        <v>59</v>
      </c>
      <c r="S575">
        <v>2</v>
      </c>
      <c r="T575">
        <v>20</v>
      </c>
      <c r="V575">
        <v>50</v>
      </c>
      <c r="W575" t="s">
        <v>72</v>
      </c>
      <c r="X575" t="s">
        <v>957</v>
      </c>
      <c r="Y575">
        <v>10</v>
      </c>
      <c r="AA575" t="s">
        <v>94</v>
      </c>
      <c r="AB575">
        <v>7.1</v>
      </c>
      <c r="AC575" t="s">
        <v>85</v>
      </c>
      <c r="AI575">
        <v>5</v>
      </c>
      <c r="AT575" t="s">
        <v>73</v>
      </c>
      <c r="AV575" t="s">
        <v>88</v>
      </c>
      <c r="AZ575">
        <v>0</v>
      </c>
      <c r="BA575">
        <v>7.1</v>
      </c>
    </row>
    <row r="576" spans="1:53" x14ac:dyDescent="0.3">
      <c r="A576" t="s">
        <v>467</v>
      </c>
      <c r="C576" t="s">
        <v>920</v>
      </c>
      <c r="D576" t="s">
        <v>81</v>
      </c>
      <c r="E576">
        <v>10000</v>
      </c>
      <c r="H576">
        <v>14.25</v>
      </c>
      <c r="I576" t="s">
        <v>56</v>
      </c>
      <c r="J576">
        <v>1.4250000000000001E-3</v>
      </c>
      <c r="K576" t="s">
        <v>57</v>
      </c>
      <c r="O576">
        <v>1</v>
      </c>
      <c r="P576" t="s">
        <v>59</v>
      </c>
      <c r="S576">
        <v>2</v>
      </c>
      <c r="T576">
        <v>20</v>
      </c>
      <c r="V576">
        <v>50</v>
      </c>
      <c r="W576" t="s">
        <v>72</v>
      </c>
      <c r="X576" t="s">
        <v>957</v>
      </c>
      <c r="Y576">
        <v>10</v>
      </c>
      <c r="AA576" t="s">
        <v>94</v>
      </c>
      <c r="AB576">
        <v>7.1</v>
      </c>
      <c r="AC576" t="s">
        <v>85</v>
      </c>
      <c r="AI576">
        <v>5</v>
      </c>
      <c r="AT576" t="s">
        <v>73</v>
      </c>
      <c r="AV576" t="s">
        <v>88</v>
      </c>
      <c r="AZ576">
        <v>0</v>
      </c>
      <c r="BA576">
        <v>7.1</v>
      </c>
    </row>
    <row r="577" spans="1:53" x14ac:dyDescent="0.3">
      <c r="A577" t="s">
        <v>467</v>
      </c>
      <c r="C577" t="s">
        <v>920</v>
      </c>
      <c r="D577" t="s">
        <v>81</v>
      </c>
      <c r="E577">
        <v>10000</v>
      </c>
      <c r="H577">
        <v>14.25</v>
      </c>
      <c r="I577" t="s">
        <v>56</v>
      </c>
      <c r="J577">
        <v>1.4250000000000001E-3</v>
      </c>
      <c r="K577" t="s">
        <v>57</v>
      </c>
      <c r="O577">
        <v>1</v>
      </c>
      <c r="P577" t="s">
        <v>59</v>
      </c>
      <c r="S577">
        <v>2</v>
      </c>
      <c r="T577">
        <v>20</v>
      </c>
      <c r="V577">
        <v>50</v>
      </c>
      <c r="W577" t="s">
        <v>469</v>
      </c>
      <c r="X577" t="s">
        <v>957</v>
      </c>
      <c r="Y577">
        <v>60</v>
      </c>
      <c r="AB577">
        <v>1.5</v>
      </c>
      <c r="AC577" t="s">
        <v>85</v>
      </c>
      <c r="AD577" t="s">
        <v>98</v>
      </c>
      <c r="AE577" t="s">
        <v>63</v>
      </c>
      <c r="AI577">
        <v>5</v>
      </c>
      <c r="AT577" t="s">
        <v>65</v>
      </c>
      <c r="AV577" t="s">
        <v>88</v>
      </c>
    </row>
    <row r="578" spans="1:53" x14ac:dyDescent="0.3">
      <c r="A578" t="s">
        <v>467</v>
      </c>
      <c r="C578" t="s">
        <v>920</v>
      </c>
      <c r="D578" t="s">
        <v>81</v>
      </c>
      <c r="E578">
        <v>10000</v>
      </c>
      <c r="H578">
        <v>14.25</v>
      </c>
      <c r="I578" t="s">
        <v>56</v>
      </c>
      <c r="J578">
        <v>1.4250000000000001E-3</v>
      </c>
      <c r="K578" t="s">
        <v>57</v>
      </c>
      <c r="O578">
        <v>1</v>
      </c>
      <c r="P578" t="s">
        <v>59</v>
      </c>
      <c r="S578">
        <v>2</v>
      </c>
      <c r="T578">
        <v>20</v>
      </c>
      <c r="V578">
        <v>50</v>
      </c>
      <c r="W578" t="s">
        <v>469</v>
      </c>
      <c r="X578" t="s">
        <v>957</v>
      </c>
      <c r="Y578">
        <v>60</v>
      </c>
      <c r="AB578">
        <v>3.6</v>
      </c>
      <c r="AC578" t="s">
        <v>85</v>
      </c>
      <c r="AD578" t="s">
        <v>325</v>
      </c>
      <c r="AE578" t="s">
        <v>63</v>
      </c>
      <c r="AI578">
        <v>5</v>
      </c>
      <c r="AT578" t="s">
        <v>65</v>
      </c>
      <c r="AV578" t="s">
        <v>88</v>
      </c>
    </row>
    <row r="579" spans="1:53" x14ac:dyDescent="0.3">
      <c r="A579" t="s">
        <v>467</v>
      </c>
      <c r="C579" t="s">
        <v>920</v>
      </c>
      <c r="D579" t="s">
        <v>81</v>
      </c>
      <c r="E579">
        <v>10000</v>
      </c>
      <c r="H579">
        <v>14.25</v>
      </c>
      <c r="I579" t="s">
        <v>56</v>
      </c>
      <c r="J579">
        <v>1.4250000000000001E-3</v>
      </c>
      <c r="K579" t="s">
        <v>57</v>
      </c>
      <c r="O579">
        <v>1</v>
      </c>
      <c r="P579" t="s">
        <v>59</v>
      </c>
      <c r="S579">
        <v>2</v>
      </c>
      <c r="T579">
        <v>20</v>
      </c>
      <c r="V579">
        <v>50</v>
      </c>
      <c r="W579" t="s">
        <v>469</v>
      </c>
      <c r="X579" t="s">
        <v>957</v>
      </c>
      <c r="Y579">
        <v>10</v>
      </c>
      <c r="AB579">
        <v>0.2</v>
      </c>
      <c r="AC579" t="s">
        <v>85</v>
      </c>
      <c r="AD579" t="s">
        <v>106</v>
      </c>
      <c r="AE579" t="s">
        <v>63</v>
      </c>
      <c r="AI579">
        <v>5</v>
      </c>
      <c r="AT579" t="s">
        <v>65</v>
      </c>
      <c r="AV579" t="s">
        <v>88</v>
      </c>
    </row>
    <row r="580" spans="1:53" x14ac:dyDescent="0.3">
      <c r="A580" t="s">
        <v>467</v>
      </c>
      <c r="C580" t="s">
        <v>920</v>
      </c>
      <c r="D580" t="s">
        <v>81</v>
      </c>
      <c r="E580">
        <v>10000</v>
      </c>
      <c r="H580">
        <v>14.25</v>
      </c>
      <c r="I580" t="s">
        <v>56</v>
      </c>
      <c r="J580">
        <v>1.4250000000000001E-3</v>
      </c>
      <c r="K580" t="s">
        <v>57</v>
      </c>
      <c r="O580">
        <v>1</v>
      </c>
      <c r="P580" t="s">
        <v>59</v>
      </c>
      <c r="S580">
        <v>2</v>
      </c>
      <c r="T580">
        <v>20</v>
      </c>
      <c r="V580">
        <v>50</v>
      </c>
      <c r="W580" t="s">
        <v>469</v>
      </c>
      <c r="X580" t="s">
        <v>957</v>
      </c>
      <c r="Y580">
        <v>10</v>
      </c>
      <c r="AB580">
        <v>2.2999999999999901</v>
      </c>
      <c r="AC580" t="s">
        <v>85</v>
      </c>
      <c r="AD580" t="s">
        <v>334</v>
      </c>
      <c r="AE580" t="s">
        <v>63</v>
      </c>
      <c r="AI580">
        <v>5</v>
      </c>
      <c r="AT580" t="s">
        <v>65</v>
      </c>
      <c r="AV580" t="s">
        <v>88</v>
      </c>
    </row>
    <row r="581" spans="1:53" x14ac:dyDescent="0.3">
      <c r="A581" t="s">
        <v>467</v>
      </c>
      <c r="C581" t="s">
        <v>920</v>
      </c>
      <c r="D581" t="s">
        <v>81</v>
      </c>
      <c r="E581">
        <v>10000</v>
      </c>
      <c r="H581">
        <v>0.25</v>
      </c>
      <c r="I581" t="s">
        <v>56</v>
      </c>
      <c r="J581">
        <v>2.5000000000000001E-5</v>
      </c>
      <c r="K581" t="s">
        <v>57</v>
      </c>
      <c r="O581">
        <v>1</v>
      </c>
      <c r="P581" t="s">
        <v>59</v>
      </c>
      <c r="S581">
        <v>2</v>
      </c>
      <c r="T581">
        <v>20</v>
      </c>
      <c r="V581">
        <v>50</v>
      </c>
      <c r="W581" t="s">
        <v>147</v>
      </c>
      <c r="X581" t="s">
        <v>957</v>
      </c>
      <c r="Y581">
        <v>60</v>
      </c>
      <c r="AA581" t="s">
        <v>94</v>
      </c>
      <c r="AB581">
        <v>7.1</v>
      </c>
      <c r="AC581" t="s">
        <v>85</v>
      </c>
      <c r="AI581">
        <v>5</v>
      </c>
      <c r="AT581" t="s">
        <v>150</v>
      </c>
      <c r="AV581" t="s">
        <v>88</v>
      </c>
      <c r="AZ581">
        <v>0</v>
      </c>
      <c r="BA581">
        <v>7.1</v>
      </c>
    </row>
    <row r="582" spans="1:53" x14ac:dyDescent="0.3">
      <c r="A582" t="s">
        <v>467</v>
      </c>
      <c r="C582" t="s">
        <v>920</v>
      </c>
      <c r="D582" t="s">
        <v>81</v>
      </c>
      <c r="E582">
        <v>246000</v>
      </c>
      <c r="H582">
        <v>0.25</v>
      </c>
      <c r="I582" t="s">
        <v>56</v>
      </c>
      <c r="J582">
        <v>2.5000000000000001E-5</v>
      </c>
      <c r="K582" t="s">
        <v>57</v>
      </c>
      <c r="O582">
        <v>1</v>
      </c>
      <c r="P582" t="s">
        <v>59</v>
      </c>
      <c r="S582">
        <v>2</v>
      </c>
      <c r="T582">
        <v>20</v>
      </c>
      <c r="V582">
        <v>50</v>
      </c>
      <c r="W582" t="s">
        <v>147</v>
      </c>
      <c r="X582" t="s">
        <v>957</v>
      </c>
      <c r="Y582">
        <v>60</v>
      </c>
      <c r="AA582" t="s">
        <v>94</v>
      </c>
      <c r="AB582">
        <v>6.9</v>
      </c>
      <c r="AC582" t="s">
        <v>85</v>
      </c>
      <c r="AI582">
        <v>5</v>
      </c>
      <c r="AT582" t="s">
        <v>150</v>
      </c>
      <c r="AV582" t="s">
        <v>88</v>
      </c>
      <c r="AZ582">
        <v>0</v>
      </c>
      <c r="BA582">
        <v>6.9</v>
      </c>
    </row>
    <row r="583" spans="1:53" x14ac:dyDescent="0.3">
      <c r="A583" t="s">
        <v>467</v>
      </c>
      <c r="C583" t="s">
        <v>920</v>
      </c>
      <c r="D583" t="s">
        <v>81</v>
      </c>
      <c r="E583">
        <v>246000</v>
      </c>
      <c r="H583">
        <v>0.25</v>
      </c>
      <c r="I583" t="s">
        <v>56</v>
      </c>
      <c r="J583">
        <v>2.5000000000000001E-5</v>
      </c>
      <c r="K583" t="s">
        <v>57</v>
      </c>
      <c r="O583">
        <v>1</v>
      </c>
      <c r="P583" t="s">
        <v>59</v>
      </c>
      <c r="S583">
        <v>2</v>
      </c>
      <c r="T583">
        <v>20</v>
      </c>
      <c r="V583">
        <v>50</v>
      </c>
      <c r="W583" t="s">
        <v>147</v>
      </c>
      <c r="X583" t="s">
        <v>957</v>
      </c>
      <c r="Y583">
        <v>10</v>
      </c>
      <c r="AA583" t="s">
        <v>94</v>
      </c>
      <c r="AB583">
        <v>7.1</v>
      </c>
      <c r="AC583" t="s">
        <v>85</v>
      </c>
      <c r="AI583">
        <v>5</v>
      </c>
      <c r="AT583" t="s">
        <v>150</v>
      </c>
      <c r="AV583" t="s">
        <v>88</v>
      </c>
      <c r="AZ583">
        <v>0</v>
      </c>
      <c r="BA583">
        <v>7.1</v>
      </c>
    </row>
    <row r="584" spans="1:53" x14ac:dyDescent="0.3">
      <c r="A584" t="s">
        <v>467</v>
      </c>
      <c r="C584" t="s">
        <v>920</v>
      </c>
      <c r="D584" t="s">
        <v>81</v>
      </c>
      <c r="E584">
        <v>246000</v>
      </c>
      <c r="H584">
        <v>0.25</v>
      </c>
      <c r="I584" t="s">
        <v>56</v>
      </c>
      <c r="J584">
        <v>2.5000000000000001E-5</v>
      </c>
      <c r="K584" t="s">
        <v>57</v>
      </c>
      <c r="O584">
        <v>1</v>
      </c>
      <c r="P584" t="s">
        <v>59</v>
      </c>
      <c r="S584">
        <v>2</v>
      </c>
      <c r="T584">
        <v>20</v>
      </c>
      <c r="V584">
        <v>50</v>
      </c>
      <c r="W584" t="s">
        <v>147</v>
      </c>
      <c r="X584" t="s">
        <v>957</v>
      </c>
      <c r="Y584">
        <v>10</v>
      </c>
      <c r="AA584" t="s">
        <v>94</v>
      </c>
      <c r="AB584">
        <v>6.9</v>
      </c>
      <c r="AC584" t="s">
        <v>85</v>
      </c>
      <c r="AI584">
        <v>5</v>
      </c>
      <c r="AT584" t="s">
        <v>150</v>
      </c>
      <c r="AV584" t="s">
        <v>88</v>
      </c>
      <c r="AZ584">
        <v>0</v>
      </c>
      <c r="BA584">
        <v>6.9</v>
      </c>
    </row>
    <row r="585" spans="1:53" x14ac:dyDescent="0.3">
      <c r="A585" t="s">
        <v>467</v>
      </c>
      <c r="C585" t="s">
        <v>920</v>
      </c>
      <c r="D585" t="s">
        <v>81</v>
      </c>
      <c r="E585">
        <v>246000</v>
      </c>
      <c r="O585">
        <v>6000</v>
      </c>
      <c r="P585" t="s">
        <v>121</v>
      </c>
      <c r="S585">
        <v>2</v>
      </c>
      <c r="T585">
        <v>20</v>
      </c>
      <c r="V585">
        <v>50</v>
      </c>
      <c r="W585" t="s">
        <v>472</v>
      </c>
      <c r="X585" t="s">
        <v>957</v>
      </c>
      <c r="Y585">
        <v>60</v>
      </c>
      <c r="AB585">
        <v>0</v>
      </c>
      <c r="AC585" t="s">
        <v>297</v>
      </c>
      <c r="AE585" t="s">
        <v>63</v>
      </c>
      <c r="AH585">
        <v>5.75</v>
      </c>
      <c r="AI585">
        <v>30</v>
      </c>
      <c r="AT585" t="s">
        <v>203</v>
      </c>
      <c r="AV585" t="s">
        <v>88</v>
      </c>
      <c r="AZ585">
        <v>0</v>
      </c>
      <c r="BA585">
        <v>5.75</v>
      </c>
    </row>
    <row r="586" spans="1:53" x14ac:dyDescent="0.3">
      <c r="A586" t="s">
        <v>467</v>
      </c>
      <c r="C586" t="s">
        <v>920</v>
      </c>
      <c r="D586" t="s">
        <v>81</v>
      </c>
      <c r="E586">
        <v>246000</v>
      </c>
      <c r="O586">
        <v>6000</v>
      </c>
      <c r="P586" t="s">
        <v>121</v>
      </c>
      <c r="S586">
        <v>2</v>
      </c>
      <c r="T586">
        <v>20</v>
      </c>
      <c r="V586">
        <v>50</v>
      </c>
      <c r="W586" t="s">
        <v>472</v>
      </c>
      <c r="X586" t="s">
        <v>957</v>
      </c>
      <c r="Y586">
        <v>60</v>
      </c>
      <c r="AB586">
        <v>0</v>
      </c>
      <c r="AC586" t="s">
        <v>297</v>
      </c>
      <c r="AE586" t="s">
        <v>63</v>
      </c>
      <c r="AH586">
        <v>6.48</v>
      </c>
      <c r="AI586">
        <v>30</v>
      </c>
      <c r="AT586" t="s">
        <v>203</v>
      </c>
      <c r="AV586" t="s">
        <v>88</v>
      </c>
      <c r="AZ586">
        <v>0</v>
      </c>
      <c r="BA586">
        <v>6.48</v>
      </c>
    </row>
    <row r="587" spans="1:53" x14ac:dyDescent="0.3">
      <c r="A587" t="s">
        <v>467</v>
      </c>
      <c r="C587" t="s">
        <v>920</v>
      </c>
      <c r="D587" t="s">
        <v>81</v>
      </c>
      <c r="E587">
        <v>246000</v>
      </c>
      <c r="O587">
        <v>6000</v>
      </c>
      <c r="P587" t="s">
        <v>121</v>
      </c>
      <c r="S587">
        <v>2</v>
      </c>
      <c r="T587">
        <v>20</v>
      </c>
      <c r="V587">
        <v>50</v>
      </c>
      <c r="W587" t="s">
        <v>472</v>
      </c>
      <c r="X587" t="s">
        <v>957</v>
      </c>
      <c r="Y587">
        <v>60</v>
      </c>
      <c r="AB587">
        <v>0</v>
      </c>
      <c r="AC587" t="s">
        <v>297</v>
      </c>
      <c r="AE587" t="s">
        <v>63</v>
      </c>
      <c r="AH587">
        <v>5.71</v>
      </c>
      <c r="AI587">
        <v>30</v>
      </c>
      <c r="AT587" t="s">
        <v>203</v>
      </c>
      <c r="AV587" t="s">
        <v>88</v>
      </c>
      <c r="AZ587">
        <v>0</v>
      </c>
      <c r="BA587">
        <v>5.71</v>
      </c>
    </row>
    <row r="588" spans="1:53" x14ac:dyDescent="0.3">
      <c r="A588" t="s">
        <v>467</v>
      </c>
      <c r="C588" t="s">
        <v>920</v>
      </c>
      <c r="D588" t="s">
        <v>81</v>
      </c>
      <c r="E588">
        <v>246000</v>
      </c>
      <c r="O588">
        <v>6000</v>
      </c>
      <c r="P588" t="s">
        <v>121</v>
      </c>
      <c r="S588">
        <v>2</v>
      </c>
      <c r="T588">
        <v>20</v>
      </c>
      <c r="V588">
        <v>50</v>
      </c>
      <c r="W588" t="s">
        <v>472</v>
      </c>
      <c r="X588" t="s">
        <v>957</v>
      </c>
      <c r="Y588">
        <v>60</v>
      </c>
      <c r="AB588">
        <v>0</v>
      </c>
      <c r="AC588" t="s">
        <v>297</v>
      </c>
      <c r="AE588" t="s">
        <v>63</v>
      </c>
      <c r="AH588">
        <v>6.56</v>
      </c>
      <c r="AI588">
        <v>30</v>
      </c>
      <c r="AT588" t="s">
        <v>203</v>
      </c>
      <c r="AV588" t="s">
        <v>88</v>
      </c>
      <c r="AZ588">
        <v>0</v>
      </c>
      <c r="BA588">
        <v>6.56</v>
      </c>
    </row>
    <row r="589" spans="1:53" x14ac:dyDescent="0.3">
      <c r="A589" t="s">
        <v>467</v>
      </c>
      <c r="C589" t="s">
        <v>920</v>
      </c>
      <c r="D589" t="s">
        <v>81</v>
      </c>
      <c r="E589">
        <v>246000</v>
      </c>
      <c r="O589">
        <v>6000</v>
      </c>
      <c r="P589" t="s">
        <v>121</v>
      </c>
      <c r="S589">
        <v>2</v>
      </c>
      <c r="T589">
        <v>20</v>
      </c>
      <c r="V589">
        <v>50</v>
      </c>
      <c r="W589" t="s">
        <v>472</v>
      </c>
      <c r="X589" t="s">
        <v>957</v>
      </c>
      <c r="Y589">
        <v>10</v>
      </c>
      <c r="AB589">
        <v>0</v>
      </c>
      <c r="AC589" t="s">
        <v>297</v>
      </c>
      <c r="AE589" t="s">
        <v>63</v>
      </c>
      <c r="AH589">
        <v>5.75</v>
      </c>
      <c r="AI589">
        <v>30</v>
      </c>
      <c r="AT589" t="s">
        <v>203</v>
      </c>
      <c r="AV589" t="s">
        <v>88</v>
      </c>
      <c r="AZ589">
        <v>0</v>
      </c>
      <c r="BA589">
        <v>5.75</v>
      </c>
    </row>
    <row r="590" spans="1:53" x14ac:dyDescent="0.3">
      <c r="A590" t="s">
        <v>467</v>
      </c>
      <c r="C590" t="s">
        <v>920</v>
      </c>
      <c r="D590" t="s">
        <v>81</v>
      </c>
      <c r="E590">
        <v>246000</v>
      </c>
      <c r="O590">
        <v>6000</v>
      </c>
      <c r="P590" t="s">
        <v>121</v>
      </c>
      <c r="S590">
        <v>2</v>
      </c>
      <c r="T590">
        <v>20</v>
      </c>
      <c r="V590">
        <v>50</v>
      </c>
      <c r="W590" t="s">
        <v>472</v>
      </c>
      <c r="X590" t="s">
        <v>957</v>
      </c>
      <c r="Y590">
        <v>10</v>
      </c>
      <c r="AB590">
        <v>5</v>
      </c>
      <c r="AC590" t="s">
        <v>297</v>
      </c>
      <c r="AE590" t="s">
        <v>63</v>
      </c>
      <c r="AH590">
        <v>6.48</v>
      </c>
      <c r="AI590">
        <v>30</v>
      </c>
      <c r="AT590" t="s">
        <v>203</v>
      </c>
      <c r="AV590" t="s">
        <v>88</v>
      </c>
      <c r="AZ590">
        <v>5</v>
      </c>
      <c r="BA590">
        <v>6.48</v>
      </c>
    </row>
    <row r="591" spans="1:53" x14ac:dyDescent="0.3">
      <c r="A591" t="s">
        <v>467</v>
      </c>
      <c r="C591" t="s">
        <v>920</v>
      </c>
      <c r="D591" t="s">
        <v>81</v>
      </c>
      <c r="E591">
        <v>246000</v>
      </c>
      <c r="O591">
        <v>6000</v>
      </c>
      <c r="P591" t="s">
        <v>121</v>
      </c>
      <c r="S591">
        <v>2</v>
      </c>
      <c r="T591">
        <v>20</v>
      </c>
      <c r="V591">
        <v>50</v>
      </c>
      <c r="W591" t="s">
        <v>472</v>
      </c>
      <c r="X591" t="s">
        <v>957</v>
      </c>
      <c r="Y591">
        <v>10</v>
      </c>
      <c r="AB591">
        <v>0</v>
      </c>
      <c r="AC591" t="s">
        <v>297</v>
      </c>
      <c r="AE591" t="s">
        <v>63</v>
      </c>
      <c r="AH591">
        <v>5.71</v>
      </c>
      <c r="AI591">
        <v>30</v>
      </c>
      <c r="AT591" t="s">
        <v>203</v>
      </c>
      <c r="AV591" t="s">
        <v>88</v>
      </c>
      <c r="AZ591">
        <v>0</v>
      </c>
      <c r="BA591">
        <v>5.71</v>
      </c>
    </row>
    <row r="592" spans="1:53" x14ac:dyDescent="0.3">
      <c r="A592" t="s">
        <v>467</v>
      </c>
      <c r="C592" t="s">
        <v>920</v>
      </c>
      <c r="D592" t="s">
        <v>81</v>
      </c>
      <c r="E592">
        <v>246000</v>
      </c>
      <c r="O592">
        <v>6000</v>
      </c>
      <c r="P592" t="s">
        <v>121</v>
      </c>
      <c r="S592">
        <v>2</v>
      </c>
      <c r="T592">
        <v>20</v>
      </c>
      <c r="V592">
        <v>50</v>
      </c>
      <c r="W592" t="s">
        <v>472</v>
      </c>
      <c r="X592" t="s">
        <v>957</v>
      </c>
      <c r="Y592">
        <v>10</v>
      </c>
      <c r="AB592">
        <v>0</v>
      </c>
      <c r="AC592" t="s">
        <v>297</v>
      </c>
      <c r="AE592" t="s">
        <v>63</v>
      </c>
      <c r="AH592">
        <v>6.56</v>
      </c>
      <c r="AI592">
        <v>30</v>
      </c>
      <c r="AT592" t="s">
        <v>203</v>
      </c>
      <c r="AV592" t="s">
        <v>88</v>
      </c>
      <c r="AZ592">
        <v>0</v>
      </c>
      <c r="BA592">
        <v>6.56</v>
      </c>
    </row>
    <row r="593" spans="1:53" x14ac:dyDescent="0.3">
      <c r="A593" t="s">
        <v>467</v>
      </c>
      <c r="C593" t="s">
        <v>920</v>
      </c>
      <c r="D593" t="s">
        <v>81</v>
      </c>
      <c r="E593">
        <v>246000</v>
      </c>
      <c r="O593">
        <v>6000</v>
      </c>
      <c r="P593" t="s">
        <v>121</v>
      </c>
      <c r="S593">
        <v>2</v>
      </c>
      <c r="T593">
        <v>20</v>
      </c>
      <c r="V593">
        <v>50</v>
      </c>
      <c r="W593" t="s">
        <v>1020</v>
      </c>
      <c r="X593" t="s">
        <v>957</v>
      </c>
      <c r="Y593">
        <v>60</v>
      </c>
      <c r="AB593">
        <v>3</v>
      </c>
      <c r="AC593" t="s">
        <v>297</v>
      </c>
      <c r="AE593" t="s">
        <v>63</v>
      </c>
      <c r="AH593">
        <v>6.26</v>
      </c>
      <c r="AI593">
        <v>30</v>
      </c>
      <c r="AV593" t="s">
        <v>88</v>
      </c>
      <c r="AZ593">
        <v>3</v>
      </c>
      <c r="BA593">
        <v>6.26</v>
      </c>
    </row>
    <row r="594" spans="1:53" x14ac:dyDescent="0.3">
      <c r="A594" t="s">
        <v>467</v>
      </c>
      <c r="C594" t="s">
        <v>920</v>
      </c>
      <c r="D594" t="s">
        <v>81</v>
      </c>
      <c r="E594">
        <v>246000</v>
      </c>
      <c r="O594">
        <v>6000</v>
      </c>
      <c r="P594" t="s">
        <v>121</v>
      </c>
      <c r="S594">
        <v>2</v>
      </c>
      <c r="T594">
        <v>20</v>
      </c>
      <c r="V594">
        <v>50</v>
      </c>
      <c r="W594" t="s">
        <v>1020</v>
      </c>
      <c r="X594" t="s">
        <v>957</v>
      </c>
      <c r="Y594">
        <v>60</v>
      </c>
      <c r="AB594">
        <v>3</v>
      </c>
      <c r="AC594" t="s">
        <v>297</v>
      </c>
      <c r="AE594" t="s">
        <v>63</v>
      </c>
      <c r="AH594">
        <v>6.59</v>
      </c>
      <c r="AI594">
        <v>30</v>
      </c>
      <c r="AV594" t="s">
        <v>88</v>
      </c>
      <c r="AZ594">
        <v>3</v>
      </c>
      <c r="BA594">
        <v>6.59</v>
      </c>
    </row>
    <row r="595" spans="1:53" x14ac:dyDescent="0.3">
      <c r="A595" t="s">
        <v>467</v>
      </c>
      <c r="C595" t="s">
        <v>920</v>
      </c>
      <c r="D595" t="s">
        <v>81</v>
      </c>
      <c r="E595">
        <v>246000</v>
      </c>
      <c r="O595">
        <v>6000</v>
      </c>
      <c r="P595" t="s">
        <v>121</v>
      </c>
      <c r="S595">
        <v>2</v>
      </c>
      <c r="T595">
        <v>20</v>
      </c>
      <c r="V595">
        <v>50</v>
      </c>
      <c r="W595" t="s">
        <v>1020</v>
      </c>
      <c r="X595" t="s">
        <v>957</v>
      </c>
      <c r="Y595">
        <v>60</v>
      </c>
      <c r="AB595">
        <v>16</v>
      </c>
      <c r="AC595" t="s">
        <v>297</v>
      </c>
      <c r="AE595" t="s">
        <v>63</v>
      </c>
      <c r="AH595">
        <v>6.56</v>
      </c>
      <c r="AI595">
        <v>30</v>
      </c>
      <c r="AV595" t="s">
        <v>88</v>
      </c>
      <c r="AZ595">
        <v>16</v>
      </c>
      <c r="BA595">
        <v>6.56</v>
      </c>
    </row>
    <row r="596" spans="1:53" x14ac:dyDescent="0.3">
      <c r="A596" t="s">
        <v>467</v>
      </c>
      <c r="C596" t="s">
        <v>920</v>
      </c>
      <c r="D596" t="s">
        <v>81</v>
      </c>
      <c r="E596">
        <v>246000</v>
      </c>
      <c r="O596">
        <v>6000</v>
      </c>
      <c r="P596" t="s">
        <v>121</v>
      </c>
      <c r="S596">
        <v>2</v>
      </c>
      <c r="T596">
        <v>20</v>
      </c>
      <c r="V596">
        <v>50</v>
      </c>
      <c r="W596" t="s">
        <v>1020</v>
      </c>
      <c r="X596" t="s">
        <v>957</v>
      </c>
      <c r="Y596">
        <v>60</v>
      </c>
      <c r="AB596">
        <v>6</v>
      </c>
      <c r="AC596" t="s">
        <v>297</v>
      </c>
      <c r="AE596" t="s">
        <v>63</v>
      </c>
      <c r="AH596">
        <v>6.56</v>
      </c>
      <c r="AI596">
        <v>30</v>
      </c>
      <c r="AV596" t="s">
        <v>88</v>
      </c>
      <c r="AZ596">
        <v>6</v>
      </c>
      <c r="BA596">
        <v>6.56</v>
      </c>
    </row>
    <row r="597" spans="1:53" x14ac:dyDescent="0.3">
      <c r="A597" t="s">
        <v>467</v>
      </c>
      <c r="C597" t="s">
        <v>920</v>
      </c>
      <c r="D597" t="s">
        <v>81</v>
      </c>
      <c r="E597">
        <v>246000</v>
      </c>
      <c r="O597">
        <v>6000</v>
      </c>
      <c r="P597" t="s">
        <v>121</v>
      </c>
      <c r="S597">
        <v>2</v>
      </c>
      <c r="T597">
        <v>20</v>
      </c>
      <c r="V597">
        <v>50</v>
      </c>
      <c r="W597" t="s">
        <v>1020</v>
      </c>
      <c r="X597" t="s">
        <v>957</v>
      </c>
      <c r="Y597">
        <v>10</v>
      </c>
      <c r="AB597">
        <v>28</v>
      </c>
      <c r="AC597" t="s">
        <v>297</v>
      </c>
      <c r="AE597" t="s">
        <v>63</v>
      </c>
      <c r="AH597">
        <v>6.26</v>
      </c>
      <c r="AI597">
        <v>30</v>
      </c>
      <c r="AV597" t="s">
        <v>88</v>
      </c>
      <c r="AZ597">
        <v>28</v>
      </c>
      <c r="BA597">
        <v>6.26</v>
      </c>
    </row>
    <row r="598" spans="1:53" x14ac:dyDescent="0.3">
      <c r="A598" t="s">
        <v>467</v>
      </c>
      <c r="C598" t="s">
        <v>920</v>
      </c>
      <c r="D598" t="s">
        <v>81</v>
      </c>
      <c r="E598">
        <v>246000</v>
      </c>
      <c r="O598">
        <v>6000</v>
      </c>
      <c r="P598" t="s">
        <v>121</v>
      </c>
      <c r="S598">
        <v>2</v>
      </c>
      <c r="T598">
        <v>20</v>
      </c>
      <c r="V598">
        <v>50</v>
      </c>
      <c r="W598" t="s">
        <v>1020</v>
      </c>
      <c r="X598" t="s">
        <v>957</v>
      </c>
      <c r="Y598">
        <v>10</v>
      </c>
      <c r="AB598">
        <v>30</v>
      </c>
      <c r="AC598" t="s">
        <v>297</v>
      </c>
      <c r="AE598" t="s">
        <v>63</v>
      </c>
      <c r="AH598">
        <v>6.59</v>
      </c>
      <c r="AI598">
        <v>30</v>
      </c>
      <c r="AV598" t="s">
        <v>88</v>
      </c>
      <c r="AZ598">
        <v>30</v>
      </c>
      <c r="BA598">
        <v>6.59</v>
      </c>
    </row>
    <row r="599" spans="1:53" x14ac:dyDescent="0.3">
      <c r="A599" t="s">
        <v>467</v>
      </c>
      <c r="C599" t="s">
        <v>920</v>
      </c>
      <c r="D599" t="s">
        <v>81</v>
      </c>
      <c r="E599">
        <v>246000</v>
      </c>
      <c r="O599">
        <v>6000</v>
      </c>
      <c r="P599" t="s">
        <v>121</v>
      </c>
      <c r="S599">
        <v>2</v>
      </c>
      <c r="T599">
        <v>20</v>
      </c>
      <c r="V599">
        <v>50</v>
      </c>
      <c r="W599" t="s">
        <v>1020</v>
      </c>
      <c r="X599" t="s">
        <v>957</v>
      </c>
      <c r="Y599">
        <v>10</v>
      </c>
      <c r="AB599">
        <v>30</v>
      </c>
      <c r="AC599" t="s">
        <v>297</v>
      </c>
      <c r="AE599" t="s">
        <v>63</v>
      </c>
      <c r="AH599">
        <v>6.56</v>
      </c>
      <c r="AI599">
        <v>30</v>
      </c>
      <c r="AV599" t="s">
        <v>88</v>
      </c>
      <c r="AZ599">
        <v>30</v>
      </c>
      <c r="BA599">
        <v>6.56</v>
      </c>
    </row>
    <row r="600" spans="1:53" x14ac:dyDescent="0.3">
      <c r="A600" t="s">
        <v>467</v>
      </c>
      <c r="C600" t="s">
        <v>920</v>
      </c>
      <c r="D600" t="s">
        <v>81</v>
      </c>
      <c r="E600">
        <v>246000</v>
      </c>
      <c r="O600">
        <v>6000</v>
      </c>
      <c r="P600" t="s">
        <v>121</v>
      </c>
      <c r="S600">
        <v>2</v>
      </c>
      <c r="T600">
        <v>20</v>
      </c>
      <c r="V600">
        <v>50</v>
      </c>
      <c r="W600" t="s">
        <v>1020</v>
      </c>
      <c r="X600" t="s">
        <v>957</v>
      </c>
      <c r="Y600">
        <v>10</v>
      </c>
      <c r="AB600">
        <v>29</v>
      </c>
      <c r="AC600" t="s">
        <v>297</v>
      </c>
      <c r="AE600" t="s">
        <v>63</v>
      </c>
      <c r="AH600">
        <v>6.56</v>
      </c>
      <c r="AI600">
        <v>30</v>
      </c>
      <c r="AV600" t="s">
        <v>88</v>
      </c>
      <c r="AZ600">
        <v>29</v>
      </c>
      <c r="BA600">
        <v>6.56</v>
      </c>
    </row>
    <row r="601" spans="1:53" x14ac:dyDescent="0.3">
      <c r="A601" t="s">
        <v>467</v>
      </c>
      <c r="C601" t="s">
        <v>920</v>
      </c>
      <c r="D601" t="s">
        <v>470</v>
      </c>
      <c r="E601">
        <v>246000</v>
      </c>
      <c r="H601">
        <v>0.25</v>
      </c>
      <c r="I601" t="s">
        <v>56</v>
      </c>
      <c r="J601">
        <v>2.5000000000000001E-5</v>
      </c>
      <c r="K601" t="s">
        <v>57</v>
      </c>
      <c r="O601">
        <v>6000</v>
      </c>
      <c r="P601" t="s">
        <v>121</v>
      </c>
      <c r="S601">
        <v>2</v>
      </c>
      <c r="T601">
        <v>20</v>
      </c>
      <c r="V601">
        <v>50</v>
      </c>
      <c r="W601" t="s">
        <v>471</v>
      </c>
      <c r="X601" t="s">
        <v>957</v>
      </c>
      <c r="Y601">
        <v>60</v>
      </c>
      <c r="AB601">
        <v>6.5</v>
      </c>
      <c r="AC601" t="s">
        <v>85</v>
      </c>
      <c r="AE601" t="s">
        <v>63</v>
      </c>
      <c r="AI601">
        <v>3</v>
      </c>
      <c r="AT601" t="s">
        <v>150</v>
      </c>
      <c r="AV601" t="s">
        <v>88</v>
      </c>
    </row>
    <row r="602" spans="1:53" x14ac:dyDescent="0.3">
      <c r="A602" t="s">
        <v>467</v>
      </c>
      <c r="C602" t="s">
        <v>920</v>
      </c>
      <c r="D602" t="s">
        <v>470</v>
      </c>
      <c r="E602">
        <v>246000</v>
      </c>
      <c r="H602">
        <v>0.25</v>
      </c>
      <c r="I602" t="s">
        <v>56</v>
      </c>
      <c r="J602">
        <v>2.5000000000000001E-5</v>
      </c>
      <c r="K602" t="s">
        <v>57</v>
      </c>
      <c r="O602">
        <v>6000</v>
      </c>
      <c r="P602" t="s">
        <v>121</v>
      </c>
      <c r="S602">
        <v>2</v>
      </c>
      <c r="T602">
        <v>20</v>
      </c>
      <c r="V602">
        <v>50</v>
      </c>
      <c r="W602" t="s">
        <v>471</v>
      </c>
      <c r="X602" t="s">
        <v>957</v>
      </c>
      <c r="Y602">
        <v>60</v>
      </c>
      <c r="AA602" t="s">
        <v>94</v>
      </c>
      <c r="AB602">
        <v>5.9</v>
      </c>
      <c r="AC602" t="s">
        <v>85</v>
      </c>
      <c r="AI602">
        <v>3</v>
      </c>
      <c r="AT602" t="s">
        <v>150</v>
      </c>
      <c r="AV602" t="s">
        <v>88</v>
      </c>
      <c r="AZ602">
        <v>0</v>
      </c>
      <c r="BA602">
        <v>5.9</v>
      </c>
    </row>
    <row r="603" spans="1:53" x14ac:dyDescent="0.3">
      <c r="A603" t="s">
        <v>467</v>
      </c>
      <c r="C603" t="s">
        <v>920</v>
      </c>
      <c r="D603" t="s">
        <v>470</v>
      </c>
      <c r="E603">
        <v>246000</v>
      </c>
      <c r="H603">
        <v>0.25</v>
      </c>
      <c r="I603" t="s">
        <v>56</v>
      </c>
      <c r="J603">
        <v>2.5000000000000001E-5</v>
      </c>
      <c r="K603" t="s">
        <v>57</v>
      </c>
      <c r="O603">
        <v>6000</v>
      </c>
      <c r="P603" t="s">
        <v>121</v>
      </c>
      <c r="S603">
        <v>2</v>
      </c>
      <c r="T603">
        <v>20</v>
      </c>
      <c r="V603">
        <v>50</v>
      </c>
      <c r="W603" t="s">
        <v>471</v>
      </c>
      <c r="X603" t="s">
        <v>957</v>
      </c>
      <c r="Y603">
        <v>60</v>
      </c>
      <c r="AB603">
        <v>5.6</v>
      </c>
      <c r="AC603" t="s">
        <v>85</v>
      </c>
      <c r="AE603" t="s">
        <v>63</v>
      </c>
      <c r="AI603">
        <v>3</v>
      </c>
      <c r="AT603" t="s">
        <v>150</v>
      </c>
      <c r="AV603" t="s">
        <v>88</v>
      </c>
    </row>
    <row r="604" spans="1:53" x14ac:dyDescent="0.3">
      <c r="A604" t="s">
        <v>467</v>
      </c>
      <c r="C604" t="s">
        <v>920</v>
      </c>
      <c r="D604" t="s">
        <v>470</v>
      </c>
      <c r="E604">
        <v>246000</v>
      </c>
      <c r="H604">
        <v>0.25</v>
      </c>
      <c r="I604" t="s">
        <v>56</v>
      </c>
      <c r="J604">
        <v>2.5000000000000001E-5</v>
      </c>
      <c r="K604" t="s">
        <v>57</v>
      </c>
      <c r="O604">
        <v>6000</v>
      </c>
      <c r="P604" t="s">
        <v>121</v>
      </c>
      <c r="S604">
        <v>2</v>
      </c>
      <c r="T604">
        <v>20</v>
      </c>
      <c r="V604">
        <v>50</v>
      </c>
      <c r="W604" t="s">
        <v>471</v>
      </c>
      <c r="X604" t="s">
        <v>957</v>
      </c>
      <c r="Y604">
        <v>60</v>
      </c>
      <c r="AA604" t="s">
        <v>94</v>
      </c>
      <c r="AB604">
        <v>6.3</v>
      </c>
      <c r="AC604" t="s">
        <v>85</v>
      </c>
      <c r="AI604">
        <v>3</v>
      </c>
      <c r="AT604" t="s">
        <v>150</v>
      </c>
      <c r="AV604" t="s">
        <v>88</v>
      </c>
      <c r="AZ604">
        <v>0</v>
      </c>
      <c r="BA604">
        <v>6.3</v>
      </c>
    </row>
    <row r="605" spans="1:53" x14ac:dyDescent="0.3">
      <c r="A605" t="s">
        <v>467</v>
      </c>
      <c r="C605" t="s">
        <v>920</v>
      </c>
      <c r="D605" t="s">
        <v>470</v>
      </c>
      <c r="E605">
        <v>246000</v>
      </c>
      <c r="H605">
        <v>0.25</v>
      </c>
      <c r="I605" t="s">
        <v>56</v>
      </c>
      <c r="J605">
        <v>2.5000000000000001E-5</v>
      </c>
      <c r="K605" t="s">
        <v>57</v>
      </c>
      <c r="O605">
        <v>6000</v>
      </c>
      <c r="P605" t="s">
        <v>121</v>
      </c>
      <c r="S605">
        <v>2</v>
      </c>
      <c r="T605">
        <v>20</v>
      </c>
      <c r="V605">
        <v>50</v>
      </c>
      <c r="W605" t="s">
        <v>471</v>
      </c>
      <c r="X605" t="s">
        <v>957</v>
      </c>
      <c r="Y605">
        <v>10</v>
      </c>
      <c r="AB605">
        <v>6.3</v>
      </c>
      <c r="AC605" t="s">
        <v>85</v>
      </c>
      <c r="AE605" t="s">
        <v>63</v>
      </c>
      <c r="AI605">
        <v>3</v>
      </c>
      <c r="AT605" t="s">
        <v>150</v>
      </c>
      <c r="AV605" t="s">
        <v>88</v>
      </c>
    </row>
    <row r="606" spans="1:53" x14ac:dyDescent="0.3">
      <c r="A606" t="s">
        <v>467</v>
      </c>
      <c r="C606" t="s">
        <v>920</v>
      </c>
      <c r="D606" t="s">
        <v>470</v>
      </c>
      <c r="E606">
        <v>246000</v>
      </c>
      <c r="H606">
        <v>0.25</v>
      </c>
      <c r="I606" t="s">
        <v>56</v>
      </c>
      <c r="J606">
        <v>2.5000000000000001E-5</v>
      </c>
      <c r="K606" t="s">
        <v>57</v>
      </c>
      <c r="O606">
        <v>6000</v>
      </c>
      <c r="P606" t="s">
        <v>121</v>
      </c>
      <c r="S606">
        <v>2</v>
      </c>
      <c r="T606">
        <v>20</v>
      </c>
      <c r="V606">
        <v>50</v>
      </c>
      <c r="W606" t="s">
        <v>471</v>
      </c>
      <c r="X606" t="s">
        <v>957</v>
      </c>
      <c r="Y606">
        <v>10</v>
      </c>
      <c r="AA606" t="s">
        <v>94</v>
      </c>
      <c r="AB606">
        <v>5.9</v>
      </c>
      <c r="AC606" t="s">
        <v>85</v>
      </c>
      <c r="AI606">
        <v>3</v>
      </c>
      <c r="AT606" t="s">
        <v>150</v>
      </c>
      <c r="AV606" t="s">
        <v>88</v>
      </c>
      <c r="AZ606">
        <v>0</v>
      </c>
      <c r="BA606">
        <v>5.9</v>
      </c>
    </row>
    <row r="607" spans="1:53" x14ac:dyDescent="0.3">
      <c r="A607" t="s">
        <v>467</v>
      </c>
      <c r="C607" t="s">
        <v>920</v>
      </c>
      <c r="D607" t="s">
        <v>470</v>
      </c>
      <c r="E607">
        <v>246000</v>
      </c>
      <c r="H607">
        <v>0.25</v>
      </c>
      <c r="I607" t="s">
        <v>56</v>
      </c>
      <c r="J607">
        <v>2.5000000000000001E-5</v>
      </c>
      <c r="K607" t="s">
        <v>57</v>
      </c>
      <c r="O607">
        <v>6000</v>
      </c>
      <c r="P607" t="s">
        <v>121</v>
      </c>
      <c r="S607">
        <v>2</v>
      </c>
      <c r="T607">
        <v>20</v>
      </c>
      <c r="V607">
        <v>50</v>
      </c>
      <c r="W607" t="s">
        <v>471</v>
      </c>
      <c r="X607" t="s">
        <v>957</v>
      </c>
      <c r="Y607">
        <v>10</v>
      </c>
      <c r="AB607">
        <v>5.4</v>
      </c>
      <c r="AC607" t="s">
        <v>85</v>
      </c>
      <c r="AE607" t="s">
        <v>63</v>
      </c>
      <c r="AI607">
        <v>3</v>
      </c>
      <c r="AT607" t="s">
        <v>150</v>
      </c>
      <c r="AV607" t="s">
        <v>88</v>
      </c>
    </row>
    <row r="608" spans="1:53" x14ac:dyDescent="0.3">
      <c r="A608" t="s">
        <v>467</v>
      </c>
      <c r="C608" t="s">
        <v>920</v>
      </c>
      <c r="D608" t="s">
        <v>470</v>
      </c>
      <c r="E608">
        <v>246000</v>
      </c>
      <c r="H608">
        <v>0.25</v>
      </c>
      <c r="I608" t="s">
        <v>56</v>
      </c>
      <c r="J608">
        <v>2.5000000000000001E-5</v>
      </c>
      <c r="K608" t="s">
        <v>57</v>
      </c>
      <c r="O608">
        <v>6000</v>
      </c>
      <c r="P608" t="s">
        <v>121</v>
      </c>
      <c r="S608">
        <v>2</v>
      </c>
      <c r="T608">
        <v>20</v>
      </c>
      <c r="V608">
        <v>50</v>
      </c>
      <c r="W608" t="s">
        <v>471</v>
      </c>
      <c r="X608" t="s">
        <v>957</v>
      </c>
      <c r="Y608">
        <v>10</v>
      </c>
      <c r="AA608" t="s">
        <v>94</v>
      </c>
      <c r="AB608">
        <v>6.3</v>
      </c>
      <c r="AC608" t="s">
        <v>85</v>
      </c>
      <c r="AI608">
        <v>3</v>
      </c>
      <c r="AT608" t="s">
        <v>150</v>
      </c>
      <c r="AV608" t="s">
        <v>88</v>
      </c>
      <c r="AZ608">
        <v>0</v>
      </c>
      <c r="BA608">
        <v>6.3</v>
      </c>
    </row>
    <row r="609" spans="1:53" x14ac:dyDescent="0.3">
      <c r="A609" t="s">
        <v>467</v>
      </c>
      <c r="C609" t="s">
        <v>920</v>
      </c>
      <c r="D609" t="s">
        <v>81</v>
      </c>
      <c r="E609">
        <v>246000</v>
      </c>
      <c r="H609">
        <v>14.25</v>
      </c>
      <c r="I609" t="s">
        <v>56</v>
      </c>
      <c r="J609">
        <v>1.4250000000000001E-3</v>
      </c>
      <c r="K609" t="s">
        <v>57</v>
      </c>
      <c r="O609">
        <v>6000</v>
      </c>
      <c r="P609" t="s">
        <v>121</v>
      </c>
      <c r="S609">
        <v>2</v>
      </c>
      <c r="T609">
        <v>20</v>
      </c>
      <c r="V609">
        <v>50</v>
      </c>
      <c r="W609" t="s">
        <v>72</v>
      </c>
      <c r="X609" t="s">
        <v>957</v>
      </c>
      <c r="Y609">
        <v>60</v>
      </c>
      <c r="AB609">
        <v>4</v>
      </c>
      <c r="AC609" t="s">
        <v>85</v>
      </c>
      <c r="AD609" t="s">
        <v>332</v>
      </c>
      <c r="AE609" t="s">
        <v>63</v>
      </c>
      <c r="AI609">
        <v>5</v>
      </c>
      <c r="AT609" t="s">
        <v>73</v>
      </c>
      <c r="AV609" t="s">
        <v>88</v>
      </c>
    </row>
    <row r="610" spans="1:53" x14ac:dyDescent="0.3">
      <c r="A610" t="s">
        <v>467</v>
      </c>
      <c r="C610" t="s">
        <v>920</v>
      </c>
      <c r="D610" t="s">
        <v>81</v>
      </c>
      <c r="E610">
        <v>246000</v>
      </c>
      <c r="H610">
        <v>14.25</v>
      </c>
      <c r="I610" t="s">
        <v>56</v>
      </c>
      <c r="J610">
        <v>1.4250000000000001E-3</v>
      </c>
      <c r="K610" t="s">
        <v>57</v>
      </c>
      <c r="O610">
        <v>6000</v>
      </c>
      <c r="P610" t="s">
        <v>121</v>
      </c>
      <c r="S610">
        <v>2</v>
      </c>
      <c r="T610">
        <v>20</v>
      </c>
      <c r="V610">
        <v>50</v>
      </c>
      <c r="W610" t="s">
        <v>72</v>
      </c>
      <c r="X610" t="s">
        <v>957</v>
      </c>
      <c r="Y610">
        <v>60</v>
      </c>
      <c r="AB610">
        <v>4.5</v>
      </c>
      <c r="AC610" t="s">
        <v>85</v>
      </c>
      <c r="AD610" t="s">
        <v>338</v>
      </c>
      <c r="AE610" t="s">
        <v>63</v>
      </c>
      <c r="AI610">
        <v>5</v>
      </c>
      <c r="AT610" t="s">
        <v>73</v>
      </c>
      <c r="AV610" t="s">
        <v>88</v>
      </c>
    </row>
    <row r="611" spans="1:53" x14ac:dyDescent="0.3">
      <c r="A611" t="s">
        <v>467</v>
      </c>
      <c r="C611" t="s">
        <v>920</v>
      </c>
      <c r="D611" t="s">
        <v>81</v>
      </c>
      <c r="E611">
        <v>246000</v>
      </c>
      <c r="H611">
        <v>14.25</v>
      </c>
      <c r="I611" t="s">
        <v>56</v>
      </c>
      <c r="J611">
        <v>1.4250000000000001E-3</v>
      </c>
      <c r="K611" t="s">
        <v>57</v>
      </c>
      <c r="O611">
        <v>6000</v>
      </c>
      <c r="P611" t="s">
        <v>121</v>
      </c>
      <c r="S611">
        <v>2</v>
      </c>
      <c r="T611">
        <v>20</v>
      </c>
      <c r="V611">
        <v>50</v>
      </c>
      <c r="W611" t="s">
        <v>72</v>
      </c>
      <c r="X611" t="s">
        <v>957</v>
      </c>
      <c r="Y611">
        <v>10</v>
      </c>
      <c r="AE611" t="s">
        <v>63</v>
      </c>
      <c r="AI611">
        <v>5</v>
      </c>
      <c r="AT611" t="s">
        <v>73</v>
      </c>
      <c r="AV611" t="s">
        <v>88</v>
      </c>
    </row>
    <row r="612" spans="1:53" x14ac:dyDescent="0.3">
      <c r="A612" t="s">
        <v>467</v>
      </c>
      <c r="C612" t="s">
        <v>920</v>
      </c>
      <c r="D612" t="s">
        <v>81</v>
      </c>
      <c r="E612">
        <v>246000</v>
      </c>
      <c r="H612">
        <v>14.25</v>
      </c>
      <c r="I612" t="s">
        <v>56</v>
      </c>
      <c r="J612">
        <v>1.4250000000000001E-3</v>
      </c>
      <c r="K612" t="s">
        <v>57</v>
      </c>
      <c r="O612">
        <v>6000</v>
      </c>
      <c r="P612" t="s">
        <v>121</v>
      </c>
      <c r="S612">
        <v>2</v>
      </c>
      <c r="T612">
        <v>20</v>
      </c>
      <c r="V612">
        <v>50</v>
      </c>
      <c r="W612" t="s">
        <v>72</v>
      </c>
      <c r="X612" t="s">
        <v>957</v>
      </c>
      <c r="Y612">
        <v>10</v>
      </c>
      <c r="AB612">
        <v>3.9</v>
      </c>
      <c r="AC612" t="s">
        <v>85</v>
      </c>
      <c r="AD612" t="s">
        <v>332</v>
      </c>
      <c r="AE612" t="s">
        <v>63</v>
      </c>
      <c r="AI612">
        <v>5</v>
      </c>
      <c r="AT612" t="s">
        <v>73</v>
      </c>
      <c r="AV612" t="s">
        <v>88</v>
      </c>
    </row>
    <row r="613" spans="1:53" x14ac:dyDescent="0.3">
      <c r="A613" t="s">
        <v>467</v>
      </c>
      <c r="C613" t="s">
        <v>920</v>
      </c>
      <c r="D613" t="s">
        <v>81</v>
      </c>
      <c r="E613">
        <v>246000</v>
      </c>
      <c r="H613">
        <v>14.25</v>
      </c>
      <c r="I613" t="s">
        <v>56</v>
      </c>
      <c r="J613">
        <v>1.4250000000000001E-3</v>
      </c>
      <c r="K613" t="s">
        <v>57</v>
      </c>
      <c r="O613">
        <v>6000</v>
      </c>
      <c r="P613" t="s">
        <v>121</v>
      </c>
      <c r="S613">
        <v>2</v>
      </c>
      <c r="T613">
        <v>20</v>
      </c>
      <c r="V613">
        <v>50</v>
      </c>
      <c r="W613" t="s">
        <v>72</v>
      </c>
      <c r="X613" t="s">
        <v>957</v>
      </c>
      <c r="Y613">
        <v>10</v>
      </c>
      <c r="AB613">
        <v>2.6</v>
      </c>
      <c r="AC613" t="s">
        <v>85</v>
      </c>
      <c r="AD613" t="s">
        <v>324</v>
      </c>
      <c r="AE613" t="s">
        <v>63</v>
      </c>
      <c r="AI613">
        <v>5</v>
      </c>
      <c r="AT613" t="s">
        <v>73</v>
      </c>
      <c r="AV613" t="s">
        <v>88</v>
      </c>
    </row>
    <row r="614" spans="1:53" x14ac:dyDescent="0.3">
      <c r="A614" t="s">
        <v>467</v>
      </c>
      <c r="C614" t="s">
        <v>920</v>
      </c>
      <c r="D614" t="s">
        <v>81</v>
      </c>
      <c r="E614">
        <v>246000</v>
      </c>
      <c r="H614">
        <v>14.25</v>
      </c>
      <c r="I614" t="s">
        <v>56</v>
      </c>
      <c r="J614">
        <v>1.4250000000000001E-3</v>
      </c>
      <c r="K614" t="s">
        <v>57</v>
      </c>
      <c r="O614">
        <v>6000</v>
      </c>
      <c r="P614" t="s">
        <v>121</v>
      </c>
      <c r="S614">
        <v>2</v>
      </c>
      <c r="T614">
        <v>20</v>
      </c>
      <c r="V614">
        <v>50</v>
      </c>
      <c r="W614" t="s">
        <v>469</v>
      </c>
      <c r="X614" t="s">
        <v>957</v>
      </c>
      <c r="Y614">
        <v>60</v>
      </c>
      <c r="AE614" t="s">
        <v>63</v>
      </c>
      <c r="AI614">
        <v>5</v>
      </c>
      <c r="AT614" t="s">
        <v>65</v>
      </c>
      <c r="AV614" t="s">
        <v>88</v>
      </c>
    </row>
    <row r="615" spans="1:53" x14ac:dyDescent="0.3">
      <c r="A615" t="s">
        <v>467</v>
      </c>
      <c r="C615" t="s">
        <v>920</v>
      </c>
      <c r="D615" t="s">
        <v>81</v>
      </c>
      <c r="E615">
        <v>246000</v>
      </c>
      <c r="H615">
        <v>14.25</v>
      </c>
      <c r="I615" t="s">
        <v>56</v>
      </c>
      <c r="J615">
        <v>1.4250000000000001E-3</v>
      </c>
      <c r="K615" t="s">
        <v>57</v>
      </c>
      <c r="O615">
        <v>6000</v>
      </c>
      <c r="P615" t="s">
        <v>121</v>
      </c>
      <c r="S615">
        <v>2</v>
      </c>
      <c r="T615">
        <v>20</v>
      </c>
      <c r="V615">
        <v>50</v>
      </c>
      <c r="W615" t="s">
        <v>469</v>
      </c>
      <c r="X615" t="s">
        <v>957</v>
      </c>
      <c r="Y615">
        <v>60</v>
      </c>
      <c r="AB615">
        <v>7.3</v>
      </c>
      <c r="AC615" t="s">
        <v>85</v>
      </c>
      <c r="AD615" t="s">
        <v>326</v>
      </c>
      <c r="AE615" t="s">
        <v>63</v>
      </c>
      <c r="AI615">
        <v>5</v>
      </c>
      <c r="AT615" t="s">
        <v>65</v>
      </c>
      <c r="AV615" t="s">
        <v>88</v>
      </c>
    </row>
    <row r="616" spans="1:53" x14ac:dyDescent="0.3">
      <c r="A616" t="s">
        <v>467</v>
      </c>
      <c r="C616" t="s">
        <v>920</v>
      </c>
      <c r="D616" t="s">
        <v>81</v>
      </c>
      <c r="E616">
        <v>246000</v>
      </c>
      <c r="H616">
        <v>14.25</v>
      </c>
      <c r="I616" t="s">
        <v>56</v>
      </c>
      <c r="J616">
        <v>1.4250000000000001E-3</v>
      </c>
      <c r="K616" t="s">
        <v>57</v>
      </c>
      <c r="O616">
        <v>6000</v>
      </c>
      <c r="P616" t="s">
        <v>121</v>
      </c>
      <c r="S616">
        <v>2</v>
      </c>
      <c r="T616">
        <v>20</v>
      </c>
      <c r="V616">
        <v>50</v>
      </c>
      <c r="W616" t="s">
        <v>469</v>
      </c>
      <c r="X616" t="s">
        <v>957</v>
      </c>
      <c r="Y616">
        <v>60</v>
      </c>
      <c r="AA616" t="s">
        <v>94</v>
      </c>
      <c r="AB616">
        <v>8</v>
      </c>
      <c r="AC616" t="s">
        <v>85</v>
      </c>
      <c r="AI616">
        <v>5</v>
      </c>
      <c r="AT616" t="s">
        <v>65</v>
      </c>
      <c r="AV616" t="s">
        <v>88</v>
      </c>
      <c r="AZ616">
        <v>0</v>
      </c>
      <c r="BA616">
        <v>8</v>
      </c>
    </row>
    <row r="617" spans="1:53" x14ac:dyDescent="0.3">
      <c r="A617" t="s">
        <v>467</v>
      </c>
      <c r="C617" t="s">
        <v>920</v>
      </c>
      <c r="D617" t="s">
        <v>81</v>
      </c>
      <c r="E617">
        <v>246000</v>
      </c>
      <c r="H617">
        <v>14.25</v>
      </c>
      <c r="I617" t="s">
        <v>56</v>
      </c>
      <c r="J617">
        <v>1.4250000000000001E-3</v>
      </c>
      <c r="K617" t="s">
        <v>57</v>
      </c>
      <c r="O617">
        <v>6000</v>
      </c>
      <c r="P617" t="s">
        <v>121</v>
      </c>
      <c r="S617">
        <v>2</v>
      </c>
      <c r="T617">
        <v>20</v>
      </c>
      <c r="V617">
        <v>50</v>
      </c>
      <c r="W617" t="s">
        <v>469</v>
      </c>
      <c r="X617" t="s">
        <v>957</v>
      </c>
      <c r="Y617">
        <v>10</v>
      </c>
      <c r="AE617" t="s">
        <v>63</v>
      </c>
      <c r="AI617">
        <v>5</v>
      </c>
      <c r="AT617" t="s">
        <v>65</v>
      </c>
      <c r="AV617" t="s">
        <v>88</v>
      </c>
    </row>
    <row r="618" spans="1:53" x14ac:dyDescent="0.3">
      <c r="A618" t="s">
        <v>467</v>
      </c>
      <c r="C618" t="s">
        <v>920</v>
      </c>
      <c r="D618" t="s">
        <v>81</v>
      </c>
      <c r="E618">
        <v>246000</v>
      </c>
      <c r="H618">
        <v>14.25</v>
      </c>
      <c r="I618" t="s">
        <v>56</v>
      </c>
      <c r="J618">
        <v>1.4250000000000001E-3</v>
      </c>
      <c r="K618" t="s">
        <v>57</v>
      </c>
      <c r="O618">
        <v>6000</v>
      </c>
      <c r="P618" t="s">
        <v>121</v>
      </c>
      <c r="S618">
        <v>2</v>
      </c>
      <c r="T618">
        <v>20</v>
      </c>
      <c r="V618">
        <v>50</v>
      </c>
      <c r="W618" t="s">
        <v>469</v>
      </c>
      <c r="X618" t="s">
        <v>957</v>
      </c>
      <c r="Y618">
        <v>10</v>
      </c>
      <c r="AB618">
        <v>7.6</v>
      </c>
      <c r="AC618" t="s">
        <v>85</v>
      </c>
      <c r="AD618" t="s">
        <v>326</v>
      </c>
      <c r="AE618" t="s">
        <v>63</v>
      </c>
      <c r="AI618">
        <v>5</v>
      </c>
      <c r="AT618" t="s">
        <v>65</v>
      </c>
      <c r="AV618" t="s">
        <v>88</v>
      </c>
    </row>
    <row r="619" spans="1:53" x14ac:dyDescent="0.3">
      <c r="A619" t="s">
        <v>467</v>
      </c>
      <c r="C619" t="s">
        <v>920</v>
      </c>
      <c r="D619" t="s">
        <v>81</v>
      </c>
      <c r="E619">
        <v>246000</v>
      </c>
      <c r="H619">
        <v>14.25</v>
      </c>
      <c r="I619" t="s">
        <v>56</v>
      </c>
      <c r="J619">
        <v>1.4250000000000001E-3</v>
      </c>
      <c r="K619" t="s">
        <v>57</v>
      </c>
      <c r="O619">
        <v>6000</v>
      </c>
      <c r="P619" t="s">
        <v>121</v>
      </c>
      <c r="S619">
        <v>2</v>
      </c>
      <c r="T619">
        <v>20</v>
      </c>
      <c r="V619">
        <v>50</v>
      </c>
      <c r="W619" t="s">
        <v>469</v>
      </c>
      <c r="X619" t="s">
        <v>957</v>
      </c>
      <c r="Y619">
        <v>10</v>
      </c>
      <c r="AB619">
        <v>7.6</v>
      </c>
      <c r="AC619" t="s">
        <v>85</v>
      </c>
      <c r="AD619" t="s">
        <v>331</v>
      </c>
      <c r="AE619" t="s">
        <v>63</v>
      </c>
      <c r="AI619">
        <v>5</v>
      </c>
      <c r="AT619" t="s">
        <v>65</v>
      </c>
      <c r="AV619" t="s">
        <v>88</v>
      </c>
    </row>
    <row r="620" spans="1:53" x14ac:dyDescent="0.3">
      <c r="A620" t="s">
        <v>467</v>
      </c>
      <c r="C620" t="s">
        <v>920</v>
      </c>
      <c r="D620" t="s">
        <v>81</v>
      </c>
      <c r="E620">
        <v>246000</v>
      </c>
      <c r="H620">
        <v>0.25</v>
      </c>
      <c r="I620" t="s">
        <v>56</v>
      </c>
      <c r="J620">
        <v>2.5000000000000001E-5</v>
      </c>
      <c r="K620" t="s">
        <v>57</v>
      </c>
      <c r="O620">
        <v>6000</v>
      </c>
      <c r="P620" t="s">
        <v>121</v>
      </c>
      <c r="S620">
        <v>2</v>
      </c>
      <c r="T620">
        <v>20</v>
      </c>
      <c r="V620">
        <v>50</v>
      </c>
      <c r="W620" t="s">
        <v>147</v>
      </c>
      <c r="X620" t="s">
        <v>957</v>
      </c>
      <c r="Y620">
        <v>60</v>
      </c>
      <c r="AE620" t="s">
        <v>63</v>
      </c>
      <c r="AI620">
        <v>5</v>
      </c>
      <c r="AT620" t="s">
        <v>150</v>
      </c>
      <c r="AV620" t="s">
        <v>88</v>
      </c>
    </row>
    <row r="621" spans="1:53" x14ac:dyDescent="0.3">
      <c r="A621" t="s">
        <v>467</v>
      </c>
      <c r="C621" t="s">
        <v>920</v>
      </c>
      <c r="D621" t="s">
        <v>81</v>
      </c>
      <c r="E621">
        <v>246000</v>
      </c>
      <c r="H621">
        <v>0.25</v>
      </c>
      <c r="I621" t="s">
        <v>56</v>
      </c>
      <c r="J621">
        <v>2.5000000000000001E-5</v>
      </c>
      <c r="K621" t="s">
        <v>57</v>
      </c>
      <c r="O621">
        <v>6000</v>
      </c>
      <c r="P621" t="s">
        <v>121</v>
      </c>
      <c r="S621">
        <v>2</v>
      </c>
      <c r="T621">
        <v>20</v>
      </c>
      <c r="V621">
        <v>50</v>
      </c>
      <c r="W621" t="s">
        <v>147</v>
      </c>
      <c r="X621" t="s">
        <v>957</v>
      </c>
      <c r="Y621">
        <v>60</v>
      </c>
      <c r="AA621" t="s">
        <v>94</v>
      </c>
      <c r="AB621">
        <v>7.8</v>
      </c>
      <c r="AC621" t="s">
        <v>85</v>
      </c>
      <c r="AI621">
        <v>5</v>
      </c>
      <c r="AT621" t="s">
        <v>150</v>
      </c>
      <c r="AV621" t="s">
        <v>88</v>
      </c>
      <c r="AZ621">
        <v>0</v>
      </c>
      <c r="BA621">
        <v>7.8</v>
      </c>
    </row>
    <row r="622" spans="1:53" x14ac:dyDescent="0.3">
      <c r="A622" t="s">
        <v>467</v>
      </c>
      <c r="C622" t="s">
        <v>920</v>
      </c>
      <c r="D622" t="s">
        <v>81</v>
      </c>
      <c r="E622">
        <v>246000</v>
      </c>
      <c r="H622">
        <v>0.25</v>
      </c>
      <c r="I622" t="s">
        <v>56</v>
      </c>
      <c r="J622">
        <v>2.5000000000000001E-5</v>
      </c>
      <c r="K622" t="s">
        <v>57</v>
      </c>
      <c r="O622">
        <v>6000</v>
      </c>
      <c r="P622" t="s">
        <v>121</v>
      </c>
      <c r="S622">
        <v>2</v>
      </c>
      <c r="T622">
        <v>20</v>
      </c>
      <c r="V622">
        <v>50</v>
      </c>
      <c r="W622" t="s">
        <v>147</v>
      </c>
      <c r="X622" t="s">
        <v>957</v>
      </c>
      <c r="Y622">
        <v>60</v>
      </c>
      <c r="AA622" t="s">
        <v>94</v>
      </c>
      <c r="AB622">
        <v>7.7</v>
      </c>
      <c r="AC622" t="s">
        <v>85</v>
      </c>
      <c r="AI622">
        <v>5</v>
      </c>
      <c r="AT622" t="s">
        <v>150</v>
      </c>
      <c r="AV622" t="s">
        <v>88</v>
      </c>
      <c r="AZ622">
        <v>0</v>
      </c>
      <c r="BA622">
        <v>7.7</v>
      </c>
    </row>
    <row r="623" spans="1:53" x14ac:dyDescent="0.3">
      <c r="A623" t="s">
        <v>467</v>
      </c>
      <c r="C623" t="s">
        <v>920</v>
      </c>
      <c r="D623" t="s">
        <v>81</v>
      </c>
      <c r="E623">
        <v>246000</v>
      </c>
      <c r="H623">
        <v>0.25</v>
      </c>
      <c r="I623" t="s">
        <v>56</v>
      </c>
      <c r="J623">
        <v>2.5000000000000001E-5</v>
      </c>
      <c r="K623" t="s">
        <v>57</v>
      </c>
      <c r="O623">
        <v>6000</v>
      </c>
      <c r="P623" t="s">
        <v>121</v>
      </c>
      <c r="S623">
        <v>2</v>
      </c>
      <c r="T623">
        <v>20</v>
      </c>
      <c r="V623">
        <v>50</v>
      </c>
      <c r="W623" t="s">
        <v>147</v>
      </c>
      <c r="X623" t="s">
        <v>957</v>
      </c>
      <c r="Y623">
        <v>10</v>
      </c>
      <c r="AE623" t="s">
        <v>63</v>
      </c>
      <c r="AI623">
        <v>5</v>
      </c>
      <c r="AT623" t="s">
        <v>150</v>
      </c>
      <c r="AV623" t="s">
        <v>88</v>
      </c>
    </row>
    <row r="624" spans="1:53" x14ac:dyDescent="0.3">
      <c r="A624" t="s">
        <v>467</v>
      </c>
      <c r="C624" t="s">
        <v>920</v>
      </c>
      <c r="D624" t="s">
        <v>81</v>
      </c>
      <c r="E624">
        <v>246000</v>
      </c>
      <c r="H624">
        <v>0.25</v>
      </c>
      <c r="I624" t="s">
        <v>56</v>
      </c>
      <c r="J624">
        <v>2.5000000000000001E-5</v>
      </c>
      <c r="K624" t="s">
        <v>57</v>
      </c>
      <c r="O624">
        <v>6000</v>
      </c>
      <c r="P624" t="s">
        <v>121</v>
      </c>
      <c r="S624">
        <v>2</v>
      </c>
      <c r="T624">
        <v>20</v>
      </c>
      <c r="V624">
        <v>50</v>
      </c>
      <c r="W624" t="s">
        <v>147</v>
      </c>
      <c r="X624" t="s">
        <v>957</v>
      </c>
      <c r="Y624">
        <v>10</v>
      </c>
      <c r="AB624">
        <v>7.5</v>
      </c>
      <c r="AC624" t="s">
        <v>85</v>
      </c>
      <c r="AD624" t="s">
        <v>324</v>
      </c>
      <c r="AE624" t="s">
        <v>63</v>
      </c>
      <c r="AI624">
        <v>5</v>
      </c>
      <c r="AT624" t="s">
        <v>150</v>
      </c>
      <c r="AV624" t="s">
        <v>88</v>
      </c>
    </row>
    <row r="625" spans="1:53" x14ac:dyDescent="0.3">
      <c r="A625" t="s">
        <v>467</v>
      </c>
      <c r="C625" t="s">
        <v>920</v>
      </c>
      <c r="D625" t="s">
        <v>81</v>
      </c>
      <c r="E625">
        <v>246000</v>
      </c>
      <c r="H625">
        <v>0.25</v>
      </c>
      <c r="I625" t="s">
        <v>56</v>
      </c>
      <c r="J625">
        <v>2.5000000000000001E-5</v>
      </c>
      <c r="K625" t="s">
        <v>57</v>
      </c>
      <c r="O625">
        <v>6000</v>
      </c>
      <c r="P625" t="s">
        <v>121</v>
      </c>
      <c r="S625">
        <v>2</v>
      </c>
      <c r="T625">
        <v>20</v>
      </c>
      <c r="V625">
        <v>50</v>
      </c>
      <c r="W625" t="s">
        <v>147</v>
      </c>
      <c r="X625" t="s">
        <v>957</v>
      </c>
      <c r="Y625">
        <v>10</v>
      </c>
      <c r="AA625" t="s">
        <v>94</v>
      </c>
      <c r="AB625">
        <v>7.7</v>
      </c>
      <c r="AC625" t="s">
        <v>85</v>
      </c>
      <c r="AI625">
        <v>5</v>
      </c>
      <c r="AT625" t="s">
        <v>150</v>
      </c>
      <c r="AV625" t="s">
        <v>88</v>
      </c>
      <c r="AZ625">
        <v>0</v>
      </c>
      <c r="BA625">
        <v>7.7</v>
      </c>
    </row>
    <row r="626" spans="1:53" x14ac:dyDescent="0.3">
      <c r="A626" t="s">
        <v>467</v>
      </c>
      <c r="C626" t="s">
        <v>920</v>
      </c>
      <c r="D626" t="s">
        <v>81</v>
      </c>
      <c r="E626">
        <v>246000</v>
      </c>
      <c r="O626">
        <v>1000</v>
      </c>
      <c r="P626" t="s">
        <v>277</v>
      </c>
      <c r="S626">
        <v>2</v>
      </c>
      <c r="T626">
        <v>20</v>
      </c>
      <c r="V626">
        <v>50</v>
      </c>
      <c r="W626" t="s">
        <v>472</v>
      </c>
      <c r="X626" t="s">
        <v>957</v>
      </c>
      <c r="Y626">
        <v>60</v>
      </c>
      <c r="AB626">
        <v>0</v>
      </c>
      <c r="AC626" t="s">
        <v>297</v>
      </c>
      <c r="AE626" t="s">
        <v>63</v>
      </c>
      <c r="AH626">
        <v>6.48</v>
      </c>
      <c r="AI626">
        <v>30</v>
      </c>
      <c r="AT626" t="s">
        <v>203</v>
      </c>
      <c r="AV626" t="s">
        <v>88</v>
      </c>
      <c r="AZ626">
        <v>0</v>
      </c>
      <c r="BA626">
        <v>6.48</v>
      </c>
    </row>
    <row r="627" spans="1:53" x14ac:dyDescent="0.3">
      <c r="A627" t="s">
        <v>467</v>
      </c>
      <c r="C627" t="s">
        <v>920</v>
      </c>
      <c r="D627" t="s">
        <v>81</v>
      </c>
      <c r="E627">
        <v>246000</v>
      </c>
      <c r="O627">
        <v>1000</v>
      </c>
      <c r="P627" t="s">
        <v>277</v>
      </c>
      <c r="S627">
        <v>2</v>
      </c>
      <c r="T627">
        <v>20</v>
      </c>
      <c r="V627">
        <v>50</v>
      </c>
      <c r="W627" t="s">
        <v>472</v>
      </c>
      <c r="X627" t="s">
        <v>957</v>
      </c>
      <c r="Y627">
        <v>60</v>
      </c>
      <c r="AB627">
        <v>0</v>
      </c>
      <c r="AC627" t="s">
        <v>297</v>
      </c>
      <c r="AE627" t="s">
        <v>63</v>
      </c>
      <c r="AH627">
        <v>6.48</v>
      </c>
      <c r="AI627">
        <v>30</v>
      </c>
      <c r="AT627" t="s">
        <v>203</v>
      </c>
      <c r="AV627" t="s">
        <v>88</v>
      </c>
      <c r="AZ627">
        <v>0</v>
      </c>
      <c r="BA627">
        <v>6.48</v>
      </c>
    </row>
    <row r="628" spans="1:53" x14ac:dyDescent="0.3">
      <c r="A628" t="s">
        <v>467</v>
      </c>
      <c r="C628" t="s">
        <v>920</v>
      </c>
      <c r="D628" t="s">
        <v>81</v>
      </c>
      <c r="E628">
        <v>246000</v>
      </c>
      <c r="O628">
        <v>1000</v>
      </c>
      <c r="P628" t="s">
        <v>277</v>
      </c>
      <c r="S628">
        <v>2</v>
      </c>
      <c r="T628">
        <v>20</v>
      </c>
      <c r="V628">
        <v>50</v>
      </c>
      <c r="W628" t="s">
        <v>472</v>
      </c>
      <c r="X628" t="s">
        <v>957</v>
      </c>
      <c r="Y628">
        <v>10</v>
      </c>
      <c r="AB628">
        <v>0</v>
      </c>
      <c r="AC628" t="s">
        <v>297</v>
      </c>
      <c r="AE628" t="s">
        <v>63</v>
      </c>
      <c r="AH628">
        <v>6.48</v>
      </c>
      <c r="AI628">
        <v>30</v>
      </c>
      <c r="AT628" t="s">
        <v>203</v>
      </c>
      <c r="AV628" t="s">
        <v>88</v>
      </c>
      <c r="AZ628">
        <v>0</v>
      </c>
      <c r="BA628">
        <v>6.48</v>
      </c>
    </row>
    <row r="629" spans="1:53" x14ac:dyDescent="0.3">
      <c r="A629" t="s">
        <v>467</v>
      </c>
      <c r="C629" t="s">
        <v>920</v>
      </c>
      <c r="D629" t="s">
        <v>81</v>
      </c>
      <c r="E629">
        <v>246000</v>
      </c>
      <c r="O629">
        <v>1000</v>
      </c>
      <c r="P629" t="s">
        <v>277</v>
      </c>
      <c r="S629">
        <v>2</v>
      </c>
      <c r="T629">
        <v>20</v>
      </c>
      <c r="V629">
        <v>50</v>
      </c>
      <c r="W629" t="s">
        <v>472</v>
      </c>
      <c r="X629" t="s">
        <v>957</v>
      </c>
      <c r="Y629">
        <v>10</v>
      </c>
      <c r="AB629">
        <v>0</v>
      </c>
      <c r="AC629" t="s">
        <v>297</v>
      </c>
      <c r="AE629" t="s">
        <v>63</v>
      </c>
      <c r="AH629">
        <v>6.48</v>
      </c>
      <c r="AI629">
        <v>30</v>
      </c>
      <c r="AT629" t="s">
        <v>203</v>
      </c>
      <c r="AV629" t="s">
        <v>88</v>
      </c>
      <c r="AZ629">
        <v>0</v>
      </c>
      <c r="BA629">
        <v>6.48</v>
      </c>
    </row>
    <row r="630" spans="1:53" x14ac:dyDescent="0.3">
      <c r="A630" t="s">
        <v>467</v>
      </c>
      <c r="C630" t="s">
        <v>920</v>
      </c>
      <c r="D630" t="s">
        <v>81</v>
      </c>
      <c r="E630">
        <v>246000</v>
      </c>
      <c r="O630">
        <v>1000</v>
      </c>
      <c r="P630" t="s">
        <v>277</v>
      </c>
      <c r="S630">
        <v>2</v>
      </c>
      <c r="T630">
        <v>20</v>
      </c>
      <c r="V630">
        <v>50</v>
      </c>
      <c r="W630" t="s">
        <v>473</v>
      </c>
      <c r="X630" t="s">
        <v>957</v>
      </c>
      <c r="Y630">
        <v>60</v>
      </c>
      <c r="AB630">
        <v>18</v>
      </c>
      <c r="AC630" t="s">
        <v>297</v>
      </c>
      <c r="AE630" t="s">
        <v>63</v>
      </c>
      <c r="AH630">
        <v>6.59</v>
      </c>
      <c r="AI630">
        <v>30</v>
      </c>
      <c r="AV630" t="s">
        <v>88</v>
      </c>
      <c r="AZ630">
        <v>18</v>
      </c>
      <c r="BA630">
        <v>6.59</v>
      </c>
    </row>
    <row r="631" spans="1:53" x14ac:dyDescent="0.3">
      <c r="A631" t="s">
        <v>467</v>
      </c>
      <c r="C631" t="s">
        <v>920</v>
      </c>
      <c r="D631" t="s">
        <v>81</v>
      </c>
      <c r="E631">
        <v>246000</v>
      </c>
      <c r="O631">
        <v>1000</v>
      </c>
      <c r="P631" t="s">
        <v>277</v>
      </c>
      <c r="S631">
        <v>2</v>
      </c>
      <c r="T631">
        <v>20</v>
      </c>
      <c r="V631">
        <v>50</v>
      </c>
      <c r="W631" t="s">
        <v>473</v>
      </c>
      <c r="X631" t="s">
        <v>957</v>
      </c>
      <c r="Y631">
        <v>60</v>
      </c>
      <c r="AB631">
        <v>13</v>
      </c>
      <c r="AC631" t="s">
        <v>297</v>
      </c>
      <c r="AE631" t="s">
        <v>63</v>
      </c>
      <c r="AH631">
        <v>6.59</v>
      </c>
      <c r="AI631">
        <v>30</v>
      </c>
      <c r="AV631" t="s">
        <v>88</v>
      </c>
      <c r="AZ631">
        <v>13</v>
      </c>
      <c r="BA631">
        <v>6.59</v>
      </c>
    </row>
    <row r="632" spans="1:53" x14ac:dyDescent="0.3">
      <c r="A632" t="s">
        <v>467</v>
      </c>
      <c r="C632" t="s">
        <v>920</v>
      </c>
      <c r="D632" t="s">
        <v>81</v>
      </c>
      <c r="E632">
        <v>246000</v>
      </c>
      <c r="O632">
        <v>1000</v>
      </c>
      <c r="P632" t="s">
        <v>277</v>
      </c>
      <c r="S632">
        <v>2</v>
      </c>
      <c r="T632">
        <v>20</v>
      </c>
      <c r="V632">
        <v>50</v>
      </c>
      <c r="W632" t="s">
        <v>473</v>
      </c>
      <c r="X632" t="s">
        <v>957</v>
      </c>
      <c r="Y632">
        <v>10</v>
      </c>
      <c r="AB632">
        <v>30</v>
      </c>
      <c r="AC632" t="s">
        <v>297</v>
      </c>
      <c r="AE632" t="s">
        <v>63</v>
      </c>
      <c r="AH632">
        <v>6.59</v>
      </c>
      <c r="AI632">
        <v>30</v>
      </c>
      <c r="AV632" t="s">
        <v>88</v>
      </c>
      <c r="AZ632">
        <v>30</v>
      </c>
      <c r="BA632">
        <v>6.59</v>
      </c>
    </row>
    <row r="633" spans="1:53" x14ac:dyDescent="0.3">
      <c r="A633" t="s">
        <v>467</v>
      </c>
      <c r="C633" t="s">
        <v>920</v>
      </c>
      <c r="D633" t="s">
        <v>81</v>
      </c>
      <c r="E633">
        <v>246000</v>
      </c>
      <c r="O633">
        <v>1000</v>
      </c>
      <c r="P633" t="s">
        <v>277</v>
      </c>
      <c r="S633">
        <v>2</v>
      </c>
      <c r="T633">
        <v>20</v>
      </c>
      <c r="V633">
        <v>50</v>
      </c>
      <c r="W633" t="s">
        <v>473</v>
      </c>
      <c r="X633" t="s">
        <v>957</v>
      </c>
      <c r="Y633">
        <v>10</v>
      </c>
      <c r="AB633">
        <v>27</v>
      </c>
      <c r="AC633" t="s">
        <v>297</v>
      </c>
      <c r="AE633" t="s">
        <v>63</v>
      </c>
      <c r="AH633">
        <v>6.59</v>
      </c>
      <c r="AI633">
        <v>30</v>
      </c>
      <c r="AV633" t="s">
        <v>88</v>
      </c>
      <c r="AZ633">
        <v>27</v>
      </c>
      <c r="BA633">
        <v>6.59</v>
      </c>
    </row>
    <row r="634" spans="1:53" x14ac:dyDescent="0.3">
      <c r="A634" t="s">
        <v>467</v>
      </c>
      <c r="C634" t="s">
        <v>920</v>
      </c>
      <c r="D634" t="s">
        <v>470</v>
      </c>
      <c r="E634">
        <v>246000</v>
      </c>
      <c r="H634">
        <v>0.25</v>
      </c>
      <c r="I634" t="s">
        <v>56</v>
      </c>
      <c r="J634">
        <v>2.5000000000000001E-5</v>
      </c>
      <c r="K634" t="s">
        <v>57</v>
      </c>
      <c r="O634">
        <v>1000</v>
      </c>
      <c r="P634" t="s">
        <v>277</v>
      </c>
      <c r="S634">
        <v>2</v>
      </c>
      <c r="T634">
        <v>20</v>
      </c>
      <c r="V634">
        <v>50</v>
      </c>
      <c r="W634" t="s">
        <v>471</v>
      </c>
      <c r="X634" t="s">
        <v>957</v>
      </c>
      <c r="Y634">
        <v>60</v>
      </c>
      <c r="AA634" t="s">
        <v>94</v>
      </c>
      <c r="AB634">
        <v>6.5</v>
      </c>
      <c r="AC634" t="s">
        <v>85</v>
      </c>
      <c r="AI634">
        <v>3</v>
      </c>
      <c r="AT634" t="s">
        <v>150</v>
      </c>
      <c r="AV634" t="s">
        <v>88</v>
      </c>
      <c r="AZ634">
        <v>0</v>
      </c>
      <c r="BA634">
        <v>6.5</v>
      </c>
    </row>
    <row r="635" spans="1:53" x14ac:dyDescent="0.3">
      <c r="A635" t="s">
        <v>467</v>
      </c>
      <c r="C635" t="s">
        <v>920</v>
      </c>
      <c r="D635" t="s">
        <v>470</v>
      </c>
      <c r="E635">
        <v>246000</v>
      </c>
      <c r="H635">
        <v>0.25</v>
      </c>
      <c r="I635" t="s">
        <v>56</v>
      </c>
      <c r="J635">
        <v>2.5000000000000001E-5</v>
      </c>
      <c r="K635" t="s">
        <v>57</v>
      </c>
      <c r="O635">
        <v>1000</v>
      </c>
      <c r="P635" t="s">
        <v>277</v>
      </c>
      <c r="S635">
        <v>2</v>
      </c>
      <c r="T635">
        <v>20</v>
      </c>
      <c r="V635">
        <v>50</v>
      </c>
      <c r="W635" t="s">
        <v>471</v>
      </c>
      <c r="X635" t="s">
        <v>957</v>
      </c>
      <c r="Y635">
        <v>60</v>
      </c>
      <c r="AA635" t="s">
        <v>94</v>
      </c>
      <c r="AB635">
        <v>6.1</v>
      </c>
      <c r="AC635" t="s">
        <v>85</v>
      </c>
      <c r="AI635">
        <v>3</v>
      </c>
      <c r="AT635" t="s">
        <v>150</v>
      </c>
      <c r="AV635" t="s">
        <v>88</v>
      </c>
      <c r="AZ635">
        <v>0</v>
      </c>
      <c r="BA635">
        <v>6.1</v>
      </c>
    </row>
    <row r="636" spans="1:53" x14ac:dyDescent="0.3">
      <c r="A636" t="s">
        <v>467</v>
      </c>
      <c r="C636" t="s">
        <v>920</v>
      </c>
      <c r="D636" t="s">
        <v>470</v>
      </c>
      <c r="E636">
        <v>246000</v>
      </c>
      <c r="H636">
        <v>0.25</v>
      </c>
      <c r="I636" t="s">
        <v>56</v>
      </c>
      <c r="J636">
        <v>2.5000000000000001E-5</v>
      </c>
      <c r="K636" t="s">
        <v>57</v>
      </c>
      <c r="O636">
        <v>1000</v>
      </c>
      <c r="P636" t="s">
        <v>277</v>
      </c>
      <c r="S636">
        <v>2</v>
      </c>
      <c r="T636">
        <v>20</v>
      </c>
      <c r="V636">
        <v>50</v>
      </c>
      <c r="W636" t="s">
        <v>471</v>
      </c>
      <c r="X636" t="s">
        <v>957</v>
      </c>
      <c r="Y636">
        <v>60</v>
      </c>
      <c r="AA636" t="s">
        <v>94</v>
      </c>
      <c r="AB636">
        <v>6.3</v>
      </c>
      <c r="AC636" t="s">
        <v>85</v>
      </c>
      <c r="AI636">
        <v>3</v>
      </c>
      <c r="AT636" t="s">
        <v>150</v>
      </c>
      <c r="AV636" t="s">
        <v>88</v>
      </c>
      <c r="AZ636">
        <v>0</v>
      </c>
      <c r="BA636">
        <v>6.3</v>
      </c>
    </row>
    <row r="637" spans="1:53" x14ac:dyDescent="0.3">
      <c r="A637" t="s">
        <v>467</v>
      </c>
      <c r="C637" t="s">
        <v>920</v>
      </c>
      <c r="D637" t="s">
        <v>470</v>
      </c>
      <c r="E637">
        <v>246000</v>
      </c>
      <c r="H637">
        <v>0.25</v>
      </c>
      <c r="I637" t="s">
        <v>56</v>
      </c>
      <c r="J637">
        <v>2.5000000000000001E-5</v>
      </c>
      <c r="K637" t="s">
        <v>57</v>
      </c>
      <c r="O637">
        <v>1000</v>
      </c>
      <c r="P637" t="s">
        <v>277</v>
      </c>
      <c r="S637">
        <v>2</v>
      </c>
      <c r="T637">
        <v>20</v>
      </c>
      <c r="V637">
        <v>50</v>
      </c>
      <c r="W637" t="s">
        <v>471</v>
      </c>
      <c r="X637" t="s">
        <v>957</v>
      </c>
      <c r="Y637">
        <v>60</v>
      </c>
      <c r="AA637" t="s">
        <v>94</v>
      </c>
      <c r="AB637">
        <v>6.3</v>
      </c>
      <c r="AC637" t="s">
        <v>85</v>
      </c>
      <c r="AI637">
        <v>3</v>
      </c>
      <c r="AT637" t="s">
        <v>150</v>
      </c>
      <c r="AV637" t="s">
        <v>88</v>
      </c>
      <c r="AZ637">
        <v>0</v>
      </c>
      <c r="BA637">
        <v>6.3</v>
      </c>
    </row>
    <row r="638" spans="1:53" x14ac:dyDescent="0.3">
      <c r="A638" t="s">
        <v>467</v>
      </c>
      <c r="C638" t="s">
        <v>920</v>
      </c>
      <c r="D638" t="s">
        <v>470</v>
      </c>
      <c r="E638">
        <v>246000</v>
      </c>
      <c r="H638">
        <v>0.25</v>
      </c>
      <c r="I638" t="s">
        <v>56</v>
      </c>
      <c r="J638">
        <v>2.5000000000000001E-5</v>
      </c>
      <c r="K638" t="s">
        <v>57</v>
      </c>
      <c r="O638">
        <v>1000</v>
      </c>
      <c r="P638" t="s">
        <v>277</v>
      </c>
      <c r="S638">
        <v>2</v>
      </c>
      <c r="T638">
        <v>20</v>
      </c>
      <c r="V638">
        <v>50</v>
      </c>
      <c r="W638" t="s">
        <v>471</v>
      </c>
      <c r="X638" t="s">
        <v>957</v>
      </c>
      <c r="Y638">
        <v>10</v>
      </c>
      <c r="AA638" t="s">
        <v>94</v>
      </c>
      <c r="AB638">
        <v>6.5</v>
      </c>
      <c r="AC638" t="s">
        <v>85</v>
      </c>
      <c r="AI638">
        <v>3</v>
      </c>
      <c r="AT638" t="s">
        <v>150</v>
      </c>
      <c r="AV638" t="s">
        <v>88</v>
      </c>
      <c r="AZ638">
        <v>0</v>
      </c>
      <c r="BA638">
        <v>6.5</v>
      </c>
    </row>
    <row r="639" spans="1:53" x14ac:dyDescent="0.3">
      <c r="A639" t="s">
        <v>467</v>
      </c>
      <c r="C639" t="s">
        <v>920</v>
      </c>
      <c r="D639" t="s">
        <v>470</v>
      </c>
      <c r="E639">
        <v>246000</v>
      </c>
      <c r="H639">
        <v>0.25</v>
      </c>
      <c r="I639" t="s">
        <v>56</v>
      </c>
      <c r="J639">
        <v>2.5000000000000001E-5</v>
      </c>
      <c r="K639" t="s">
        <v>57</v>
      </c>
      <c r="O639">
        <v>1000</v>
      </c>
      <c r="P639" t="s">
        <v>277</v>
      </c>
      <c r="S639">
        <v>2</v>
      </c>
      <c r="T639">
        <v>20</v>
      </c>
      <c r="V639">
        <v>50</v>
      </c>
      <c r="W639" t="s">
        <v>471</v>
      </c>
      <c r="X639" t="s">
        <v>957</v>
      </c>
      <c r="Y639">
        <v>10</v>
      </c>
      <c r="AB639">
        <v>5.9</v>
      </c>
      <c r="AC639" t="s">
        <v>85</v>
      </c>
      <c r="AE639" t="s">
        <v>63</v>
      </c>
      <c r="AI639">
        <v>3</v>
      </c>
      <c r="AT639" t="s">
        <v>150</v>
      </c>
      <c r="AV639" t="s">
        <v>88</v>
      </c>
    </row>
    <row r="640" spans="1:53" x14ac:dyDescent="0.3">
      <c r="A640" t="s">
        <v>467</v>
      </c>
      <c r="C640" t="s">
        <v>920</v>
      </c>
      <c r="D640" t="s">
        <v>470</v>
      </c>
      <c r="E640">
        <v>246000</v>
      </c>
      <c r="H640">
        <v>0.25</v>
      </c>
      <c r="I640" t="s">
        <v>56</v>
      </c>
      <c r="J640">
        <v>2.5000000000000001E-5</v>
      </c>
      <c r="K640" t="s">
        <v>57</v>
      </c>
      <c r="O640">
        <v>1000</v>
      </c>
      <c r="P640" t="s">
        <v>277</v>
      </c>
      <c r="S640">
        <v>2</v>
      </c>
      <c r="T640">
        <v>20</v>
      </c>
      <c r="V640">
        <v>50</v>
      </c>
      <c r="W640" t="s">
        <v>471</v>
      </c>
      <c r="X640" t="s">
        <v>957</v>
      </c>
      <c r="Y640">
        <v>10</v>
      </c>
      <c r="AB640">
        <v>4.5</v>
      </c>
      <c r="AC640" t="s">
        <v>85</v>
      </c>
      <c r="AE640" t="s">
        <v>63</v>
      </c>
      <c r="AI640">
        <v>3</v>
      </c>
      <c r="AT640" t="s">
        <v>150</v>
      </c>
      <c r="AV640" t="s">
        <v>88</v>
      </c>
    </row>
    <row r="641" spans="1:53" x14ac:dyDescent="0.3">
      <c r="A641" t="s">
        <v>467</v>
      </c>
      <c r="C641" t="s">
        <v>920</v>
      </c>
      <c r="D641" t="s">
        <v>470</v>
      </c>
      <c r="E641">
        <v>246000</v>
      </c>
      <c r="H641">
        <v>0.25</v>
      </c>
      <c r="I641" t="s">
        <v>56</v>
      </c>
      <c r="J641">
        <v>2.5000000000000001E-5</v>
      </c>
      <c r="K641" t="s">
        <v>57</v>
      </c>
      <c r="O641">
        <v>1000</v>
      </c>
      <c r="P641" t="s">
        <v>277</v>
      </c>
      <c r="S641">
        <v>2</v>
      </c>
      <c r="T641">
        <v>20</v>
      </c>
      <c r="V641">
        <v>50</v>
      </c>
      <c r="W641" t="s">
        <v>471</v>
      </c>
      <c r="X641" t="s">
        <v>957</v>
      </c>
      <c r="Y641">
        <v>10</v>
      </c>
      <c r="AA641" t="s">
        <v>94</v>
      </c>
      <c r="AB641">
        <v>6.3</v>
      </c>
      <c r="AC641" t="s">
        <v>85</v>
      </c>
      <c r="AI641">
        <v>3</v>
      </c>
      <c r="AT641" t="s">
        <v>150</v>
      </c>
      <c r="AV641" t="s">
        <v>88</v>
      </c>
      <c r="AZ641">
        <v>0</v>
      </c>
      <c r="BA641">
        <v>6.3</v>
      </c>
    </row>
    <row r="642" spans="1:53" x14ac:dyDescent="0.3">
      <c r="A642" t="s">
        <v>467</v>
      </c>
      <c r="C642" t="s">
        <v>920</v>
      </c>
      <c r="D642" t="s">
        <v>81</v>
      </c>
      <c r="E642">
        <v>246000</v>
      </c>
      <c r="H642">
        <v>14.25</v>
      </c>
      <c r="I642" t="s">
        <v>56</v>
      </c>
      <c r="J642">
        <v>1.4250000000000001E-3</v>
      </c>
      <c r="K642" t="s">
        <v>57</v>
      </c>
      <c r="O642">
        <v>1000</v>
      </c>
      <c r="P642" t="s">
        <v>277</v>
      </c>
      <c r="S642">
        <v>2</v>
      </c>
      <c r="T642">
        <v>20</v>
      </c>
      <c r="V642">
        <v>50</v>
      </c>
      <c r="W642" t="s">
        <v>72</v>
      </c>
      <c r="X642" t="s">
        <v>957</v>
      </c>
      <c r="Y642">
        <v>60</v>
      </c>
      <c r="AA642" t="s">
        <v>94</v>
      </c>
      <c r="AB642">
        <v>8.1</v>
      </c>
      <c r="AC642" t="s">
        <v>85</v>
      </c>
      <c r="AI642">
        <v>5</v>
      </c>
      <c r="AT642" t="s">
        <v>73</v>
      </c>
      <c r="AV642" t="s">
        <v>88</v>
      </c>
      <c r="AZ642">
        <v>0</v>
      </c>
      <c r="BA642">
        <v>8.1</v>
      </c>
    </row>
    <row r="643" spans="1:53" x14ac:dyDescent="0.3">
      <c r="A643" t="s">
        <v>467</v>
      </c>
      <c r="C643" t="s">
        <v>920</v>
      </c>
      <c r="D643" t="s">
        <v>81</v>
      </c>
      <c r="E643">
        <v>246000</v>
      </c>
      <c r="H643">
        <v>14.25</v>
      </c>
      <c r="I643" t="s">
        <v>56</v>
      </c>
      <c r="J643">
        <v>1.4250000000000001E-3</v>
      </c>
      <c r="K643" t="s">
        <v>57</v>
      </c>
      <c r="O643">
        <v>1000</v>
      </c>
      <c r="P643" t="s">
        <v>277</v>
      </c>
      <c r="S643">
        <v>2</v>
      </c>
      <c r="T643">
        <v>20</v>
      </c>
      <c r="V643">
        <v>50</v>
      </c>
      <c r="W643" t="s">
        <v>72</v>
      </c>
      <c r="X643" t="s">
        <v>957</v>
      </c>
      <c r="Y643">
        <v>60</v>
      </c>
      <c r="AA643" t="s">
        <v>94</v>
      </c>
      <c r="AB643">
        <v>7.3</v>
      </c>
      <c r="AC643" t="s">
        <v>85</v>
      </c>
      <c r="AI643">
        <v>5</v>
      </c>
      <c r="AT643" t="s">
        <v>73</v>
      </c>
      <c r="AV643" t="s">
        <v>88</v>
      </c>
      <c r="AZ643">
        <v>0</v>
      </c>
      <c r="BA643">
        <v>7.3</v>
      </c>
    </row>
    <row r="644" spans="1:53" x14ac:dyDescent="0.3">
      <c r="A644" t="s">
        <v>467</v>
      </c>
      <c r="C644" t="s">
        <v>920</v>
      </c>
      <c r="D644" t="s">
        <v>81</v>
      </c>
      <c r="E644">
        <v>246000</v>
      </c>
      <c r="H644">
        <v>14.25</v>
      </c>
      <c r="I644" t="s">
        <v>56</v>
      </c>
      <c r="J644">
        <v>1.4250000000000001E-3</v>
      </c>
      <c r="K644" t="s">
        <v>57</v>
      </c>
      <c r="O644">
        <v>1000</v>
      </c>
      <c r="P644" t="s">
        <v>277</v>
      </c>
      <c r="S644">
        <v>2</v>
      </c>
      <c r="T644">
        <v>20</v>
      </c>
      <c r="V644">
        <v>50</v>
      </c>
      <c r="W644" t="s">
        <v>72</v>
      </c>
      <c r="X644" t="s">
        <v>957</v>
      </c>
      <c r="Y644">
        <v>10</v>
      </c>
      <c r="AA644" t="s">
        <v>94</v>
      </c>
      <c r="AB644">
        <v>8.1</v>
      </c>
      <c r="AC644" t="s">
        <v>85</v>
      </c>
      <c r="AI644">
        <v>5</v>
      </c>
      <c r="AT644" t="s">
        <v>73</v>
      </c>
      <c r="AV644" t="s">
        <v>88</v>
      </c>
      <c r="AZ644">
        <v>0</v>
      </c>
      <c r="BA644">
        <v>8.1</v>
      </c>
    </row>
    <row r="645" spans="1:53" x14ac:dyDescent="0.3">
      <c r="A645" t="s">
        <v>467</v>
      </c>
      <c r="C645" t="s">
        <v>920</v>
      </c>
      <c r="D645" t="s">
        <v>81</v>
      </c>
      <c r="E645">
        <v>246000</v>
      </c>
      <c r="H645">
        <v>14.25</v>
      </c>
      <c r="I645" t="s">
        <v>56</v>
      </c>
      <c r="J645">
        <v>1.4250000000000001E-3</v>
      </c>
      <c r="K645" t="s">
        <v>57</v>
      </c>
      <c r="O645">
        <v>1000</v>
      </c>
      <c r="P645" t="s">
        <v>277</v>
      </c>
      <c r="S645">
        <v>2</v>
      </c>
      <c r="T645">
        <v>20</v>
      </c>
      <c r="V645">
        <v>50</v>
      </c>
      <c r="W645" t="s">
        <v>72</v>
      </c>
      <c r="X645" t="s">
        <v>957</v>
      </c>
      <c r="Y645">
        <v>10</v>
      </c>
      <c r="AA645" t="s">
        <v>94</v>
      </c>
      <c r="AB645">
        <v>7.3</v>
      </c>
      <c r="AC645" t="s">
        <v>85</v>
      </c>
      <c r="AI645">
        <v>5</v>
      </c>
      <c r="AT645" t="s">
        <v>73</v>
      </c>
      <c r="AV645" t="s">
        <v>88</v>
      </c>
      <c r="AZ645">
        <v>0</v>
      </c>
      <c r="BA645">
        <v>7.3</v>
      </c>
    </row>
    <row r="646" spans="1:53" x14ac:dyDescent="0.3">
      <c r="A646" t="s">
        <v>467</v>
      </c>
      <c r="C646" t="s">
        <v>920</v>
      </c>
      <c r="D646" t="s">
        <v>81</v>
      </c>
      <c r="E646">
        <v>246000</v>
      </c>
      <c r="H646">
        <v>14.25</v>
      </c>
      <c r="I646" t="s">
        <v>56</v>
      </c>
      <c r="J646">
        <v>1.4250000000000001E-3</v>
      </c>
      <c r="K646" t="s">
        <v>57</v>
      </c>
      <c r="O646">
        <v>1000</v>
      </c>
      <c r="P646" t="s">
        <v>277</v>
      </c>
      <c r="S646">
        <v>2</v>
      </c>
      <c r="T646">
        <v>20</v>
      </c>
      <c r="V646">
        <v>50</v>
      </c>
      <c r="W646" t="s">
        <v>469</v>
      </c>
      <c r="X646" t="s">
        <v>957</v>
      </c>
      <c r="Y646">
        <v>60</v>
      </c>
      <c r="AA646" t="s">
        <v>94</v>
      </c>
      <c r="AB646">
        <v>8.1</v>
      </c>
      <c r="AC646" t="s">
        <v>85</v>
      </c>
      <c r="AI646">
        <v>5</v>
      </c>
      <c r="AT646" t="s">
        <v>65</v>
      </c>
      <c r="AV646" t="s">
        <v>88</v>
      </c>
      <c r="AZ646">
        <v>0</v>
      </c>
      <c r="BA646">
        <v>8.1</v>
      </c>
    </row>
    <row r="647" spans="1:53" x14ac:dyDescent="0.3">
      <c r="A647" t="s">
        <v>467</v>
      </c>
      <c r="C647" t="s">
        <v>920</v>
      </c>
      <c r="D647" t="s">
        <v>81</v>
      </c>
      <c r="E647">
        <v>246000</v>
      </c>
      <c r="H647">
        <v>14.25</v>
      </c>
      <c r="I647" t="s">
        <v>56</v>
      </c>
      <c r="J647">
        <v>1.4250000000000001E-3</v>
      </c>
      <c r="K647" t="s">
        <v>57</v>
      </c>
      <c r="O647">
        <v>1000</v>
      </c>
      <c r="P647" t="s">
        <v>277</v>
      </c>
      <c r="S647">
        <v>2</v>
      </c>
      <c r="T647">
        <v>20</v>
      </c>
      <c r="V647">
        <v>50</v>
      </c>
      <c r="W647" t="s">
        <v>469</v>
      </c>
      <c r="X647" t="s">
        <v>957</v>
      </c>
      <c r="Y647">
        <v>60</v>
      </c>
      <c r="AA647" t="s">
        <v>94</v>
      </c>
      <c r="AB647">
        <v>6.7</v>
      </c>
      <c r="AC647" t="s">
        <v>85</v>
      </c>
      <c r="AI647">
        <v>5</v>
      </c>
      <c r="AT647" t="s">
        <v>65</v>
      </c>
      <c r="AV647" t="s">
        <v>88</v>
      </c>
      <c r="AZ647">
        <v>0</v>
      </c>
      <c r="BA647">
        <v>6.7</v>
      </c>
    </row>
    <row r="648" spans="1:53" x14ac:dyDescent="0.3">
      <c r="A648" t="s">
        <v>467</v>
      </c>
      <c r="C648" t="s">
        <v>920</v>
      </c>
      <c r="D648" t="s">
        <v>81</v>
      </c>
      <c r="E648">
        <v>246000</v>
      </c>
      <c r="H648">
        <v>14.25</v>
      </c>
      <c r="I648" t="s">
        <v>56</v>
      </c>
      <c r="J648">
        <v>1.4250000000000001E-3</v>
      </c>
      <c r="K648" t="s">
        <v>57</v>
      </c>
      <c r="O648">
        <v>1000</v>
      </c>
      <c r="P648" t="s">
        <v>277</v>
      </c>
      <c r="S648">
        <v>2</v>
      </c>
      <c r="T648">
        <v>20</v>
      </c>
      <c r="V648">
        <v>50</v>
      </c>
      <c r="W648" t="s">
        <v>469</v>
      </c>
      <c r="X648" t="s">
        <v>957</v>
      </c>
      <c r="Y648">
        <v>10</v>
      </c>
      <c r="AA648" t="s">
        <v>94</v>
      </c>
      <c r="AB648">
        <v>8.1</v>
      </c>
      <c r="AC648" t="s">
        <v>85</v>
      </c>
      <c r="AI648">
        <v>5</v>
      </c>
      <c r="AT648" t="s">
        <v>65</v>
      </c>
      <c r="AV648" t="s">
        <v>88</v>
      </c>
      <c r="AZ648">
        <v>0</v>
      </c>
      <c r="BA648">
        <v>8.1</v>
      </c>
    </row>
    <row r="649" spans="1:53" x14ac:dyDescent="0.3">
      <c r="A649" t="s">
        <v>467</v>
      </c>
      <c r="C649" t="s">
        <v>920</v>
      </c>
      <c r="D649" t="s">
        <v>81</v>
      </c>
      <c r="E649">
        <v>246000</v>
      </c>
      <c r="H649">
        <v>14.25</v>
      </c>
      <c r="I649" t="s">
        <v>56</v>
      </c>
      <c r="J649">
        <v>1.4250000000000001E-3</v>
      </c>
      <c r="K649" t="s">
        <v>57</v>
      </c>
      <c r="O649">
        <v>1000</v>
      </c>
      <c r="P649" t="s">
        <v>277</v>
      </c>
      <c r="S649">
        <v>2</v>
      </c>
      <c r="T649">
        <v>20</v>
      </c>
      <c r="V649">
        <v>50</v>
      </c>
      <c r="W649" t="s">
        <v>469</v>
      </c>
      <c r="X649" t="s">
        <v>957</v>
      </c>
      <c r="Y649">
        <v>10</v>
      </c>
      <c r="AA649" t="s">
        <v>94</v>
      </c>
      <c r="AB649">
        <v>6.7</v>
      </c>
      <c r="AC649" t="s">
        <v>85</v>
      </c>
      <c r="AI649">
        <v>5</v>
      </c>
      <c r="AT649" t="s">
        <v>65</v>
      </c>
      <c r="AV649" t="s">
        <v>88</v>
      </c>
      <c r="AZ649">
        <v>0</v>
      </c>
      <c r="BA649">
        <v>6.7</v>
      </c>
    </row>
    <row r="650" spans="1:53" x14ac:dyDescent="0.3">
      <c r="A650" t="s">
        <v>467</v>
      </c>
      <c r="C650" t="s">
        <v>920</v>
      </c>
      <c r="D650" t="s">
        <v>81</v>
      </c>
      <c r="E650">
        <v>246000</v>
      </c>
      <c r="H650">
        <v>0.25</v>
      </c>
      <c r="I650" t="s">
        <v>56</v>
      </c>
      <c r="J650">
        <v>2.5000000000000001E-5</v>
      </c>
      <c r="K650" t="s">
        <v>57</v>
      </c>
      <c r="O650">
        <v>1000</v>
      </c>
      <c r="P650" t="s">
        <v>277</v>
      </c>
      <c r="S650">
        <v>2</v>
      </c>
      <c r="T650">
        <v>20</v>
      </c>
      <c r="V650">
        <v>50</v>
      </c>
      <c r="W650" t="s">
        <v>147</v>
      </c>
      <c r="X650" t="s">
        <v>957</v>
      </c>
      <c r="Y650">
        <v>60</v>
      </c>
      <c r="AB650">
        <v>7.1</v>
      </c>
      <c r="AC650" t="s">
        <v>85</v>
      </c>
      <c r="AD650" t="s">
        <v>326</v>
      </c>
      <c r="AE650" t="s">
        <v>63</v>
      </c>
      <c r="AI650">
        <v>5</v>
      </c>
      <c r="AT650" t="s">
        <v>150</v>
      </c>
      <c r="AV650" t="s">
        <v>88</v>
      </c>
    </row>
    <row r="651" spans="1:53" x14ac:dyDescent="0.3">
      <c r="A651" t="s">
        <v>467</v>
      </c>
      <c r="C651" t="s">
        <v>920</v>
      </c>
      <c r="D651" t="s">
        <v>81</v>
      </c>
      <c r="E651">
        <v>246000</v>
      </c>
      <c r="H651">
        <v>0.25</v>
      </c>
      <c r="I651" t="s">
        <v>56</v>
      </c>
      <c r="J651">
        <v>2.5000000000000001E-5</v>
      </c>
      <c r="K651" t="s">
        <v>57</v>
      </c>
      <c r="O651">
        <v>1000</v>
      </c>
      <c r="P651" t="s">
        <v>277</v>
      </c>
      <c r="S651">
        <v>2</v>
      </c>
      <c r="T651">
        <v>20</v>
      </c>
      <c r="V651">
        <v>50</v>
      </c>
      <c r="W651" t="s">
        <v>147</v>
      </c>
      <c r="X651" t="s">
        <v>957</v>
      </c>
      <c r="Y651">
        <v>60</v>
      </c>
      <c r="AA651" t="s">
        <v>94</v>
      </c>
      <c r="AB651">
        <v>7.3</v>
      </c>
      <c r="AC651" t="s">
        <v>85</v>
      </c>
      <c r="AI651">
        <v>5</v>
      </c>
      <c r="AT651" t="s">
        <v>150</v>
      </c>
      <c r="AV651" t="s">
        <v>88</v>
      </c>
      <c r="AZ651">
        <v>0</v>
      </c>
      <c r="BA651">
        <v>7.3</v>
      </c>
    </row>
    <row r="652" spans="1:53" x14ac:dyDescent="0.3">
      <c r="A652" t="s">
        <v>467</v>
      </c>
      <c r="C652" t="s">
        <v>920</v>
      </c>
      <c r="D652" t="s">
        <v>81</v>
      </c>
      <c r="E652">
        <v>246000</v>
      </c>
      <c r="H652">
        <v>0.25</v>
      </c>
      <c r="I652" t="s">
        <v>56</v>
      </c>
      <c r="J652">
        <v>2.5000000000000001E-5</v>
      </c>
      <c r="K652" t="s">
        <v>57</v>
      </c>
      <c r="O652">
        <v>1000</v>
      </c>
      <c r="P652" t="s">
        <v>277</v>
      </c>
      <c r="S652">
        <v>2</v>
      </c>
      <c r="T652">
        <v>20</v>
      </c>
      <c r="V652">
        <v>50</v>
      </c>
      <c r="W652" t="s">
        <v>147</v>
      </c>
      <c r="X652" t="s">
        <v>957</v>
      </c>
      <c r="Y652">
        <v>10</v>
      </c>
      <c r="AB652">
        <v>7.3</v>
      </c>
      <c r="AC652" t="s">
        <v>85</v>
      </c>
      <c r="AD652" t="s">
        <v>332</v>
      </c>
      <c r="AE652" t="s">
        <v>63</v>
      </c>
      <c r="AI652">
        <v>5</v>
      </c>
      <c r="AT652" t="s">
        <v>150</v>
      </c>
      <c r="AV652" t="s">
        <v>88</v>
      </c>
    </row>
    <row r="653" spans="1:53" x14ac:dyDescent="0.3">
      <c r="A653" t="s">
        <v>467</v>
      </c>
      <c r="C653" t="s">
        <v>920</v>
      </c>
      <c r="D653" t="s">
        <v>81</v>
      </c>
      <c r="E653">
        <v>246000</v>
      </c>
      <c r="H653">
        <v>0.25</v>
      </c>
      <c r="I653" t="s">
        <v>56</v>
      </c>
      <c r="J653">
        <v>2.5000000000000001E-5</v>
      </c>
      <c r="K653" t="s">
        <v>57</v>
      </c>
      <c r="O653">
        <v>1000</v>
      </c>
      <c r="P653" t="s">
        <v>277</v>
      </c>
      <c r="S653">
        <v>2</v>
      </c>
      <c r="T653">
        <v>20</v>
      </c>
      <c r="V653">
        <v>50</v>
      </c>
      <c r="W653" t="s">
        <v>147</v>
      </c>
      <c r="X653" t="s">
        <v>957</v>
      </c>
      <c r="Y653">
        <v>10</v>
      </c>
      <c r="AA653" t="s">
        <v>94</v>
      </c>
      <c r="AB653">
        <v>7.3</v>
      </c>
      <c r="AC653" t="s">
        <v>85</v>
      </c>
      <c r="AI653">
        <v>5</v>
      </c>
      <c r="AT653" t="s">
        <v>150</v>
      </c>
      <c r="AV653" t="s">
        <v>88</v>
      </c>
      <c r="AZ653">
        <v>0</v>
      </c>
      <c r="BA653">
        <v>7.3</v>
      </c>
    </row>
    <row r="654" spans="1:53" x14ac:dyDescent="0.3">
      <c r="A654" t="s">
        <v>618</v>
      </c>
      <c r="C654" t="s">
        <v>920</v>
      </c>
      <c r="D654" t="s">
        <v>81</v>
      </c>
      <c r="E654">
        <v>246000</v>
      </c>
      <c r="H654">
        <v>2.54</v>
      </c>
      <c r="I654" t="s">
        <v>56</v>
      </c>
      <c r="J654">
        <v>2.5399999999999999E-4</v>
      </c>
      <c r="K654" t="s">
        <v>57</v>
      </c>
      <c r="L654" t="s">
        <v>112</v>
      </c>
      <c r="O654">
        <v>6350</v>
      </c>
      <c r="P654" t="s">
        <v>121</v>
      </c>
      <c r="T654">
        <v>25</v>
      </c>
      <c r="V654">
        <v>50</v>
      </c>
      <c r="W654" t="s">
        <v>73</v>
      </c>
      <c r="X654" t="s">
        <v>199</v>
      </c>
      <c r="AB654">
        <v>1.9277108433735E-2</v>
      </c>
      <c r="AC654" t="s">
        <v>85</v>
      </c>
      <c r="AE654" t="s">
        <v>63</v>
      </c>
      <c r="AI654">
        <v>5</v>
      </c>
      <c r="AT654" t="s">
        <v>73</v>
      </c>
      <c r="AV654" t="s">
        <v>88</v>
      </c>
    </row>
    <row r="655" spans="1:53" x14ac:dyDescent="0.3">
      <c r="A655" t="s">
        <v>618</v>
      </c>
      <c r="C655" t="s">
        <v>920</v>
      </c>
      <c r="D655" t="s">
        <v>81</v>
      </c>
      <c r="E655">
        <v>246000</v>
      </c>
      <c r="H655">
        <v>2.54</v>
      </c>
      <c r="I655" t="s">
        <v>56</v>
      </c>
      <c r="J655">
        <v>2.5399999999999999E-4</v>
      </c>
      <c r="K655" t="s">
        <v>57</v>
      </c>
      <c r="L655" t="s">
        <v>112</v>
      </c>
      <c r="O655">
        <v>6350</v>
      </c>
      <c r="P655" t="s">
        <v>121</v>
      </c>
      <c r="T655">
        <v>25</v>
      </c>
      <c r="V655">
        <v>50</v>
      </c>
      <c r="W655" t="s">
        <v>73</v>
      </c>
      <c r="X655" t="s">
        <v>199</v>
      </c>
      <c r="Y655">
        <v>1.0473966349981381</v>
      </c>
      <c r="AB655">
        <v>0.57831325301204695</v>
      </c>
      <c r="AC655" t="s">
        <v>85</v>
      </c>
      <c r="AE655" t="s">
        <v>63</v>
      </c>
      <c r="AI655">
        <v>5</v>
      </c>
      <c r="AT655" t="s">
        <v>73</v>
      </c>
      <c r="AV655" t="s">
        <v>88</v>
      </c>
    </row>
    <row r="656" spans="1:53" x14ac:dyDescent="0.3">
      <c r="A656" t="s">
        <v>618</v>
      </c>
      <c r="C656" t="s">
        <v>920</v>
      </c>
      <c r="D656" t="s">
        <v>81</v>
      </c>
      <c r="E656">
        <v>246000</v>
      </c>
      <c r="H656">
        <v>2.54</v>
      </c>
      <c r="I656" t="s">
        <v>56</v>
      </c>
      <c r="J656">
        <v>2.5399999999999999E-4</v>
      </c>
      <c r="K656" t="s">
        <v>57</v>
      </c>
      <c r="L656" t="s">
        <v>112</v>
      </c>
      <c r="O656">
        <v>6350</v>
      </c>
      <c r="P656" t="s">
        <v>121</v>
      </c>
      <c r="T656">
        <v>25</v>
      </c>
      <c r="V656">
        <v>50</v>
      </c>
      <c r="W656" t="s">
        <v>73</v>
      </c>
      <c r="X656" t="s">
        <v>199</v>
      </c>
      <c r="Y656">
        <v>4.7382835305981539</v>
      </c>
      <c r="AB656">
        <v>1.1566265060240799</v>
      </c>
      <c r="AC656" t="s">
        <v>85</v>
      </c>
      <c r="AE656" t="s">
        <v>63</v>
      </c>
      <c r="AI656">
        <v>5</v>
      </c>
      <c r="AT656" t="s">
        <v>73</v>
      </c>
      <c r="AV656" t="s">
        <v>88</v>
      </c>
    </row>
    <row r="657" spans="1:48" x14ac:dyDescent="0.3">
      <c r="A657" t="s">
        <v>618</v>
      </c>
      <c r="C657" t="s">
        <v>920</v>
      </c>
      <c r="D657" t="s">
        <v>81</v>
      </c>
      <c r="E657">
        <v>246000</v>
      </c>
      <c r="H657">
        <v>2.54</v>
      </c>
      <c r="I657" t="s">
        <v>56</v>
      </c>
      <c r="J657">
        <v>2.5399999999999999E-4</v>
      </c>
      <c r="K657" t="s">
        <v>57</v>
      </c>
      <c r="L657" t="s">
        <v>112</v>
      </c>
      <c r="O657">
        <v>6350</v>
      </c>
      <c r="P657" t="s">
        <v>121</v>
      </c>
      <c r="T657">
        <v>25</v>
      </c>
      <c r="V657">
        <v>50</v>
      </c>
      <c r="W657" t="s">
        <v>73</v>
      </c>
      <c r="X657" t="s">
        <v>199</v>
      </c>
      <c r="Y657">
        <v>6.8493179767528201</v>
      </c>
      <c r="AB657">
        <v>1.3686746987951699</v>
      </c>
      <c r="AC657" t="s">
        <v>85</v>
      </c>
      <c r="AE657" t="s">
        <v>63</v>
      </c>
      <c r="AI657">
        <v>5</v>
      </c>
      <c r="AT657" t="s">
        <v>73</v>
      </c>
      <c r="AV657" t="s">
        <v>88</v>
      </c>
    </row>
    <row r="658" spans="1:48" x14ac:dyDescent="0.3">
      <c r="A658" t="s">
        <v>618</v>
      </c>
      <c r="C658" t="s">
        <v>920</v>
      </c>
      <c r="D658" t="s">
        <v>81</v>
      </c>
      <c r="E658">
        <v>246000</v>
      </c>
      <c r="H658">
        <v>2.54</v>
      </c>
      <c r="I658" t="s">
        <v>56</v>
      </c>
      <c r="J658">
        <v>2.5399999999999999E-4</v>
      </c>
      <c r="K658" t="s">
        <v>57</v>
      </c>
      <c r="L658" t="s">
        <v>112</v>
      </c>
      <c r="O658">
        <v>6350</v>
      </c>
      <c r="P658" t="s">
        <v>121</v>
      </c>
      <c r="T658">
        <v>25</v>
      </c>
      <c r="V658">
        <v>50</v>
      </c>
      <c r="W658" t="s">
        <v>73</v>
      </c>
      <c r="X658" t="s">
        <v>199</v>
      </c>
      <c r="Y658">
        <v>10.281301417122179</v>
      </c>
      <c r="AB658">
        <v>1.6192771084337301</v>
      </c>
      <c r="AC658" t="s">
        <v>85</v>
      </c>
      <c r="AE658" t="s">
        <v>63</v>
      </c>
      <c r="AI658">
        <v>5</v>
      </c>
      <c r="AT658" t="s">
        <v>73</v>
      </c>
      <c r="AV658" t="s">
        <v>88</v>
      </c>
    </row>
    <row r="659" spans="1:48" x14ac:dyDescent="0.3">
      <c r="A659" t="s">
        <v>618</v>
      </c>
      <c r="C659" t="s">
        <v>920</v>
      </c>
      <c r="D659" t="s">
        <v>81</v>
      </c>
      <c r="E659">
        <v>246000</v>
      </c>
      <c r="H659">
        <v>2.54</v>
      </c>
      <c r="I659" t="s">
        <v>56</v>
      </c>
      <c r="J659">
        <v>2.5399999999999999E-4</v>
      </c>
      <c r="K659" t="s">
        <v>57</v>
      </c>
      <c r="L659" t="s">
        <v>112</v>
      </c>
      <c r="O659">
        <v>6350</v>
      </c>
      <c r="P659" t="s">
        <v>121</v>
      </c>
      <c r="T659">
        <v>25</v>
      </c>
      <c r="V659">
        <v>50</v>
      </c>
      <c r="W659" t="s">
        <v>73</v>
      </c>
      <c r="X659" t="s">
        <v>199</v>
      </c>
      <c r="Y659">
        <v>60.234382463775603</v>
      </c>
      <c r="AB659">
        <v>1.7927710843373299</v>
      </c>
      <c r="AC659" t="s">
        <v>85</v>
      </c>
      <c r="AE659" t="s">
        <v>63</v>
      </c>
      <c r="AI659">
        <v>5</v>
      </c>
      <c r="AT659" t="s">
        <v>73</v>
      </c>
      <c r="AV659" t="s">
        <v>88</v>
      </c>
    </row>
    <row r="660" spans="1:48" x14ac:dyDescent="0.3">
      <c r="A660" t="s">
        <v>618</v>
      </c>
      <c r="C660" t="s">
        <v>920</v>
      </c>
      <c r="D660" t="s">
        <v>81</v>
      </c>
      <c r="E660">
        <v>246000</v>
      </c>
      <c r="H660">
        <v>2.54</v>
      </c>
      <c r="I660" t="s">
        <v>56</v>
      </c>
      <c r="J660">
        <v>2.5399999999999999E-4</v>
      </c>
      <c r="K660" t="s">
        <v>57</v>
      </c>
      <c r="L660" t="s">
        <v>112</v>
      </c>
      <c r="O660">
        <v>6350</v>
      </c>
      <c r="P660" t="s">
        <v>121</v>
      </c>
      <c r="T660">
        <v>25</v>
      </c>
      <c r="V660">
        <v>50</v>
      </c>
      <c r="W660" t="s">
        <v>73</v>
      </c>
      <c r="X660" t="s">
        <v>199</v>
      </c>
      <c r="AB660">
        <v>-1.9277108433734601E-2</v>
      </c>
      <c r="AC660" t="s">
        <v>85</v>
      </c>
      <c r="AE660" t="s">
        <v>63</v>
      </c>
      <c r="AI660">
        <v>5</v>
      </c>
      <c r="AT660" t="s">
        <v>73</v>
      </c>
      <c r="AV660" t="s">
        <v>88</v>
      </c>
    </row>
    <row r="661" spans="1:48" x14ac:dyDescent="0.3">
      <c r="A661" t="s">
        <v>618</v>
      </c>
      <c r="C661" t="s">
        <v>920</v>
      </c>
      <c r="D661" t="s">
        <v>81</v>
      </c>
      <c r="E661">
        <v>246000</v>
      </c>
      <c r="H661">
        <v>2.54</v>
      </c>
      <c r="I661" t="s">
        <v>56</v>
      </c>
      <c r="J661">
        <v>2.5399999999999999E-4</v>
      </c>
      <c r="K661" t="s">
        <v>57</v>
      </c>
      <c r="L661" t="s">
        <v>112</v>
      </c>
      <c r="O661">
        <v>6350</v>
      </c>
      <c r="P661" t="s">
        <v>121</v>
      </c>
      <c r="T661">
        <v>25</v>
      </c>
      <c r="V661">
        <v>50</v>
      </c>
      <c r="W661" t="s">
        <v>73</v>
      </c>
      <c r="X661" t="s">
        <v>199</v>
      </c>
      <c r="Y661">
        <v>0.90409213948303202</v>
      </c>
      <c r="AB661">
        <v>1.25301204819277</v>
      </c>
      <c r="AC661" t="s">
        <v>85</v>
      </c>
      <c r="AE661" t="s">
        <v>63</v>
      </c>
      <c r="AI661">
        <v>5</v>
      </c>
      <c r="AT661" t="s">
        <v>73</v>
      </c>
      <c r="AV661" t="s">
        <v>88</v>
      </c>
    </row>
    <row r="662" spans="1:48" x14ac:dyDescent="0.3">
      <c r="A662" t="s">
        <v>618</v>
      </c>
      <c r="C662" t="s">
        <v>920</v>
      </c>
      <c r="D662" t="s">
        <v>81</v>
      </c>
      <c r="E662">
        <v>246000</v>
      </c>
      <c r="H662">
        <v>2.54</v>
      </c>
      <c r="I662" t="s">
        <v>56</v>
      </c>
      <c r="J662">
        <v>2.5399999999999999E-4</v>
      </c>
      <c r="K662" t="s">
        <v>57</v>
      </c>
      <c r="L662" t="s">
        <v>112</v>
      </c>
      <c r="O662">
        <v>6350</v>
      </c>
      <c r="P662" t="s">
        <v>121</v>
      </c>
      <c r="T662">
        <v>25</v>
      </c>
      <c r="V662">
        <v>50</v>
      </c>
      <c r="W662" t="s">
        <v>73</v>
      </c>
      <c r="X662" t="s">
        <v>199</v>
      </c>
      <c r="Y662">
        <v>4.9863595350565078</v>
      </c>
      <c r="AB662">
        <v>2.1397590361445702</v>
      </c>
      <c r="AC662" t="s">
        <v>85</v>
      </c>
      <c r="AE662" t="s">
        <v>63</v>
      </c>
      <c r="AI662">
        <v>5</v>
      </c>
      <c r="AT662" t="s">
        <v>73</v>
      </c>
      <c r="AV662" t="s">
        <v>88</v>
      </c>
    </row>
    <row r="663" spans="1:48" x14ac:dyDescent="0.3">
      <c r="A663" t="s">
        <v>618</v>
      </c>
      <c r="C663" t="s">
        <v>920</v>
      </c>
      <c r="D663" t="s">
        <v>81</v>
      </c>
      <c r="E663">
        <v>246000</v>
      </c>
      <c r="H663">
        <v>2.54</v>
      </c>
      <c r="I663" t="s">
        <v>56</v>
      </c>
      <c r="J663">
        <v>2.5399999999999999E-4</v>
      </c>
      <c r="K663" t="s">
        <v>57</v>
      </c>
      <c r="L663" t="s">
        <v>112</v>
      </c>
      <c r="O663">
        <v>6350</v>
      </c>
      <c r="P663" t="s">
        <v>121</v>
      </c>
      <c r="T663">
        <v>25</v>
      </c>
      <c r="V663">
        <v>50</v>
      </c>
      <c r="W663" t="s">
        <v>73</v>
      </c>
      <c r="X663" t="s">
        <v>199</v>
      </c>
      <c r="Y663">
        <v>6.8276630752083003</v>
      </c>
      <c r="AB663">
        <v>2.6795180722891501</v>
      </c>
      <c r="AC663" t="s">
        <v>85</v>
      </c>
      <c r="AE663" t="s">
        <v>63</v>
      </c>
      <c r="AI663">
        <v>5</v>
      </c>
      <c r="AT663" t="s">
        <v>73</v>
      </c>
      <c r="AV663" t="s">
        <v>88</v>
      </c>
    </row>
    <row r="664" spans="1:48" x14ac:dyDescent="0.3">
      <c r="A664" t="s">
        <v>618</v>
      </c>
      <c r="C664" t="s">
        <v>920</v>
      </c>
      <c r="D664" t="s">
        <v>81</v>
      </c>
      <c r="E664">
        <v>246000</v>
      </c>
      <c r="H664">
        <v>2.54</v>
      </c>
      <c r="I664" t="s">
        <v>56</v>
      </c>
      <c r="J664">
        <v>2.5399999999999999E-4</v>
      </c>
      <c r="K664" t="s">
        <v>57</v>
      </c>
      <c r="L664" t="s">
        <v>112</v>
      </c>
      <c r="O664">
        <v>6350</v>
      </c>
      <c r="P664" t="s">
        <v>121</v>
      </c>
      <c r="T664">
        <v>25</v>
      </c>
      <c r="V664">
        <v>50</v>
      </c>
      <c r="W664" t="s">
        <v>73</v>
      </c>
      <c r="X664" t="s">
        <v>199</v>
      </c>
      <c r="Y664">
        <v>10.258372697839739</v>
      </c>
      <c r="AB664">
        <v>3.0072289156626502</v>
      </c>
      <c r="AC664" t="s">
        <v>85</v>
      </c>
      <c r="AE664" t="s">
        <v>63</v>
      </c>
      <c r="AI664">
        <v>5</v>
      </c>
      <c r="AT664" t="s">
        <v>73</v>
      </c>
      <c r="AV664" t="s">
        <v>88</v>
      </c>
    </row>
    <row r="665" spans="1:48" x14ac:dyDescent="0.3">
      <c r="A665" t="s">
        <v>618</v>
      </c>
      <c r="C665" t="s">
        <v>920</v>
      </c>
      <c r="D665" t="s">
        <v>81</v>
      </c>
      <c r="E665">
        <v>246000</v>
      </c>
      <c r="H665">
        <v>2.54</v>
      </c>
      <c r="I665" t="s">
        <v>56</v>
      </c>
      <c r="J665">
        <v>2.5399999999999999E-4</v>
      </c>
      <c r="K665" t="s">
        <v>57</v>
      </c>
      <c r="L665" t="s">
        <v>112</v>
      </c>
      <c r="O665">
        <v>6350</v>
      </c>
      <c r="P665" t="s">
        <v>121</v>
      </c>
      <c r="T665">
        <v>25</v>
      </c>
      <c r="V665">
        <v>50</v>
      </c>
      <c r="W665" t="s">
        <v>73</v>
      </c>
      <c r="X665" t="s">
        <v>199</v>
      </c>
      <c r="Y665">
        <v>60.181837482086401</v>
      </c>
      <c r="AB665">
        <v>4.9734939759036001</v>
      </c>
      <c r="AC665" t="s">
        <v>85</v>
      </c>
      <c r="AE665" t="s">
        <v>63</v>
      </c>
      <c r="AI665">
        <v>5</v>
      </c>
      <c r="AT665" t="s">
        <v>73</v>
      </c>
      <c r="AV665" t="s">
        <v>88</v>
      </c>
    </row>
    <row r="666" spans="1:48" x14ac:dyDescent="0.3">
      <c r="A666" t="s">
        <v>618</v>
      </c>
      <c r="C666" t="s">
        <v>920</v>
      </c>
      <c r="D666" t="s">
        <v>81</v>
      </c>
      <c r="E666">
        <v>246000</v>
      </c>
      <c r="H666">
        <v>2.54</v>
      </c>
      <c r="I666" t="s">
        <v>56</v>
      </c>
      <c r="J666">
        <v>2.5399999999999999E-4</v>
      </c>
      <c r="K666" t="s">
        <v>57</v>
      </c>
      <c r="L666" t="s">
        <v>112</v>
      </c>
      <c r="O666">
        <v>6350</v>
      </c>
      <c r="P666" t="s">
        <v>121</v>
      </c>
      <c r="T666">
        <v>25</v>
      </c>
      <c r="V666">
        <v>50</v>
      </c>
      <c r="W666" t="s">
        <v>620</v>
      </c>
      <c r="X666" t="s">
        <v>199</v>
      </c>
      <c r="Y666">
        <v>0.12991523492191201</v>
      </c>
      <c r="AB666">
        <v>-2.0100502512562402E-2</v>
      </c>
      <c r="AC666" t="s">
        <v>85</v>
      </c>
      <c r="AE666" t="s">
        <v>63</v>
      </c>
      <c r="AI666">
        <v>5</v>
      </c>
      <c r="AT666" t="s">
        <v>65</v>
      </c>
      <c r="AV666" t="s">
        <v>88</v>
      </c>
    </row>
    <row r="667" spans="1:48" x14ac:dyDescent="0.3">
      <c r="A667" t="s">
        <v>618</v>
      </c>
      <c r="C667" t="s">
        <v>920</v>
      </c>
      <c r="D667" t="s">
        <v>81</v>
      </c>
      <c r="E667">
        <v>246000</v>
      </c>
      <c r="H667">
        <v>2.54</v>
      </c>
      <c r="I667" t="s">
        <v>56</v>
      </c>
      <c r="J667">
        <v>2.5399999999999999E-4</v>
      </c>
      <c r="K667" t="s">
        <v>57</v>
      </c>
      <c r="L667" t="s">
        <v>112</v>
      </c>
      <c r="O667">
        <v>6350</v>
      </c>
      <c r="P667" t="s">
        <v>121</v>
      </c>
      <c r="T667">
        <v>25</v>
      </c>
      <c r="V667">
        <v>50</v>
      </c>
      <c r="W667" t="s">
        <v>620</v>
      </c>
      <c r="X667" t="s">
        <v>199</v>
      </c>
      <c r="Y667">
        <v>0.99276078014260805</v>
      </c>
      <c r="AB667">
        <v>2.7135678391959601</v>
      </c>
      <c r="AC667" t="s">
        <v>85</v>
      </c>
      <c r="AE667" t="s">
        <v>63</v>
      </c>
      <c r="AI667">
        <v>5</v>
      </c>
      <c r="AT667" t="s">
        <v>65</v>
      </c>
      <c r="AV667" t="s">
        <v>88</v>
      </c>
    </row>
    <row r="668" spans="1:48" x14ac:dyDescent="0.3">
      <c r="A668" t="s">
        <v>618</v>
      </c>
      <c r="C668" t="s">
        <v>920</v>
      </c>
      <c r="D668" t="s">
        <v>81</v>
      </c>
      <c r="E668">
        <v>246000</v>
      </c>
      <c r="H668">
        <v>2.54</v>
      </c>
      <c r="I668" t="s">
        <v>56</v>
      </c>
      <c r="J668">
        <v>2.5399999999999999E-4</v>
      </c>
      <c r="K668" t="s">
        <v>57</v>
      </c>
      <c r="L668" t="s">
        <v>112</v>
      </c>
      <c r="O668">
        <v>6350</v>
      </c>
      <c r="P668" t="s">
        <v>121</v>
      </c>
      <c r="T668">
        <v>25</v>
      </c>
      <c r="V668">
        <v>50</v>
      </c>
      <c r="W668" t="s">
        <v>620</v>
      </c>
      <c r="X668" t="s">
        <v>199</v>
      </c>
      <c r="Y668">
        <v>9.88723314195156</v>
      </c>
      <c r="AB668">
        <v>5.6281407035175803</v>
      </c>
      <c r="AC668" t="s">
        <v>85</v>
      </c>
      <c r="AE668" t="s">
        <v>63</v>
      </c>
      <c r="AI668">
        <v>5</v>
      </c>
      <c r="AT668" t="s">
        <v>65</v>
      </c>
      <c r="AV668" t="s">
        <v>88</v>
      </c>
    </row>
    <row r="669" spans="1:48" x14ac:dyDescent="0.3">
      <c r="A669" t="s">
        <v>618</v>
      </c>
      <c r="C669" t="s">
        <v>920</v>
      </c>
      <c r="D669" t="s">
        <v>81</v>
      </c>
      <c r="E669">
        <v>246000</v>
      </c>
      <c r="H669">
        <v>2.54</v>
      </c>
      <c r="I669" t="s">
        <v>56</v>
      </c>
      <c r="J669">
        <v>2.5399999999999999E-4</v>
      </c>
      <c r="K669" t="s">
        <v>57</v>
      </c>
      <c r="L669" t="s">
        <v>112</v>
      </c>
      <c r="O669">
        <v>6350</v>
      </c>
      <c r="P669" t="s">
        <v>121</v>
      </c>
      <c r="T669">
        <v>25</v>
      </c>
      <c r="V669">
        <v>50</v>
      </c>
      <c r="W669" t="s">
        <v>620</v>
      </c>
      <c r="X669" t="s">
        <v>199</v>
      </c>
      <c r="Y669">
        <v>19.861402042610401</v>
      </c>
      <c r="AB669">
        <v>5.8894472361809003</v>
      </c>
      <c r="AC669" t="s">
        <v>85</v>
      </c>
      <c r="AE669" t="s">
        <v>63</v>
      </c>
      <c r="AI669">
        <v>5</v>
      </c>
      <c r="AT669" t="s">
        <v>65</v>
      </c>
      <c r="AV669" t="s">
        <v>88</v>
      </c>
    </row>
    <row r="670" spans="1:48" x14ac:dyDescent="0.3">
      <c r="A670" t="s">
        <v>618</v>
      </c>
      <c r="C670" t="s">
        <v>920</v>
      </c>
      <c r="D670" t="s">
        <v>81</v>
      </c>
      <c r="E670">
        <v>246000</v>
      </c>
      <c r="H670">
        <v>2.54</v>
      </c>
      <c r="I670" t="s">
        <v>56</v>
      </c>
      <c r="J670">
        <v>2.5399999999999999E-4</v>
      </c>
      <c r="K670" t="s">
        <v>57</v>
      </c>
      <c r="L670" t="s">
        <v>112</v>
      </c>
      <c r="O670">
        <v>6350</v>
      </c>
      <c r="P670" t="s">
        <v>121</v>
      </c>
      <c r="T670">
        <v>25</v>
      </c>
      <c r="V670">
        <v>50</v>
      </c>
      <c r="W670" t="s">
        <v>620</v>
      </c>
      <c r="X670" t="s">
        <v>199</v>
      </c>
      <c r="Y670">
        <v>29.902970576424181</v>
      </c>
      <c r="AB670">
        <v>1.9899497487436999</v>
      </c>
      <c r="AC670" t="s">
        <v>85</v>
      </c>
      <c r="AE670" t="s">
        <v>63</v>
      </c>
      <c r="AI670">
        <v>5</v>
      </c>
      <c r="AT670" t="s">
        <v>65</v>
      </c>
      <c r="AV670" t="s">
        <v>88</v>
      </c>
    </row>
    <row r="671" spans="1:48" x14ac:dyDescent="0.3">
      <c r="A671" t="s">
        <v>618</v>
      </c>
      <c r="C671" t="s">
        <v>920</v>
      </c>
      <c r="D671" t="s">
        <v>81</v>
      </c>
      <c r="E671">
        <v>246000</v>
      </c>
      <c r="H671">
        <v>2.54</v>
      </c>
      <c r="I671" t="s">
        <v>56</v>
      </c>
      <c r="J671">
        <v>2.5399999999999999E-4</v>
      </c>
      <c r="K671" t="s">
        <v>57</v>
      </c>
      <c r="L671" t="s">
        <v>112</v>
      </c>
      <c r="O671">
        <v>6350</v>
      </c>
      <c r="P671" t="s">
        <v>121</v>
      </c>
      <c r="T671">
        <v>25</v>
      </c>
      <c r="V671">
        <v>50</v>
      </c>
      <c r="W671" t="s">
        <v>620</v>
      </c>
      <c r="X671" t="s">
        <v>199</v>
      </c>
      <c r="Y671">
        <v>60.017908115089199</v>
      </c>
      <c r="AB671">
        <v>6.89447236180904</v>
      </c>
      <c r="AC671" t="s">
        <v>85</v>
      </c>
      <c r="AE671" t="s">
        <v>63</v>
      </c>
      <c r="AI671">
        <v>5</v>
      </c>
      <c r="AT671" t="s">
        <v>65</v>
      </c>
      <c r="AV671" t="s">
        <v>88</v>
      </c>
    </row>
    <row r="672" spans="1:48" x14ac:dyDescent="0.3">
      <c r="A672" t="s">
        <v>618</v>
      </c>
      <c r="C672" t="s">
        <v>920</v>
      </c>
      <c r="D672" t="s">
        <v>81</v>
      </c>
      <c r="E672">
        <v>246000</v>
      </c>
      <c r="H672">
        <v>2.54</v>
      </c>
      <c r="I672" t="s">
        <v>56</v>
      </c>
      <c r="J672">
        <v>2.5399999999999999E-4</v>
      </c>
      <c r="K672" t="s">
        <v>57</v>
      </c>
      <c r="L672" t="s">
        <v>112</v>
      </c>
      <c r="O672">
        <v>6350</v>
      </c>
      <c r="P672" t="s">
        <v>121</v>
      </c>
      <c r="T672">
        <v>25</v>
      </c>
      <c r="V672">
        <v>50</v>
      </c>
      <c r="W672" t="s">
        <v>620</v>
      </c>
      <c r="X672" t="s">
        <v>199</v>
      </c>
      <c r="Y672">
        <v>0.12926403073683959</v>
      </c>
      <c r="AB672">
        <v>2.0100502512562901E-2</v>
      </c>
      <c r="AC672" t="s">
        <v>85</v>
      </c>
      <c r="AE672" t="s">
        <v>63</v>
      </c>
      <c r="AI672">
        <v>5</v>
      </c>
      <c r="AT672" t="s">
        <v>65</v>
      </c>
      <c r="AV672" t="s">
        <v>88</v>
      </c>
    </row>
    <row r="673" spans="1:48" x14ac:dyDescent="0.3">
      <c r="A673" t="s">
        <v>618</v>
      </c>
      <c r="C673" t="s">
        <v>920</v>
      </c>
      <c r="D673" t="s">
        <v>81</v>
      </c>
      <c r="E673">
        <v>246000</v>
      </c>
      <c r="H673">
        <v>2.54</v>
      </c>
      <c r="I673" t="s">
        <v>56</v>
      </c>
      <c r="J673">
        <v>2.5399999999999999E-4</v>
      </c>
      <c r="K673" t="s">
        <v>57</v>
      </c>
      <c r="L673" t="s">
        <v>112</v>
      </c>
      <c r="O673">
        <v>6350</v>
      </c>
      <c r="P673" t="s">
        <v>121</v>
      </c>
      <c r="T673">
        <v>25</v>
      </c>
      <c r="V673">
        <v>50</v>
      </c>
      <c r="W673" t="s">
        <v>620</v>
      </c>
      <c r="X673" t="s">
        <v>199</v>
      </c>
      <c r="Y673">
        <v>0.70590533661829202</v>
      </c>
      <c r="AB673">
        <v>4.4221105527638098</v>
      </c>
      <c r="AC673" t="s">
        <v>85</v>
      </c>
      <c r="AE673" t="s">
        <v>63</v>
      </c>
      <c r="AI673">
        <v>5</v>
      </c>
      <c r="AT673" t="s">
        <v>65</v>
      </c>
      <c r="AV673" t="s">
        <v>88</v>
      </c>
    </row>
    <row r="674" spans="1:48" x14ac:dyDescent="0.3">
      <c r="A674" t="s">
        <v>618</v>
      </c>
      <c r="C674" t="s">
        <v>920</v>
      </c>
      <c r="D674" t="s">
        <v>81</v>
      </c>
      <c r="E674">
        <v>246000</v>
      </c>
      <c r="H674">
        <v>2.54</v>
      </c>
      <c r="I674" t="s">
        <v>56</v>
      </c>
      <c r="J674">
        <v>2.5399999999999999E-4</v>
      </c>
      <c r="K674" t="s">
        <v>57</v>
      </c>
      <c r="L674" t="s">
        <v>112</v>
      </c>
      <c r="O674">
        <v>6350</v>
      </c>
      <c r="P674" t="s">
        <v>121</v>
      </c>
      <c r="T674">
        <v>25</v>
      </c>
      <c r="V674">
        <v>50</v>
      </c>
      <c r="W674" t="s">
        <v>620</v>
      </c>
      <c r="X674" t="s">
        <v>199</v>
      </c>
      <c r="Y674">
        <v>9.8963500005426592</v>
      </c>
      <c r="AB674">
        <v>5.06532663316582</v>
      </c>
      <c r="AC674" t="s">
        <v>85</v>
      </c>
      <c r="AE674" t="s">
        <v>63</v>
      </c>
      <c r="AI674">
        <v>5</v>
      </c>
      <c r="AT674" t="s">
        <v>65</v>
      </c>
      <c r="AV674" t="s">
        <v>88</v>
      </c>
    </row>
    <row r="675" spans="1:48" x14ac:dyDescent="0.3">
      <c r="A675" t="s">
        <v>618</v>
      </c>
      <c r="C675" t="s">
        <v>920</v>
      </c>
      <c r="D675" t="s">
        <v>81</v>
      </c>
      <c r="E675">
        <v>246000</v>
      </c>
      <c r="H675">
        <v>2.54</v>
      </c>
      <c r="I675" t="s">
        <v>56</v>
      </c>
      <c r="J675">
        <v>2.5399999999999999E-4</v>
      </c>
      <c r="K675" t="s">
        <v>57</v>
      </c>
      <c r="L675" t="s">
        <v>112</v>
      </c>
      <c r="O675">
        <v>6350</v>
      </c>
      <c r="P675" t="s">
        <v>121</v>
      </c>
      <c r="T675">
        <v>25</v>
      </c>
      <c r="V675">
        <v>50</v>
      </c>
      <c r="W675" t="s">
        <v>620</v>
      </c>
      <c r="X675" t="s">
        <v>199</v>
      </c>
      <c r="Y675">
        <v>19.72595157211542</v>
      </c>
      <c r="AB675">
        <v>6.2512562814070201</v>
      </c>
      <c r="AC675" t="s">
        <v>85</v>
      </c>
      <c r="AE675" t="s">
        <v>63</v>
      </c>
      <c r="AI675">
        <v>5</v>
      </c>
      <c r="AT675" t="s">
        <v>65</v>
      </c>
      <c r="AV675" t="s">
        <v>88</v>
      </c>
    </row>
    <row r="676" spans="1:48" x14ac:dyDescent="0.3">
      <c r="A676" t="s">
        <v>618</v>
      </c>
      <c r="C676" t="s">
        <v>920</v>
      </c>
      <c r="D676" t="s">
        <v>81</v>
      </c>
      <c r="E676">
        <v>246000</v>
      </c>
      <c r="H676">
        <v>2.54</v>
      </c>
      <c r="I676" t="s">
        <v>56</v>
      </c>
      <c r="J676">
        <v>2.5399999999999999E-4</v>
      </c>
      <c r="K676" t="s">
        <v>57</v>
      </c>
      <c r="L676" t="s">
        <v>112</v>
      </c>
      <c r="O676">
        <v>6350</v>
      </c>
      <c r="P676" t="s">
        <v>121</v>
      </c>
      <c r="T676">
        <v>25</v>
      </c>
      <c r="V676">
        <v>50</v>
      </c>
      <c r="W676" t="s">
        <v>620</v>
      </c>
      <c r="X676" t="s">
        <v>199</v>
      </c>
      <c r="Y676">
        <v>29.859665498116861</v>
      </c>
      <c r="AB676">
        <v>4.66331658291457</v>
      </c>
      <c r="AC676" t="s">
        <v>85</v>
      </c>
      <c r="AE676" t="s">
        <v>63</v>
      </c>
      <c r="AI676">
        <v>5</v>
      </c>
      <c r="AT676" t="s">
        <v>65</v>
      </c>
      <c r="AV676" t="s">
        <v>88</v>
      </c>
    </row>
    <row r="677" spans="1:48" x14ac:dyDescent="0.3">
      <c r="A677" t="s">
        <v>618</v>
      </c>
      <c r="C677" t="s">
        <v>920</v>
      </c>
      <c r="D677" t="s">
        <v>81</v>
      </c>
      <c r="E677">
        <v>246000</v>
      </c>
      <c r="H677">
        <v>2.54</v>
      </c>
      <c r="I677" t="s">
        <v>56</v>
      </c>
      <c r="J677">
        <v>2.5399999999999999E-4</v>
      </c>
      <c r="K677" t="s">
        <v>57</v>
      </c>
      <c r="L677" t="s">
        <v>112</v>
      </c>
      <c r="O677">
        <v>6350</v>
      </c>
      <c r="P677" t="s">
        <v>121</v>
      </c>
      <c r="T677">
        <v>25</v>
      </c>
      <c r="V677">
        <v>50</v>
      </c>
      <c r="W677" t="s">
        <v>620</v>
      </c>
      <c r="X677" t="s">
        <v>199</v>
      </c>
      <c r="Y677">
        <v>59.743751153174053</v>
      </c>
      <c r="AB677">
        <v>7.8190954773869201</v>
      </c>
      <c r="AC677" t="s">
        <v>85</v>
      </c>
      <c r="AE677" t="s">
        <v>63</v>
      </c>
      <c r="AI677">
        <v>5</v>
      </c>
      <c r="AT677" t="s">
        <v>65</v>
      </c>
      <c r="AV677" t="s">
        <v>88</v>
      </c>
    </row>
    <row r="678" spans="1:48" x14ac:dyDescent="0.3">
      <c r="A678" t="s">
        <v>618</v>
      </c>
      <c r="C678" t="s">
        <v>920</v>
      </c>
      <c r="D678" t="s">
        <v>81</v>
      </c>
      <c r="E678">
        <v>246000</v>
      </c>
      <c r="H678">
        <v>2.54</v>
      </c>
      <c r="I678" t="s">
        <v>56</v>
      </c>
      <c r="J678">
        <v>2.5399999999999999E-4</v>
      </c>
      <c r="K678" t="s">
        <v>57</v>
      </c>
      <c r="L678" t="s">
        <v>112</v>
      </c>
      <c r="O678">
        <v>6350</v>
      </c>
      <c r="P678" t="s">
        <v>121</v>
      </c>
      <c r="T678">
        <v>25</v>
      </c>
      <c r="V678">
        <v>50</v>
      </c>
      <c r="W678" t="s">
        <v>621</v>
      </c>
      <c r="X678" t="s">
        <v>199</v>
      </c>
      <c r="AB678">
        <v>-2.06718346253222E-2</v>
      </c>
      <c r="AC678" t="s">
        <v>85</v>
      </c>
      <c r="AE678" t="s">
        <v>63</v>
      </c>
      <c r="AI678">
        <v>5</v>
      </c>
      <c r="AT678" t="s">
        <v>79</v>
      </c>
      <c r="AV678" t="s">
        <v>88</v>
      </c>
    </row>
    <row r="679" spans="1:48" x14ac:dyDescent="0.3">
      <c r="A679" t="s">
        <v>618</v>
      </c>
      <c r="C679" t="s">
        <v>920</v>
      </c>
      <c r="D679" t="s">
        <v>81</v>
      </c>
      <c r="E679">
        <v>246000</v>
      </c>
      <c r="H679">
        <v>2.54</v>
      </c>
      <c r="I679" t="s">
        <v>56</v>
      </c>
      <c r="J679">
        <v>2.5399999999999999E-4</v>
      </c>
      <c r="K679" t="s">
        <v>57</v>
      </c>
      <c r="L679" t="s">
        <v>112</v>
      </c>
      <c r="O679">
        <v>6350</v>
      </c>
      <c r="P679" t="s">
        <v>121</v>
      </c>
      <c r="T679">
        <v>25</v>
      </c>
      <c r="V679">
        <v>50</v>
      </c>
      <c r="W679" t="s">
        <v>621</v>
      </c>
      <c r="X679" t="s">
        <v>199</v>
      </c>
      <c r="Y679">
        <v>0.9375</v>
      </c>
      <c r="AB679">
        <v>1.55038759689922</v>
      </c>
      <c r="AC679" t="s">
        <v>85</v>
      </c>
      <c r="AE679" t="s">
        <v>63</v>
      </c>
      <c r="AI679">
        <v>5</v>
      </c>
      <c r="AT679" t="s">
        <v>79</v>
      </c>
      <c r="AV679" t="s">
        <v>88</v>
      </c>
    </row>
    <row r="680" spans="1:48" x14ac:dyDescent="0.3">
      <c r="A680" t="s">
        <v>618</v>
      </c>
      <c r="C680" t="s">
        <v>920</v>
      </c>
      <c r="D680" t="s">
        <v>81</v>
      </c>
      <c r="E680">
        <v>246000</v>
      </c>
      <c r="H680">
        <v>2.54</v>
      </c>
      <c r="I680" t="s">
        <v>56</v>
      </c>
      <c r="J680">
        <v>2.5399999999999999E-4</v>
      </c>
      <c r="K680" t="s">
        <v>57</v>
      </c>
      <c r="L680" t="s">
        <v>112</v>
      </c>
      <c r="O680">
        <v>6350</v>
      </c>
      <c r="P680" t="s">
        <v>121</v>
      </c>
      <c r="T680">
        <v>25</v>
      </c>
      <c r="V680">
        <v>50</v>
      </c>
      <c r="W680" t="s">
        <v>621</v>
      </c>
      <c r="X680" t="s">
        <v>199</v>
      </c>
      <c r="Y680">
        <v>9.9107142857142598</v>
      </c>
      <c r="AB680">
        <v>3.5142118863049001</v>
      </c>
      <c r="AC680" t="s">
        <v>85</v>
      </c>
      <c r="AE680" t="s">
        <v>63</v>
      </c>
      <c r="AI680">
        <v>5</v>
      </c>
      <c r="AT680" t="s">
        <v>79</v>
      </c>
      <c r="AV680" t="s">
        <v>88</v>
      </c>
    </row>
    <row r="681" spans="1:48" x14ac:dyDescent="0.3">
      <c r="A681" t="s">
        <v>618</v>
      </c>
      <c r="C681" t="s">
        <v>920</v>
      </c>
      <c r="D681" t="s">
        <v>81</v>
      </c>
      <c r="E681">
        <v>246000</v>
      </c>
      <c r="H681">
        <v>2.54</v>
      </c>
      <c r="I681" t="s">
        <v>56</v>
      </c>
      <c r="J681">
        <v>2.5399999999999999E-4</v>
      </c>
      <c r="K681" t="s">
        <v>57</v>
      </c>
      <c r="L681" t="s">
        <v>112</v>
      </c>
      <c r="O681">
        <v>6350</v>
      </c>
      <c r="P681" t="s">
        <v>121</v>
      </c>
      <c r="T681">
        <v>25</v>
      </c>
      <c r="V681">
        <v>50</v>
      </c>
      <c r="W681" t="s">
        <v>621</v>
      </c>
      <c r="X681" t="s">
        <v>199</v>
      </c>
      <c r="Y681">
        <v>20.089285714285619</v>
      </c>
      <c r="AB681">
        <v>3.8242894056847501</v>
      </c>
      <c r="AC681" t="s">
        <v>85</v>
      </c>
      <c r="AE681" t="s">
        <v>63</v>
      </c>
      <c r="AI681">
        <v>5</v>
      </c>
      <c r="AT681" t="s">
        <v>79</v>
      </c>
      <c r="AV681" t="s">
        <v>88</v>
      </c>
    </row>
    <row r="682" spans="1:48" x14ac:dyDescent="0.3">
      <c r="A682" t="s">
        <v>618</v>
      </c>
      <c r="C682" t="s">
        <v>920</v>
      </c>
      <c r="D682" t="s">
        <v>81</v>
      </c>
      <c r="E682">
        <v>246000</v>
      </c>
      <c r="H682">
        <v>2.54</v>
      </c>
      <c r="I682" t="s">
        <v>56</v>
      </c>
      <c r="J682">
        <v>2.5399999999999999E-4</v>
      </c>
      <c r="K682" t="s">
        <v>57</v>
      </c>
      <c r="L682" t="s">
        <v>112</v>
      </c>
      <c r="O682">
        <v>6350</v>
      </c>
      <c r="P682" t="s">
        <v>121</v>
      </c>
      <c r="T682">
        <v>25</v>
      </c>
      <c r="V682">
        <v>50</v>
      </c>
      <c r="W682" t="s">
        <v>621</v>
      </c>
      <c r="X682" t="s">
        <v>199</v>
      </c>
      <c r="Y682">
        <v>29.86607142857136</v>
      </c>
      <c r="AB682">
        <v>2.5426356589147101</v>
      </c>
      <c r="AC682" t="s">
        <v>85</v>
      </c>
      <c r="AE682" t="s">
        <v>63</v>
      </c>
      <c r="AI682">
        <v>5</v>
      </c>
      <c r="AT682" t="s">
        <v>79</v>
      </c>
      <c r="AV682" t="s">
        <v>88</v>
      </c>
    </row>
    <row r="683" spans="1:48" x14ac:dyDescent="0.3">
      <c r="A683" t="s">
        <v>618</v>
      </c>
      <c r="C683" t="s">
        <v>920</v>
      </c>
      <c r="D683" t="s">
        <v>81</v>
      </c>
      <c r="E683">
        <v>246000</v>
      </c>
      <c r="H683">
        <v>2.54</v>
      </c>
      <c r="I683" t="s">
        <v>56</v>
      </c>
      <c r="J683">
        <v>2.5399999999999999E-4</v>
      </c>
      <c r="K683" t="s">
        <v>57</v>
      </c>
      <c r="L683" t="s">
        <v>112</v>
      </c>
      <c r="O683">
        <v>6350</v>
      </c>
      <c r="P683" t="s">
        <v>121</v>
      </c>
      <c r="T683">
        <v>25</v>
      </c>
      <c r="V683">
        <v>50</v>
      </c>
      <c r="W683" t="s">
        <v>621</v>
      </c>
      <c r="X683" t="s">
        <v>199</v>
      </c>
      <c r="Y683">
        <v>60.133928571427788</v>
      </c>
      <c r="AB683">
        <v>3.9689922480620101</v>
      </c>
      <c r="AC683" t="s">
        <v>85</v>
      </c>
      <c r="AE683" t="s">
        <v>63</v>
      </c>
      <c r="AI683">
        <v>5</v>
      </c>
      <c r="AT683" t="s">
        <v>79</v>
      </c>
      <c r="AV683" t="s">
        <v>88</v>
      </c>
    </row>
    <row r="684" spans="1:48" x14ac:dyDescent="0.3">
      <c r="A684" t="s">
        <v>618</v>
      </c>
      <c r="C684" t="s">
        <v>920</v>
      </c>
      <c r="D684" t="s">
        <v>81</v>
      </c>
      <c r="E684">
        <v>246000</v>
      </c>
      <c r="H684">
        <v>2.54</v>
      </c>
      <c r="I684" t="s">
        <v>56</v>
      </c>
      <c r="J684">
        <v>2.5399999999999999E-4</v>
      </c>
      <c r="K684" t="s">
        <v>57</v>
      </c>
      <c r="L684" t="s">
        <v>112</v>
      </c>
      <c r="O684">
        <v>6350</v>
      </c>
      <c r="P684" t="s">
        <v>121</v>
      </c>
      <c r="T684">
        <v>25</v>
      </c>
      <c r="V684">
        <v>50</v>
      </c>
      <c r="W684" t="s">
        <v>621</v>
      </c>
      <c r="X684" t="s">
        <v>199</v>
      </c>
      <c r="AB684">
        <v>0</v>
      </c>
      <c r="AC684" t="s">
        <v>85</v>
      </c>
      <c r="AE684" t="s">
        <v>63</v>
      </c>
      <c r="AI684">
        <v>5</v>
      </c>
      <c r="AT684" t="s">
        <v>79</v>
      </c>
      <c r="AV684" t="s">
        <v>88</v>
      </c>
    </row>
    <row r="685" spans="1:48" x14ac:dyDescent="0.3">
      <c r="A685" t="s">
        <v>618</v>
      </c>
      <c r="C685" t="s">
        <v>920</v>
      </c>
      <c r="D685" t="s">
        <v>81</v>
      </c>
      <c r="E685">
        <v>246000</v>
      </c>
      <c r="H685">
        <v>2.54</v>
      </c>
      <c r="I685" t="s">
        <v>56</v>
      </c>
      <c r="J685">
        <v>2.5399999999999999E-4</v>
      </c>
      <c r="K685" t="s">
        <v>57</v>
      </c>
      <c r="L685" t="s">
        <v>112</v>
      </c>
      <c r="O685">
        <v>6350</v>
      </c>
      <c r="P685" t="s">
        <v>121</v>
      </c>
      <c r="T685">
        <v>25</v>
      </c>
      <c r="V685">
        <v>50</v>
      </c>
      <c r="W685" t="s">
        <v>621</v>
      </c>
      <c r="X685" t="s">
        <v>199</v>
      </c>
      <c r="Y685">
        <v>0.80357142857142005</v>
      </c>
      <c r="AB685">
        <v>3.5142118863049001</v>
      </c>
      <c r="AC685" t="s">
        <v>85</v>
      </c>
      <c r="AE685" t="s">
        <v>63</v>
      </c>
      <c r="AI685">
        <v>5</v>
      </c>
      <c r="AT685" t="s">
        <v>79</v>
      </c>
      <c r="AV685" t="s">
        <v>88</v>
      </c>
    </row>
    <row r="686" spans="1:48" x14ac:dyDescent="0.3">
      <c r="A686" t="s">
        <v>618</v>
      </c>
      <c r="C686" t="s">
        <v>920</v>
      </c>
      <c r="D686" t="s">
        <v>81</v>
      </c>
      <c r="E686">
        <v>246000</v>
      </c>
      <c r="H686">
        <v>2.54</v>
      </c>
      <c r="I686" t="s">
        <v>56</v>
      </c>
      <c r="J686">
        <v>2.5399999999999999E-4</v>
      </c>
      <c r="K686" t="s">
        <v>57</v>
      </c>
      <c r="L686" t="s">
        <v>112</v>
      </c>
      <c r="O686">
        <v>6350</v>
      </c>
      <c r="P686" t="s">
        <v>121</v>
      </c>
      <c r="T686">
        <v>25</v>
      </c>
      <c r="V686">
        <v>50</v>
      </c>
      <c r="W686" t="s">
        <v>621</v>
      </c>
      <c r="X686" t="s">
        <v>199</v>
      </c>
      <c r="Y686">
        <v>9.6428571428570997</v>
      </c>
      <c r="AB686">
        <v>5.6227390180878398</v>
      </c>
      <c r="AC686" t="s">
        <v>85</v>
      </c>
      <c r="AE686" t="s">
        <v>63</v>
      </c>
      <c r="AI686">
        <v>5</v>
      </c>
      <c r="AT686" t="s">
        <v>79</v>
      </c>
      <c r="AV686" t="s">
        <v>88</v>
      </c>
    </row>
    <row r="687" spans="1:48" x14ac:dyDescent="0.3">
      <c r="A687" t="s">
        <v>618</v>
      </c>
      <c r="C687" t="s">
        <v>920</v>
      </c>
      <c r="D687" t="s">
        <v>81</v>
      </c>
      <c r="E687">
        <v>246000</v>
      </c>
      <c r="H687">
        <v>2.54</v>
      </c>
      <c r="I687" t="s">
        <v>56</v>
      </c>
      <c r="J687">
        <v>2.5399999999999999E-4</v>
      </c>
      <c r="K687" t="s">
        <v>57</v>
      </c>
      <c r="L687" t="s">
        <v>112</v>
      </c>
      <c r="O687">
        <v>6350</v>
      </c>
      <c r="P687" t="s">
        <v>121</v>
      </c>
      <c r="T687">
        <v>25</v>
      </c>
      <c r="V687">
        <v>50</v>
      </c>
      <c r="W687" t="s">
        <v>621</v>
      </c>
      <c r="X687" t="s">
        <v>199</v>
      </c>
      <c r="Y687">
        <v>20.089285714285619</v>
      </c>
      <c r="AB687">
        <v>7.23514211886304</v>
      </c>
      <c r="AC687" t="s">
        <v>85</v>
      </c>
      <c r="AE687" t="s">
        <v>63</v>
      </c>
      <c r="AI687">
        <v>5</v>
      </c>
      <c r="AT687" t="s">
        <v>79</v>
      </c>
      <c r="AV687" t="s">
        <v>88</v>
      </c>
    </row>
    <row r="688" spans="1:48" x14ac:dyDescent="0.3">
      <c r="A688" t="s">
        <v>618</v>
      </c>
      <c r="C688" t="s">
        <v>920</v>
      </c>
      <c r="D688" t="s">
        <v>81</v>
      </c>
      <c r="E688">
        <v>246000</v>
      </c>
      <c r="H688">
        <v>2.54</v>
      </c>
      <c r="I688" t="s">
        <v>56</v>
      </c>
      <c r="J688">
        <v>2.5399999999999999E-4</v>
      </c>
      <c r="K688" t="s">
        <v>57</v>
      </c>
      <c r="L688" t="s">
        <v>112</v>
      </c>
      <c r="O688">
        <v>6350</v>
      </c>
      <c r="P688" t="s">
        <v>121</v>
      </c>
      <c r="T688">
        <v>25</v>
      </c>
      <c r="V688">
        <v>50</v>
      </c>
      <c r="W688" t="s">
        <v>621</v>
      </c>
      <c r="X688" t="s">
        <v>199</v>
      </c>
      <c r="Y688">
        <v>29.86607142857136</v>
      </c>
      <c r="AB688">
        <v>5.3333333333333304</v>
      </c>
      <c r="AC688" t="s">
        <v>85</v>
      </c>
      <c r="AE688" t="s">
        <v>63</v>
      </c>
      <c r="AI688">
        <v>5</v>
      </c>
      <c r="AT688" t="s">
        <v>79</v>
      </c>
      <c r="AV688" t="s">
        <v>88</v>
      </c>
    </row>
    <row r="689" spans="1:53" x14ac:dyDescent="0.3">
      <c r="A689" t="s">
        <v>618</v>
      </c>
      <c r="C689" t="s">
        <v>920</v>
      </c>
      <c r="D689" t="s">
        <v>81</v>
      </c>
      <c r="E689">
        <v>246000</v>
      </c>
      <c r="H689">
        <v>2.54</v>
      </c>
      <c r="I689" t="s">
        <v>56</v>
      </c>
      <c r="J689">
        <v>2.5399999999999999E-4</v>
      </c>
      <c r="K689" t="s">
        <v>57</v>
      </c>
      <c r="L689" t="s">
        <v>112</v>
      </c>
      <c r="O689">
        <v>6350</v>
      </c>
      <c r="P689" t="s">
        <v>121</v>
      </c>
      <c r="T689">
        <v>25</v>
      </c>
      <c r="V689">
        <v>50</v>
      </c>
      <c r="W689" t="s">
        <v>621</v>
      </c>
      <c r="X689" t="s">
        <v>199</v>
      </c>
      <c r="Y689">
        <v>60.4017857142846</v>
      </c>
      <c r="AB689">
        <v>5.93281653746768</v>
      </c>
      <c r="AC689" t="s">
        <v>85</v>
      </c>
      <c r="AE689" t="s">
        <v>63</v>
      </c>
      <c r="AI689">
        <v>5</v>
      </c>
      <c r="AT689" t="s">
        <v>79</v>
      </c>
      <c r="AV689" t="s">
        <v>88</v>
      </c>
    </row>
    <row r="690" spans="1:53" x14ac:dyDescent="0.3">
      <c r="A690" t="s">
        <v>618</v>
      </c>
      <c r="C690" t="s">
        <v>920</v>
      </c>
      <c r="D690" t="s">
        <v>81</v>
      </c>
      <c r="E690">
        <v>246000</v>
      </c>
      <c r="H690">
        <v>2.54</v>
      </c>
      <c r="I690" t="s">
        <v>56</v>
      </c>
      <c r="J690">
        <v>2.5399999999999999E-4</v>
      </c>
      <c r="K690" t="s">
        <v>57</v>
      </c>
      <c r="L690" t="s">
        <v>112</v>
      </c>
      <c r="O690">
        <v>6350</v>
      </c>
      <c r="P690" t="s">
        <v>121</v>
      </c>
      <c r="T690">
        <v>25</v>
      </c>
      <c r="V690">
        <v>50</v>
      </c>
      <c r="W690" t="s">
        <v>622</v>
      </c>
      <c r="X690" t="s">
        <v>199</v>
      </c>
      <c r="Y690">
        <v>3.330669073875468E-15</v>
      </c>
      <c r="AB690">
        <v>-4.4408920985006202E-16</v>
      </c>
      <c r="AC690" t="s">
        <v>85</v>
      </c>
      <c r="AE690" t="s">
        <v>63</v>
      </c>
      <c r="AI690">
        <v>5</v>
      </c>
      <c r="AT690" t="s">
        <v>212</v>
      </c>
      <c r="AV690" t="s">
        <v>88</v>
      </c>
    </row>
    <row r="691" spans="1:53" x14ac:dyDescent="0.3">
      <c r="A691" t="s">
        <v>618</v>
      </c>
      <c r="C691" t="s">
        <v>920</v>
      </c>
      <c r="D691" t="s">
        <v>81</v>
      </c>
      <c r="E691">
        <v>246000</v>
      </c>
      <c r="H691">
        <v>2.54</v>
      </c>
      <c r="I691" t="s">
        <v>56</v>
      </c>
      <c r="J691">
        <v>2.5399999999999999E-4</v>
      </c>
      <c r="K691" t="s">
        <v>57</v>
      </c>
      <c r="L691" t="s">
        <v>112</v>
      </c>
      <c r="O691">
        <v>6350</v>
      </c>
      <c r="P691" t="s">
        <v>121</v>
      </c>
      <c r="T691">
        <v>25</v>
      </c>
      <c r="V691">
        <v>50</v>
      </c>
      <c r="W691" t="s">
        <v>622</v>
      </c>
      <c r="X691" t="s">
        <v>199</v>
      </c>
      <c r="Y691">
        <v>0.92086700012825395</v>
      </c>
      <c r="AB691">
        <v>0.50241545893719697</v>
      </c>
      <c r="AC691" t="s">
        <v>85</v>
      </c>
      <c r="AE691" t="s">
        <v>63</v>
      </c>
      <c r="AI691">
        <v>5</v>
      </c>
      <c r="AT691" t="s">
        <v>212</v>
      </c>
      <c r="AV691" t="s">
        <v>88</v>
      </c>
    </row>
    <row r="692" spans="1:53" x14ac:dyDescent="0.3">
      <c r="A692" t="s">
        <v>618</v>
      </c>
      <c r="C692" t="s">
        <v>920</v>
      </c>
      <c r="D692" t="s">
        <v>81</v>
      </c>
      <c r="E692">
        <v>246000</v>
      </c>
      <c r="H692">
        <v>2.54</v>
      </c>
      <c r="I692" t="s">
        <v>56</v>
      </c>
      <c r="J692">
        <v>2.5399999999999999E-4</v>
      </c>
      <c r="K692" t="s">
        <v>57</v>
      </c>
      <c r="L692" t="s">
        <v>112</v>
      </c>
      <c r="O692">
        <v>6350</v>
      </c>
      <c r="P692" t="s">
        <v>121</v>
      </c>
      <c r="T692">
        <v>25</v>
      </c>
      <c r="V692">
        <v>50</v>
      </c>
      <c r="W692" t="s">
        <v>622</v>
      </c>
      <c r="X692" t="s">
        <v>199</v>
      </c>
      <c r="Y692">
        <v>10.05931768628952</v>
      </c>
      <c r="AB692">
        <v>1.75845410628018</v>
      </c>
      <c r="AC692" t="s">
        <v>85</v>
      </c>
      <c r="AE692" t="s">
        <v>63</v>
      </c>
      <c r="AI692">
        <v>5</v>
      </c>
      <c r="AT692" t="s">
        <v>212</v>
      </c>
      <c r="AV692" t="s">
        <v>88</v>
      </c>
    </row>
    <row r="693" spans="1:53" x14ac:dyDescent="0.3">
      <c r="A693" t="s">
        <v>618</v>
      </c>
      <c r="C693" t="s">
        <v>920</v>
      </c>
      <c r="D693" t="s">
        <v>81</v>
      </c>
      <c r="E693">
        <v>246000</v>
      </c>
      <c r="H693">
        <v>2.54</v>
      </c>
      <c r="I693" t="s">
        <v>56</v>
      </c>
      <c r="J693">
        <v>2.5399999999999999E-4</v>
      </c>
      <c r="K693" t="s">
        <v>57</v>
      </c>
      <c r="L693" t="s">
        <v>112</v>
      </c>
      <c r="O693">
        <v>6350</v>
      </c>
      <c r="P693" t="s">
        <v>121</v>
      </c>
      <c r="T693">
        <v>25</v>
      </c>
      <c r="V693">
        <v>50</v>
      </c>
      <c r="W693" t="s">
        <v>622</v>
      </c>
      <c r="X693" t="s">
        <v>199</v>
      </c>
      <c r="Y693">
        <v>19.871104270873321</v>
      </c>
      <c r="AB693">
        <v>2.4347826086956501</v>
      </c>
      <c r="AC693" t="s">
        <v>85</v>
      </c>
      <c r="AE693" t="s">
        <v>63</v>
      </c>
      <c r="AI693">
        <v>5</v>
      </c>
      <c r="AT693" t="s">
        <v>212</v>
      </c>
      <c r="AV693" t="s">
        <v>88</v>
      </c>
    </row>
    <row r="694" spans="1:53" x14ac:dyDescent="0.3">
      <c r="A694" t="s">
        <v>618</v>
      </c>
      <c r="C694" t="s">
        <v>920</v>
      </c>
      <c r="D694" t="s">
        <v>81</v>
      </c>
      <c r="E694">
        <v>246000</v>
      </c>
      <c r="H694">
        <v>2.54</v>
      </c>
      <c r="I694" t="s">
        <v>56</v>
      </c>
      <c r="J694">
        <v>2.5399999999999999E-4</v>
      </c>
      <c r="K694" t="s">
        <v>57</v>
      </c>
      <c r="L694" t="s">
        <v>112</v>
      </c>
      <c r="O694">
        <v>6350</v>
      </c>
      <c r="P694" t="s">
        <v>121</v>
      </c>
      <c r="T694">
        <v>25</v>
      </c>
      <c r="V694">
        <v>50</v>
      </c>
      <c r="W694" t="s">
        <v>622</v>
      </c>
      <c r="X694" t="s">
        <v>199</v>
      </c>
      <c r="Y694">
        <v>30.235346928305699</v>
      </c>
      <c r="AB694">
        <v>1.81642512077294</v>
      </c>
      <c r="AC694" t="s">
        <v>85</v>
      </c>
      <c r="AE694" t="s">
        <v>63</v>
      </c>
      <c r="AI694">
        <v>5</v>
      </c>
      <c r="AT694" t="s">
        <v>212</v>
      </c>
      <c r="AV694" t="s">
        <v>88</v>
      </c>
    </row>
    <row r="695" spans="1:53" x14ac:dyDescent="0.3">
      <c r="A695" t="s">
        <v>618</v>
      </c>
      <c r="C695" t="s">
        <v>920</v>
      </c>
      <c r="D695" t="s">
        <v>81</v>
      </c>
      <c r="E695">
        <v>246000</v>
      </c>
      <c r="H695">
        <v>2.54</v>
      </c>
      <c r="I695" t="s">
        <v>56</v>
      </c>
      <c r="J695">
        <v>2.5399999999999999E-4</v>
      </c>
      <c r="K695" t="s">
        <v>57</v>
      </c>
      <c r="L695" t="s">
        <v>112</v>
      </c>
      <c r="O695">
        <v>6350</v>
      </c>
      <c r="P695" t="s">
        <v>121</v>
      </c>
      <c r="T695">
        <v>25</v>
      </c>
      <c r="V695">
        <v>50</v>
      </c>
      <c r="W695" t="s">
        <v>622</v>
      </c>
      <c r="X695" t="s">
        <v>199</v>
      </c>
      <c r="Y695">
        <v>59.957034756957782</v>
      </c>
      <c r="AB695">
        <v>2.58937198067632</v>
      </c>
      <c r="AC695" t="s">
        <v>85</v>
      </c>
      <c r="AE695" t="s">
        <v>63</v>
      </c>
      <c r="AI695">
        <v>5</v>
      </c>
      <c r="AT695" t="s">
        <v>212</v>
      </c>
      <c r="AV695" t="s">
        <v>88</v>
      </c>
    </row>
    <row r="696" spans="1:53" x14ac:dyDescent="0.3">
      <c r="A696" t="s">
        <v>618</v>
      </c>
      <c r="C696" t="s">
        <v>920</v>
      </c>
      <c r="D696" t="s">
        <v>81</v>
      </c>
      <c r="E696">
        <v>246000</v>
      </c>
      <c r="H696">
        <v>2.54</v>
      </c>
      <c r="I696" t="s">
        <v>56</v>
      </c>
      <c r="J696">
        <v>2.5399999999999999E-4</v>
      </c>
      <c r="K696" t="s">
        <v>57</v>
      </c>
      <c r="L696" t="s">
        <v>112</v>
      </c>
      <c r="O696">
        <v>6350</v>
      </c>
      <c r="P696" t="s">
        <v>121</v>
      </c>
      <c r="T696">
        <v>25</v>
      </c>
      <c r="V696">
        <v>50</v>
      </c>
      <c r="W696" t="s">
        <v>622</v>
      </c>
      <c r="X696" t="s">
        <v>199</v>
      </c>
      <c r="Y696">
        <v>3.2063614210708859E-4</v>
      </c>
      <c r="AB696">
        <v>-1.9323671497585002E-2</v>
      </c>
      <c r="AC696" t="s">
        <v>85</v>
      </c>
      <c r="AE696" t="s">
        <v>63</v>
      </c>
      <c r="AI696">
        <v>5</v>
      </c>
      <c r="AT696" t="s">
        <v>212</v>
      </c>
      <c r="AV696" t="s">
        <v>88</v>
      </c>
    </row>
    <row r="697" spans="1:53" x14ac:dyDescent="0.3">
      <c r="A697" t="s">
        <v>618</v>
      </c>
      <c r="C697" t="s">
        <v>920</v>
      </c>
      <c r="D697" t="s">
        <v>81</v>
      </c>
      <c r="E697">
        <v>246000</v>
      </c>
      <c r="H697">
        <v>2.54</v>
      </c>
      <c r="I697" t="s">
        <v>56</v>
      </c>
      <c r="J697">
        <v>2.5399999999999999E-4</v>
      </c>
      <c r="K697" t="s">
        <v>57</v>
      </c>
      <c r="L697" t="s">
        <v>112</v>
      </c>
      <c r="O697">
        <v>6350</v>
      </c>
      <c r="P697" t="s">
        <v>121</v>
      </c>
      <c r="T697">
        <v>25</v>
      </c>
      <c r="V697">
        <v>50</v>
      </c>
      <c r="W697" t="s">
        <v>622</v>
      </c>
      <c r="X697" t="s">
        <v>199</v>
      </c>
      <c r="Y697">
        <v>0.74195203283313005</v>
      </c>
      <c r="AB697">
        <v>3.2850241545893701</v>
      </c>
      <c r="AC697" t="s">
        <v>85</v>
      </c>
      <c r="AE697" t="s">
        <v>63</v>
      </c>
      <c r="AI697">
        <v>5</v>
      </c>
      <c r="AT697" t="s">
        <v>212</v>
      </c>
      <c r="AV697" t="s">
        <v>88</v>
      </c>
    </row>
    <row r="698" spans="1:53" x14ac:dyDescent="0.3">
      <c r="A698" t="s">
        <v>618</v>
      </c>
      <c r="C698" t="s">
        <v>920</v>
      </c>
      <c r="D698" t="s">
        <v>81</v>
      </c>
      <c r="E698">
        <v>246000</v>
      </c>
      <c r="H698">
        <v>2.54</v>
      </c>
      <c r="I698" t="s">
        <v>56</v>
      </c>
      <c r="J698">
        <v>2.5399999999999999E-4</v>
      </c>
      <c r="K698" t="s">
        <v>57</v>
      </c>
      <c r="L698" t="s">
        <v>112</v>
      </c>
      <c r="O698">
        <v>6350</v>
      </c>
      <c r="P698" t="s">
        <v>121</v>
      </c>
      <c r="T698">
        <v>25</v>
      </c>
      <c r="V698">
        <v>50</v>
      </c>
      <c r="W698" t="s">
        <v>622</v>
      </c>
      <c r="X698" t="s">
        <v>199</v>
      </c>
      <c r="Y698">
        <v>9.8755931768628606</v>
      </c>
      <c r="AB698">
        <v>4.8309178743961301</v>
      </c>
      <c r="AC698" t="s">
        <v>85</v>
      </c>
      <c r="AE698" t="s">
        <v>63</v>
      </c>
      <c r="AI698">
        <v>5</v>
      </c>
      <c r="AT698" t="s">
        <v>212</v>
      </c>
      <c r="AV698" t="s">
        <v>88</v>
      </c>
    </row>
    <row r="699" spans="1:53" x14ac:dyDescent="0.3">
      <c r="A699" t="s">
        <v>618</v>
      </c>
      <c r="C699" t="s">
        <v>920</v>
      </c>
      <c r="D699" t="s">
        <v>81</v>
      </c>
      <c r="E699">
        <v>246000</v>
      </c>
      <c r="H699">
        <v>2.54</v>
      </c>
      <c r="I699" t="s">
        <v>56</v>
      </c>
      <c r="J699">
        <v>2.5399999999999999E-4</v>
      </c>
      <c r="K699" t="s">
        <v>57</v>
      </c>
      <c r="L699" t="s">
        <v>112</v>
      </c>
      <c r="O699">
        <v>6350</v>
      </c>
      <c r="P699" t="s">
        <v>121</v>
      </c>
      <c r="T699">
        <v>25</v>
      </c>
      <c r="V699">
        <v>50</v>
      </c>
      <c r="W699" t="s">
        <v>622</v>
      </c>
      <c r="X699" t="s">
        <v>199</v>
      </c>
      <c r="Y699">
        <v>19.96280620751568</v>
      </c>
      <c r="AB699">
        <v>4.9082125603864704</v>
      </c>
      <c r="AC699" t="s">
        <v>85</v>
      </c>
      <c r="AE699" t="s">
        <v>63</v>
      </c>
      <c r="AI699">
        <v>5</v>
      </c>
      <c r="AT699" t="s">
        <v>212</v>
      </c>
      <c r="AV699" t="s">
        <v>88</v>
      </c>
    </row>
    <row r="700" spans="1:53" x14ac:dyDescent="0.3">
      <c r="A700" t="s">
        <v>618</v>
      </c>
      <c r="C700" t="s">
        <v>920</v>
      </c>
      <c r="D700" t="s">
        <v>81</v>
      </c>
      <c r="E700">
        <v>246000</v>
      </c>
      <c r="H700">
        <v>2.54</v>
      </c>
      <c r="I700" t="s">
        <v>56</v>
      </c>
      <c r="J700">
        <v>2.5399999999999999E-4</v>
      </c>
      <c r="K700" t="s">
        <v>57</v>
      </c>
      <c r="L700" t="s">
        <v>112</v>
      </c>
      <c r="O700">
        <v>6350</v>
      </c>
      <c r="P700" t="s">
        <v>121</v>
      </c>
      <c r="T700">
        <v>25</v>
      </c>
      <c r="V700">
        <v>50</v>
      </c>
      <c r="W700" t="s">
        <v>622</v>
      </c>
      <c r="X700" t="s">
        <v>199</v>
      </c>
      <c r="Y700">
        <v>29.651789149672918</v>
      </c>
      <c r="AB700">
        <v>4.9855072463768</v>
      </c>
      <c r="AC700" t="s">
        <v>85</v>
      </c>
      <c r="AE700" t="s">
        <v>63</v>
      </c>
      <c r="AI700">
        <v>5</v>
      </c>
      <c r="AT700" t="s">
        <v>212</v>
      </c>
      <c r="AV700" t="s">
        <v>88</v>
      </c>
    </row>
    <row r="701" spans="1:53" x14ac:dyDescent="0.3">
      <c r="A701" t="s">
        <v>618</v>
      </c>
      <c r="C701" t="s">
        <v>920</v>
      </c>
      <c r="D701" t="s">
        <v>81</v>
      </c>
      <c r="E701">
        <v>200000</v>
      </c>
      <c r="H701">
        <v>2.54</v>
      </c>
      <c r="I701" t="s">
        <v>56</v>
      </c>
      <c r="J701">
        <v>2.5399999999999999E-4</v>
      </c>
      <c r="K701" t="s">
        <v>57</v>
      </c>
      <c r="L701" t="s">
        <v>112</v>
      </c>
      <c r="O701">
        <v>6350</v>
      </c>
      <c r="P701" t="s">
        <v>121</v>
      </c>
      <c r="T701">
        <v>25</v>
      </c>
      <c r="V701">
        <v>50</v>
      </c>
      <c r="W701" t="s">
        <v>622</v>
      </c>
      <c r="X701" t="s">
        <v>199</v>
      </c>
      <c r="Y701">
        <v>60.021803257663201</v>
      </c>
      <c r="AB701">
        <v>6.68599033816424</v>
      </c>
      <c r="AC701" t="s">
        <v>85</v>
      </c>
      <c r="AE701" t="s">
        <v>63</v>
      </c>
      <c r="AI701">
        <v>5</v>
      </c>
      <c r="AT701" t="s">
        <v>212</v>
      </c>
      <c r="AV701" t="s">
        <v>88</v>
      </c>
    </row>
    <row r="702" spans="1:53" x14ac:dyDescent="0.3">
      <c r="A702" t="s">
        <v>677</v>
      </c>
      <c r="C702" t="s">
        <v>920</v>
      </c>
      <c r="D702" t="s">
        <v>81</v>
      </c>
      <c r="E702">
        <v>200000</v>
      </c>
      <c r="H702">
        <v>14.25</v>
      </c>
      <c r="I702" t="s">
        <v>56</v>
      </c>
      <c r="J702">
        <v>1.4250000000000001E-3</v>
      </c>
      <c r="K702" t="s">
        <v>57</v>
      </c>
      <c r="L702" t="s">
        <v>1021</v>
      </c>
      <c r="O702">
        <v>6350</v>
      </c>
      <c r="P702" t="s">
        <v>121</v>
      </c>
      <c r="S702">
        <v>2</v>
      </c>
      <c r="T702">
        <v>22</v>
      </c>
      <c r="V702">
        <v>50</v>
      </c>
      <c r="W702" t="s">
        <v>1022</v>
      </c>
      <c r="X702" t="s">
        <v>199</v>
      </c>
      <c r="Y702">
        <v>5</v>
      </c>
      <c r="AA702" t="s">
        <v>184</v>
      </c>
      <c r="AB702">
        <v>6.88</v>
      </c>
      <c r="AC702" t="s">
        <v>85</v>
      </c>
      <c r="AD702" t="s">
        <v>1023</v>
      </c>
      <c r="AE702" t="s">
        <v>678</v>
      </c>
      <c r="AI702">
        <v>5</v>
      </c>
      <c r="AT702" t="s">
        <v>150</v>
      </c>
      <c r="AV702" t="s">
        <v>88</v>
      </c>
      <c r="AZ702">
        <v>0</v>
      </c>
      <c r="BA702">
        <v>6.88</v>
      </c>
    </row>
    <row r="703" spans="1:53" x14ac:dyDescent="0.3">
      <c r="A703" t="s">
        <v>677</v>
      </c>
      <c r="C703" t="s">
        <v>920</v>
      </c>
      <c r="D703" t="s">
        <v>81</v>
      </c>
      <c r="E703">
        <v>200000</v>
      </c>
      <c r="H703">
        <v>14.25</v>
      </c>
      <c r="I703" t="s">
        <v>56</v>
      </c>
      <c r="J703">
        <v>1.4250000000000001E-3</v>
      </c>
      <c r="K703" t="s">
        <v>57</v>
      </c>
      <c r="L703" t="s">
        <v>1021</v>
      </c>
      <c r="O703">
        <v>6350</v>
      </c>
      <c r="P703" t="s">
        <v>121</v>
      </c>
      <c r="S703">
        <v>2</v>
      </c>
      <c r="T703">
        <v>22</v>
      </c>
      <c r="V703">
        <v>50</v>
      </c>
      <c r="W703" t="s">
        <v>1022</v>
      </c>
      <c r="X703" t="s">
        <v>199</v>
      </c>
      <c r="Y703">
        <v>5</v>
      </c>
      <c r="AA703" t="s">
        <v>184</v>
      </c>
      <c r="AB703">
        <v>6.79</v>
      </c>
      <c r="AC703" t="s">
        <v>85</v>
      </c>
      <c r="AD703" t="s">
        <v>1023</v>
      </c>
      <c r="AE703" t="s">
        <v>678</v>
      </c>
      <c r="AI703">
        <v>5</v>
      </c>
      <c r="AT703" t="s">
        <v>150</v>
      </c>
      <c r="AV703" t="s">
        <v>88</v>
      </c>
      <c r="AZ703">
        <v>0</v>
      </c>
      <c r="BA703">
        <v>6.79</v>
      </c>
    </row>
    <row r="704" spans="1:53" x14ac:dyDescent="0.3">
      <c r="A704" t="s">
        <v>677</v>
      </c>
      <c r="C704" t="s">
        <v>920</v>
      </c>
      <c r="D704" t="s">
        <v>81</v>
      </c>
      <c r="E704">
        <v>200000</v>
      </c>
      <c r="H704">
        <v>14.25</v>
      </c>
      <c r="I704" t="s">
        <v>56</v>
      </c>
      <c r="J704">
        <v>1.4250000000000001E-3</v>
      </c>
      <c r="K704" t="s">
        <v>57</v>
      </c>
      <c r="L704" t="s">
        <v>1021</v>
      </c>
      <c r="O704">
        <v>6350</v>
      </c>
      <c r="P704" t="s">
        <v>121</v>
      </c>
      <c r="S704">
        <v>2</v>
      </c>
      <c r="T704">
        <v>22</v>
      </c>
      <c r="V704">
        <v>50</v>
      </c>
      <c r="W704" t="s">
        <v>1022</v>
      </c>
      <c r="X704" t="s">
        <v>199</v>
      </c>
      <c r="Y704">
        <v>5</v>
      </c>
      <c r="AA704" t="s">
        <v>184</v>
      </c>
      <c r="AB704">
        <v>5.89</v>
      </c>
      <c r="AC704" t="s">
        <v>85</v>
      </c>
      <c r="AD704" t="s">
        <v>1023</v>
      </c>
      <c r="AE704" t="s">
        <v>678</v>
      </c>
      <c r="AI704">
        <v>5</v>
      </c>
      <c r="AT704" t="s">
        <v>150</v>
      </c>
      <c r="AV704" t="s">
        <v>88</v>
      </c>
      <c r="AZ704">
        <v>0</v>
      </c>
      <c r="BA704">
        <v>5.89</v>
      </c>
    </row>
    <row r="705" spans="1:53" x14ac:dyDescent="0.3">
      <c r="A705" t="s">
        <v>677</v>
      </c>
      <c r="C705" t="s">
        <v>920</v>
      </c>
      <c r="D705" t="s">
        <v>81</v>
      </c>
      <c r="E705">
        <v>200000</v>
      </c>
      <c r="H705">
        <v>14.25</v>
      </c>
      <c r="I705" t="s">
        <v>56</v>
      </c>
      <c r="J705">
        <v>1.4250000000000001E-3</v>
      </c>
      <c r="K705" t="s">
        <v>57</v>
      </c>
      <c r="L705" t="s">
        <v>1021</v>
      </c>
      <c r="O705">
        <v>6350</v>
      </c>
      <c r="P705" t="s">
        <v>121</v>
      </c>
      <c r="S705">
        <v>2</v>
      </c>
      <c r="T705">
        <v>22</v>
      </c>
      <c r="V705">
        <v>50</v>
      </c>
      <c r="W705" t="s">
        <v>1022</v>
      </c>
      <c r="X705" t="s">
        <v>199</v>
      </c>
      <c r="Y705">
        <v>5</v>
      </c>
      <c r="AA705" t="s">
        <v>184</v>
      </c>
      <c r="AB705">
        <v>6.59</v>
      </c>
      <c r="AC705" t="s">
        <v>85</v>
      </c>
      <c r="AD705" t="s">
        <v>1023</v>
      </c>
      <c r="AE705" t="s">
        <v>678</v>
      </c>
      <c r="AI705">
        <v>5</v>
      </c>
      <c r="AT705" t="s">
        <v>150</v>
      </c>
      <c r="AV705" t="s">
        <v>88</v>
      </c>
      <c r="AZ705">
        <v>0</v>
      </c>
      <c r="BA705">
        <v>6.59</v>
      </c>
    </row>
    <row r="706" spans="1:53" x14ac:dyDescent="0.3">
      <c r="A706" t="s">
        <v>677</v>
      </c>
      <c r="C706" t="s">
        <v>920</v>
      </c>
      <c r="D706" t="s">
        <v>81</v>
      </c>
      <c r="E706">
        <v>200000</v>
      </c>
      <c r="H706">
        <v>14.25</v>
      </c>
      <c r="I706" t="s">
        <v>56</v>
      </c>
      <c r="J706">
        <v>1.4250000000000001E-3</v>
      </c>
      <c r="K706" t="s">
        <v>57</v>
      </c>
      <c r="L706" t="s">
        <v>1021</v>
      </c>
      <c r="O706">
        <v>6350</v>
      </c>
      <c r="P706" t="s">
        <v>121</v>
      </c>
      <c r="S706">
        <v>2</v>
      </c>
      <c r="T706">
        <v>22</v>
      </c>
      <c r="V706">
        <v>50</v>
      </c>
      <c r="W706" t="s">
        <v>466</v>
      </c>
      <c r="X706" t="s">
        <v>199</v>
      </c>
      <c r="Y706">
        <v>5</v>
      </c>
      <c r="AA706" t="s">
        <v>184</v>
      </c>
      <c r="AB706">
        <v>7.1</v>
      </c>
      <c r="AC706" t="s">
        <v>85</v>
      </c>
      <c r="AD706" t="s">
        <v>1023</v>
      </c>
      <c r="AE706" t="s">
        <v>678</v>
      </c>
      <c r="AI706">
        <v>5</v>
      </c>
      <c r="AT706" t="s">
        <v>358</v>
      </c>
      <c r="AV706" t="s">
        <v>88</v>
      </c>
      <c r="AZ706">
        <v>0</v>
      </c>
      <c r="BA706">
        <v>7.1</v>
      </c>
    </row>
    <row r="707" spans="1:53" x14ac:dyDescent="0.3">
      <c r="A707" t="s">
        <v>677</v>
      </c>
      <c r="C707" t="s">
        <v>920</v>
      </c>
      <c r="D707" t="s">
        <v>81</v>
      </c>
      <c r="E707">
        <v>200000</v>
      </c>
      <c r="H707">
        <v>14.25</v>
      </c>
      <c r="I707" t="s">
        <v>56</v>
      </c>
      <c r="J707">
        <v>1.4250000000000001E-3</v>
      </c>
      <c r="K707" t="s">
        <v>57</v>
      </c>
      <c r="L707" t="s">
        <v>1021</v>
      </c>
      <c r="O707">
        <v>6350</v>
      </c>
      <c r="P707" t="s">
        <v>121</v>
      </c>
      <c r="S707">
        <v>2</v>
      </c>
      <c r="T707">
        <v>22</v>
      </c>
      <c r="V707">
        <v>50</v>
      </c>
      <c r="W707" t="s">
        <v>466</v>
      </c>
      <c r="X707" t="s">
        <v>199</v>
      </c>
      <c r="Y707">
        <v>5</v>
      </c>
      <c r="AB707">
        <v>4.03</v>
      </c>
      <c r="AC707" t="s">
        <v>85</v>
      </c>
      <c r="AD707" t="s">
        <v>1024</v>
      </c>
      <c r="AE707" t="s">
        <v>682</v>
      </c>
      <c r="AI707">
        <v>5</v>
      </c>
      <c r="AT707" t="s">
        <v>358</v>
      </c>
      <c r="AV707" t="s">
        <v>88</v>
      </c>
    </row>
    <row r="708" spans="1:53" x14ac:dyDescent="0.3">
      <c r="A708" t="s">
        <v>677</v>
      </c>
      <c r="C708" t="s">
        <v>920</v>
      </c>
      <c r="D708" t="s">
        <v>81</v>
      </c>
      <c r="E708">
        <v>200000</v>
      </c>
      <c r="H708">
        <v>14.25</v>
      </c>
      <c r="I708" t="s">
        <v>56</v>
      </c>
      <c r="J708">
        <v>1.4250000000000001E-3</v>
      </c>
      <c r="K708" t="s">
        <v>57</v>
      </c>
      <c r="L708" t="s">
        <v>1021</v>
      </c>
      <c r="O708">
        <v>6350</v>
      </c>
      <c r="P708" t="s">
        <v>121</v>
      </c>
      <c r="S708">
        <v>2</v>
      </c>
      <c r="T708">
        <v>22</v>
      </c>
      <c r="V708">
        <v>50</v>
      </c>
      <c r="W708" t="s">
        <v>466</v>
      </c>
      <c r="X708" t="s">
        <v>199</v>
      </c>
      <c r="Y708">
        <v>5</v>
      </c>
      <c r="AA708" t="s">
        <v>184</v>
      </c>
      <c r="AB708">
        <v>6.59</v>
      </c>
      <c r="AC708" t="s">
        <v>85</v>
      </c>
      <c r="AD708" t="s">
        <v>1023</v>
      </c>
      <c r="AE708" t="s">
        <v>678</v>
      </c>
      <c r="AI708">
        <v>5</v>
      </c>
      <c r="AT708" t="s">
        <v>358</v>
      </c>
      <c r="AV708" t="s">
        <v>88</v>
      </c>
      <c r="AZ708">
        <v>0</v>
      </c>
      <c r="BA708">
        <v>6.59</v>
      </c>
    </row>
    <row r="709" spans="1:53" x14ac:dyDescent="0.3">
      <c r="A709" t="s">
        <v>677</v>
      </c>
      <c r="C709" t="s">
        <v>920</v>
      </c>
      <c r="D709" t="s">
        <v>81</v>
      </c>
      <c r="E709">
        <v>200000</v>
      </c>
      <c r="H709">
        <v>14.25</v>
      </c>
      <c r="I709" t="s">
        <v>56</v>
      </c>
      <c r="J709">
        <v>1.4250000000000001E-3</v>
      </c>
      <c r="K709" t="s">
        <v>57</v>
      </c>
      <c r="L709" t="s">
        <v>1021</v>
      </c>
      <c r="O709">
        <v>6350</v>
      </c>
      <c r="P709" t="s">
        <v>121</v>
      </c>
      <c r="S709">
        <v>2</v>
      </c>
      <c r="T709">
        <v>22</v>
      </c>
      <c r="V709">
        <v>50</v>
      </c>
      <c r="W709" t="s">
        <v>466</v>
      </c>
      <c r="X709" t="s">
        <v>199</v>
      </c>
      <c r="Y709">
        <v>5</v>
      </c>
      <c r="AA709" t="s">
        <v>184</v>
      </c>
      <c r="AB709">
        <v>7.04</v>
      </c>
      <c r="AC709" t="s">
        <v>85</v>
      </c>
      <c r="AD709" t="s">
        <v>1023</v>
      </c>
      <c r="AE709" t="s">
        <v>678</v>
      </c>
      <c r="AI709">
        <v>5</v>
      </c>
      <c r="AT709" t="s">
        <v>358</v>
      </c>
      <c r="AV709" t="s">
        <v>88</v>
      </c>
      <c r="AZ709">
        <v>0</v>
      </c>
      <c r="BA709">
        <v>7.04</v>
      </c>
    </row>
    <row r="710" spans="1:53" x14ac:dyDescent="0.3">
      <c r="A710" t="s">
        <v>677</v>
      </c>
      <c r="C710" t="s">
        <v>920</v>
      </c>
      <c r="D710" t="s">
        <v>81</v>
      </c>
      <c r="E710">
        <v>200000</v>
      </c>
      <c r="H710">
        <v>14.25</v>
      </c>
      <c r="I710" t="s">
        <v>56</v>
      </c>
      <c r="J710">
        <v>1.4250000000000001E-3</v>
      </c>
      <c r="K710" t="s">
        <v>57</v>
      </c>
      <c r="L710" t="s">
        <v>1021</v>
      </c>
      <c r="O710">
        <v>6350</v>
      </c>
      <c r="P710" t="s">
        <v>121</v>
      </c>
      <c r="S710">
        <v>2</v>
      </c>
      <c r="T710">
        <v>22</v>
      </c>
      <c r="V710">
        <v>50</v>
      </c>
      <c r="W710" t="s">
        <v>547</v>
      </c>
      <c r="X710" t="s">
        <v>199</v>
      </c>
      <c r="Y710">
        <v>5</v>
      </c>
      <c r="AB710">
        <v>2.92</v>
      </c>
      <c r="AC710" t="s">
        <v>85</v>
      </c>
      <c r="AD710" t="s">
        <v>1025</v>
      </c>
      <c r="AE710" t="s">
        <v>682</v>
      </c>
      <c r="AI710">
        <v>5</v>
      </c>
      <c r="AT710" t="s">
        <v>73</v>
      </c>
      <c r="AV710" t="s">
        <v>88</v>
      </c>
    </row>
    <row r="711" spans="1:53" x14ac:dyDescent="0.3">
      <c r="A711" t="s">
        <v>677</v>
      </c>
      <c r="C711" t="s">
        <v>920</v>
      </c>
      <c r="D711" t="s">
        <v>81</v>
      </c>
      <c r="E711">
        <v>200000</v>
      </c>
      <c r="H711">
        <v>14.25</v>
      </c>
      <c r="I711" t="s">
        <v>56</v>
      </c>
      <c r="J711">
        <v>1.4250000000000001E-3</v>
      </c>
      <c r="K711" t="s">
        <v>57</v>
      </c>
      <c r="L711" t="s">
        <v>1021</v>
      </c>
      <c r="O711">
        <v>6350</v>
      </c>
      <c r="P711" t="s">
        <v>121</v>
      </c>
      <c r="S711">
        <v>2</v>
      </c>
      <c r="T711">
        <v>22</v>
      </c>
      <c r="V711">
        <v>50</v>
      </c>
      <c r="W711" t="s">
        <v>547</v>
      </c>
      <c r="X711" t="s">
        <v>199</v>
      </c>
      <c r="Y711">
        <v>5</v>
      </c>
      <c r="AB711">
        <v>3.92</v>
      </c>
      <c r="AC711" t="s">
        <v>85</v>
      </c>
      <c r="AD711" t="s">
        <v>1026</v>
      </c>
      <c r="AE711" t="s">
        <v>682</v>
      </c>
      <c r="AI711">
        <v>5</v>
      </c>
      <c r="AT711" t="s">
        <v>73</v>
      </c>
      <c r="AV711" t="s">
        <v>88</v>
      </c>
    </row>
    <row r="712" spans="1:53" x14ac:dyDescent="0.3">
      <c r="A712" t="s">
        <v>677</v>
      </c>
      <c r="C712" t="s">
        <v>920</v>
      </c>
      <c r="D712" t="s">
        <v>81</v>
      </c>
      <c r="E712">
        <v>200000</v>
      </c>
      <c r="H712">
        <v>14.25</v>
      </c>
      <c r="I712" t="s">
        <v>56</v>
      </c>
      <c r="J712">
        <v>1.4250000000000001E-3</v>
      </c>
      <c r="K712" t="s">
        <v>57</v>
      </c>
      <c r="L712" t="s">
        <v>1021</v>
      </c>
      <c r="O712">
        <v>6350</v>
      </c>
      <c r="P712" t="s">
        <v>121</v>
      </c>
      <c r="S712">
        <v>2</v>
      </c>
      <c r="T712">
        <v>22</v>
      </c>
      <c r="V712">
        <v>50</v>
      </c>
      <c r="W712" t="s">
        <v>547</v>
      </c>
      <c r="X712" t="s">
        <v>199</v>
      </c>
      <c r="Y712">
        <v>5</v>
      </c>
      <c r="AB712">
        <v>6.26</v>
      </c>
      <c r="AC712" t="s">
        <v>85</v>
      </c>
      <c r="AD712" t="s">
        <v>1027</v>
      </c>
      <c r="AE712" t="s">
        <v>682</v>
      </c>
      <c r="AI712">
        <v>5</v>
      </c>
      <c r="AT712" t="s">
        <v>73</v>
      </c>
      <c r="AV712" t="s">
        <v>88</v>
      </c>
    </row>
    <row r="713" spans="1:53" x14ac:dyDescent="0.3">
      <c r="A713" t="s">
        <v>677</v>
      </c>
      <c r="C713" t="s">
        <v>920</v>
      </c>
      <c r="D713" t="s">
        <v>81</v>
      </c>
      <c r="E713">
        <v>200000</v>
      </c>
      <c r="H713">
        <v>14.25</v>
      </c>
      <c r="I713" t="s">
        <v>56</v>
      </c>
      <c r="J713">
        <v>1.4250000000000001E-3</v>
      </c>
      <c r="K713" t="s">
        <v>57</v>
      </c>
      <c r="L713" t="s">
        <v>1021</v>
      </c>
      <c r="O713">
        <v>6350</v>
      </c>
      <c r="P713" t="s">
        <v>121</v>
      </c>
      <c r="S713">
        <v>2</v>
      </c>
      <c r="T713">
        <v>22</v>
      </c>
      <c r="V713">
        <v>50</v>
      </c>
      <c r="W713" t="s">
        <v>547</v>
      </c>
      <c r="X713" t="s">
        <v>199</v>
      </c>
      <c r="Y713">
        <v>5</v>
      </c>
      <c r="AB713">
        <v>2.86</v>
      </c>
      <c r="AC713" t="s">
        <v>85</v>
      </c>
      <c r="AD713" t="s">
        <v>1028</v>
      </c>
      <c r="AE713" t="s">
        <v>682</v>
      </c>
      <c r="AI713">
        <v>5</v>
      </c>
      <c r="AT713" t="s">
        <v>73</v>
      </c>
      <c r="AV713" t="s">
        <v>88</v>
      </c>
    </row>
    <row r="714" spans="1:53" x14ac:dyDescent="0.3">
      <c r="A714" t="s">
        <v>677</v>
      </c>
      <c r="C714" t="s">
        <v>920</v>
      </c>
      <c r="D714" t="s">
        <v>81</v>
      </c>
      <c r="E714">
        <v>200000</v>
      </c>
      <c r="H714">
        <v>14.25</v>
      </c>
      <c r="I714" t="s">
        <v>56</v>
      </c>
      <c r="J714">
        <v>1.4250000000000001E-3</v>
      </c>
      <c r="K714" t="s">
        <v>57</v>
      </c>
      <c r="L714" t="s">
        <v>1021</v>
      </c>
      <c r="O714">
        <v>6350</v>
      </c>
      <c r="P714" t="s">
        <v>121</v>
      </c>
      <c r="S714">
        <v>2</v>
      </c>
      <c r="T714">
        <v>22</v>
      </c>
      <c r="V714">
        <v>50</v>
      </c>
      <c r="W714" t="s">
        <v>552</v>
      </c>
      <c r="X714" t="s">
        <v>199</v>
      </c>
      <c r="Y714">
        <v>5</v>
      </c>
      <c r="AA714" t="s">
        <v>184</v>
      </c>
      <c r="AB714">
        <v>7.7</v>
      </c>
      <c r="AC714" t="s">
        <v>85</v>
      </c>
      <c r="AD714" t="s">
        <v>1023</v>
      </c>
      <c r="AE714" t="s">
        <v>678</v>
      </c>
      <c r="AI714">
        <v>5</v>
      </c>
      <c r="AT714" t="s">
        <v>65</v>
      </c>
      <c r="AV714" t="s">
        <v>88</v>
      </c>
      <c r="AZ714">
        <v>0</v>
      </c>
      <c r="BA714">
        <v>7.7</v>
      </c>
    </row>
    <row r="715" spans="1:53" x14ac:dyDescent="0.3">
      <c r="A715" t="s">
        <v>677</v>
      </c>
      <c r="C715" t="s">
        <v>920</v>
      </c>
      <c r="D715" t="s">
        <v>81</v>
      </c>
      <c r="E715">
        <v>200000</v>
      </c>
      <c r="H715">
        <v>14.25</v>
      </c>
      <c r="I715" t="s">
        <v>56</v>
      </c>
      <c r="J715">
        <v>1.4250000000000001E-3</v>
      </c>
      <c r="K715" t="s">
        <v>57</v>
      </c>
      <c r="L715" t="s">
        <v>1021</v>
      </c>
      <c r="O715">
        <v>6350</v>
      </c>
      <c r="P715" t="s">
        <v>121</v>
      </c>
      <c r="S715">
        <v>2</v>
      </c>
      <c r="T715">
        <v>22</v>
      </c>
      <c r="V715">
        <v>50</v>
      </c>
      <c r="W715" t="s">
        <v>552</v>
      </c>
      <c r="X715" t="s">
        <v>199</v>
      </c>
      <c r="Y715">
        <v>5</v>
      </c>
      <c r="AA715" t="s">
        <v>184</v>
      </c>
      <c r="AB715">
        <v>7.26</v>
      </c>
      <c r="AC715" t="s">
        <v>85</v>
      </c>
      <c r="AD715" t="s">
        <v>1023</v>
      </c>
      <c r="AE715" t="s">
        <v>678</v>
      </c>
      <c r="AI715">
        <v>5</v>
      </c>
      <c r="AT715" t="s">
        <v>65</v>
      </c>
      <c r="AV715" t="s">
        <v>88</v>
      </c>
      <c r="AZ715">
        <v>0</v>
      </c>
      <c r="BA715">
        <v>7.26</v>
      </c>
    </row>
    <row r="716" spans="1:53" x14ac:dyDescent="0.3">
      <c r="A716" t="s">
        <v>677</v>
      </c>
      <c r="C716" t="s">
        <v>920</v>
      </c>
      <c r="D716" t="s">
        <v>81</v>
      </c>
      <c r="E716">
        <v>200000</v>
      </c>
      <c r="H716">
        <v>14.25</v>
      </c>
      <c r="I716" t="s">
        <v>56</v>
      </c>
      <c r="J716">
        <v>1.4250000000000001E-3</v>
      </c>
      <c r="K716" t="s">
        <v>57</v>
      </c>
      <c r="L716" t="s">
        <v>1021</v>
      </c>
      <c r="O716">
        <v>6350</v>
      </c>
      <c r="P716" t="s">
        <v>121</v>
      </c>
      <c r="S716">
        <v>2</v>
      </c>
      <c r="T716">
        <v>22</v>
      </c>
      <c r="V716">
        <v>50</v>
      </c>
      <c r="W716" t="s">
        <v>552</v>
      </c>
      <c r="X716" t="s">
        <v>199</v>
      </c>
      <c r="Y716">
        <v>5</v>
      </c>
      <c r="AA716" t="s">
        <v>184</v>
      </c>
      <c r="AB716">
        <v>6.87</v>
      </c>
      <c r="AC716" t="s">
        <v>85</v>
      </c>
      <c r="AD716" t="s">
        <v>1023</v>
      </c>
      <c r="AE716" t="s">
        <v>678</v>
      </c>
      <c r="AI716">
        <v>5</v>
      </c>
      <c r="AT716" t="s">
        <v>65</v>
      </c>
      <c r="AV716" t="s">
        <v>88</v>
      </c>
      <c r="AZ716">
        <v>0</v>
      </c>
      <c r="BA716">
        <v>6.87</v>
      </c>
    </row>
    <row r="717" spans="1:53" x14ac:dyDescent="0.3">
      <c r="A717" t="s">
        <v>677</v>
      </c>
      <c r="C717" t="s">
        <v>920</v>
      </c>
      <c r="D717" t="s">
        <v>81</v>
      </c>
      <c r="E717">
        <v>1000000</v>
      </c>
      <c r="H717">
        <v>14.25</v>
      </c>
      <c r="I717" t="s">
        <v>56</v>
      </c>
      <c r="J717">
        <v>1.4250000000000001E-3</v>
      </c>
      <c r="K717" t="s">
        <v>57</v>
      </c>
      <c r="L717" t="s">
        <v>1021</v>
      </c>
      <c r="O717">
        <v>6350</v>
      </c>
      <c r="P717" t="s">
        <v>121</v>
      </c>
      <c r="S717">
        <v>2</v>
      </c>
      <c r="T717">
        <v>22</v>
      </c>
      <c r="V717">
        <v>50</v>
      </c>
      <c r="W717" t="s">
        <v>552</v>
      </c>
      <c r="X717" t="s">
        <v>199</v>
      </c>
      <c r="Y717">
        <v>5</v>
      </c>
      <c r="AA717" t="s">
        <v>184</v>
      </c>
      <c r="AB717">
        <v>7.6</v>
      </c>
      <c r="AC717" t="s">
        <v>85</v>
      </c>
      <c r="AD717" t="s">
        <v>1023</v>
      </c>
      <c r="AE717" t="s">
        <v>678</v>
      </c>
      <c r="AI717">
        <v>5</v>
      </c>
      <c r="AT717" t="s">
        <v>65</v>
      </c>
      <c r="AV717" t="s">
        <v>88</v>
      </c>
      <c r="AZ717">
        <v>0</v>
      </c>
      <c r="BA717">
        <v>7.6</v>
      </c>
    </row>
    <row r="718" spans="1:53" x14ac:dyDescent="0.3">
      <c r="A718" t="s">
        <v>677</v>
      </c>
      <c r="C718" t="s">
        <v>920</v>
      </c>
      <c r="D718" t="s">
        <v>81</v>
      </c>
      <c r="E718">
        <v>1000000</v>
      </c>
      <c r="H718">
        <v>14.25</v>
      </c>
      <c r="I718" t="s">
        <v>56</v>
      </c>
      <c r="J718">
        <v>1.4250000000000001E-3</v>
      </c>
      <c r="K718" t="s">
        <v>57</v>
      </c>
      <c r="L718" t="s">
        <v>1021</v>
      </c>
      <c r="O718">
        <v>6350</v>
      </c>
      <c r="P718" t="s">
        <v>121</v>
      </c>
      <c r="S718">
        <v>2</v>
      </c>
      <c r="T718">
        <v>22</v>
      </c>
      <c r="V718">
        <v>50</v>
      </c>
      <c r="W718" t="s">
        <v>683</v>
      </c>
      <c r="X718" t="s">
        <v>199</v>
      </c>
      <c r="Y718">
        <v>5</v>
      </c>
      <c r="AB718">
        <v>5.0599999999999996</v>
      </c>
      <c r="AC718" t="s">
        <v>85</v>
      </c>
      <c r="AD718" t="s">
        <v>1029</v>
      </c>
      <c r="AE718" t="s">
        <v>682</v>
      </c>
      <c r="AI718">
        <v>5</v>
      </c>
      <c r="AT718" t="s">
        <v>458</v>
      </c>
      <c r="AV718" t="s">
        <v>88</v>
      </c>
    </row>
    <row r="719" spans="1:53" x14ac:dyDescent="0.3">
      <c r="A719" t="s">
        <v>677</v>
      </c>
      <c r="C719" t="s">
        <v>920</v>
      </c>
      <c r="D719" t="s">
        <v>81</v>
      </c>
      <c r="E719">
        <v>1000000</v>
      </c>
      <c r="H719">
        <v>14.25</v>
      </c>
      <c r="I719" t="s">
        <v>56</v>
      </c>
      <c r="J719">
        <v>1.4250000000000001E-3</v>
      </c>
      <c r="K719" t="s">
        <v>57</v>
      </c>
      <c r="L719" t="s">
        <v>1021</v>
      </c>
      <c r="O719">
        <v>6350</v>
      </c>
      <c r="P719" t="s">
        <v>121</v>
      </c>
      <c r="S719">
        <v>2</v>
      </c>
      <c r="T719">
        <v>22</v>
      </c>
      <c r="V719">
        <v>50</v>
      </c>
      <c r="W719" t="s">
        <v>683</v>
      </c>
      <c r="X719" t="s">
        <v>199</v>
      </c>
      <c r="Y719">
        <v>5</v>
      </c>
      <c r="AB719">
        <v>4.22</v>
      </c>
      <c r="AC719" t="s">
        <v>85</v>
      </c>
      <c r="AD719" t="s">
        <v>1030</v>
      </c>
      <c r="AE719" t="s">
        <v>682</v>
      </c>
      <c r="AI719">
        <v>5</v>
      </c>
      <c r="AT719" t="s">
        <v>458</v>
      </c>
      <c r="AV719" t="s">
        <v>88</v>
      </c>
    </row>
    <row r="720" spans="1:53" x14ac:dyDescent="0.3">
      <c r="A720" t="s">
        <v>677</v>
      </c>
      <c r="C720" t="s">
        <v>920</v>
      </c>
      <c r="D720" t="s">
        <v>81</v>
      </c>
      <c r="E720">
        <v>1000000</v>
      </c>
      <c r="H720">
        <v>14.25</v>
      </c>
      <c r="I720" t="s">
        <v>56</v>
      </c>
      <c r="J720">
        <v>1.4250000000000001E-3</v>
      </c>
      <c r="K720" t="s">
        <v>57</v>
      </c>
      <c r="L720" t="s">
        <v>1021</v>
      </c>
      <c r="O720">
        <v>6350</v>
      </c>
      <c r="P720" t="s">
        <v>121</v>
      </c>
      <c r="S720">
        <v>2</v>
      </c>
      <c r="T720">
        <v>22</v>
      </c>
      <c r="V720">
        <v>50</v>
      </c>
      <c r="W720" t="s">
        <v>683</v>
      </c>
      <c r="X720" t="s">
        <v>199</v>
      </c>
      <c r="Y720">
        <v>5</v>
      </c>
      <c r="AB720">
        <v>4.1100000000000003</v>
      </c>
      <c r="AC720" t="s">
        <v>85</v>
      </c>
      <c r="AD720" t="s">
        <v>1031</v>
      </c>
      <c r="AE720" t="s">
        <v>682</v>
      </c>
      <c r="AI720">
        <v>5</v>
      </c>
      <c r="AT720" t="s">
        <v>458</v>
      </c>
      <c r="AV720" t="s">
        <v>88</v>
      </c>
    </row>
    <row r="721" spans="1:53" x14ac:dyDescent="0.3">
      <c r="A721" t="s">
        <v>677</v>
      </c>
      <c r="C721" t="s">
        <v>920</v>
      </c>
      <c r="D721" t="s">
        <v>81</v>
      </c>
      <c r="E721">
        <v>1000000</v>
      </c>
      <c r="H721">
        <v>14.25</v>
      </c>
      <c r="I721" t="s">
        <v>56</v>
      </c>
      <c r="J721">
        <v>1.4250000000000001E-3</v>
      </c>
      <c r="K721" t="s">
        <v>57</v>
      </c>
      <c r="L721" t="s">
        <v>1021</v>
      </c>
      <c r="O721">
        <v>6350</v>
      </c>
      <c r="P721" t="s">
        <v>121</v>
      </c>
      <c r="S721">
        <v>2</v>
      </c>
      <c r="T721">
        <v>22</v>
      </c>
      <c r="V721">
        <v>50</v>
      </c>
      <c r="W721" t="s">
        <v>683</v>
      </c>
      <c r="X721" t="s">
        <v>199</v>
      </c>
      <c r="Y721">
        <v>5</v>
      </c>
      <c r="AB721">
        <v>2.91</v>
      </c>
      <c r="AC721" t="s">
        <v>85</v>
      </c>
      <c r="AD721" t="s">
        <v>1032</v>
      </c>
      <c r="AE721" t="s">
        <v>682</v>
      </c>
      <c r="AI721">
        <v>5</v>
      </c>
      <c r="AT721" t="s">
        <v>458</v>
      </c>
      <c r="AV721" t="s">
        <v>88</v>
      </c>
    </row>
    <row r="722" spans="1:53" x14ac:dyDescent="0.3">
      <c r="A722" t="s">
        <v>677</v>
      </c>
      <c r="C722" t="s">
        <v>920</v>
      </c>
      <c r="D722" t="s">
        <v>81</v>
      </c>
      <c r="E722">
        <v>1000000</v>
      </c>
      <c r="H722">
        <v>14.25</v>
      </c>
      <c r="I722" t="s">
        <v>56</v>
      </c>
      <c r="J722">
        <v>1.4250000000000001E-3</v>
      </c>
      <c r="K722" t="s">
        <v>57</v>
      </c>
      <c r="L722" t="s">
        <v>1021</v>
      </c>
      <c r="O722">
        <v>6350</v>
      </c>
      <c r="P722" t="s">
        <v>121</v>
      </c>
      <c r="S722">
        <v>2</v>
      </c>
      <c r="T722">
        <v>22</v>
      </c>
      <c r="V722">
        <v>50</v>
      </c>
      <c r="W722" t="s">
        <v>463</v>
      </c>
      <c r="X722" t="s">
        <v>199</v>
      </c>
      <c r="Y722">
        <v>5</v>
      </c>
      <c r="AA722" t="s">
        <v>184</v>
      </c>
      <c r="AB722">
        <v>7.09</v>
      </c>
      <c r="AC722" t="s">
        <v>85</v>
      </c>
      <c r="AD722" t="s">
        <v>1023</v>
      </c>
      <c r="AE722" t="s">
        <v>678</v>
      </c>
      <c r="AI722">
        <v>5</v>
      </c>
      <c r="AT722" t="s">
        <v>360</v>
      </c>
      <c r="AV722" t="s">
        <v>88</v>
      </c>
      <c r="AZ722">
        <v>0</v>
      </c>
      <c r="BA722">
        <v>7.09</v>
      </c>
    </row>
    <row r="723" spans="1:53" x14ac:dyDescent="0.3">
      <c r="A723" t="s">
        <v>677</v>
      </c>
      <c r="C723" t="s">
        <v>920</v>
      </c>
      <c r="D723" t="s">
        <v>81</v>
      </c>
      <c r="E723">
        <v>1000000</v>
      </c>
      <c r="H723">
        <v>14.25</v>
      </c>
      <c r="I723" t="s">
        <v>56</v>
      </c>
      <c r="J723">
        <v>1.4250000000000001E-3</v>
      </c>
      <c r="K723" t="s">
        <v>57</v>
      </c>
      <c r="L723" t="s">
        <v>1021</v>
      </c>
      <c r="O723">
        <v>6350</v>
      </c>
      <c r="P723" t="s">
        <v>121</v>
      </c>
      <c r="S723">
        <v>2</v>
      </c>
      <c r="T723">
        <v>22</v>
      </c>
      <c r="V723">
        <v>50</v>
      </c>
      <c r="W723" t="s">
        <v>463</v>
      </c>
      <c r="X723" t="s">
        <v>199</v>
      </c>
      <c r="Y723">
        <v>5</v>
      </c>
      <c r="AA723" t="s">
        <v>184</v>
      </c>
      <c r="AB723">
        <v>7.49</v>
      </c>
      <c r="AC723" t="s">
        <v>85</v>
      </c>
      <c r="AD723" t="s">
        <v>1023</v>
      </c>
      <c r="AE723" t="s">
        <v>678</v>
      </c>
      <c r="AI723">
        <v>5</v>
      </c>
      <c r="AT723" t="s">
        <v>360</v>
      </c>
      <c r="AV723" t="s">
        <v>88</v>
      </c>
      <c r="AZ723">
        <v>0</v>
      </c>
      <c r="BA723">
        <v>7.49</v>
      </c>
    </row>
    <row r="724" spans="1:53" x14ac:dyDescent="0.3">
      <c r="A724" t="s">
        <v>677</v>
      </c>
      <c r="C724" t="s">
        <v>920</v>
      </c>
      <c r="D724" t="s">
        <v>81</v>
      </c>
      <c r="E724">
        <v>1000000</v>
      </c>
      <c r="H724">
        <v>14.25</v>
      </c>
      <c r="I724" t="s">
        <v>56</v>
      </c>
      <c r="J724">
        <v>1.4250000000000001E-3</v>
      </c>
      <c r="K724" t="s">
        <v>57</v>
      </c>
      <c r="L724" t="s">
        <v>1021</v>
      </c>
      <c r="O724">
        <v>6350</v>
      </c>
      <c r="P724" t="s">
        <v>121</v>
      </c>
      <c r="S724">
        <v>2</v>
      </c>
      <c r="T724">
        <v>22</v>
      </c>
      <c r="V724">
        <v>50</v>
      </c>
      <c r="W724" t="s">
        <v>463</v>
      </c>
      <c r="X724" t="s">
        <v>199</v>
      </c>
      <c r="Y724">
        <v>5</v>
      </c>
      <c r="AA724" t="s">
        <v>184</v>
      </c>
      <c r="AB724">
        <v>6.9</v>
      </c>
      <c r="AC724" t="s">
        <v>85</v>
      </c>
      <c r="AD724" t="s">
        <v>1023</v>
      </c>
      <c r="AE724" t="s">
        <v>678</v>
      </c>
      <c r="AI724">
        <v>5</v>
      </c>
      <c r="AT724" t="s">
        <v>360</v>
      </c>
      <c r="AV724" t="s">
        <v>88</v>
      </c>
      <c r="AZ724">
        <v>0</v>
      </c>
      <c r="BA724">
        <v>6.9</v>
      </c>
    </row>
    <row r="725" spans="1:53" x14ac:dyDescent="0.3">
      <c r="A725" t="s">
        <v>677</v>
      </c>
      <c r="C725" t="s">
        <v>920</v>
      </c>
      <c r="D725" t="s">
        <v>81</v>
      </c>
      <c r="E725">
        <v>1000000</v>
      </c>
      <c r="H725">
        <v>14.25</v>
      </c>
      <c r="I725" t="s">
        <v>56</v>
      </c>
      <c r="J725">
        <v>1.4250000000000001E-3</v>
      </c>
      <c r="K725" t="s">
        <v>57</v>
      </c>
      <c r="L725" t="s">
        <v>1021</v>
      </c>
      <c r="O725">
        <v>6350</v>
      </c>
      <c r="P725" t="s">
        <v>121</v>
      </c>
      <c r="S725">
        <v>2</v>
      </c>
      <c r="T725">
        <v>22</v>
      </c>
      <c r="V725">
        <v>50</v>
      </c>
      <c r="W725" t="s">
        <v>463</v>
      </c>
      <c r="X725" t="s">
        <v>199</v>
      </c>
      <c r="Y725">
        <v>5</v>
      </c>
      <c r="AA725" t="s">
        <v>184</v>
      </c>
      <c r="AB725">
        <v>7.81</v>
      </c>
      <c r="AC725" t="s">
        <v>85</v>
      </c>
      <c r="AD725" t="s">
        <v>1023</v>
      </c>
      <c r="AE725" t="s">
        <v>678</v>
      </c>
      <c r="AI725">
        <v>5</v>
      </c>
      <c r="AT725" t="s">
        <v>360</v>
      </c>
      <c r="AV725" t="s">
        <v>88</v>
      </c>
      <c r="AZ725">
        <v>0</v>
      </c>
      <c r="BA725">
        <v>7.81</v>
      </c>
    </row>
    <row r="726" spans="1:53" x14ac:dyDescent="0.3">
      <c r="A726" t="s">
        <v>677</v>
      </c>
      <c r="C726" t="s">
        <v>920</v>
      </c>
      <c r="D726" t="s">
        <v>81</v>
      </c>
      <c r="E726">
        <v>1000000</v>
      </c>
      <c r="H726">
        <v>14.25</v>
      </c>
      <c r="I726" t="s">
        <v>56</v>
      </c>
      <c r="J726">
        <v>1.4250000000000001E-3</v>
      </c>
      <c r="K726" t="s">
        <v>57</v>
      </c>
      <c r="L726" t="s">
        <v>1021</v>
      </c>
      <c r="O726">
        <v>6350</v>
      </c>
      <c r="P726" t="s">
        <v>121</v>
      </c>
      <c r="S726">
        <v>2</v>
      </c>
      <c r="T726">
        <v>22</v>
      </c>
      <c r="V726">
        <v>50</v>
      </c>
      <c r="W726" t="s">
        <v>1022</v>
      </c>
      <c r="X726" t="s">
        <v>199</v>
      </c>
      <c r="Y726">
        <v>10</v>
      </c>
      <c r="AA726" t="s">
        <v>184</v>
      </c>
      <c r="AB726">
        <v>6.7</v>
      </c>
      <c r="AC726" t="s">
        <v>85</v>
      </c>
      <c r="AD726" t="s">
        <v>1023</v>
      </c>
      <c r="AE726" t="s">
        <v>678</v>
      </c>
      <c r="AI726">
        <v>5</v>
      </c>
      <c r="AT726" t="s">
        <v>150</v>
      </c>
      <c r="AV726" t="s">
        <v>88</v>
      </c>
      <c r="AZ726">
        <v>0</v>
      </c>
      <c r="BA726">
        <v>6.7</v>
      </c>
    </row>
    <row r="727" spans="1:53" x14ac:dyDescent="0.3">
      <c r="A727" t="s">
        <v>677</v>
      </c>
      <c r="C727" t="s">
        <v>920</v>
      </c>
      <c r="D727" t="s">
        <v>81</v>
      </c>
      <c r="E727">
        <v>1000000</v>
      </c>
      <c r="H727">
        <v>14.25</v>
      </c>
      <c r="I727" t="s">
        <v>56</v>
      </c>
      <c r="J727">
        <v>1.4250000000000001E-3</v>
      </c>
      <c r="K727" t="s">
        <v>57</v>
      </c>
      <c r="L727" t="s">
        <v>1021</v>
      </c>
      <c r="O727">
        <v>6350</v>
      </c>
      <c r="P727" t="s">
        <v>121</v>
      </c>
      <c r="S727">
        <v>2</v>
      </c>
      <c r="T727">
        <v>22</v>
      </c>
      <c r="V727">
        <v>50</v>
      </c>
      <c r="W727" t="s">
        <v>1022</v>
      </c>
      <c r="X727" t="s">
        <v>199</v>
      </c>
      <c r="Y727">
        <v>10</v>
      </c>
      <c r="AA727" t="s">
        <v>184</v>
      </c>
      <c r="AB727">
        <v>6.46</v>
      </c>
      <c r="AC727" t="s">
        <v>85</v>
      </c>
      <c r="AD727" t="s">
        <v>1023</v>
      </c>
      <c r="AE727" t="s">
        <v>678</v>
      </c>
      <c r="AI727">
        <v>5</v>
      </c>
      <c r="AT727" t="s">
        <v>150</v>
      </c>
      <c r="AV727" t="s">
        <v>88</v>
      </c>
      <c r="AZ727">
        <v>0</v>
      </c>
      <c r="BA727">
        <v>6.46</v>
      </c>
    </row>
    <row r="728" spans="1:53" x14ac:dyDescent="0.3">
      <c r="A728" t="s">
        <v>677</v>
      </c>
      <c r="C728" t="s">
        <v>920</v>
      </c>
      <c r="D728" t="s">
        <v>81</v>
      </c>
      <c r="E728">
        <v>1000000</v>
      </c>
      <c r="H728">
        <v>14.25</v>
      </c>
      <c r="I728" t="s">
        <v>56</v>
      </c>
      <c r="J728">
        <v>1.4250000000000001E-3</v>
      </c>
      <c r="K728" t="s">
        <v>57</v>
      </c>
      <c r="L728" t="s">
        <v>1021</v>
      </c>
      <c r="O728">
        <v>6350</v>
      </c>
      <c r="P728" t="s">
        <v>121</v>
      </c>
      <c r="S728">
        <v>2</v>
      </c>
      <c r="T728">
        <v>22</v>
      </c>
      <c r="V728">
        <v>50</v>
      </c>
      <c r="W728" t="s">
        <v>466</v>
      </c>
      <c r="X728" t="s">
        <v>199</v>
      </c>
      <c r="Y728">
        <v>10</v>
      </c>
      <c r="AA728" t="s">
        <v>184</v>
      </c>
      <c r="AB728">
        <v>7.15</v>
      </c>
      <c r="AC728" t="s">
        <v>85</v>
      </c>
      <c r="AD728" t="s">
        <v>1023</v>
      </c>
      <c r="AE728" t="s">
        <v>678</v>
      </c>
      <c r="AI728">
        <v>5</v>
      </c>
      <c r="AT728" t="s">
        <v>358</v>
      </c>
      <c r="AV728" t="s">
        <v>88</v>
      </c>
      <c r="AZ728">
        <v>0</v>
      </c>
      <c r="BA728">
        <v>7.15</v>
      </c>
    </row>
    <row r="729" spans="1:53" x14ac:dyDescent="0.3">
      <c r="A729" t="s">
        <v>677</v>
      </c>
      <c r="C729" t="s">
        <v>920</v>
      </c>
      <c r="D729" t="s">
        <v>81</v>
      </c>
      <c r="E729">
        <v>1000000</v>
      </c>
      <c r="H729">
        <v>14.25</v>
      </c>
      <c r="I729" t="s">
        <v>56</v>
      </c>
      <c r="J729">
        <v>1.4250000000000001E-3</v>
      </c>
      <c r="K729" t="s">
        <v>57</v>
      </c>
      <c r="L729" t="s">
        <v>1021</v>
      </c>
      <c r="O729">
        <v>6350</v>
      </c>
      <c r="P729" t="s">
        <v>121</v>
      </c>
      <c r="S729">
        <v>2</v>
      </c>
      <c r="T729">
        <v>22</v>
      </c>
      <c r="V729">
        <v>50</v>
      </c>
      <c r="W729" t="s">
        <v>466</v>
      </c>
      <c r="X729" t="s">
        <v>199</v>
      </c>
      <c r="Y729">
        <v>10</v>
      </c>
      <c r="AA729" t="s">
        <v>184</v>
      </c>
      <c r="AB729">
        <v>7.6</v>
      </c>
      <c r="AC729" t="s">
        <v>85</v>
      </c>
      <c r="AD729" t="s">
        <v>1023</v>
      </c>
      <c r="AE729" t="s">
        <v>678</v>
      </c>
      <c r="AI729">
        <v>5</v>
      </c>
      <c r="AT729" t="s">
        <v>358</v>
      </c>
      <c r="AV729" t="s">
        <v>88</v>
      </c>
      <c r="AZ729">
        <v>0</v>
      </c>
      <c r="BA729">
        <v>7.6</v>
      </c>
    </row>
    <row r="730" spans="1:53" x14ac:dyDescent="0.3">
      <c r="A730" t="s">
        <v>677</v>
      </c>
      <c r="C730" t="s">
        <v>920</v>
      </c>
      <c r="D730" t="s">
        <v>81</v>
      </c>
      <c r="E730">
        <v>1000000</v>
      </c>
      <c r="H730">
        <v>14.25</v>
      </c>
      <c r="I730" t="s">
        <v>56</v>
      </c>
      <c r="J730">
        <v>1.4250000000000001E-3</v>
      </c>
      <c r="K730" t="s">
        <v>57</v>
      </c>
      <c r="L730" t="s">
        <v>1021</v>
      </c>
      <c r="O730">
        <v>6350</v>
      </c>
      <c r="P730" t="s">
        <v>121</v>
      </c>
      <c r="S730">
        <v>2</v>
      </c>
      <c r="T730">
        <v>22</v>
      </c>
      <c r="V730">
        <v>50</v>
      </c>
      <c r="W730" t="s">
        <v>547</v>
      </c>
      <c r="X730" t="s">
        <v>199</v>
      </c>
      <c r="Y730">
        <v>10</v>
      </c>
      <c r="AA730" t="s">
        <v>184</v>
      </c>
      <c r="AB730">
        <v>5.03</v>
      </c>
      <c r="AC730" t="s">
        <v>85</v>
      </c>
      <c r="AD730" t="s">
        <v>1023</v>
      </c>
      <c r="AE730" t="s">
        <v>678</v>
      </c>
      <c r="AI730">
        <v>5</v>
      </c>
      <c r="AT730" t="s">
        <v>73</v>
      </c>
      <c r="AV730" t="s">
        <v>88</v>
      </c>
      <c r="AZ730">
        <v>0</v>
      </c>
      <c r="BA730">
        <v>5.03</v>
      </c>
    </row>
    <row r="731" spans="1:53" x14ac:dyDescent="0.3">
      <c r="A731" t="s">
        <v>677</v>
      </c>
      <c r="C731" t="s">
        <v>920</v>
      </c>
      <c r="D731" t="s">
        <v>81</v>
      </c>
      <c r="E731">
        <v>1000000</v>
      </c>
      <c r="H731">
        <v>14.25</v>
      </c>
      <c r="I731" t="s">
        <v>56</v>
      </c>
      <c r="J731">
        <v>1.4250000000000001E-3</v>
      </c>
      <c r="K731" t="s">
        <v>57</v>
      </c>
      <c r="L731" t="s">
        <v>1021</v>
      </c>
      <c r="O731">
        <v>6350</v>
      </c>
      <c r="P731" t="s">
        <v>121</v>
      </c>
      <c r="S731">
        <v>2</v>
      </c>
      <c r="T731">
        <v>22</v>
      </c>
      <c r="V731">
        <v>50</v>
      </c>
      <c r="W731" t="s">
        <v>547</v>
      </c>
      <c r="X731" t="s">
        <v>199</v>
      </c>
      <c r="Y731">
        <v>10</v>
      </c>
      <c r="AB731">
        <v>3.99</v>
      </c>
      <c r="AC731" t="s">
        <v>85</v>
      </c>
      <c r="AD731" t="s">
        <v>1033</v>
      </c>
      <c r="AE731" t="s">
        <v>682</v>
      </c>
      <c r="AI731">
        <v>5</v>
      </c>
      <c r="AT731" t="s">
        <v>73</v>
      </c>
      <c r="AV731" t="s">
        <v>88</v>
      </c>
    </row>
    <row r="732" spans="1:53" x14ac:dyDescent="0.3">
      <c r="A732" t="s">
        <v>677</v>
      </c>
      <c r="C732" t="s">
        <v>920</v>
      </c>
      <c r="D732" t="s">
        <v>81</v>
      </c>
      <c r="E732">
        <v>1000000</v>
      </c>
      <c r="H732">
        <v>14.25</v>
      </c>
      <c r="I732" t="s">
        <v>56</v>
      </c>
      <c r="J732">
        <v>1.4250000000000001E-3</v>
      </c>
      <c r="K732" t="s">
        <v>57</v>
      </c>
      <c r="L732" t="s">
        <v>1021</v>
      </c>
      <c r="O732">
        <v>6350</v>
      </c>
      <c r="P732" t="s">
        <v>121</v>
      </c>
      <c r="S732">
        <v>2</v>
      </c>
      <c r="T732">
        <v>22</v>
      </c>
      <c r="V732">
        <v>50</v>
      </c>
      <c r="W732" t="s">
        <v>552</v>
      </c>
      <c r="X732" t="s">
        <v>199</v>
      </c>
      <c r="Y732">
        <v>10</v>
      </c>
      <c r="AA732" t="s">
        <v>184</v>
      </c>
      <c r="AB732">
        <v>7.69</v>
      </c>
      <c r="AC732" t="s">
        <v>85</v>
      </c>
      <c r="AD732" t="s">
        <v>1023</v>
      </c>
      <c r="AE732" t="s">
        <v>678</v>
      </c>
      <c r="AI732">
        <v>5</v>
      </c>
      <c r="AT732" t="s">
        <v>65</v>
      </c>
      <c r="AV732" t="s">
        <v>88</v>
      </c>
      <c r="AZ732">
        <v>0</v>
      </c>
      <c r="BA732">
        <v>7.69</v>
      </c>
    </row>
    <row r="733" spans="1:53" x14ac:dyDescent="0.3">
      <c r="A733" t="s">
        <v>677</v>
      </c>
      <c r="C733" t="s">
        <v>920</v>
      </c>
      <c r="D733" t="s">
        <v>81</v>
      </c>
      <c r="E733">
        <v>1000000</v>
      </c>
      <c r="H733">
        <v>14.25</v>
      </c>
      <c r="I733" t="s">
        <v>56</v>
      </c>
      <c r="J733">
        <v>1.4250000000000001E-3</v>
      </c>
      <c r="K733" t="s">
        <v>57</v>
      </c>
      <c r="L733" t="s">
        <v>1021</v>
      </c>
      <c r="O733">
        <v>6350</v>
      </c>
      <c r="P733" t="s">
        <v>121</v>
      </c>
      <c r="S733">
        <v>2</v>
      </c>
      <c r="T733">
        <v>22</v>
      </c>
      <c r="V733">
        <v>50</v>
      </c>
      <c r="W733" t="s">
        <v>552</v>
      </c>
      <c r="X733" t="s">
        <v>199</v>
      </c>
      <c r="Y733">
        <v>10</v>
      </c>
      <c r="AA733" t="s">
        <v>184</v>
      </c>
      <c r="AB733">
        <v>7.57</v>
      </c>
      <c r="AC733" t="s">
        <v>85</v>
      </c>
      <c r="AD733" t="s">
        <v>1023</v>
      </c>
      <c r="AE733" t="s">
        <v>678</v>
      </c>
      <c r="AI733">
        <v>5</v>
      </c>
      <c r="AT733" t="s">
        <v>65</v>
      </c>
      <c r="AV733" t="s">
        <v>88</v>
      </c>
      <c r="AZ733">
        <v>0</v>
      </c>
      <c r="BA733">
        <v>7.57</v>
      </c>
    </row>
    <row r="734" spans="1:53" x14ac:dyDescent="0.3">
      <c r="A734" t="s">
        <v>677</v>
      </c>
      <c r="C734" t="s">
        <v>920</v>
      </c>
      <c r="D734" t="s">
        <v>81</v>
      </c>
      <c r="E734">
        <v>1000000</v>
      </c>
      <c r="H734">
        <v>14.25</v>
      </c>
      <c r="I734" t="s">
        <v>56</v>
      </c>
      <c r="J734">
        <v>1.4250000000000001E-3</v>
      </c>
      <c r="K734" t="s">
        <v>57</v>
      </c>
      <c r="L734" t="s">
        <v>1021</v>
      </c>
      <c r="O734">
        <v>6350</v>
      </c>
      <c r="P734" t="s">
        <v>121</v>
      </c>
      <c r="S734">
        <v>2</v>
      </c>
      <c r="T734">
        <v>22</v>
      </c>
      <c r="V734">
        <v>50</v>
      </c>
      <c r="W734" t="s">
        <v>683</v>
      </c>
      <c r="X734" t="s">
        <v>199</v>
      </c>
      <c r="Y734">
        <v>10</v>
      </c>
      <c r="AA734" t="s">
        <v>184</v>
      </c>
      <c r="AB734">
        <v>6.32</v>
      </c>
      <c r="AC734" t="s">
        <v>85</v>
      </c>
      <c r="AD734" t="s">
        <v>1023</v>
      </c>
      <c r="AE734" t="s">
        <v>678</v>
      </c>
      <c r="AI734">
        <v>5</v>
      </c>
      <c r="AT734" t="s">
        <v>458</v>
      </c>
      <c r="AV734" t="s">
        <v>88</v>
      </c>
      <c r="AZ734">
        <v>0</v>
      </c>
      <c r="BA734">
        <v>6.32</v>
      </c>
    </row>
    <row r="735" spans="1:53" x14ac:dyDescent="0.3">
      <c r="A735" t="s">
        <v>677</v>
      </c>
      <c r="C735" t="s">
        <v>920</v>
      </c>
      <c r="D735" t="s">
        <v>81</v>
      </c>
      <c r="E735">
        <v>1000000</v>
      </c>
      <c r="H735">
        <v>14.25</v>
      </c>
      <c r="I735" t="s">
        <v>56</v>
      </c>
      <c r="J735">
        <v>1.4250000000000001E-3</v>
      </c>
      <c r="K735" t="s">
        <v>57</v>
      </c>
      <c r="L735" t="s">
        <v>1021</v>
      </c>
      <c r="O735">
        <v>6350</v>
      </c>
      <c r="P735" t="s">
        <v>121</v>
      </c>
      <c r="S735">
        <v>2</v>
      </c>
      <c r="T735">
        <v>22</v>
      </c>
      <c r="V735">
        <v>50</v>
      </c>
      <c r="W735" t="s">
        <v>683</v>
      </c>
      <c r="X735" t="s">
        <v>199</v>
      </c>
      <c r="Y735">
        <v>10</v>
      </c>
      <c r="AB735">
        <v>3.41</v>
      </c>
      <c r="AC735" t="s">
        <v>85</v>
      </c>
      <c r="AD735" t="s">
        <v>1034</v>
      </c>
      <c r="AE735" t="s">
        <v>682</v>
      </c>
      <c r="AI735">
        <v>5</v>
      </c>
      <c r="AT735" t="s">
        <v>458</v>
      </c>
      <c r="AV735" t="s">
        <v>88</v>
      </c>
    </row>
    <row r="736" spans="1:53" x14ac:dyDescent="0.3">
      <c r="A736" t="s">
        <v>677</v>
      </c>
      <c r="C736" t="s">
        <v>920</v>
      </c>
      <c r="D736" t="s">
        <v>81</v>
      </c>
      <c r="E736">
        <v>1000000</v>
      </c>
      <c r="H736">
        <v>14.25</v>
      </c>
      <c r="I736" t="s">
        <v>56</v>
      </c>
      <c r="J736">
        <v>1.4250000000000001E-3</v>
      </c>
      <c r="K736" t="s">
        <v>57</v>
      </c>
      <c r="L736" t="s">
        <v>1021</v>
      </c>
      <c r="O736">
        <v>6350</v>
      </c>
      <c r="P736" t="s">
        <v>121</v>
      </c>
      <c r="S736">
        <v>2</v>
      </c>
      <c r="T736">
        <v>22</v>
      </c>
      <c r="V736">
        <v>50</v>
      </c>
      <c r="W736" t="s">
        <v>463</v>
      </c>
      <c r="X736" t="s">
        <v>199</v>
      </c>
      <c r="Y736">
        <v>10</v>
      </c>
      <c r="AA736" t="s">
        <v>184</v>
      </c>
      <c r="AB736">
        <v>7.23</v>
      </c>
      <c r="AC736" t="s">
        <v>85</v>
      </c>
      <c r="AD736" t="s">
        <v>1023</v>
      </c>
      <c r="AE736" t="s">
        <v>678</v>
      </c>
      <c r="AI736">
        <v>5</v>
      </c>
      <c r="AT736" t="s">
        <v>360</v>
      </c>
      <c r="AV736" t="s">
        <v>88</v>
      </c>
      <c r="AZ736">
        <v>0</v>
      </c>
      <c r="BA736">
        <v>7.23</v>
      </c>
    </row>
    <row r="737" spans="1:53" x14ac:dyDescent="0.3">
      <c r="A737" t="s">
        <v>677</v>
      </c>
      <c r="C737" t="s">
        <v>920</v>
      </c>
      <c r="D737" t="s">
        <v>81</v>
      </c>
      <c r="E737">
        <v>1000000</v>
      </c>
      <c r="H737">
        <v>14.25</v>
      </c>
      <c r="I737" t="s">
        <v>56</v>
      </c>
      <c r="J737">
        <v>1.4250000000000001E-3</v>
      </c>
      <c r="K737" t="s">
        <v>57</v>
      </c>
      <c r="L737" t="s">
        <v>1021</v>
      </c>
      <c r="O737">
        <v>6350</v>
      </c>
      <c r="P737" t="s">
        <v>121</v>
      </c>
      <c r="S737">
        <v>2</v>
      </c>
      <c r="T737">
        <v>22</v>
      </c>
      <c r="V737">
        <v>50</v>
      </c>
      <c r="W737" t="s">
        <v>463</v>
      </c>
      <c r="X737" t="s">
        <v>199</v>
      </c>
      <c r="Y737">
        <v>10</v>
      </c>
      <c r="AA737" t="s">
        <v>184</v>
      </c>
      <c r="AB737">
        <v>7.76</v>
      </c>
      <c r="AC737" t="s">
        <v>85</v>
      </c>
      <c r="AD737" t="s">
        <v>1023</v>
      </c>
      <c r="AE737" t="s">
        <v>678</v>
      </c>
      <c r="AI737">
        <v>5</v>
      </c>
      <c r="AT737" t="s">
        <v>360</v>
      </c>
      <c r="AV737" t="s">
        <v>88</v>
      </c>
      <c r="AZ737">
        <v>0</v>
      </c>
      <c r="BA737">
        <v>7.76</v>
      </c>
    </row>
    <row r="738" spans="1:53" x14ac:dyDescent="0.3">
      <c r="A738" t="s">
        <v>677</v>
      </c>
      <c r="C738" t="s">
        <v>920</v>
      </c>
      <c r="D738" t="s">
        <v>81</v>
      </c>
      <c r="E738">
        <v>1000000</v>
      </c>
      <c r="H738">
        <v>14.25</v>
      </c>
      <c r="I738" t="s">
        <v>56</v>
      </c>
      <c r="J738">
        <v>1.4250000000000001E-3</v>
      </c>
      <c r="K738" t="s">
        <v>57</v>
      </c>
      <c r="L738" t="s">
        <v>1021</v>
      </c>
      <c r="O738">
        <v>6350</v>
      </c>
      <c r="P738" t="s">
        <v>121</v>
      </c>
      <c r="S738">
        <v>2</v>
      </c>
      <c r="T738">
        <v>22</v>
      </c>
      <c r="V738">
        <v>50</v>
      </c>
      <c r="W738" t="s">
        <v>1022</v>
      </c>
      <c r="X738" t="s">
        <v>199</v>
      </c>
      <c r="Y738">
        <v>30</v>
      </c>
      <c r="AA738" t="s">
        <v>184</v>
      </c>
      <c r="AB738">
        <v>6.92</v>
      </c>
      <c r="AC738" t="s">
        <v>85</v>
      </c>
      <c r="AD738" t="s">
        <v>1023</v>
      </c>
      <c r="AE738" t="s">
        <v>678</v>
      </c>
      <c r="AI738">
        <v>5</v>
      </c>
      <c r="AT738" t="s">
        <v>150</v>
      </c>
      <c r="AV738" t="s">
        <v>88</v>
      </c>
      <c r="AZ738">
        <v>0</v>
      </c>
      <c r="BA738">
        <v>6.92</v>
      </c>
    </row>
    <row r="739" spans="1:53" x14ac:dyDescent="0.3">
      <c r="A739" t="s">
        <v>677</v>
      </c>
      <c r="C739" t="s">
        <v>920</v>
      </c>
      <c r="D739" t="s">
        <v>81</v>
      </c>
      <c r="E739">
        <v>1000000</v>
      </c>
      <c r="H739">
        <v>14.25</v>
      </c>
      <c r="I739" t="s">
        <v>56</v>
      </c>
      <c r="J739">
        <v>1.4250000000000001E-3</v>
      </c>
      <c r="K739" t="s">
        <v>57</v>
      </c>
      <c r="L739" t="s">
        <v>1021</v>
      </c>
      <c r="O739">
        <v>6350</v>
      </c>
      <c r="P739" t="s">
        <v>121</v>
      </c>
      <c r="S739">
        <v>2</v>
      </c>
      <c r="T739">
        <v>22</v>
      </c>
      <c r="V739">
        <v>50</v>
      </c>
      <c r="W739" t="s">
        <v>1022</v>
      </c>
      <c r="X739" t="s">
        <v>199</v>
      </c>
      <c r="Y739">
        <v>30</v>
      </c>
      <c r="AA739" t="s">
        <v>184</v>
      </c>
      <c r="AB739">
        <v>5.7</v>
      </c>
      <c r="AC739" t="s">
        <v>85</v>
      </c>
      <c r="AD739" t="s">
        <v>1023</v>
      </c>
      <c r="AE739" t="s">
        <v>678</v>
      </c>
      <c r="AI739">
        <v>5</v>
      </c>
      <c r="AT739" t="s">
        <v>150</v>
      </c>
      <c r="AV739" t="s">
        <v>88</v>
      </c>
      <c r="AZ739">
        <v>0</v>
      </c>
      <c r="BA739">
        <v>5.7</v>
      </c>
    </row>
    <row r="740" spans="1:53" x14ac:dyDescent="0.3">
      <c r="A740" t="s">
        <v>677</v>
      </c>
      <c r="C740" t="s">
        <v>920</v>
      </c>
      <c r="D740" t="s">
        <v>81</v>
      </c>
      <c r="E740">
        <v>1000000</v>
      </c>
      <c r="H740">
        <v>14.25</v>
      </c>
      <c r="I740" t="s">
        <v>56</v>
      </c>
      <c r="J740">
        <v>1.4250000000000001E-3</v>
      </c>
      <c r="K740" t="s">
        <v>57</v>
      </c>
      <c r="L740" t="s">
        <v>1021</v>
      </c>
      <c r="O740">
        <v>6350</v>
      </c>
      <c r="P740" t="s">
        <v>121</v>
      </c>
      <c r="S740">
        <v>2</v>
      </c>
      <c r="T740">
        <v>22</v>
      </c>
      <c r="V740">
        <v>50</v>
      </c>
      <c r="W740" t="s">
        <v>466</v>
      </c>
      <c r="X740" t="s">
        <v>199</v>
      </c>
      <c r="Y740">
        <v>30</v>
      </c>
      <c r="AA740" t="s">
        <v>184</v>
      </c>
      <c r="AB740">
        <v>6.98</v>
      </c>
      <c r="AC740" t="s">
        <v>85</v>
      </c>
      <c r="AD740" t="s">
        <v>1023</v>
      </c>
      <c r="AE740" t="s">
        <v>678</v>
      </c>
      <c r="AI740">
        <v>5</v>
      </c>
      <c r="AT740" t="s">
        <v>358</v>
      </c>
      <c r="AV740" t="s">
        <v>88</v>
      </c>
      <c r="AZ740">
        <v>0</v>
      </c>
      <c r="BA740">
        <v>6.98</v>
      </c>
    </row>
    <row r="741" spans="1:53" x14ac:dyDescent="0.3">
      <c r="A741" t="s">
        <v>677</v>
      </c>
      <c r="C741" t="s">
        <v>920</v>
      </c>
      <c r="D741" t="s">
        <v>81</v>
      </c>
      <c r="E741">
        <v>1000000</v>
      </c>
      <c r="H741">
        <v>14.25</v>
      </c>
      <c r="I741" t="s">
        <v>56</v>
      </c>
      <c r="J741">
        <v>1.4250000000000001E-3</v>
      </c>
      <c r="K741" t="s">
        <v>57</v>
      </c>
      <c r="L741" t="s">
        <v>1021</v>
      </c>
      <c r="O741">
        <v>6350</v>
      </c>
      <c r="P741" t="s">
        <v>121</v>
      </c>
      <c r="S741">
        <v>2</v>
      </c>
      <c r="T741">
        <v>22</v>
      </c>
      <c r="V741">
        <v>50</v>
      </c>
      <c r="W741" t="s">
        <v>466</v>
      </c>
      <c r="X741" t="s">
        <v>199</v>
      </c>
      <c r="Y741">
        <v>30</v>
      </c>
      <c r="AA741" t="s">
        <v>184</v>
      </c>
      <c r="AB741">
        <v>7.48</v>
      </c>
      <c r="AC741" t="s">
        <v>85</v>
      </c>
      <c r="AD741" t="s">
        <v>1023</v>
      </c>
      <c r="AE741" t="s">
        <v>678</v>
      </c>
      <c r="AI741">
        <v>5</v>
      </c>
      <c r="AT741" t="s">
        <v>358</v>
      </c>
      <c r="AV741" t="s">
        <v>88</v>
      </c>
      <c r="AZ741">
        <v>0</v>
      </c>
      <c r="BA741">
        <v>7.48</v>
      </c>
    </row>
    <row r="742" spans="1:53" x14ac:dyDescent="0.3">
      <c r="A742" t="s">
        <v>677</v>
      </c>
      <c r="C742" t="s">
        <v>920</v>
      </c>
      <c r="D742" t="s">
        <v>81</v>
      </c>
      <c r="E742">
        <v>1000000</v>
      </c>
      <c r="H742">
        <v>14.25</v>
      </c>
      <c r="I742" t="s">
        <v>56</v>
      </c>
      <c r="J742">
        <v>1.4250000000000001E-3</v>
      </c>
      <c r="K742" t="s">
        <v>57</v>
      </c>
      <c r="L742" t="s">
        <v>1021</v>
      </c>
      <c r="O742">
        <v>6350</v>
      </c>
      <c r="P742" t="s">
        <v>121</v>
      </c>
      <c r="S742">
        <v>2</v>
      </c>
      <c r="T742">
        <v>22</v>
      </c>
      <c r="V742">
        <v>50</v>
      </c>
      <c r="W742" t="s">
        <v>547</v>
      </c>
      <c r="X742" t="s">
        <v>199</v>
      </c>
      <c r="Y742">
        <v>30</v>
      </c>
      <c r="AA742" t="s">
        <v>184</v>
      </c>
      <c r="AB742">
        <v>7.55</v>
      </c>
      <c r="AC742" t="s">
        <v>85</v>
      </c>
      <c r="AD742" t="s">
        <v>1023</v>
      </c>
      <c r="AE742" t="s">
        <v>678</v>
      </c>
      <c r="AI742">
        <v>5</v>
      </c>
      <c r="AT742" t="s">
        <v>73</v>
      </c>
      <c r="AV742" t="s">
        <v>88</v>
      </c>
      <c r="AZ742">
        <v>0</v>
      </c>
      <c r="BA742">
        <v>7.55</v>
      </c>
    </row>
    <row r="743" spans="1:53" x14ac:dyDescent="0.3">
      <c r="A743" t="s">
        <v>677</v>
      </c>
      <c r="C743" t="s">
        <v>920</v>
      </c>
      <c r="D743" t="s">
        <v>81</v>
      </c>
      <c r="E743">
        <v>1000000</v>
      </c>
      <c r="H743">
        <v>14.25</v>
      </c>
      <c r="I743" t="s">
        <v>56</v>
      </c>
      <c r="J743">
        <v>1.4250000000000001E-3</v>
      </c>
      <c r="K743" t="s">
        <v>57</v>
      </c>
      <c r="L743" t="s">
        <v>1021</v>
      </c>
      <c r="O743">
        <v>6350</v>
      </c>
      <c r="P743" t="s">
        <v>121</v>
      </c>
      <c r="S743">
        <v>2</v>
      </c>
      <c r="T743">
        <v>22</v>
      </c>
      <c r="V743">
        <v>50</v>
      </c>
      <c r="W743" t="s">
        <v>547</v>
      </c>
      <c r="X743" t="s">
        <v>199</v>
      </c>
      <c r="Y743">
        <v>30</v>
      </c>
      <c r="AB743">
        <v>4.16</v>
      </c>
      <c r="AC743" t="s">
        <v>85</v>
      </c>
      <c r="AD743" t="s">
        <v>1035</v>
      </c>
      <c r="AE743" t="s">
        <v>682</v>
      </c>
      <c r="AI743">
        <v>5</v>
      </c>
      <c r="AT743" t="s">
        <v>73</v>
      </c>
      <c r="AV743" t="s">
        <v>88</v>
      </c>
    </row>
    <row r="744" spans="1:53" x14ac:dyDescent="0.3">
      <c r="A744" t="s">
        <v>677</v>
      </c>
      <c r="C744" t="s">
        <v>920</v>
      </c>
      <c r="D744" t="s">
        <v>81</v>
      </c>
      <c r="E744">
        <v>1000000</v>
      </c>
      <c r="H744">
        <v>14.25</v>
      </c>
      <c r="I744" t="s">
        <v>56</v>
      </c>
      <c r="J744">
        <v>1.4250000000000001E-3</v>
      </c>
      <c r="K744" t="s">
        <v>57</v>
      </c>
      <c r="L744" t="s">
        <v>1021</v>
      </c>
      <c r="O744">
        <v>6350</v>
      </c>
      <c r="P744" t="s">
        <v>121</v>
      </c>
      <c r="S744">
        <v>2</v>
      </c>
      <c r="T744">
        <v>22</v>
      </c>
      <c r="V744">
        <v>50</v>
      </c>
      <c r="W744" t="s">
        <v>552</v>
      </c>
      <c r="X744" t="s">
        <v>199</v>
      </c>
      <c r="Y744">
        <v>30</v>
      </c>
      <c r="AA744" t="s">
        <v>184</v>
      </c>
      <c r="AB744">
        <v>7.63</v>
      </c>
      <c r="AC744" t="s">
        <v>85</v>
      </c>
      <c r="AD744" t="s">
        <v>1023</v>
      </c>
      <c r="AE744" t="s">
        <v>678</v>
      </c>
      <c r="AI744">
        <v>5</v>
      </c>
      <c r="AT744" t="s">
        <v>65</v>
      </c>
      <c r="AV744" t="s">
        <v>88</v>
      </c>
      <c r="AZ744">
        <v>0</v>
      </c>
      <c r="BA744">
        <v>7.63</v>
      </c>
    </row>
    <row r="745" spans="1:53" x14ac:dyDescent="0.3">
      <c r="A745" t="s">
        <v>677</v>
      </c>
      <c r="C745" t="s">
        <v>920</v>
      </c>
      <c r="D745" t="s">
        <v>81</v>
      </c>
      <c r="E745">
        <v>1000000</v>
      </c>
      <c r="H745">
        <v>14.25</v>
      </c>
      <c r="I745" t="s">
        <v>56</v>
      </c>
      <c r="J745">
        <v>1.4250000000000001E-3</v>
      </c>
      <c r="K745" t="s">
        <v>57</v>
      </c>
      <c r="L745" t="s">
        <v>1021</v>
      </c>
      <c r="O745">
        <v>6350</v>
      </c>
      <c r="P745" t="s">
        <v>121</v>
      </c>
      <c r="S745">
        <v>2</v>
      </c>
      <c r="T745">
        <v>22</v>
      </c>
      <c r="V745">
        <v>50</v>
      </c>
      <c r="W745" t="s">
        <v>552</v>
      </c>
      <c r="X745" t="s">
        <v>199</v>
      </c>
      <c r="Y745">
        <v>30</v>
      </c>
      <c r="AA745" t="s">
        <v>184</v>
      </c>
      <c r="AB745">
        <v>7.52</v>
      </c>
      <c r="AC745" t="s">
        <v>85</v>
      </c>
      <c r="AD745" t="s">
        <v>1023</v>
      </c>
      <c r="AE745" t="s">
        <v>678</v>
      </c>
      <c r="AI745">
        <v>5</v>
      </c>
      <c r="AT745" t="s">
        <v>65</v>
      </c>
      <c r="AV745" t="s">
        <v>88</v>
      </c>
      <c r="AZ745">
        <v>0</v>
      </c>
      <c r="BA745">
        <v>7.52</v>
      </c>
    </row>
    <row r="746" spans="1:53" x14ac:dyDescent="0.3">
      <c r="A746" t="s">
        <v>677</v>
      </c>
      <c r="C746" t="s">
        <v>920</v>
      </c>
      <c r="D746" t="s">
        <v>81</v>
      </c>
      <c r="E746">
        <v>1000000</v>
      </c>
      <c r="H746">
        <v>14.25</v>
      </c>
      <c r="I746" t="s">
        <v>56</v>
      </c>
      <c r="J746">
        <v>1.4250000000000001E-3</v>
      </c>
      <c r="K746" t="s">
        <v>57</v>
      </c>
      <c r="L746" t="s">
        <v>1021</v>
      </c>
      <c r="O746">
        <v>6350</v>
      </c>
      <c r="P746" t="s">
        <v>121</v>
      </c>
      <c r="S746">
        <v>2</v>
      </c>
      <c r="T746">
        <v>22</v>
      </c>
      <c r="V746">
        <v>50</v>
      </c>
      <c r="W746" t="s">
        <v>683</v>
      </c>
      <c r="X746" t="s">
        <v>199</v>
      </c>
      <c r="Y746">
        <v>30</v>
      </c>
      <c r="AA746" t="s">
        <v>184</v>
      </c>
      <c r="AB746">
        <v>7.38</v>
      </c>
      <c r="AC746" t="s">
        <v>85</v>
      </c>
      <c r="AD746" t="s">
        <v>1023</v>
      </c>
      <c r="AE746" t="s">
        <v>678</v>
      </c>
      <c r="AI746">
        <v>5</v>
      </c>
      <c r="AT746" t="s">
        <v>458</v>
      </c>
      <c r="AV746" t="s">
        <v>88</v>
      </c>
      <c r="AZ746">
        <v>0</v>
      </c>
      <c r="BA746">
        <v>7.38</v>
      </c>
    </row>
    <row r="747" spans="1:53" x14ac:dyDescent="0.3">
      <c r="A747" t="s">
        <v>677</v>
      </c>
      <c r="C747" t="s">
        <v>920</v>
      </c>
      <c r="D747" t="s">
        <v>81</v>
      </c>
      <c r="E747">
        <v>1000000</v>
      </c>
      <c r="H747">
        <v>14.25</v>
      </c>
      <c r="I747" t="s">
        <v>56</v>
      </c>
      <c r="J747">
        <v>1.4250000000000001E-3</v>
      </c>
      <c r="K747" t="s">
        <v>57</v>
      </c>
      <c r="L747" t="s">
        <v>1021</v>
      </c>
      <c r="O747">
        <v>6350</v>
      </c>
      <c r="P747" t="s">
        <v>121</v>
      </c>
      <c r="S747">
        <v>2</v>
      </c>
      <c r="T747">
        <v>22</v>
      </c>
      <c r="V747">
        <v>50</v>
      </c>
      <c r="W747" t="s">
        <v>683</v>
      </c>
      <c r="X747" t="s">
        <v>199</v>
      </c>
      <c r="Y747">
        <v>30</v>
      </c>
      <c r="AB747">
        <v>4.67</v>
      </c>
      <c r="AC747" t="s">
        <v>85</v>
      </c>
      <c r="AD747" t="s">
        <v>1036</v>
      </c>
      <c r="AE747" t="s">
        <v>682</v>
      </c>
      <c r="AI747">
        <v>5</v>
      </c>
      <c r="AT747" t="s">
        <v>458</v>
      </c>
      <c r="AV747" t="s">
        <v>88</v>
      </c>
    </row>
    <row r="748" spans="1:53" x14ac:dyDescent="0.3">
      <c r="A748" t="s">
        <v>677</v>
      </c>
      <c r="C748" t="s">
        <v>920</v>
      </c>
      <c r="D748" t="s">
        <v>81</v>
      </c>
      <c r="E748">
        <v>1000000</v>
      </c>
      <c r="H748">
        <v>14.25</v>
      </c>
      <c r="I748" t="s">
        <v>56</v>
      </c>
      <c r="J748">
        <v>1.4250000000000001E-3</v>
      </c>
      <c r="K748" t="s">
        <v>57</v>
      </c>
      <c r="L748" t="s">
        <v>1021</v>
      </c>
      <c r="O748">
        <v>6350</v>
      </c>
      <c r="P748" t="s">
        <v>121</v>
      </c>
      <c r="S748">
        <v>2</v>
      </c>
      <c r="T748">
        <v>22</v>
      </c>
      <c r="V748">
        <v>50</v>
      </c>
      <c r="W748" t="s">
        <v>463</v>
      </c>
      <c r="X748" t="s">
        <v>199</v>
      </c>
      <c r="Y748">
        <v>30</v>
      </c>
      <c r="AA748" t="s">
        <v>184</v>
      </c>
      <c r="AB748">
        <v>7.43</v>
      </c>
      <c r="AC748" t="s">
        <v>85</v>
      </c>
      <c r="AD748" t="s">
        <v>1023</v>
      </c>
      <c r="AE748" t="s">
        <v>678</v>
      </c>
      <c r="AI748">
        <v>5</v>
      </c>
      <c r="AT748" t="s">
        <v>360</v>
      </c>
      <c r="AV748" t="s">
        <v>88</v>
      </c>
      <c r="AZ748">
        <v>0</v>
      </c>
      <c r="BA748">
        <v>7.43</v>
      </c>
    </row>
    <row r="749" spans="1:53" x14ac:dyDescent="0.3">
      <c r="A749" t="s">
        <v>677</v>
      </c>
      <c r="C749" t="s">
        <v>920</v>
      </c>
      <c r="D749" t="s">
        <v>81</v>
      </c>
      <c r="E749">
        <v>1000000</v>
      </c>
      <c r="H749">
        <v>14.25</v>
      </c>
      <c r="I749" t="s">
        <v>56</v>
      </c>
      <c r="J749">
        <v>1.4250000000000001E-3</v>
      </c>
      <c r="K749" t="s">
        <v>57</v>
      </c>
      <c r="L749" t="s">
        <v>1021</v>
      </c>
      <c r="O749">
        <v>6350</v>
      </c>
      <c r="P749" t="s">
        <v>121</v>
      </c>
      <c r="S749">
        <v>2</v>
      </c>
      <c r="T749">
        <v>22</v>
      </c>
      <c r="V749">
        <v>50</v>
      </c>
      <c r="W749" t="s">
        <v>463</v>
      </c>
      <c r="X749" t="s">
        <v>199</v>
      </c>
      <c r="Y749">
        <v>30</v>
      </c>
      <c r="AA749" t="s">
        <v>184</v>
      </c>
      <c r="AB749">
        <v>7.63</v>
      </c>
      <c r="AC749" t="s">
        <v>85</v>
      </c>
      <c r="AD749" t="s">
        <v>1023</v>
      </c>
      <c r="AE749" t="s">
        <v>678</v>
      </c>
      <c r="AI749">
        <v>5</v>
      </c>
      <c r="AT749" t="s">
        <v>360</v>
      </c>
      <c r="AV749" t="s">
        <v>88</v>
      </c>
      <c r="AZ749">
        <v>0</v>
      </c>
      <c r="BA749">
        <v>7.63</v>
      </c>
    </row>
    <row r="750" spans="1:53" x14ac:dyDescent="0.3">
      <c r="A750" t="s">
        <v>677</v>
      </c>
      <c r="C750" t="s">
        <v>920</v>
      </c>
      <c r="D750" t="s">
        <v>81</v>
      </c>
      <c r="E750">
        <v>1000000</v>
      </c>
      <c r="H750">
        <v>14.25</v>
      </c>
      <c r="I750" t="s">
        <v>56</v>
      </c>
      <c r="J750">
        <v>1.4250000000000001E-3</v>
      </c>
      <c r="K750" t="s">
        <v>57</v>
      </c>
      <c r="L750" t="s">
        <v>1021</v>
      </c>
      <c r="O750">
        <v>1000</v>
      </c>
      <c r="P750" t="s">
        <v>277</v>
      </c>
      <c r="S750">
        <v>2</v>
      </c>
      <c r="T750">
        <v>22</v>
      </c>
      <c r="V750">
        <v>50</v>
      </c>
      <c r="W750" t="s">
        <v>359</v>
      </c>
      <c r="X750" t="s">
        <v>199</v>
      </c>
      <c r="Y750">
        <v>10</v>
      </c>
      <c r="AA750" t="s">
        <v>184</v>
      </c>
      <c r="AB750">
        <v>6.99</v>
      </c>
      <c r="AC750" t="s">
        <v>85</v>
      </c>
      <c r="AD750" t="s">
        <v>1037</v>
      </c>
      <c r="AE750" t="s">
        <v>678</v>
      </c>
      <c r="AI750">
        <v>5</v>
      </c>
      <c r="AT750" t="s">
        <v>360</v>
      </c>
      <c r="AV750" t="s">
        <v>88</v>
      </c>
      <c r="AZ750">
        <v>0</v>
      </c>
      <c r="BA750">
        <v>6.99</v>
      </c>
    </row>
    <row r="751" spans="1:53" x14ac:dyDescent="0.3">
      <c r="A751" t="s">
        <v>677</v>
      </c>
      <c r="C751" t="s">
        <v>920</v>
      </c>
      <c r="D751" t="s">
        <v>81</v>
      </c>
      <c r="E751">
        <v>1000000</v>
      </c>
      <c r="H751">
        <v>14.25</v>
      </c>
      <c r="I751" t="s">
        <v>56</v>
      </c>
      <c r="J751">
        <v>1.4250000000000001E-3</v>
      </c>
      <c r="K751" t="s">
        <v>57</v>
      </c>
      <c r="L751" t="s">
        <v>1021</v>
      </c>
      <c r="O751">
        <v>1000</v>
      </c>
      <c r="P751" t="s">
        <v>277</v>
      </c>
      <c r="S751">
        <v>2</v>
      </c>
      <c r="T751">
        <v>22</v>
      </c>
      <c r="V751">
        <v>50</v>
      </c>
      <c r="W751" t="s">
        <v>359</v>
      </c>
      <c r="X751" t="s">
        <v>199</v>
      </c>
      <c r="Y751">
        <v>30</v>
      </c>
      <c r="AA751" t="s">
        <v>184</v>
      </c>
      <c r="AB751">
        <v>7.38</v>
      </c>
      <c r="AC751" t="s">
        <v>85</v>
      </c>
      <c r="AD751" t="s">
        <v>1037</v>
      </c>
      <c r="AE751" t="s">
        <v>678</v>
      </c>
      <c r="AI751">
        <v>5</v>
      </c>
      <c r="AT751" t="s">
        <v>360</v>
      </c>
      <c r="AV751" t="s">
        <v>88</v>
      </c>
      <c r="AZ751">
        <v>0</v>
      </c>
      <c r="BA751">
        <v>7.38</v>
      </c>
    </row>
    <row r="752" spans="1:53" x14ac:dyDescent="0.3">
      <c r="A752" t="s">
        <v>677</v>
      </c>
      <c r="C752" t="s">
        <v>920</v>
      </c>
      <c r="D752" t="s">
        <v>81</v>
      </c>
      <c r="E752">
        <v>1000000</v>
      </c>
      <c r="H752">
        <v>14.25</v>
      </c>
      <c r="I752" t="s">
        <v>56</v>
      </c>
      <c r="J752">
        <v>1.4250000000000001E-3</v>
      </c>
      <c r="K752" t="s">
        <v>57</v>
      </c>
      <c r="L752" t="s">
        <v>1021</v>
      </c>
      <c r="O752">
        <v>1000</v>
      </c>
      <c r="P752" t="s">
        <v>277</v>
      </c>
      <c r="S752">
        <v>2</v>
      </c>
      <c r="T752">
        <v>22</v>
      </c>
      <c r="V752">
        <v>50</v>
      </c>
      <c r="W752" t="s">
        <v>359</v>
      </c>
      <c r="X752" t="s">
        <v>199</v>
      </c>
      <c r="Y752">
        <v>120</v>
      </c>
      <c r="AA752" t="s">
        <v>184</v>
      </c>
      <c r="AB752">
        <v>7.4</v>
      </c>
      <c r="AC752" t="s">
        <v>85</v>
      </c>
      <c r="AD752" t="s">
        <v>1037</v>
      </c>
      <c r="AE752" t="s">
        <v>678</v>
      </c>
      <c r="AI752">
        <v>5</v>
      </c>
      <c r="AT752" t="s">
        <v>360</v>
      </c>
      <c r="AV752" t="s">
        <v>88</v>
      </c>
      <c r="AZ752">
        <v>0</v>
      </c>
      <c r="BA752">
        <v>7.4</v>
      </c>
    </row>
    <row r="753" spans="1:53" x14ac:dyDescent="0.3">
      <c r="A753" t="s">
        <v>677</v>
      </c>
      <c r="C753" t="s">
        <v>920</v>
      </c>
      <c r="D753" t="s">
        <v>81</v>
      </c>
      <c r="E753">
        <v>1000000</v>
      </c>
      <c r="H753">
        <v>14.25</v>
      </c>
      <c r="I753" t="s">
        <v>56</v>
      </c>
      <c r="J753">
        <v>1.4250000000000001E-3</v>
      </c>
      <c r="K753" t="s">
        <v>57</v>
      </c>
      <c r="L753" t="s">
        <v>1021</v>
      </c>
      <c r="O753">
        <v>1000</v>
      </c>
      <c r="P753" t="s">
        <v>277</v>
      </c>
      <c r="S753">
        <v>2</v>
      </c>
      <c r="T753">
        <v>22</v>
      </c>
      <c r="V753">
        <v>50</v>
      </c>
      <c r="W753" t="s">
        <v>359</v>
      </c>
      <c r="X753" t="s">
        <v>199</v>
      </c>
      <c r="Y753">
        <v>10</v>
      </c>
      <c r="AA753" t="s">
        <v>184</v>
      </c>
      <c r="AB753">
        <v>6.83</v>
      </c>
      <c r="AC753" t="s">
        <v>85</v>
      </c>
      <c r="AD753" t="s">
        <v>1037</v>
      </c>
      <c r="AE753" t="s">
        <v>678</v>
      </c>
      <c r="AI753">
        <v>5</v>
      </c>
      <c r="AT753" t="s">
        <v>360</v>
      </c>
      <c r="AV753" t="s">
        <v>88</v>
      </c>
      <c r="AZ753">
        <v>0</v>
      </c>
      <c r="BA753">
        <v>6.83</v>
      </c>
    </row>
    <row r="754" spans="1:53" x14ac:dyDescent="0.3">
      <c r="A754" t="s">
        <v>677</v>
      </c>
      <c r="C754" t="s">
        <v>920</v>
      </c>
      <c r="D754" t="s">
        <v>81</v>
      </c>
      <c r="E754">
        <v>1000000</v>
      </c>
      <c r="H754">
        <v>14.25</v>
      </c>
      <c r="I754" t="s">
        <v>56</v>
      </c>
      <c r="J754">
        <v>1.4250000000000001E-3</v>
      </c>
      <c r="K754" t="s">
        <v>57</v>
      </c>
      <c r="L754" t="s">
        <v>1021</v>
      </c>
      <c r="O754">
        <v>1000</v>
      </c>
      <c r="P754" t="s">
        <v>277</v>
      </c>
      <c r="S754">
        <v>2</v>
      </c>
      <c r="T754">
        <v>22</v>
      </c>
      <c r="V754">
        <v>50</v>
      </c>
      <c r="W754" t="s">
        <v>359</v>
      </c>
      <c r="X754" t="s">
        <v>199</v>
      </c>
      <c r="Y754">
        <v>30</v>
      </c>
      <c r="AA754" t="s">
        <v>184</v>
      </c>
      <c r="AB754">
        <v>7.22</v>
      </c>
      <c r="AC754" t="s">
        <v>85</v>
      </c>
      <c r="AD754" t="s">
        <v>1037</v>
      </c>
      <c r="AE754" t="s">
        <v>678</v>
      </c>
      <c r="AI754">
        <v>5</v>
      </c>
      <c r="AT754" t="s">
        <v>360</v>
      </c>
      <c r="AV754" t="s">
        <v>88</v>
      </c>
      <c r="AZ754">
        <v>0</v>
      </c>
      <c r="BA754">
        <v>7.22</v>
      </c>
    </row>
    <row r="755" spans="1:53" x14ac:dyDescent="0.3">
      <c r="A755" t="s">
        <v>677</v>
      </c>
      <c r="C755" t="s">
        <v>920</v>
      </c>
      <c r="D755" t="s">
        <v>81</v>
      </c>
      <c r="E755">
        <v>1000000</v>
      </c>
      <c r="H755">
        <v>14.25</v>
      </c>
      <c r="I755" t="s">
        <v>56</v>
      </c>
      <c r="J755">
        <v>1.4250000000000001E-3</v>
      </c>
      <c r="K755" t="s">
        <v>57</v>
      </c>
      <c r="L755" t="s">
        <v>1021</v>
      </c>
      <c r="O755">
        <v>1000</v>
      </c>
      <c r="P755" t="s">
        <v>277</v>
      </c>
      <c r="S755">
        <v>2</v>
      </c>
      <c r="T755">
        <v>22</v>
      </c>
      <c r="V755">
        <v>50</v>
      </c>
      <c r="W755" t="s">
        <v>359</v>
      </c>
      <c r="X755" t="s">
        <v>199</v>
      </c>
      <c r="Y755">
        <v>120</v>
      </c>
      <c r="AA755" t="s">
        <v>184</v>
      </c>
      <c r="AB755">
        <v>7.55</v>
      </c>
      <c r="AC755" t="s">
        <v>85</v>
      </c>
      <c r="AD755" t="s">
        <v>1037</v>
      </c>
      <c r="AE755" t="s">
        <v>678</v>
      </c>
      <c r="AI755">
        <v>5</v>
      </c>
      <c r="AT755" t="s">
        <v>360</v>
      </c>
      <c r="AV755" t="s">
        <v>88</v>
      </c>
      <c r="AZ755">
        <v>0</v>
      </c>
      <c r="BA755">
        <v>7.55</v>
      </c>
    </row>
    <row r="756" spans="1:53" x14ac:dyDescent="0.3">
      <c r="A756" t="s">
        <v>677</v>
      </c>
      <c r="C756" t="s">
        <v>920</v>
      </c>
      <c r="D756" t="s">
        <v>81</v>
      </c>
      <c r="E756">
        <v>1000000</v>
      </c>
      <c r="H756">
        <v>14.25</v>
      </c>
      <c r="I756" t="s">
        <v>56</v>
      </c>
      <c r="J756">
        <v>1.4250000000000001E-3</v>
      </c>
      <c r="K756" t="s">
        <v>57</v>
      </c>
      <c r="L756" t="s">
        <v>1021</v>
      </c>
      <c r="O756">
        <v>1000</v>
      </c>
      <c r="P756" t="s">
        <v>277</v>
      </c>
      <c r="S756">
        <v>2</v>
      </c>
      <c r="T756">
        <v>22</v>
      </c>
      <c r="V756">
        <v>50</v>
      </c>
      <c r="W756" t="s">
        <v>547</v>
      </c>
      <c r="X756" t="s">
        <v>199</v>
      </c>
      <c r="Y756">
        <v>10</v>
      </c>
      <c r="AB756">
        <v>5.03</v>
      </c>
      <c r="AC756" t="s">
        <v>85</v>
      </c>
      <c r="AD756" t="s">
        <v>1038</v>
      </c>
      <c r="AE756" t="s">
        <v>682</v>
      </c>
      <c r="AI756">
        <v>5</v>
      </c>
      <c r="AT756" t="s">
        <v>73</v>
      </c>
      <c r="AV756" t="s">
        <v>88</v>
      </c>
    </row>
    <row r="757" spans="1:53" x14ac:dyDescent="0.3">
      <c r="A757" t="s">
        <v>677</v>
      </c>
      <c r="C757" t="s">
        <v>920</v>
      </c>
      <c r="D757" t="s">
        <v>81</v>
      </c>
      <c r="E757">
        <v>1000000</v>
      </c>
      <c r="H757">
        <v>14.25</v>
      </c>
      <c r="I757" t="s">
        <v>56</v>
      </c>
      <c r="J757">
        <v>1.4250000000000001E-3</v>
      </c>
      <c r="K757" t="s">
        <v>57</v>
      </c>
      <c r="L757" t="s">
        <v>1021</v>
      </c>
      <c r="O757">
        <v>1000</v>
      </c>
      <c r="P757" t="s">
        <v>277</v>
      </c>
      <c r="S757">
        <v>2</v>
      </c>
      <c r="T757">
        <v>22</v>
      </c>
      <c r="V757">
        <v>50</v>
      </c>
      <c r="W757" t="s">
        <v>547</v>
      </c>
      <c r="X757" t="s">
        <v>199</v>
      </c>
      <c r="Y757">
        <v>30</v>
      </c>
      <c r="AA757" t="s">
        <v>184</v>
      </c>
      <c r="AB757">
        <v>6.83</v>
      </c>
      <c r="AC757" t="s">
        <v>85</v>
      </c>
      <c r="AD757" t="s">
        <v>1037</v>
      </c>
      <c r="AE757" t="s">
        <v>678</v>
      </c>
      <c r="AI757">
        <v>5</v>
      </c>
      <c r="AT757" t="s">
        <v>73</v>
      </c>
      <c r="AV757" t="s">
        <v>88</v>
      </c>
      <c r="AZ757">
        <v>0</v>
      </c>
      <c r="BA757">
        <v>6.83</v>
      </c>
    </row>
    <row r="758" spans="1:53" x14ac:dyDescent="0.3">
      <c r="A758" t="s">
        <v>677</v>
      </c>
      <c r="C758" t="s">
        <v>920</v>
      </c>
      <c r="D758" t="s">
        <v>81</v>
      </c>
      <c r="E758">
        <v>1000000</v>
      </c>
      <c r="H758">
        <v>14.25</v>
      </c>
      <c r="I758" t="s">
        <v>56</v>
      </c>
      <c r="J758">
        <v>1.4250000000000001E-3</v>
      </c>
      <c r="K758" t="s">
        <v>57</v>
      </c>
      <c r="L758" t="s">
        <v>1021</v>
      </c>
      <c r="O758">
        <v>1000</v>
      </c>
      <c r="P758" t="s">
        <v>277</v>
      </c>
      <c r="S758">
        <v>2</v>
      </c>
      <c r="T758">
        <v>22</v>
      </c>
      <c r="V758">
        <v>50</v>
      </c>
      <c r="W758" t="s">
        <v>547</v>
      </c>
      <c r="X758" t="s">
        <v>199</v>
      </c>
      <c r="Y758">
        <v>120</v>
      </c>
      <c r="AA758" t="s">
        <v>184</v>
      </c>
      <c r="AB758">
        <v>7.72</v>
      </c>
      <c r="AC758" t="s">
        <v>85</v>
      </c>
      <c r="AD758" t="s">
        <v>1037</v>
      </c>
      <c r="AE758" t="s">
        <v>678</v>
      </c>
      <c r="AI758">
        <v>5</v>
      </c>
      <c r="AT758" t="s">
        <v>73</v>
      </c>
      <c r="AV758" t="s">
        <v>88</v>
      </c>
      <c r="AZ758">
        <v>0</v>
      </c>
      <c r="BA758">
        <v>7.72</v>
      </c>
    </row>
    <row r="759" spans="1:53" x14ac:dyDescent="0.3">
      <c r="A759" t="s">
        <v>677</v>
      </c>
      <c r="C759" t="s">
        <v>920</v>
      </c>
      <c r="D759" t="s">
        <v>81</v>
      </c>
      <c r="E759">
        <v>1000000</v>
      </c>
      <c r="H759">
        <v>14.25</v>
      </c>
      <c r="I759" t="s">
        <v>56</v>
      </c>
      <c r="J759">
        <v>1.4250000000000001E-3</v>
      </c>
      <c r="K759" t="s">
        <v>57</v>
      </c>
      <c r="L759" t="s">
        <v>1021</v>
      </c>
      <c r="O759">
        <v>1000</v>
      </c>
      <c r="P759" t="s">
        <v>277</v>
      </c>
      <c r="S759">
        <v>2</v>
      </c>
      <c r="T759">
        <v>22</v>
      </c>
      <c r="V759">
        <v>50</v>
      </c>
      <c r="W759" t="s">
        <v>547</v>
      </c>
      <c r="X759" t="s">
        <v>199</v>
      </c>
      <c r="Y759">
        <v>10</v>
      </c>
      <c r="AB759">
        <v>4.4400000000000004</v>
      </c>
      <c r="AC759" t="s">
        <v>85</v>
      </c>
      <c r="AD759" t="s">
        <v>1039</v>
      </c>
      <c r="AE759" t="s">
        <v>682</v>
      </c>
      <c r="AI759">
        <v>5</v>
      </c>
      <c r="AT759" t="s">
        <v>73</v>
      </c>
      <c r="AV759" t="s">
        <v>88</v>
      </c>
    </row>
    <row r="760" spans="1:53" x14ac:dyDescent="0.3">
      <c r="A760" t="s">
        <v>677</v>
      </c>
      <c r="C760" t="s">
        <v>920</v>
      </c>
      <c r="D760" t="s">
        <v>81</v>
      </c>
      <c r="E760">
        <v>1000000</v>
      </c>
      <c r="H760">
        <v>14.25</v>
      </c>
      <c r="I760" t="s">
        <v>56</v>
      </c>
      <c r="J760">
        <v>1.4250000000000001E-3</v>
      </c>
      <c r="K760" t="s">
        <v>57</v>
      </c>
      <c r="L760" t="s">
        <v>1021</v>
      </c>
      <c r="O760">
        <v>1000</v>
      </c>
      <c r="P760" t="s">
        <v>277</v>
      </c>
      <c r="S760">
        <v>2</v>
      </c>
      <c r="T760">
        <v>22</v>
      </c>
      <c r="V760">
        <v>50</v>
      </c>
      <c r="W760" t="s">
        <v>547</v>
      </c>
      <c r="X760" t="s">
        <v>199</v>
      </c>
      <c r="Y760">
        <v>30</v>
      </c>
      <c r="AB760">
        <v>4.58</v>
      </c>
      <c r="AC760" t="s">
        <v>85</v>
      </c>
      <c r="AD760" t="s">
        <v>1040</v>
      </c>
      <c r="AE760" t="s">
        <v>682</v>
      </c>
      <c r="AI760">
        <v>5</v>
      </c>
      <c r="AT760" t="s">
        <v>73</v>
      </c>
      <c r="AV760" t="s">
        <v>88</v>
      </c>
    </row>
    <row r="761" spans="1:53" x14ac:dyDescent="0.3">
      <c r="A761" t="s">
        <v>677</v>
      </c>
      <c r="C761" t="s">
        <v>920</v>
      </c>
      <c r="D761" t="s">
        <v>81</v>
      </c>
      <c r="E761">
        <v>1000000</v>
      </c>
      <c r="H761">
        <v>14.25</v>
      </c>
      <c r="I761" t="s">
        <v>56</v>
      </c>
      <c r="J761">
        <v>1.4250000000000001E-3</v>
      </c>
      <c r="K761" t="s">
        <v>57</v>
      </c>
      <c r="L761" t="s">
        <v>1021</v>
      </c>
      <c r="O761">
        <v>1000</v>
      </c>
      <c r="P761" t="s">
        <v>277</v>
      </c>
      <c r="S761">
        <v>2</v>
      </c>
      <c r="T761">
        <v>22</v>
      </c>
      <c r="V761">
        <v>50</v>
      </c>
      <c r="W761" t="s">
        <v>547</v>
      </c>
      <c r="X761" t="s">
        <v>199</v>
      </c>
      <c r="Y761">
        <v>120</v>
      </c>
      <c r="AA761" t="s">
        <v>184</v>
      </c>
      <c r="AB761">
        <v>5.76</v>
      </c>
      <c r="AC761" t="s">
        <v>85</v>
      </c>
      <c r="AD761" t="s">
        <v>1037</v>
      </c>
      <c r="AE761" t="s">
        <v>678</v>
      </c>
      <c r="AI761">
        <v>5</v>
      </c>
      <c r="AT761" t="s">
        <v>73</v>
      </c>
      <c r="AV761" t="s">
        <v>88</v>
      </c>
      <c r="AZ761">
        <v>0</v>
      </c>
      <c r="BA761">
        <v>5.76</v>
      </c>
    </row>
    <row r="762" spans="1:53" x14ac:dyDescent="0.3">
      <c r="A762" t="s">
        <v>677</v>
      </c>
      <c r="C762" t="s">
        <v>920</v>
      </c>
      <c r="D762" t="s">
        <v>81</v>
      </c>
      <c r="E762">
        <v>1000000</v>
      </c>
      <c r="H762">
        <v>14.25</v>
      </c>
      <c r="I762" t="s">
        <v>56</v>
      </c>
      <c r="J762">
        <v>1.4250000000000001E-3</v>
      </c>
      <c r="K762" t="s">
        <v>57</v>
      </c>
      <c r="L762" t="s">
        <v>1021</v>
      </c>
      <c r="O762">
        <v>1000</v>
      </c>
      <c r="P762" t="s">
        <v>277</v>
      </c>
      <c r="S762">
        <v>2</v>
      </c>
      <c r="T762">
        <v>22</v>
      </c>
      <c r="V762">
        <v>50</v>
      </c>
      <c r="W762" t="s">
        <v>1041</v>
      </c>
      <c r="X762" t="s">
        <v>199</v>
      </c>
      <c r="Y762">
        <v>10</v>
      </c>
      <c r="AA762" t="s">
        <v>184</v>
      </c>
      <c r="AB762">
        <v>6.24</v>
      </c>
      <c r="AC762" t="s">
        <v>85</v>
      </c>
      <c r="AD762" t="s">
        <v>1037</v>
      </c>
      <c r="AE762" t="s">
        <v>678</v>
      </c>
      <c r="AI762">
        <v>5</v>
      </c>
      <c r="AT762" t="s">
        <v>150</v>
      </c>
      <c r="AV762" t="s">
        <v>88</v>
      </c>
      <c r="AZ762">
        <v>0</v>
      </c>
      <c r="BA762">
        <v>6.24</v>
      </c>
    </row>
    <row r="763" spans="1:53" x14ac:dyDescent="0.3">
      <c r="A763" t="s">
        <v>677</v>
      </c>
      <c r="C763" t="s">
        <v>920</v>
      </c>
      <c r="D763" t="s">
        <v>81</v>
      </c>
      <c r="E763">
        <v>1000000</v>
      </c>
      <c r="H763">
        <v>14.25</v>
      </c>
      <c r="I763" t="s">
        <v>56</v>
      </c>
      <c r="J763">
        <v>1.4250000000000001E-3</v>
      </c>
      <c r="K763" t="s">
        <v>57</v>
      </c>
      <c r="L763" t="s">
        <v>1021</v>
      </c>
      <c r="O763">
        <v>1000</v>
      </c>
      <c r="P763" t="s">
        <v>277</v>
      </c>
      <c r="S763">
        <v>2</v>
      </c>
      <c r="T763">
        <v>22</v>
      </c>
      <c r="V763">
        <v>50</v>
      </c>
      <c r="W763" t="s">
        <v>1041</v>
      </c>
      <c r="X763" t="s">
        <v>199</v>
      </c>
      <c r="Y763">
        <v>30</v>
      </c>
      <c r="AA763" t="s">
        <v>184</v>
      </c>
      <c r="AB763">
        <v>6.1</v>
      </c>
      <c r="AC763" t="s">
        <v>85</v>
      </c>
      <c r="AD763" t="s">
        <v>1037</v>
      </c>
      <c r="AE763" t="s">
        <v>678</v>
      </c>
      <c r="AI763">
        <v>5</v>
      </c>
      <c r="AT763" t="s">
        <v>150</v>
      </c>
      <c r="AV763" t="s">
        <v>88</v>
      </c>
      <c r="AZ763">
        <v>0</v>
      </c>
      <c r="BA763">
        <v>6.1</v>
      </c>
    </row>
    <row r="764" spans="1:53" x14ac:dyDescent="0.3">
      <c r="A764" t="s">
        <v>677</v>
      </c>
      <c r="C764" t="s">
        <v>920</v>
      </c>
      <c r="D764" t="s">
        <v>81</v>
      </c>
      <c r="E764">
        <v>1000000</v>
      </c>
      <c r="H764">
        <v>14.25</v>
      </c>
      <c r="I764" t="s">
        <v>56</v>
      </c>
      <c r="J764">
        <v>1.4250000000000001E-3</v>
      </c>
      <c r="K764" t="s">
        <v>57</v>
      </c>
      <c r="L764" t="s">
        <v>1021</v>
      </c>
      <c r="O764">
        <v>1000</v>
      </c>
      <c r="P764" t="s">
        <v>277</v>
      </c>
      <c r="S764">
        <v>2</v>
      </c>
      <c r="T764">
        <v>22</v>
      </c>
      <c r="V764">
        <v>50</v>
      </c>
      <c r="W764" t="s">
        <v>1041</v>
      </c>
      <c r="X764" t="s">
        <v>199</v>
      </c>
      <c r="Y764">
        <v>120</v>
      </c>
      <c r="AA764" t="s">
        <v>184</v>
      </c>
      <c r="AB764">
        <v>5.93</v>
      </c>
      <c r="AC764" t="s">
        <v>85</v>
      </c>
      <c r="AD764" t="s">
        <v>1037</v>
      </c>
      <c r="AE764" t="s">
        <v>678</v>
      </c>
      <c r="AI764">
        <v>5</v>
      </c>
      <c r="AT764" t="s">
        <v>150</v>
      </c>
      <c r="AV764" t="s">
        <v>88</v>
      </c>
      <c r="AZ764">
        <v>0</v>
      </c>
      <c r="BA764">
        <v>5.93</v>
      </c>
    </row>
    <row r="765" spans="1:53" x14ac:dyDescent="0.3">
      <c r="A765" t="s">
        <v>677</v>
      </c>
      <c r="C765" t="s">
        <v>920</v>
      </c>
      <c r="D765" t="s">
        <v>81</v>
      </c>
      <c r="E765">
        <v>1000000</v>
      </c>
      <c r="H765">
        <v>14.25</v>
      </c>
      <c r="I765" t="s">
        <v>56</v>
      </c>
      <c r="J765">
        <v>1.4250000000000001E-3</v>
      </c>
      <c r="K765" t="s">
        <v>57</v>
      </c>
      <c r="L765" t="s">
        <v>1021</v>
      </c>
      <c r="O765">
        <v>1000</v>
      </c>
      <c r="P765" t="s">
        <v>277</v>
      </c>
      <c r="S765">
        <v>2</v>
      </c>
      <c r="T765">
        <v>22</v>
      </c>
      <c r="V765">
        <v>50</v>
      </c>
      <c r="W765" t="s">
        <v>1041</v>
      </c>
      <c r="X765" t="s">
        <v>199</v>
      </c>
      <c r="Y765">
        <v>10</v>
      </c>
      <c r="AB765">
        <v>3.4</v>
      </c>
      <c r="AC765" t="s">
        <v>85</v>
      </c>
      <c r="AD765" t="s">
        <v>1042</v>
      </c>
      <c r="AE765" t="s">
        <v>682</v>
      </c>
      <c r="AI765">
        <v>5</v>
      </c>
      <c r="AT765" t="s">
        <v>150</v>
      </c>
      <c r="AV765" t="s">
        <v>88</v>
      </c>
    </row>
    <row r="766" spans="1:53" x14ac:dyDescent="0.3">
      <c r="A766" t="s">
        <v>677</v>
      </c>
      <c r="C766" t="s">
        <v>920</v>
      </c>
      <c r="D766" t="s">
        <v>81</v>
      </c>
      <c r="E766">
        <v>1000000</v>
      </c>
      <c r="H766">
        <v>14.25</v>
      </c>
      <c r="I766" t="s">
        <v>56</v>
      </c>
      <c r="J766">
        <v>1.4250000000000001E-3</v>
      </c>
      <c r="K766" t="s">
        <v>57</v>
      </c>
      <c r="L766" t="s">
        <v>1021</v>
      </c>
      <c r="O766">
        <v>1000</v>
      </c>
      <c r="P766" t="s">
        <v>277</v>
      </c>
      <c r="S766">
        <v>2</v>
      </c>
      <c r="T766">
        <v>22</v>
      </c>
      <c r="V766">
        <v>50</v>
      </c>
      <c r="W766" t="s">
        <v>1041</v>
      </c>
      <c r="X766" t="s">
        <v>199</v>
      </c>
      <c r="Y766">
        <v>30</v>
      </c>
      <c r="AB766">
        <v>3.62</v>
      </c>
      <c r="AC766" t="s">
        <v>85</v>
      </c>
      <c r="AD766" t="s">
        <v>1043</v>
      </c>
      <c r="AE766" t="s">
        <v>682</v>
      </c>
      <c r="AI766">
        <v>5</v>
      </c>
      <c r="AT766" t="s">
        <v>150</v>
      </c>
      <c r="AV766" t="s">
        <v>88</v>
      </c>
    </row>
    <row r="767" spans="1:53" x14ac:dyDescent="0.3">
      <c r="A767" t="s">
        <v>677</v>
      </c>
      <c r="C767" t="s">
        <v>920</v>
      </c>
      <c r="D767" t="s">
        <v>81</v>
      </c>
      <c r="E767">
        <v>1000000</v>
      </c>
      <c r="H767">
        <v>14.25</v>
      </c>
      <c r="I767" t="s">
        <v>56</v>
      </c>
      <c r="J767">
        <v>1.4250000000000001E-3</v>
      </c>
      <c r="K767" t="s">
        <v>57</v>
      </c>
      <c r="L767" t="s">
        <v>1021</v>
      </c>
      <c r="O767">
        <v>1000</v>
      </c>
      <c r="P767" t="s">
        <v>277</v>
      </c>
      <c r="S767">
        <v>2</v>
      </c>
      <c r="T767">
        <v>22</v>
      </c>
      <c r="V767">
        <v>50</v>
      </c>
      <c r="W767" t="s">
        <v>1041</v>
      </c>
      <c r="X767" t="s">
        <v>199</v>
      </c>
      <c r="Y767">
        <v>120</v>
      </c>
      <c r="AA767" t="s">
        <v>184</v>
      </c>
      <c r="AB767">
        <v>6.47</v>
      </c>
      <c r="AC767" t="s">
        <v>85</v>
      </c>
      <c r="AD767" t="s">
        <v>1037</v>
      </c>
      <c r="AE767" t="s">
        <v>678</v>
      </c>
      <c r="AI767">
        <v>5</v>
      </c>
      <c r="AT767" t="s">
        <v>150</v>
      </c>
      <c r="AV767" t="s">
        <v>88</v>
      </c>
      <c r="AZ767">
        <v>0</v>
      </c>
      <c r="BA767">
        <v>6.47</v>
      </c>
    </row>
    <row r="768" spans="1:53" x14ac:dyDescent="0.3">
      <c r="A768" t="s">
        <v>677</v>
      </c>
      <c r="C768" t="s">
        <v>920</v>
      </c>
      <c r="D768" t="s">
        <v>81</v>
      </c>
      <c r="E768">
        <v>1000000</v>
      </c>
      <c r="H768">
        <v>14.25</v>
      </c>
      <c r="I768" t="s">
        <v>56</v>
      </c>
      <c r="J768">
        <v>1.4250000000000001E-3</v>
      </c>
      <c r="K768" t="s">
        <v>57</v>
      </c>
      <c r="L768" t="s">
        <v>1021</v>
      </c>
      <c r="O768">
        <v>1000</v>
      </c>
      <c r="P768" t="s">
        <v>277</v>
      </c>
      <c r="S768">
        <v>2</v>
      </c>
      <c r="T768">
        <v>22</v>
      </c>
      <c r="V768">
        <v>50</v>
      </c>
      <c r="W768" t="s">
        <v>683</v>
      </c>
      <c r="X768" t="s">
        <v>199</v>
      </c>
      <c r="Y768">
        <v>10</v>
      </c>
      <c r="AB768">
        <v>3.97</v>
      </c>
      <c r="AC768" t="s">
        <v>85</v>
      </c>
      <c r="AD768" t="s">
        <v>1044</v>
      </c>
      <c r="AE768" t="s">
        <v>682</v>
      </c>
      <c r="AI768">
        <v>5</v>
      </c>
      <c r="AT768" t="s">
        <v>458</v>
      </c>
      <c r="AV768" t="s">
        <v>88</v>
      </c>
    </row>
    <row r="769" spans="1:53" x14ac:dyDescent="0.3">
      <c r="A769" t="s">
        <v>677</v>
      </c>
      <c r="C769" t="s">
        <v>920</v>
      </c>
      <c r="D769" t="s">
        <v>81</v>
      </c>
      <c r="E769">
        <v>1000000</v>
      </c>
      <c r="H769">
        <v>14.25</v>
      </c>
      <c r="I769" t="s">
        <v>56</v>
      </c>
      <c r="J769">
        <v>1.4250000000000001E-3</v>
      </c>
      <c r="K769" t="s">
        <v>57</v>
      </c>
      <c r="L769" t="s">
        <v>1021</v>
      </c>
      <c r="O769">
        <v>1000</v>
      </c>
      <c r="P769" t="s">
        <v>277</v>
      </c>
      <c r="S769">
        <v>2</v>
      </c>
      <c r="T769">
        <v>22</v>
      </c>
      <c r="V769">
        <v>50</v>
      </c>
      <c r="W769" t="s">
        <v>683</v>
      </c>
      <c r="X769" t="s">
        <v>199</v>
      </c>
      <c r="Y769">
        <v>30</v>
      </c>
      <c r="AB769">
        <v>4.51</v>
      </c>
      <c r="AC769" t="s">
        <v>85</v>
      </c>
      <c r="AD769" t="s">
        <v>1045</v>
      </c>
      <c r="AE769" t="s">
        <v>682</v>
      </c>
      <c r="AI769">
        <v>5</v>
      </c>
      <c r="AT769" t="s">
        <v>458</v>
      </c>
      <c r="AV769" t="s">
        <v>88</v>
      </c>
    </row>
    <row r="770" spans="1:53" x14ac:dyDescent="0.3">
      <c r="A770" t="s">
        <v>677</v>
      </c>
      <c r="C770" t="s">
        <v>920</v>
      </c>
      <c r="D770" t="s">
        <v>81</v>
      </c>
      <c r="E770">
        <v>1000000</v>
      </c>
      <c r="H770">
        <v>14.25</v>
      </c>
      <c r="I770" t="s">
        <v>56</v>
      </c>
      <c r="J770">
        <v>1.4250000000000001E-3</v>
      </c>
      <c r="K770" t="s">
        <v>57</v>
      </c>
      <c r="L770" t="s">
        <v>1021</v>
      </c>
      <c r="O770">
        <v>1000</v>
      </c>
      <c r="P770" t="s">
        <v>277</v>
      </c>
      <c r="S770">
        <v>2</v>
      </c>
      <c r="T770">
        <v>22</v>
      </c>
      <c r="V770">
        <v>50</v>
      </c>
      <c r="W770" t="s">
        <v>683</v>
      </c>
      <c r="X770" t="s">
        <v>199</v>
      </c>
      <c r="Y770">
        <v>120</v>
      </c>
      <c r="AA770" t="s">
        <v>184</v>
      </c>
      <c r="AB770">
        <v>6.04</v>
      </c>
      <c r="AC770" t="s">
        <v>85</v>
      </c>
      <c r="AD770" t="s">
        <v>1037</v>
      </c>
      <c r="AE770" t="s">
        <v>678</v>
      </c>
      <c r="AI770">
        <v>5</v>
      </c>
      <c r="AT770" t="s">
        <v>458</v>
      </c>
      <c r="AV770" t="s">
        <v>88</v>
      </c>
      <c r="AZ770">
        <v>0</v>
      </c>
      <c r="BA770">
        <v>6.04</v>
      </c>
    </row>
    <row r="771" spans="1:53" x14ac:dyDescent="0.3">
      <c r="A771" t="s">
        <v>677</v>
      </c>
      <c r="C771" t="s">
        <v>920</v>
      </c>
      <c r="D771" t="s">
        <v>81</v>
      </c>
      <c r="E771">
        <v>1000000</v>
      </c>
      <c r="H771">
        <v>14.25</v>
      </c>
      <c r="I771" t="s">
        <v>56</v>
      </c>
      <c r="J771">
        <v>1.4250000000000001E-3</v>
      </c>
      <c r="K771" t="s">
        <v>57</v>
      </c>
      <c r="L771" t="s">
        <v>1021</v>
      </c>
      <c r="O771">
        <v>1000</v>
      </c>
      <c r="P771" t="s">
        <v>277</v>
      </c>
      <c r="S771">
        <v>2</v>
      </c>
      <c r="T771">
        <v>22</v>
      </c>
      <c r="V771">
        <v>50</v>
      </c>
      <c r="W771" t="s">
        <v>683</v>
      </c>
      <c r="X771" t="s">
        <v>199</v>
      </c>
      <c r="Y771">
        <v>10</v>
      </c>
      <c r="AB771">
        <v>3.14</v>
      </c>
      <c r="AC771" t="s">
        <v>85</v>
      </c>
      <c r="AD771" t="s">
        <v>1046</v>
      </c>
      <c r="AE771" t="s">
        <v>682</v>
      </c>
      <c r="AI771">
        <v>5</v>
      </c>
      <c r="AT771" t="s">
        <v>458</v>
      </c>
      <c r="AV771" t="s">
        <v>88</v>
      </c>
    </row>
    <row r="772" spans="1:53" x14ac:dyDescent="0.3">
      <c r="A772" t="s">
        <v>677</v>
      </c>
      <c r="C772" t="s">
        <v>920</v>
      </c>
      <c r="D772" t="s">
        <v>81</v>
      </c>
      <c r="E772">
        <v>1000000</v>
      </c>
      <c r="H772">
        <v>14.25</v>
      </c>
      <c r="I772" t="s">
        <v>56</v>
      </c>
      <c r="J772">
        <v>1.4250000000000001E-3</v>
      </c>
      <c r="K772" t="s">
        <v>57</v>
      </c>
      <c r="L772" t="s">
        <v>1021</v>
      </c>
      <c r="O772">
        <v>1000</v>
      </c>
      <c r="P772" t="s">
        <v>277</v>
      </c>
      <c r="S772">
        <v>2</v>
      </c>
      <c r="T772">
        <v>22</v>
      </c>
      <c r="V772">
        <v>50</v>
      </c>
      <c r="W772" t="s">
        <v>683</v>
      </c>
      <c r="X772" t="s">
        <v>199</v>
      </c>
      <c r="Y772">
        <v>30</v>
      </c>
      <c r="AB772">
        <v>3.27</v>
      </c>
      <c r="AC772" t="s">
        <v>85</v>
      </c>
      <c r="AD772" t="s">
        <v>1047</v>
      </c>
      <c r="AE772" t="s">
        <v>682</v>
      </c>
      <c r="AI772">
        <v>5</v>
      </c>
      <c r="AT772" t="s">
        <v>458</v>
      </c>
      <c r="AV772" t="s">
        <v>88</v>
      </c>
    </row>
    <row r="773" spans="1:53" x14ac:dyDescent="0.3">
      <c r="A773" t="s">
        <v>677</v>
      </c>
      <c r="C773" t="s">
        <v>920</v>
      </c>
      <c r="D773" t="s">
        <v>81</v>
      </c>
      <c r="E773">
        <v>1000000</v>
      </c>
      <c r="H773">
        <v>14.25</v>
      </c>
      <c r="I773" t="s">
        <v>56</v>
      </c>
      <c r="J773">
        <v>1.4250000000000001E-3</v>
      </c>
      <c r="K773" t="s">
        <v>57</v>
      </c>
      <c r="L773" t="s">
        <v>1021</v>
      </c>
      <c r="O773">
        <v>1000</v>
      </c>
      <c r="P773" t="s">
        <v>277</v>
      </c>
      <c r="S773">
        <v>2</v>
      </c>
      <c r="T773">
        <v>22</v>
      </c>
      <c r="V773">
        <v>50</v>
      </c>
      <c r="W773" t="s">
        <v>683</v>
      </c>
      <c r="X773" t="s">
        <v>199</v>
      </c>
      <c r="Y773">
        <v>120</v>
      </c>
      <c r="AB773">
        <v>4.2699999999999996</v>
      </c>
      <c r="AC773" t="s">
        <v>85</v>
      </c>
      <c r="AD773" t="s">
        <v>1048</v>
      </c>
      <c r="AE773" t="s">
        <v>682</v>
      </c>
      <c r="AI773">
        <v>5</v>
      </c>
      <c r="AT773" t="s">
        <v>458</v>
      </c>
      <c r="AV773" t="s">
        <v>88</v>
      </c>
    </row>
    <row r="774" spans="1:53" x14ac:dyDescent="0.3">
      <c r="A774" t="s">
        <v>677</v>
      </c>
      <c r="C774" t="s">
        <v>920</v>
      </c>
      <c r="D774" t="s">
        <v>81</v>
      </c>
      <c r="E774">
        <v>1000000</v>
      </c>
      <c r="H774">
        <v>14.25</v>
      </c>
      <c r="I774" t="s">
        <v>56</v>
      </c>
      <c r="J774">
        <v>1.4250000000000001E-3</v>
      </c>
      <c r="K774" t="s">
        <v>57</v>
      </c>
      <c r="L774" t="s">
        <v>1021</v>
      </c>
      <c r="O774">
        <v>1</v>
      </c>
      <c r="P774" t="s">
        <v>59</v>
      </c>
      <c r="S774">
        <v>2</v>
      </c>
      <c r="T774">
        <v>22</v>
      </c>
      <c r="V774">
        <v>50</v>
      </c>
      <c r="W774" t="s">
        <v>1022</v>
      </c>
      <c r="X774" t="s">
        <v>199</v>
      </c>
      <c r="Y774">
        <v>10</v>
      </c>
      <c r="AB774">
        <v>7.62</v>
      </c>
      <c r="AC774" t="s">
        <v>85</v>
      </c>
      <c r="AE774" t="s">
        <v>682</v>
      </c>
      <c r="AI774">
        <v>5</v>
      </c>
      <c r="AT774" t="s">
        <v>150</v>
      </c>
      <c r="AV774" t="s">
        <v>88</v>
      </c>
    </row>
    <row r="775" spans="1:53" x14ac:dyDescent="0.3">
      <c r="A775" t="s">
        <v>677</v>
      </c>
      <c r="C775" t="s">
        <v>920</v>
      </c>
      <c r="D775" t="s">
        <v>81</v>
      </c>
      <c r="E775">
        <v>1000000</v>
      </c>
      <c r="H775">
        <v>14.25</v>
      </c>
      <c r="I775" t="s">
        <v>56</v>
      </c>
      <c r="J775">
        <v>1.4250000000000001E-3</v>
      </c>
      <c r="K775" t="s">
        <v>57</v>
      </c>
      <c r="L775" t="s">
        <v>1021</v>
      </c>
      <c r="O775">
        <v>1</v>
      </c>
      <c r="P775" t="s">
        <v>59</v>
      </c>
      <c r="S775">
        <v>2</v>
      </c>
      <c r="T775">
        <v>22</v>
      </c>
      <c r="V775">
        <v>50</v>
      </c>
      <c r="W775" t="s">
        <v>1022</v>
      </c>
      <c r="X775" t="s">
        <v>199</v>
      </c>
      <c r="Y775">
        <v>20</v>
      </c>
      <c r="AA775" t="s">
        <v>184</v>
      </c>
      <c r="AB775">
        <v>7.91</v>
      </c>
      <c r="AC775" t="s">
        <v>85</v>
      </c>
      <c r="AE775" t="s">
        <v>678</v>
      </c>
      <c r="AI775">
        <v>5</v>
      </c>
      <c r="AT775" t="s">
        <v>150</v>
      </c>
      <c r="AV775" t="s">
        <v>88</v>
      </c>
      <c r="AZ775">
        <v>0</v>
      </c>
      <c r="BA775">
        <v>7.91</v>
      </c>
    </row>
    <row r="776" spans="1:53" x14ac:dyDescent="0.3">
      <c r="A776" t="s">
        <v>677</v>
      </c>
      <c r="C776" t="s">
        <v>920</v>
      </c>
      <c r="D776" t="s">
        <v>81</v>
      </c>
      <c r="E776">
        <v>1000000</v>
      </c>
      <c r="H776">
        <v>14.25</v>
      </c>
      <c r="I776" t="s">
        <v>56</v>
      </c>
      <c r="J776">
        <v>1.4250000000000001E-3</v>
      </c>
      <c r="K776" t="s">
        <v>57</v>
      </c>
      <c r="L776" t="s">
        <v>1021</v>
      </c>
      <c r="O776">
        <v>1</v>
      </c>
      <c r="P776" t="s">
        <v>59</v>
      </c>
      <c r="S776">
        <v>2</v>
      </c>
      <c r="T776">
        <v>22</v>
      </c>
      <c r="V776">
        <v>50</v>
      </c>
      <c r="W776" t="s">
        <v>1022</v>
      </c>
      <c r="X776" t="s">
        <v>199</v>
      </c>
      <c r="Y776">
        <v>30</v>
      </c>
      <c r="AA776" t="s">
        <v>184</v>
      </c>
      <c r="AB776">
        <v>7.91</v>
      </c>
      <c r="AC776" t="s">
        <v>85</v>
      </c>
      <c r="AE776" t="s">
        <v>678</v>
      </c>
      <c r="AI776">
        <v>5</v>
      </c>
      <c r="AT776" t="s">
        <v>150</v>
      </c>
      <c r="AV776" t="s">
        <v>88</v>
      </c>
      <c r="AZ776">
        <v>0</v>
      </c>
      <c r="BA776">
        <v>7.91</v>
      </c>
    </row>
    <row r="777" spans="1:53" x14ac:dyDescent="0.3">
      <c r="A777" t="s">
        <v>677</v>
      </c>
      <c r="C777" t="s">
        <v>920</v>
      </c>
      <c r="D777" t="s">
        <v>81</v>
      </c>
      <c r="E777">
        <v>100000000</v>
      </c>
      <c r="H777">
        <v>14.25</v>
      </c>
      <c r="I777" t="s">
        <v>56</v>
      </c>
      <c r="J777">
        <v>1.4250000000000001E-3</v>
      </c>
      <c r="K777" t="s">
        <v>57</v>
      </c>
      <c r="L777" t="s">
        <v>1021</v>
      </c>
      <c r="O777">
        <v>1</v>
      </c>
      <c r="P777" t="s">
        <v>59</v>
      </c>
      <c r="S777">
        <v>2</v>
      </c>
      <c r="T777">
        <v>22</v>
      </c>
      <c r="V777">
        <v>50</v>
      </c>
      <c r="W777" t="s">
        <v>1022</v>
      </c>
      <c r="X777" t="s">
        <v>199</v>
      </c>
      <c r="Y777">
        <v>10</v>
      </c>
      <c r="AB777">
        <v>6.54</v>
      </c>
      <c r="AC777" t="s">
        <v>85</v>
      </c>
      <c r="AE777" t="s">
        <v>682</v>
      </c>
      <c r="AI777">
        <v>5</v>
      </c>
      <c r="AT777" t="s">
        <v>150</v>
      </c>
      <c r="AV777" t="s">
        <v>88</v>
      </c>
    </row>
    <row r="778" spans="1:53" x14ac:dyDescent="0.3">
      <c r="A778" t="s">
        <v>677</v>
      </c>
      <c r="C778" t="s">
        <v>920</v>
      </c>
      <c r="D778" t="s">
        <v>81</v>
      </c>
      <c r="E778">
        <v>100000000</v>
      </c>
      <c r="H778">
        <v>14.25</v>
      </c>
      <c r="I778" t="s">
        <v>56</v>
      </c>
      <c r="J778">
        <v>1.4250000000000001E-3</v>
      </c>
      <c r="K778" t="s">
        <v>57</v>
      </c>
      <c r="L778" t="s">
        <v>1021</v>
      </c>
      <c r="O778">
        <v>1</v>
      </c>
      <c r="P778" t="s">
        <v>59</v>
      </c>
      <c r="S778">
        <v>2</v>
      </c>
      <c r="T778">
        <v>22</v>
      </c>
      <c r="V778">
        <v>50</v>
      </c>
      <c r="W778" t="s">
        <v>1022</v>
      </c>
      <c r="X778" t="s">
        <v>199</v>
      </c>
      <c r="Y778">
        <v>20</v>
      </c>
      <c r="AA778" t="s">
        <v>184</v>
      </c>
      <c r="AB778">
        <v>6.83</v>
      </c>
      <c r="AC778" t="s">
        <v>85</v>
      </c>
      <c r="AE778" t="s">
        <v>678</v>
      </c>
      <c r="AI778">
        <v>5</v>
      </c>
      <c r="AT778" t="s">
        <v>150</v>
      </c>
      <c r="AV778" t="s">
        <v>88</v>
      </c>
      <c r="AZ778">
        <v>0</v>
      </c>
      <c r="BA778">
        <v>6.83</v>
      </c>
    </row>
    <row r="779" spans="1:53" x14ac:dyDescent="0.3">
      <c r="A779" t="s">
        <v>677</v>
      </c>
      <c r="C779" t="s">
        <v>920</v>
      </c>
      <c r="D779" t="s">
        <v>81</v>
      </c>
      <c r="E779">
        <v>100000000</v>
      </c>
      <c r="H779">
        <v>14.25</v>
      </c>
      <c r="I779" t="s">
        <v>56</v>
      </c>
      <c r="J779">
        <v>1.4250000000000001E-3</v>
      </c>
      <c r="K779" t="s">
        <v>57</v>
      </c>
      <c r="L779" t="s">
        <v>1021</v>
      </c>
      <c r="O779">
        <v>1</v>
      </c>
      <c r="P779" t="s">
        <v>59</v>
      </c>
      <c r="S779">
        <v>2</v>
      </c>
      <c r="T779">
        <v>22</v>
      </c>
      <c r="V779">
        <v>50</v>
      </c>
      <c r="W779" t="s">
        <v>1022</v>
      </c>
      <c r="X779" t="s">
        <v>199</v>
      </c>
      <c r="Y779">
        <v>30</v>
      </c>
      <c r="AA779" t="s">
        <v>184</v>
      </c>
      <c r="AB779">
        <v>6.83</v>
      </c>
      <c r="AC779" t="s">
        <v>85</v>
      </c>
      <c r="AE779" t="s">
        <v>678</v>
      </c>
      <c r="AI779">
        <v>5</v>
      </c>
      <c r="AT779" t="s">
        <v>150</v>
      </c>
      <c r="AV779" t="s">
        <v>88</v>
      </c>
      <c r="AZ779">
        <v>0</v>
      </c>
      <c r="BA779">
        <v>6.83</v>
      </c>
    </row>
    <row r="780" spans="1:53" x14ac:dyDescent="0.3">
      <c r="A780" t="s">
        <v>677</v>
      </c>
      <c r="C780" t="s">
        <v>920</v>
      </c>
      <c r="D780" t="s">
        <v>81</v>
      </c>
      <c r="E780">
        <v>1000000</v>
      </c>
      <c r="H780">
        <v>14.25</v>
      </c>
      <c r="I780" t="s">
        <v>56</v>
      </c>
      <c r="J780">
        <v>1.4250000000000001E-3</v>
      </c>
      <c r="K780" t="s">
        <v>57</v>
      </c>
      <c r="L780" t="s">
        <v>1021</v>
      </c>
      <c r="O780">
        <v>1</v>
      </c>
      <c r="P780" t="s">
        <v>59</v>
      </c>
      <c r="S780">
        <v>2</v>
      </c>
      <c r="T780">
        <v>22</v>
      </c>
      <c r="V780">
        <v>50</v>
      </c>
      <c r="W780" t="s">
        <v>466</v>
      </c>
      <c r="X780" t="s">
        <v>199</v>
      </c>
      <c r="Y780">
        <v>10</v>
      </c>
      <c r="AB780">
        <v>2.52</v>
      </c>
      <c r="AC780" t="s">
        <v>85</v>
      </c>
      <c r="AE780" t="s">
        <v>682</v>
      </c>
      <c r="AI780">
        <v>5</v>
      </c>
      <c r="AT780" t="s">
        <v>358</v>
      </c>
      <c r="AV780" t="s">
        <v>88</v>
      </c>
    </row>
    <row r="781" spans="1:53" x14ac:dyDescent="0.3">
      <c r="A781" t="s">
        <v>677</v>
      </c>
      <c r="C781" t="s">
        <v>920</v>
      </c>
      <c r="D781" t="s">
        <v>81</v>
      </c>
      <c r="E781">
        <v>1000000</v>
      </c>
      <c r="H781">
        <v>14.25</v>
      </c>
      <c r="I781" t="s">
        <v>56</v>
      </c>
      <c r="J781">
        <v>1.4250000000000001E-3</v>
      </c>
      <c r="K781" t="s">
        <v>57</v>
      </c>
      <c r="L781" t="s">
        <v>1021</v>
      </c>
      <c r="O781">
        <v>1</v>
      </c>
      <c r="P781" t="s">
        <v>59</v>
      </c>
      <c r="S781">
        <v>2</v>
      </c>
      <c r="T781">
        <v>22</v>
      </c>
      <c r="V781">
        <v>50</v>
      </c>
      <c r="W781" t="s">
        <v>466</v>
      </c>
      <c r="X781" t="s">
        <v>199</v>
      </c>
      <c r="Y781">
        <v>20</v>
      </c>
      <c r="AB781">
        <v>4.25</v>
      </c>
      <c r="AC781" t="s">
        <v>85</v>
      </c>
      <c r="AE781" t="s">
        <v>682</v>
      </c>
      <c r="AI781">
        <v>5</v>
      </c>
      <c r="AT781" t="s">
        <v>358</v>
      </c>
      <c r="AV781" t="s">
        <v>88</v>
      </c>
    </row>
    <row r="782" spans="1:53" x14ac:dyDescent="0.3">
      <c r="A782" t="s">
        <v>677</v>
      </c>
      <c r="C782" t="s">
        <v>920</v>
      </c>
      <c r="D782" t="s">
        <v>81</v>
      </c>
      <c r="E782">
        <v>1000000</v>
      </c>
      <c r="H782">
        <v>14.25</v>
      </c>
      <c r="I782" t="s">
        <v>56</v>
      </c>
      <c r="J782">
        <v>1.4250000000000001E-3</v>
      </c>
      <c r="K782" t="s">
        <v>57</v>
      </c>
      <c r="L782" t="s">
        <v>1021</v>
      </c>
      <c r="O782">
        <v>1</v>
      </c>
      <c r="P782" t="s">
        <v>59</v>
      </c>
      <c r="S782">
        <v>2</v>
      </c>
      <c r="T782">
        <v>22</v>
      </c>
      <c r="V782">
        <v>50</v>
      </c>
      <c r="W782" t="s">
        <v>466</v>
      </c>
      <c r="X782" t="s">
        <v>199</v>
      </c>
      <c r="Y782">
        <v>30</v>
      </c>
      <c r="AB782">
        <v>2.42</v>
      </c>
      <c r="AC782" t="s">
        <v>85</v>
      </c>
      <c r="AE782" t="s">
        <v>682</v>
      </c>
      <c r="AI782">
        <v>5</v>
      </c>
      <c r="AT782" t="s">
        <v>358</v>
      </c>
      <c r="AV782" t="s">
        <v>88</v>
      </c>
    </row>
    <row r="783" spans="1:53" x14ac:dyDescent="0.3">
      <c r="A783" t="s">
        <v>677</v>
      </c>
      <c r="C783" t="s">
        <v>920</v>
      </c>
      <c r="D783" t="s">
        <v>81</v>
      </c>
      <c r="E783">
        <v>1000000</v>
      </c>
      <c r="H783">
        <v>14.25</v>
      </c>
      <c r="I783" t="s">
        <v>56</v>
      </c>
      <c r="J783">
        <v>1.4250000000000001E-3</v>
      </c>
      <c r="K783" t="s">
        <v>57</v>
      </c>
      <c r="L783" t="s">
        <v>1021</v>
      </c>
      <c r="O783">
        <v>1</v>
      </c>
      <c r="P783" t="s">
        <v>59</v>
      </c>
      <c r="S783">
        <v>2</v>
      </c>
      <c r="T783">
        <v>22</v>
      </c>
      <c r="V783">
        <v>50</v>
      </c>
      <c r="W783" t="s">
        <v>714</v>
      </c>
      <c r="X783" t="s">
        <v>199</v>
      </c>
      <c r="Y783">
        <v>10</v>
      </c>
      <c r="AB783">
        <v>2.62</v>
      </c>
      <c r="AC783" t="s">
        <v>85</v>
      </c>
      <c r="AE783" t="s">
        <v>682</v>
      </c>
      <c r="AI783">
        <v>5</v>
      </c>
      <c r="AT783" t="s">
        <v>73</v>
      </c>
      <c r="AV783" t="s">
        <v>88</v>
      </c>
    </row>
    <row r="784" spans="1:53" x14ac:dyDescent="0.3">
      <c r="A784" t="s">
        <v>677</v>
      </c>
      <c r="C784" t="s">
        <v>920</v>
      </c>
      <c r="D784" t="s">
        <v>81</v>
      </c>
      <c r="E784">
        <v>1000000</v>
      </c>
      <c r="H784">
        <v>14.25</v>
      </c>
      <c r="I784" t="s">
        <v>56</v>
      </c>
      <c r="J784">
        <v>1.4250000000000001E-3</v>
      </c>
      <c r="K784" t="s">
        <v>57</v>
      </c>
      <c r="L784" t="s">
        <v>1021</v>
      </c>
      <c r="O784">
        <v>1</v>
      </c>
      <c r="P784" t="s">
        <v>59</v>
      </c>
      <c r="S784">
        <v>2</v>
      </c>
      <c r="T784">
        <v>22</v>
      </c>
      <c r="V784">
        <v>50</v>
      </c>
      <c r="W784" t="s">
        <v>714</v>
      </c>
      <c r="X784" t="s">
        <v>199</v>
      </c>
      <c r="Y784">
        <v>20</v>
      </c>
      <c r="AB784">
        <v>4.2</v>
      </c>
      <c r="AC784" t="s">
        <v>85</v>
      </c>
      <c r="AE784" t="s">
        <v>682</v>
      </c>
      <c r="AI784">
        <v>5</v>
      </c>
      <c r="AT784" t="s">
        <v>73</v>
      </c>
      <c r="AV784" t="s">
        <v>88</v>
      </c>
    </row>
    <row r="785" spans="1:53" x14ac:dyDescent="0.3">
      <c r="A785" t="s">
        <v>677</v>
      </c>
      <c r="C785" t="s">
        <v>920</v>
      </c>
      <c r="D785" t="s">
        <v>81</v>
      </c>
      <c r="E785">
        <v>1000000</v>
      </c>
      <c r="H785">
        <v>14.25</v>
      </c>
      <c r="I785" t="s">
        <v>56</v>
      </c>
      <c r="J785">
        <v>1.4250000000000001E-3</v>
      </c>
      <c r="K785" t="s">
        <v>57</v>
      </c>
      <c r="L785" t="s">
        <v>1021</v>
      </c>
      <c r="O785">
        <v>1</v>
      </c>
      <c r="P785" t="s">
        <v>59</v>
      </c>
      <c r="S785">
        <v>2</v>
      </c>
      <c r="T785">
        <v>22</v>
      </c>
      <c r="V785">
        <v>50</v>
      </c>
      <c r="W785" t="s">
        <v>714</v>
      </c>
      <c r="X785" t="s">
        <v>199</v>
      </c>
      <c r="Y785">
        <v>30</v>
      </c>
      <c r="AB785">
        <v>6.26</v>
      </c>
      <c r="AC785" t="s">
        <v>85</v>
      </c>
      <c r="AE785" t="s">
        <v>682</v>
      </c>
      <c r="AI785">
        <v>5</v>
      </c>
      <c r="AT785" t="s">
        <v>73</v>
      </c>
      <c r="AV785" t="s">
        <v>88</v>
      </c>
    </row>
    <row r="786" spans="1:53" x14ac:dyDescent="0.3">
      <c r="A786" t="s">
        <v>677</v>
      </c>
      <c r="C786" t="s">
        <v>920</v>
      </c>
      <c r="D786" t="s">
        <v>81</v>
      </c>
      <c r="E786">
        <v>1000000</v>
      </c>
      <c r="H786">
        <v>14.25</v>
      </c>
      <c r="I786" t="s">
        <v>56</v>
      </c>
      <c r="J786">
        <v>1.4250000000000001E-3</v>
      </c>
      <c r="K786" t="s">
        <v>57</v>
      </c>
      <c r="L786" t="s">
        <v>1021</v>
      </c>
      <c r="O786">
        <v>1</v>
      </c>
      <c r="P786" t="s">
        <v>59</v>
      </c>
      <c r="S786">
        <v>2</v>
      </c>
      <c r="T786">
        <v>22</v>
      </c>
      <c r="V786">
        <v>50</v>
      </c>
      <c r="W786" t="s">
        <v>469</v>
      </c>
      <c r="X786" t="s">
        <v>199</v>
      </c>
      <c r="Y786">
        <v>10</v>
      </c>
      <c r="AB786">
        <v>1.1499999999999999</v>
      </c>
      <c r="AC786" t="s">
        <v>85</v>
      </c>
      <c r="AE786" t="s">
        <v>682</v>
      </c>
      <c r="AI786">
        <v>5</v>
      </c>
      <c r="AT786" t="s">
        <v>65</v>
      </c>
      <c r="AV786" t="s">
        <v>88</v>
      </c>
    </row>
    <row r="787" spans="1:53" x14ac:dyDescent="0.3">
      <c r="A787" t="s">
        <v>677</v>
      </c>
      <c r="C787" t="s">
        <v>920</v>
      </c>
      <c r="D787" t="s">
        <v>81</v>
      </c>
      <c r="E787">
        <v>1000000</v>
      </c>
      <c r="H787">
        <v>14.25</v>
      </c>
      <c r="I787" t="s">
        <v>56</v>
      </c>
      <c r="J787">
        <v>1.4250000000000001E-3</v>
      </c>
      <c r="K787" t="s">
        <v>57</v>
      </c>
      <c r="L787" t="s">
        <v>1021</v>
      </c>
      <c r="O787">
        <v>1</v>
      </c>
      <c r="P787" t="s">
        <v>59</v>
      </c>
      <c r="S787">
        <v>2</v>
      </c>
      <c r="T787">
        <v>22</v>
      </c>
      <c r="V787">
        <v>50</v>
      </c>
      <c r="W787" t="s">
        <v>469</v>
      </c>
      <c r="X787" t="s">
        <v>199</v>
      </c>
      <c r="Y787">
        <v>20</v>
      </c>
      <c r="AB787">
        <v>1.28</v>
      </c>
      <c r="AC787" t="s">
        <v>85</v>
      </c>
      <c r="AE787" t="s">
        <v>682</v>
      </c>
      <c r="AI787">
        <v>5</v>
      </c>
      <c r="AT787" t="s">
        <v>65</v>
      </c>
      <c r="AV787" t="s">
        <v>88</v>
      </c>
    </row>
    <row r="788" spans="1:53" x14ac:dyDescent="0.3">
      <c r="A788" t="s">
        <v>677</v>
      </c>
      <c r="C788" t="s">
        <v>920</v>
      </c>
      <c r="D788" t="s">
        <v>81</v>
      </c>
      <c r="E788">
        <v>1000000</v>
      </c>
      <c r="H788">
        <v>14.25</v>
      </c>
      <c r="I788" t="s">
        <v>56</v>
      </c>
      <c r="J788">
        <v>1.4250000000000001E-3</v>
      </c>
      <c r="K788" t="s">
        <v>57</v>
      </c>
      <c r="L788" t="s">
        <v>1021</v>
      </c>
      <c r="O788">
        <v>1</v>
      </c>
      <c r="P788" t="s">
        <v>59</v>
      </c>
      <c r="S788">
        <v>2</v>
      </c>
      <c r="T788">
        <v>22</v>
      </c>
      <c r="V788">
        <v>50</v>
      </c>
      <c r="W788" t="s">
        <v>469</v>
      </c>
      <c r="X788" t="s">
        <v>199</v>
      </c>
      <c r="Y788">
        <v>30</v>
      </c>
      <c r="AB788">
        <v>1.46</v>
      </c>
      <c r="AC788" t="s">
        <v>85</v>
      </c>
      <c r="AE788" t="s">
        <v>682</v>
      </c>
      <c r="AI788">
        <v>5</v>
      </c>
      <c r="AT788" t="s">
        <v>65</v>
      </c>
      <c r="AV788" t="s">
        <v>88</v>
      </c>
    </row>
    <row r="789" spans="1:53" x14ac:dyDescent="0.3">
      <c r="A789" t="s">
        <v>677</v>
      </c>
      <c r="C789" t="s">
        <v>920</v>
      </c>
      <c r="D789" t="s">
        <v>81</v>
      </c>
      <c r="E789">
        <v>1000000</v>
      </c>
      <c r="H789">
        <v>14.25</v>
      </c>
      <c r="I789" t="s">
        <v>56</v>
      </c>
      <c r="J789">
        <v>1.4250000000000001E-3</v>
      </c>
      <c r="K789" t="s">
        <v>57</v>
      </c>
      <c r="L789" t="s">
        <v>1021</v>
      </c>
      <c r="O789">
        <v>1</v>
      </c>
      <c r="P789" t="s">
        <v>59</v>
      </c>
      <c r="S789">
        <v>2</v>
      </c>
      <c r="T789">
        <v>22</v>
      </c>
      <c r="V789">
        <v>50</v>
      </c>
      <c r="W789" t="s">
        <v>683</v>
      </c>
      <c r="X789" t="s">
        <v>199</v>
      </c>
      <c r="Y789">
        <v>10</v>
      </c>
      <c r="AB789">
        <v>3.09</v>
      </c>
      <c r="AC789" t="s">
        <v>85</v>
      </c>
      <c r="AE789" t="s">
        <v>682</v>
      </c>
      <c r="AI789">
        <v>5</v>
      </c>
      <c r="AT789" t="s">
        <v>458</v>
      </c>
      <c r="AV789" t="s">
        <v>88</v>
      </c>
    </row>
    <row r="790" spans="1:53" x14ac:dyDescent="0.3">
      <c r="A790" t="s">
        <v>677</v>
      </c>
      <c r="C790" t="s">
        <v>920</v>
      </c>
      <c r="D790" t="s">
        <v>81</v>
      </c>
      <c r="E790">
        <v>1000000</v>
      </c>
      <c r="H790">
        <v>14.25</v>
      </c>
      <c r="I790" t="s">
        <v>56</v>
      </c>
      <c r="J790">
        <v>1.4250000000000001E-3</v>
      </c>
      <c r="K790" t="s">
        <v>57</v>
      </c>
      <c r="L790" t="s">
        <v>1021</v>
      </c>
      <c r="O790">
        <v>1</v>
      </c>
      <c r="P790" t="s">
        <v>59</v>
      </c>
      <c r="S790">
        <v>2</v>
      </c>
      <c r="T790">
        <v>22</v>
      </c>
      <c r="V790">
        <v>50</v>
      </c>
      <c r="W790" t="s">
        <v>683</v>
      </c>
      <c r="X790" t="s">
        <v>199</v>
      </c>
      <c r="Y790">
        <v>20</v>
      </c>
      <c r="AB790">
        <v>5.32</v>
      </c>
      <c r="AC790" t="s">
        <v>85</v>
      </c>
      <c r="AE790" t="s">
        <v>682</v>
      </c>
      <c r="AI790">
        <v>5</v>
      </c>
      <c r="AT790" t="s">
        <v>458</v>
      </c>
      <c r="AV790" t="s">
        <v>88</v>
      </c>
    </row>
    <row r="791" spans="1:53" x14ac:dyDescent="0.3">
      <c r="A791" t="s">
        <v>677</v>
      </c>
      <c r="C791" t="s">
        <v>920</v>
      </c>
      <c r="D791" t="s">
        <v>81</v>
      </c>
      <c r="E791">
        <v>1000000</v>
      </c>
      <c r="H791">
        <v>14.25</v>
      </c>
      <c r="I791" t="s">
        <v>56</v>
      </c>
      <c r="J791">
        <v>1.4250000000000001E-3</v>
      </c>
      <c r="K791" t="s">
        <v>57</v>
      </c>
      <c r="L791" t="s">
        <v>1021</v>
      </c>
      <c r="O791">
        <v>1</v>
      </c>
      <c r="P791" t="s">
        <v>59</v>
      </c>
      <c r="S791">
        <v>2</v>
      </c>
      <c r="T791">
        <v>22</v>
      </c>
      <c r="V791">
        <v>50</v>
      </c>
      <c r="W791" t="s">
        <v>683</v>
      </c>
      <c r="X791" t="s">
        <v>199</v>
      </c>
      <c r="Y791">
        <v>30</v>
      </c>
      <c r="AB791">
        <v>6.89</v>
      </c>
      <c r="AC791" t="s">
        <v>85</v>
      </c>
      <c r="AE791" t="s">
        <v>682</v>
      </c>
      <c r="AI791">
        <v>5</v>
      </c>
      <c r="AT791" t="s">
        <v>458</v>
      </c>
      <c r="AV791" t="s">
        <v>88</v>
      </c>
    </row>
    <row r="792" spans="1:53" x14ac:dyDescent="0.3">
      <c r="A792" t="s">
        <v>677</v>
      </c>
      <c r="C792" t="s">
        <v>920</v>
      </c>
      <c r="D792" t="s">
        <v>81</v>
      </c>
      <c r="E792">
        <v>1000000</v>
      </c>
      <c r="H792">
        <v>14.25</v>
      </c>
      <c r="I792" t="s">
        <v>56</v>
      </c>
      <c r="J792">
        <v>1.4250000000000001E-3</v>
      </c>
      <c r="K792" t="s">
        <v>57</v>
      </c>
      <c r="L792" t="s">
        <v>1021</v>
      </c>
      <c r="O792">
        <v>1</v>
      </c>
      <c r="P792" t="s">
        <v>59</v>
      </c>
      <c r="S792">
        <v>2</v>
      </c>
      <c r="T792">
        <v>22</v>
      </c>
      <c r="V792">
        <v>50</v>
      </c>
      <c r="W792" t="s">
        <v>711</v>
      </c>
      <c r="X792" t="s">
        <v>199</v>
      </c>
      <c r="Y792">
        <v>10</v>
      </c>
      <c r="AB792">
        <v>2.78</v>
      </c>
      <c r="AC792" t="s">
        <v>85</v>
      </c>
      <c r="AE792" t="s">
        <v>682</v>
      </c>
      <c r="AI792">
        <v>5</v>
      </c>
      <c r="AT792" t="s">
        <v>360</v>
      </c>
      <c r="AV792" t="s">
        <v>88</v>
      </c>
    </row>
    <row r="793" spans="1:53" x14ac:dyDescent="0.3">
      <c r="A793" t="s">
        <v>677</v>
      </c>
      <c r="C793" t="s">
        <v>920</v>
      </c>
      <c r="D793" t="s">
        <v>81</v>
      </c>
      <c r="E793">
        <v>1000000</v>
      </c>
      <c r="H793">
        <v>14.25</v>
      </c>
      <c r="I793" t="s">
        <v>56</v>
      </c>
      <c r="J793">
        <v>1.4250000000000001E-3</v>
      </c>
      <c r="K793" t="s">
        <v>57</v>
      </c>
      <c r="L793" t="s">
        <v>1021</v>
      </c>
      <c r="O793">
        <v>1</v>
      </c>
      <c r="P793" t="s">
        <v>59</v>
      </c>
      <c r="S793">
        <v>2</v>
      </c>
      <c r="T793">
        <v>22</v>
      </c>
      <c r="V793">
        <v>50</v>
      </c>
      <c r="W793" t="s">
        <v>711</v>
      </c>
      <c r="X793" t="s">
        <v>199</v>
      </c>
      <c r="Y793">
        <v>30</v>
      </c>
      <c r="AA793" t="s">
        <v>184</v>
      </c>
      <c r="AB793">
        <v>8.0500000000000007</v>
      </c>
      <c r="AC793" t="s">
        <v>85</v>
      </c>
      <c r="AE793" t="s">
        <v>678</v>
      </c>
      <c r="AI793">
        <v>5</v>
      </c>
      <c r="AT793" t="s">
        <v>360</v>
      </c>
      <c r="AV793" t="s">
        <v>88</v>
      </c>
      <c r="AZ793">
        <v>0</v>
      </c>
      <c r="BA793">
        <v>8.0500000000000007</v>
      </c>
    </row>
    <row r="794" spans="1:53" x14ac:dyDescent="0.3">
      <c r="A794" t="s">
        <v>677</v>
      </c>
      <c r="C794" t="s">
        <v>920</v>
      </c>
      <c r="D794" t="s">
        <v>81</v>
      </c>
      <c r="E794">
        <v>1000000</v>
      </c>
      <c r="H794">
        <v>14.25</v>
      </c>
      <c r="I794" t="s">
        <v>56</v>
      </c>
      <c r="J794">
        <v>1.4250000000000001E-3</v>
      </c>
      <c r="K794" t="s">
        <v>57</v>
      </c>
      <c r="L794" t="s">
        <v>1021</v>
      </c>
      <c r="O794">
        <v>1.925</v>
      </c>
      <c r="P794" t="s">
        <v>59</v>
      </c>
      <c r="S794">
        <v>2</v>
      </c>
      <c r="T794">
        <v>20</v>
      </c>
      <c r="V794">
        <v>50</v>
      </c>
      <c r="W794" t="s">
        <v>1022</v>
      </c>
      <c r="X794" t="s">
        <v>199</v>
      </c>
      <c r="Y794">
        <v>10</v>
      </c>
      <c r="AB794">
        <v>6.37</v>
      </c>
      <c r="AC794" t="s">
        <v>85</v>
      </c>
      <c r="AE794" t="s">
        <v>682</v>
      </c>
      <c r="AI794">
        <v>5</v>
      </c>
      <c r="AT794" t="s">
        <v>150</v>
      </c>
      <c r="AV794" t="s">
        <v>88</v>
      </c>
    </row>
    <row r="795" spans="1:53" x14ac:dyDescent="0.3">
      <c r="A795" t="s">
        <v>677</v>
      </c>
      <c r="C795" t="s">
        <v>920</v>
      </c>
      <c r="D795" t="s">
        <v>81</v>
      </c>
      <c r="E795">
        <v>1000000</v>
      </c>
      <c r="H795">
        <v>14.25</v>
      </c>
      <c r="I795" t="s">
        <v>56</v>
      </c>
      <c r="J795">
        <v>1.4250000000000001E-3</v>
      </c>
      <c r="K795" t="s">
        <v>57</v>
      </c>
      <c r="L795" t="s">
        <v>1021</v>
      </c>
      <c r="O795">
        <v>1.925</v>
      </c>
      <c r="P795" t="s">
        <v>59</v>
      </c>
      <c r="S795">
        <v>2</v>
      </c>
      <c r="T795">
        <v>20</v>
      </c>
      <c r="V795">
        <v>50</v>
      </c>
      <c r="W795" t="s">
        <v>1022</v>
      </c>
      <c r="X795" t="s">
        <v>199</v>
      </c>
      <c r="Y795">
        <v>30</v>
      </c>
      <c r="AB795">
        <v>7.81</v>
      </c>
      <c r="AC795" t="s">
        <v>85</v>
      </c>
      <c r="AE795" t="s">
        <v>682</v>
      </c>
      <c r="AI795">
        <v>5</v>
      </c>
      <c r="AT795" t="s">
        <v>150</v>
      </c>
      <c r="AV795" t="s">
        <v>88</v>
      </c>
    </row>
    <row r="796" spans="1:53" x14ac:dyDescent="0.3">
      <c r="A796" t="s">
        <v>677</v>
      </c>
      <c r="C796" t="s">
        <v>920</v>
      </c>
      <c r="D796" t="s">
        <v>81</v>
      </c>
      <c r="E796">
        <v>1000000</v>
      </c>
      <c r="H796">
        <v>14.25</v>
      </c>
      <c r="I796" t="s">
        <v>56</v>
      </c>
      <c r="J796">
        <v>1.4250000000000001E-3</v>
      </c>
      <c r="K796" t="s">
        <v>57</v>
      </c>
      <c r="L796" t="s">
        <v>1021</v>
      </c>
      <c r="O796">
        <v>1.925</v>
      </c>
      <c r="P796" t="s">
        <v>59</v>
      </c>
      <c r="S796">
        <v>2</v>
      </c>
      <c r="T796">
        <v>20</v>
      </c>
      <c r="V796">
        <v>50</v>
      </c>
      <c r="W796" t="s">
        <v>1022</v>
      </c>
      <c r="X796" t="s">
        <v>199</v>
      </c>
      <c r="Y796">
        <v>120</v>
      </c>
      <c r="AB796">
        <v>6.75</v>
      </c>
      <c r="AC796" t="s">
        <v>85</v>
      </c>
      <c r="AE796" t="s">
        <v>682</v>
      </c>
      <c r="AI796">
        <v>5</v>
      </c>
      <c r="AT796" t="s">
        <v>150</v>
      </c>
      <c r="AV796" t="s">
        <v>88</v>
      </c>
    </row>
    <row r="797" spans="1:53" x14ac:dyDescent="0.3">
      <c r="A797" t="s">
        <v>677</v>
      </c>
      <c r="C797" t="s">
        <v>920</v>
      </c>
      <c r="D797" t="s">
        <v>81</v>
      </c>
      <c r="E797">
        <v>1000000</v>
      </c>
      <c r="H797">
        <v>14.25</v>
      </c>
      <c r="I797" t="s">
        <v>56</v>
      </c>
      <c r="J797">
        <v>1.4250000000000001E-3</v>
      </c>
      <c r="K797" t="s">
        <v>57</v>
      </c>
      <c r="L797" t="s">
        <v>1021</v>
      </c>
      <c r="O797">
        <v>1.925</v>
      </c>
      <c r="P797" t="s">
        <v>59</v>
      </c>
      <c r="S797">
        <v>2</v>
      </c>
      <c r="T797">
        <v>20</v>
      </c>
      <c r="V797">
        <v>50</v>
      </c>
      <c r="W797" t="s">
        <v>1022</v>
      </c>
      <c r="X797" t="s">
        <v>199</v>
      </c>
      <c r="Y797">
        <v>10</v>
      </c>
      <c r="AB797">
        <v>7.76</v>
      </c>
      <c r="AC797" t="s">
        <v>85</v>
      </c>
      <c r="AE797" t="s">
        <v>682</v>
      </c>
      <c r="AI797">
        <v>5</v>
      </c>
      <c r="AT797" t="s">
        <v>150</v>
      </c>
      <c r="AV797" t="s">
        <v>88</v>
      </c>
    </row>
    <row r="798" spans="1:53" x14ac:dyDescent="0.3">
      <c r="A798" t="s">
        <v>677</v>
      </c>
      <c r="C798" t="s">
        <v>920</v>
      </c>
      <c r="D798" t="s">
        <v>81</v>
      </c>
      <c r="E798">
        <v>1000000</v>
      </c>
      <c r="H798">
        <v>14.25</v>
      </c>
      <c r="I798" t="s">
        <v>56</v>
      </c>
      <c r="J798">
        <v>1.4250000000000001E-3</v>
      </c>
      <c r="K798" t="s">
        <v>57</v>
      </c>
      <c r="L798" t="s">
        <v>1021</v>
      </c>
      <c r="O798">
        <v>1.925</v>
      </c>
      <c r="P798" t="s">
        <v>59</v>
      </c>
      <c r="S798">
        <v>2</v>
      </c>
      <c r="T798">
        <v>20</v>
      </c>
      <c r="V798">
        <v>50</v>
      </c>
      <c r="W798" t="s">
        <v>1022</v>
      </c>
      <c r="X798" t="s">
        <v>199</v>
      </c>
      <c r="Y798">
        <v>30</v>
      </c>
      <c r="AB798">
        <v>6.98</v>
      </c>
      <c r="AC798" t="s">
        <v>85</v>
      </c>
      <c r="AE798" t="s">
        <v>682</v>
      </c>
      <c r="AI798">
        <v>5</v>
      </c>
      <c r="AT798" t="s">
        <v>150</v>
      </c>
      <c r="AV798" t="s">
        <v>88</v>
      </c>
    </row>
    <row r="799" spans="1:53" x14ac:dyDescent="0.3">
      <c r="A799" t="s">
        <v>677</v>
      </c>
      <c r="C799" t="s">
        <v>920</v>
      </c>
      <c r="D799" t="s">
        <v>81</v>
      </c>
      <c r="E799">
        <v>1000000</v>
      </c>
      <c r="H799">
        <v>14.25</v>
      </c>
      <c r="I799" t="s">
        <v>56</v>
      </c>
      <c r="J799">
        <v>1.4250000000000001E-3</v>
      </c>
      <c r="K799" t="s">
        <v>57</v>
      </c>
      <c r="L799" t="s">
        <v>1021</v>
      </c>
      <c r="O799">
        <v>1.925</v>
      </c>
      <c r="P799" t="s">
        <v>59</v>
      </c>
      <c r="S799">
        <v>2</v>
      </c>
      <c r="T799">
        <v>20</v>
      </c>
      <c r="V799">
        <v>50</v>
      </c>
      <c r="W799" t="s">
        <v>1022</v>
      </c>
      <c r="X799" t="s">
        <v>199</v>
      </c>
      <c r="Y799">
        <v>120</v>
      </c>
      <c r="AB799">
        <v>5.78</v>
      </c>
      <c r="AC799" t="s">
        <v>85</v>
      </c>
      <c r="AE799" t="s">
        <v>682</v>
      </c>
      <c r="AI799">
        <v>5</v>
      </c>
      <c r="AT799" t="s">
        <v>150</v>
      </c>
      <c r="AV799" t="s">
        <v>88</v>
      </c>
    </row>
    <row r="800" spans="1:53" x14ac:dyDescent="0.3">
      <c r="A800" t="s">
        <v>677</v>
      </c>
      <c r="C800" t="s">
        <v>920</v>
      </c>
      <c r="D800" t="s">
        <v>81</v>
      </c>
      <c r="E800">
        <v>1000000</v>
      </c>
      <c r="H800">
        <v>14.25</v>
      </c>
      <c r="I800" t="s">
        <v>56</v>
      </c>
      <c r="J800">
        <v>1.4250000000000001E-3</v>
      </c>
      <c r="K800" t="s">
        <v>57</v>
      </c>
      <c r="L800" t="s">
        <v>1021</v>
      </c>
      <c r="O800">
        <v>1.925</v>
      </c>
      <c r="P800" t="s">
        <v>59</v>
      </c>
      <c r="S800">
        <v>2</v>
      </c>
      <c r="T800">
        <v>20</v>
      </c>
      <c r="V800">
        <v>50</v>
      </c>
      <c r="W800" t="s">
        <v>358</v>
      </c>
      <c r="X800" t="s">
        <v>199</v>
      </c>
      <c r="Y800">
        <v>10</v>
      </c>
      <c r="AB800">
        <v>2.93</v>
      </c>
      <c r="AC800" t="s">
        <v>85</v>
      </c>
      <c r="AE800" t="s">
        <v>682</v>
      </c>
      <c r="AI800">
        <v>5</v>
      </c>
      <c r="AT800" t="s">
        <v>358</v>
      </c>
      <c r="AV800" t="s">
        <v>88</v>
      </c>
    </row>
    <row r="801" spans="1:53" x14ac:dyDescent="0.3">
      <c r="A801" t="s">
        <v>677</v>
      </c>
      <c r="C801" t="s">
        <v>920</v>
      </c>
      <c r="D801" t="s">
        <v>81</v>
      </c>
      <c r="E801">
        <v>1000000</v>
      </c>
      <c r="H801">
        <v>14.25</v>
      </c>
      <c r="I801" t="s">
        <v>56</v>
      </c>
      <c r="J801">
        <v>1.4250000000000001E-3</v>
      </c>
      <c r="K801" t="s">
        <v>57</v>
      </c>
      <c r="L801" t="s">
        <v>1021</v>
      </c>
      <c r="O801">
        <v>1.925</v>
      </c>
      <c r="P801" t="s">
        <v>59</v>
      </c>
      <c r="S801">
        <v>2</v>
      </c>
      <c r="T801">
        <v>20</v>
      </c>
      <c r="V801">
        <v>50</v>
      </c>
      <c r="W801" t="s">
        <v>358</v>
      </c>
      <c r="X801" t="s">
        <v>199</v>
      </c>
      <c r="Y801">
        <v>30</v>
      </c>
      <c r="AB801">
        <v>5.55</v>
      </c>
      <c r="AC801" t="s">
        <v>85</v>
      </c>
      <c r="AE801" t="s">
        <v>682</v>
      </c>
      <c r="AI801">
        <v>5</v>
      </c>
      <c r="AT801" t="s">
        <v>358</v>
      </c>
      <c r="AV801" t="s">
        <v>88</v>
      </c>
    </row>
    <row r="802" spans="1:53" x14ac:dyDescent="0.3">
      <c r="A802" t="s">
        <v>677</v>
      </c>
      <c r="C802" t="s">
        <v>920</v>
      </c>
      <c r="D802" t="s">
        <v>81</v>
      </c>
      <c r="E802">
        <v>1000000</v>
      </c>
      <c r="H802">
        <v>14.25</v>
      </c>
      <c r="I802" t="s">
        <v>56</v>
      </c>
      <c r="J802">
        <v>1.4250000000000001E-3</v>
      </c>
      <c r="K802" t="s">
        <v>57</v>
      </c>
      <c r="L802" t="s">
        <v>1021</v>
      </c>
      <c r="O802">
        <v>1.925</v>
      </c>
      <c r="P802" t="s">
        <v>59</v>
      </c>
      <c r="S802">
        <v>2</v>
      </c>
      <c r="T802">
        <v>20</v>
      </c>
      <c r="V802">
        <v>50</v>
      </c>
      <c r="W802" t="s">
        <v>358</v>
      </c>
      <c r="X802" t="s">
        <v>199</v>
      </c>
      <c r="Y802">
        <v>120</v>
      </c>
      <c r="AB802">
        <v>4.62</v>
      </c>
      <c r="AC802" t="s">
        <v>85</v>
      </c>
      <c r="AE802" t="s">
        <v>682</v>
      </c>
      <c r="AI802">
        <v>5</v>
      </c>
      <c r="AT802" t="s">
        <v>358</v>
      </c>
      <c r="AV802" t="s">
        <v>88</v>
      </c>
    </row>
    <row r="803" spans="1:53" x14ac:dyDescent="0.3">
      <c r="A803" t="s">
        <v>677</v>
      </c>
      <c r="C803" t="s">
        <v>920</v>
      </c>
      <c r="D803" t="s">
        <v>81</v>
      </c>
      <c r="E803">
        <v>1000000</v>
      </c>
      <c r="H803">
        <v>14.25</v>
      </c>
      <c r="I803" t="s">
        <v>56</v>
      </c>
      <c r="J803">
        <v>1.4250000000000001E-3</v>
      </c>
      <c r="K803" t="s">
        <v>57</v>
      </c>
      <c r="L803" t="s">
        <v>1021</v>
      </c>
      <c r="O803">
        <v>1.925</v>
      </c>
      <c r="P803" t="s">
        <v>59</v>
      </c>
      <c r="S803">
        <v>2</v>
      </c>
      <c r="T803">
        <v>20</v>
      </c>
      <c r="V803">
        <v>50</v>
      </c>
      <c r="W803" t="s">
        <v>714</v>
      </c>
      <c r="X803" t="s">
        <v>199</v>
      </c>
      <c r="Y803">
        <v>10</v>
      </c>
      <c r="AB803">
        <v>3.72</v>
      </c>
      <c r="AC803" t="s">
        <v>85</v>
      </c>
      <c r="AE803" t="s">
        <v>682</v>
      </c>
      <c r="AI803">
        <v>5</v>
      </c>
      <c r="AT803" t="s">
        <v>73</v>
      </c>
      <c r="AV803" t="s">
        <v>88</v>
      </c>
    </row>
    <row r="804" spans="1:53" x14ac:dyDescent="0.3">
      <c r="A804" t="s">
        <v>677</v>
      </c>
      <c r="C804" t="s">
        <v>920</v>
      </c>
      <c r="D804" t="s">
        <v>81</v>
      </c>
      <c r="E804">
        <v>1000000</v>
      </c>
      <c r="H804">
        <v>14.25</v>
      </c>
      <c r="I804" t="s">
        <v>56</v>
      </c>
      <c r="J804">
        <v>1.4250000000000001E-3</v>
      </c>
      <c r="K804" t="s">
        <v>57</v>
      </c>
      <c r="L804" t="s">
        <v>1021</v>
      </c>
      <c r="O804">
        <v>1.925</v>
      </c>
      <c r="P804" t="s">
        <v>59</v>
      </c>
      <c r="S804">
        <v>2</v>
      </c>
      <c r="T804">
        <v>20</v>
      </c>
      <c r="V804">
        <v>50</v>
      </c>
      <c r="W804" t="s">
        <v>714</v>
      </c>
      <c r="X804" t="s">
        <v>199</v>
      </c>
      <c r="Y804">
        <v>30</v>
      </c>
      <c r="AB804">
        <v>6.5</v>
      </c>
      <c r="AC804" t="s">
        <v>85</v>
      </c>
      <c r="AE804" t="s">
        <v>682</v>
      </c>
      <c r="AI804">
        <v>5</v>
      </c>
      <c r="AT804" t="s">
        <v>73</v>
      </c>
      <c r="AV804" t="s">
        <v>88</v>
      </c>
    </row>
    <row r="805" spans="1:53" x14ac:dyDescent="0.3">
      <c r="A805" t="s">
        <v>677</v>
      </c>
      <c r="C805" t="s">
        <v>920</v>
      </c>
      <c r="D805" t="s">
        <v>81</v>
      </c>
      <c r="E805">
        <v>1000000</v>
      </c>
      <c r="H805">
        <v>14.25</v>
      </c>
      <c r="I805" t="s">
        <v>56</v>
      </c>
      <c r="J805">
        <v>1.4250000000000001E-3</v>
      </c>
      <c r="K805" t="s">
        <v>57</v>
      </c>
      <c r="L805" t="s">
        <v>1021</v>
      </c>
      <c r="O805">
        <v>1.925</v>
      </c>
      <c r="P805" t="s">
        <v>59</v>
      </c>
      <c r="S805">
        <v>2</v>
      </c>
      <c r="T805">
        <v>20</v>
      </c>
      <c r="V805">
        <v>50</v>
      </c>
      <c r="W805" t="s">
        <v>714</v>
      </c>
      <c r="X805" t="s">
        <v>199</v>
      </c>
      <c r="Y805">
        <v>120</v>
      </c>
      <c r="AB805">
        <v>7.63</v>
      </c>
      <c r="AC805" t="s">
        <v>85</v>
      </c>
      <c r="AE805" t="s">
        <v>682</v>
      </c>
      <c r="AI805">
        <v>5</v>
      </c>
      <c r="AT805" t="s">
        <v>73</v>
      </c>
      <c r="AV805" t="s">
        <v>88</v>
      </c>
    </row>
    <row r="806" spans="1:53" x14ac:dyDescent="0.3">
      <c r="A806" t="s">
        <v>677</v>
      </c>
      <c r="C806" t="s">
        <v>920</v>
      </c>
      <c r="D806" t="s">
        <v>81</v>
      </c>
      <c r="E806">
        <v>1000000</v>
      </c>
      <c r="H806">
        <v>14.25</v>
      </c>
      <c r="I806" t="s">
        <v>56</v>
      </c>
      <c r="J806">
        <v>1.4250000000000001E-3</v>
      </c>
      <c r="K806" t="s">
        <v>57</v>
      </c>
      <c r="L806" t="s">
        <v>1021</v>
      </c>
      <c r="O806">
        <v>1.925</v>
      </c>
      <c r="P806" t="s">
        <v>59</v>
      </c>
      <c r="S806">
        <v>2</v>
      </c>
      <c r="T806">
        <v>20</v>
      </c>
      <c r="V806">
        <v>50</v>
      </c>
      <c r="W806" t="s">
        <v>469</v>
      </c>
      <c r="X806" t="s">
        <v>199</v>
      </c>
      <c r="Y806">
        <v>10</v>
      </c>
      <c r="AB806">
        <v>5.17</v>
      </c>
      <c r="AC806" t="s">
        <v>85</v>
      </c>
      <c r="AE806" t="s">
        <v>682</v>
      </c>
      <c r="AI806">
        <v>5</v>
      </c>
      <c r="AT806" t="s">
        <v>65</v>
      </c>
      <c r="AV806" t="s">
        <v>88</v>
      </c>
    </row>
    <row r="807" spans="1:53" x14ac:dyDescent="0.3">
      <c r="A807" t="s">
        <v>677</v>
      </c>
      <c r="C807" t="s">
        <v>920</v>
      </c>
      <c r="D807" t="s">
        <v>81</v>
      </c>
      <c r="E807">
        <v>1000000</v>
      </c>
      <c r="H807">
        <v>14.25</v>
      </c>
      <c r="I807" t="s">
        <v>56</v>
      </c>
      <c r="J807">
        <v>1.4250000000000001E-3</v>
      </c>
      <c r="K807" t="s">
        <v>57</v>
      </c>
      <c r="L807" t="s">
        <v>1021</v>
      </c>
      <c r="O807">
        <v>1.925</v>
      </c>
      <c r="P807" t="s">
        <v>59</v>
      </c>
      <c r="S807">
        <v>2</v>
      </c>
      <c r="T807">
        <v>20</v>
      </c>
      <c r="V807">
        <v>50</v>
      </c>
      <c r="W807" t="s">
        <v>469</v>
      </c>
      <c r="X807" t="s">
        <v>199</v>
      </c>
      <c r="Y807">
        <v>30</v>
      </c>
      <c r="AA807" t="s">
        <v>184</v>
      </c>
      <c r="AB807">
        <v>7.52</v>
      </c>
      <c r="AC807" t="s">
        <v>85</v>
      </c>
      <c r="AE807" t="s">
        <v>678</v>
      </c>
      <c r="AI807">
        <v>5</v>
      </c>
      <c r="AT807" t="s">
        <v>65</v>
      </c>
      <c r="AV807" t="s">
        <v>88</v>
      </c>
      <c r="AZ807">
        <v>0</v>
      </c>
      <c r="BA807">
        <v>7.52</v>
      </c>
    </row>
    <row r="808" spans="1:53" x14ac:dyDescent="0.3">
      <c r="A808" t="s">
        <v>677</v>
      </c>
      <c r="C808" t="s">
        <v>920</v>
      </c>
      <c r="D808" t="s">
        <v>81</v>
      </c>
      <c r="E808">
        <v>5000000</v>
      </c>
      <c r="H808">
        <v>14.25</v>
      </c>
      <c r="I808" t="s">
        <v>56</v>
      </c>
      <c r="J808">
        <v>1.4250000000000001E-3</v>
      </c>
      <c r="K808" t="s">
        <v>57</v>
      </c>
      <c r="L808" t="s">
        <v>1021</v>
      </c>
      <c r="O808">
        <v>1.925</v>
      </c>
      <c r="P808" t="s">
        <v>59</v>
      </c>
      <c r="S808">
        <v>2</v>
      </c>
      <c r="T808">
        <v>20</v>
      </c>
      <c r="V808">
        <v>50</v>
      </c>
      <c r="W808" t="s">
        <v>469</v>
      </c>
      <c r="X808" t="s">
        <v>199</v>
      </c>
      <c r="Y808">
        <v>120</v>
      </c>
      <c r="AA808" t="s">
        <v>184</v>
      </c>
      <c r="AB808">
        <v>7.52</v>
      </c>
      <c r="AC808" t="s">
        <v>85</v>
      </c>
      <c r="AE808" t="s">
        <v>678</v>
      </c>
      <c r="AI808">
        <v>5</v>
      </c>
      <c r="AT808" t="s">
        <v>65</v>
      </c>
      <c r="AV808" t="s">
        <v>88</v>
      </c>
      <c r="AZ808">
        <v>0</v>
      </c>
      <c r="BA808">
        <v>7.52</v>
      </c>
    </row>
    <row r="809" spans="1:53" x14ac:dyDescent="0.3">
      <c r="A809" t="s">
        <v>677</v>
      </c>
      <c r="C809" t="s">
        <v>920</v>
      </c>
      <c r="D809" t="s">
        <v>81</v>
      </c>
      <c r="E809">
        <v>5000000</v>
      </c>
      <c r="H809">
        <v>14.25</v>
      </c>
      <c r="I809" t="s">
        <v>56</v>
      </c>
      <c r="J809">
        <v>1.4250000000000001E-3</v>
      </c>
      <c r="K809" t="s">
        <v>57</v>
      </c>
      <c r="L809" t="s">
        <v>1021</v>
      </c>
      <c r="O809">
        <v>1.925</v>
      </c>
      <c r="P809" t="s">
        <v>59</v>
      </c>
      <c r="S809">
        <v>2</v>
      </c>
      <c r="T809">
        <v>20</v>
      </c>
      <c r="V809">
        <v>50</v>
      </c>
      <c r="W809" t="s">
        <v>683</v>
      </c>
      <c r="X809" t="s">
        <v>199</v>
      </c>
      <c r="Y809">
        <v>10</v>
      </c>
      <c r="AB809">
        <v>5.98</v>
      </c>
      <c r="AC809" t="s">
        <v>85</v>
      </c>
      <c r="AE809" t="s">
        <v>682</v>
      </c>
      <c r="AI809">
        <v>5</v>
      </c>
      <c r="AT809" t="s">
        <v>458</v>
      </c>
      <c r="AV809" t="s">
        <v>88</v>
      </c>
    </row>
    <row r="810" spans="1:53" x14ac:dyDescent="0.3">
      <c r="A810" t="s">
        <v>677</v>
      </c>
      <c r="C810" t="s">
        <v>920</v>
      </c>
      <c r="D810" t="s">
        <v>81</v>
      </c>
      <c r="E810">
        <v>5000000</v>
      </c>
      <c r="H810">
        <v>14.25</v>
      </c>
      <c r="I810" t="s">
        <v>56</v>
      </c>
      <c r="J810">
        <v>1.4250000000000001E-3</v>
      </c>
      <c r="K810" t="s">
        <v>57</v>
      </c>
      <c r="L810" t="s">
        <v>1021</v>
      </c>
      <c r="O810">
        <v>1.925</v>
      </c>
      <c r="P810" t="s">
        <v>59</v>
      </c>
      <c r="S810">
        <v>2</v>
      </c>
      <c r="T810">
        <v>20</v>
      </c>
      <c r="V810">
        <v>50</v>
      </c>
      <c r="W810" t="s">
        <v>683</v>
      </c>
      <c r="X810" t="s">
        <v>199</v>
      </c>
      <c r="Y810">
        <v>30</v>
      </c>
      <c r="AA810" t="s">
        <v>184</v>
      </c>
      <c r="AB810">
        <v>8.08</v>
      </c>
      <c r="AC810" t="s">
        <v>85</v>
      </c>
      <c r="AE810" t="s">
        <v>678</v>
      </c>
      <c r="AI810">
        <v>5</v>
      </c>
      <c r="AT810" t="s">
        <v>458</v>
      </c>
      <c r="AV810" t="s">
        <v>88</v>
      </c>
      <c r="AZ810">
        <v>0</v>
      </c>
      <c r="BA810">
        <v>8.08</v>
      </c>
    </row>
    <row r="811" spans="1:53" x14ac:dyDescent="0.3">
      <c r="A811" t="s">
        <v>677</v>
      </c>
      <c r="C811" t="s">
        <v>920</v>
      </c>
      <c r="D811" t="s">
        <v>81</v>
      </c>
      <c r="E811">
        <v>5000000</v>
      </c>
      <c r="H811">
        <v>14.25</v>
      </c>
      <c r="I811" t="s">
        <v>56</v>
      </c>
      <c r="J811">
        <v>1.4250000000000001E-3</v>
      </c>
      <c r="K811" t="s">
        <v>57</v>
      </c>
      <c r="L811" t="s">
        <v>1021</v>
      </c>
      <c r="O811">
        <v>1.925</v>
      </c>
      <c r="P811" t="s">
        <v>59</v>
      </c>
      <c r="S811">
        <v>2</v>
      </c>
      <c r="T811">
        <v>20</v>
      </c>
      <c r="V811">
        <v>50</v>
      </c>
      <c r="W811" t="s">
        <v>683</v>
      </c>
      <c r="X811" t="s">
        <v>199</v>
      </c>
      <c r="Y811">
        <v>120</v>
      </c>
      <c r="AA811" t="s">
        <v>184</v>
      </c>
      <c r="AB811">
        <v>8.08</v>
      </c>
      <c r="AC811" t="s">
        <v>85</v>
      </c>
      <c r="AE811" t="s">
        <v>678</v>
      </c>
      <c r="AI811">
        <v>5</v>
      </c>
      <c r="AT811" t="s">
        <v>458</v>
      </c>
      <c r="AV811" t="s">
        <v>88</v>
      </c>
      <c r="AZ811">
        <v>0</v>
      </c>
      <c r="BA811">
        <v>8.08</v>
      </c>
    </row>
    <row r="812" spans="1:53" x14ac:dyDescent="0.3">
      <c r="A812" t="s">
        <v>677</v>
      </c>
      <c r="C812" t="s">
        <v>920</v>
      </c>
      <c r="D812" t="s">
        <v>81</v>
      </c>
      <c r="E812">
        <v>5000000</v>
      </c>
      <c r="H812">
        <v>14.25</v>
      </c>
      <c r="I812" t="s">
        <v>56</v>
      </c>
      <c r="J812">
        <v>1.4250000000000001E-3</v>
      </c>
      <c r="K812" t="s">
        <v>57</v>
      </c>
      <c r="L812" t="s">
        <v>1021</v>
      </c>
      <c r="O812">
        <v>1.925</v>
      </c>
      <c r="P812" t="s">
        <v>59</v>
      </c>
      <c r="S812">
        <v>2</v>
      </c>
      <c r="T812">
        <v>20</v>
      </c>
      <c r="V812">
        <v>50</v>
      </c>
      <c r="W812" t="s">
        <v>359</v>
      </c>
      <c r="X812" t="s">
        <v>199</v>
      </c>
      <c r="Y812">
        <v>10</v>
      </c>
      <c r="AB812">
        <v>5.15</v>
      </c>
      <c r="AC812" t="s">
        <v>85</v>
      </c>
      <c r="AE812" t="s">
        <v>682</v>
      </c>
      <c r="AI812">
        <v>5</v>
      </c>
      <c r="AT812" t="s">
        <v>360</v>
      </c>
      <c r="AV812" t="s">
        <v>88</v>
      </c>
    </row>
    <row r="813" spans="1:53" x14ac:dyDescent="0.3">
      <c r="A813" t="s">
        <v>677</v>
      </c>
      <c r="C813" t="s">
        <v>920</v>
      </c>
      <c r="D813" t="s">
        <v>81</v>
      </c>
      <c r="E813">
        <v>5000000</v>
      </c>
      <c r="H813">
        <v>14.25</v>
      </c>
      <c r="I813" t="s">
        <v>56</v>
      </c>
      <c r="J813">
        <v>1.4250000000000001E-3</v>
      </c>
      <c r="K813" t="s">
        <v>57</v>
      </c>
      <c r="L813" t="s">
        <v>1021</v>
      </c>
      <c r="O813">
        <v>1.925</v>
      </c>
      <c r="P813" t="s">
        <v>59</v>
      </c>
      <c r="S813">
        <v>2</v>
      </c>
      <c r="T813">
        <v>20</v>
      </c>
      <c r="V813">
        <v>50</v>
      </c>
      <c r="W813" t="s">
        <v>359</v>
      </c>
      <c r="X813" t="s">
        <v>199</v>
      </c>
      <c r="Y813">
        <v>30</v>
      </c>
      <c r="AB813">
        <v>6.28</v>
      </c>
      <c r="AC813" t="s">
        <v>85</v>
      </c>
      <c r="AE813" t="s">
        <v>682</v>
      </c>
      <c r="AI813">
        <v>5</v>
      </c>
      <c r="AT813" t="s">
        <v>360</v>
      </c>
      <c r="AV813" t="s">
        <v>88</v>
      </c>
    </row>
    <row r="814" spans="1:53" x14ac:dyDescent="0.3">
      <c r="A814" t="s">
        <v>677</v>
      </c>
      <c r="C814" t="s">
        <v>920</v>
      </c>
      <c r="D814" t="s">
        <v>81</v>
      </c>
      <c r="E814">
        <v>5000000</v>
      </c>
      <c r="H814">
        <v>14.25</v>
      </c>
      <c r="I814" t="s">
        <v>56</v>
      </c>
      <c r="J814">
        <v>1.4250000000000001E-3</v>
      </c>
      <c r="K814" t="s">
        <v>57</v>
      </c>
      <c r="L814" t="s">
        <v>1021</v>
      </c>
      <c r="O814">
        <v>1.925</v>
      </c>
      <c r="P814" t="s">
        <v>59</v>
      </c>
      <c r="S814">
        <v>2</v>
      </c>
      <c r="T814">
        <v>20</v>
      </c>
      <c r="V814">
        <v>50</v>
      </c>
      <c r="W814" t="s">
        <v>359</v>
      </c>
      <c r="X814" t="s">
        <v>199</v>
      </c>
      <c r="Y814">
        <v>120</v>
      </c>
      <c r="AB814">
        <v>5.59</v>
      </c>
      <c r="AC814" t="s">
        <v>85</v>
      </c>
      <c r="AE814" t="s">
        <v>682</v>
      </c>
      <c r="AI814">
        <v>5</v>
      </c>
      <c r="AT814" t="s">
        <v>360</v>
      </c>
      <c r="AV814" t="s">
        <v>88</v>
      </c>
    </row>
    <row r="815" spans="1:53" x14ac:dyDescent="0.3">
      <c r="A815" t="s">
        <v>1049</v>
      </c>
      <c r="C815" t="s">
        <v>920</v>
      </c>
      <c r="D815" t="s">
        <v>81</v>
      </c>
      <c r="E815">
        <v>5000000</v>
      </c>
      <c r="H815">
        <v>79</v>
      </c>
      <c r="I815" t="s">
        <v>446</v>
      </c>
      <c r="J815">
        <v>7.8999999999999996E-5</v>
      </c>
      <c r="K815" t="s">
        <v>57</v>
      </c>
      <c r="O815">
        <v>1000</v>
      </c>
      <c r="P815" t="s">
        <v>277</v>
      </c>
      <c r="T815">
        <v>25</v>
      </c>
      <c r="V815">
        <v>50</v>
      </c>
      <c r="W815" t="s">
        <v>1050</v>
      </c>
      <c r="X815" t="s">
        <v>199</v>
      </c>
      <c r="Y815">
        <v>15</v>
      </c>
      <c r="AA815" t="s">
        <v>94</v>
      </c>
      <c r="AB815">
        <v>1</v>
      </c>
      <c r="AC815" t="s">
        <v>297</v>
      </c>
      <c r="AJ815" t="s">
        <v>201</v>
      </c>
      <c r="AV815" t="s">
        <v>448</v>
      </c>
      <c r="AZ815">
        <v>1</v>
      </c>
    </row>
    <row r="816" spans="1:53" x14ac:dyDescent="0.3">
      <c r="A816" t="s">
        <v>1049</v>
      </c>
      <c r="C816" t="s">
        <v>920</v>
      </c>
      <c r="D816" t="s">
        <v>81</v>
      </c>
      <c r="E816">
        <v>5000000</v>
      </c>
      <c r="H816">
        <v>79</v>
      </c>
      <c r="I816" t="s">
        <v>446</v>
      </c>
      <c r="J816">
        <v>7.8999999999999996E-5</v>
      </c>
      <c r="K816" t="s">
        <v>57</v>
      </c>
      <c r="O816">
        <v>2500</v>
      </c>
      <c r="P816" t="s">
        <v>277</v>
      </c>
      <c r="T816">
        <v>25</v>
      </c>
      <c r="V816">
        <v>50</v>
      </c>
      <c r="W816" t="s">
        <v>1050</v>
      </c>
      <c r="X816" t="s">
        <v>199</v>
      </c>
      <c r="Y816">
        <v>15</v>
      </c>
      <c r="AA816" t="s">
        <v>94</v>
      </c>
      <c r="AB816">
        <v>1</v>
      </c>
      <c r="AC816" t="s">
        <v>297</v>
      </c>
      <c r="AJ816" t="s">
        <v>201</v>
      </c>
      <c r="AV816" t="s">
        <v>448</v>
      </c>
      <c r="AZ816">
        <v>1</v>
      </c>
    </row>
    <row r="817" spans="1:52" x14ac:dyDescent="0.3">
      <c r="A817" t="s">
        <v>1049</v>
      </c>
      <c r="C817" t="s">
        <v>920</v>
      </c>
      <c r="D817" t="s">
        <v>81</v>
      </c>
      <c r="E817">
        <v>5000000</v>
      </c>
      <c r="H817">
        <v>79</v>
      </c>
      <c r="I817" t="s">
        <v>446</v>
      </c>
      <c r="J817">
        <v>7.8999999999999996E-5</v>
      </c>
      <c r="K817" t="s">
        <v>57</v>
      </c>
      <c r="O817">
        <v>5000</v>
      </c>
      <c r="P817" t="s">
        <v>277</v>
      </c>
      <c r="T817">
        <v>25</v>
      </c>
      <c r="V817">
        <v>50</v>
      </c>
      <c r="W817" t="s">
        <v>1050</v>
      </c>
      <c r="X817" t="s">
        <v>199</v>
      </c>
      <c r="Y817">
        <v>15</v>
      </c>
      <c r="AB817">
        <v>0</v>
      </c>
      <c r="AC817" t="s">
        <v>297</v>
      </c>
      <c r="AJ817" t="s">
        <v>201</v>
      </c>
      <c r="AV817" t="s">
        <v>448</v>
      </c>
      <c r="AZ817">
        <v>0</v>
      </c>
    </row>
    <row r="818" spans="1:52" x14ac:dyDescent="0.3">
      <c r="A818" t="s">
        <v>1049</v>
      </c>
      <c r="C818" t="s">
        <v>920</v>
      </c>
      <c r="D818" t="s">
        <v>81</v>
      </c>
      <c r="E818">
        <v>5000000</v>
      </c>
      <c r="H818">
        <v>79</v>
      </c>
      <c r="I818" t="s">
        <v>446</v>
      </c>
      <c r="J818">
        <v>7.8999999999999996E-5</v>
      </c>
      <c r="K818" t="s">
        <v>57</v>
      </c>
      <c r="O818">
        <v>1000</v>
      </c>
      <c r="P818" t="s">
        <v>277</v>
      </c>
      <c r="T818">
        <v>25</v>
      </c>
      <c r="V818">
        <v>50</v>
      </c>
      <c r="W818" t="s">
        <v>1050</v>
      </c>
      <c r="X818" t="s">
        <v>199</v>
      </c>
      <c r="Y818">
        <v>15</v>
      </c>
      <c r="AB818">
        <v>0</v>
      </c>
      <c r="AC818" t="s">
        <v>297</v>
      </c>
      <c r="AJ818" t="s">
        <v>201</v>
      </c>
      <c r="AV818" t="s">
        <v>448</v>
      </c>
      <c r="AZ818">
        <v>0</v>
      </c>
    </row>
    <row r="819" spans="1:52" x14ac:dyDescent="0.3">
      <c r="A819" t="s">
        <v>1049</v>
      </c>
      <c r="C819" t="s">
        <v>920</v>
      </c>
      <c r="D819" t="s">
        <v>81</v>
      </c>
      <c r="E819">
        <v>5000000</v>
      </c>
      <c r="H819">
        <v>79</v>
      </c>
      <c r="I819" t="s">
        <v>446</v>
      </c>
      <c r="J819">
        <v>7.8999999999999996E-5</v>
      </c>
      <c r="K819" t="s">
        <v>57</v>
      </c>
      <c r="O819">
        <v>2500</v>
      </c>
      <c r="P819" t="s">
        <v>277</v>
      </c>
      <c r="T819">
        <v>25</v>
      </c>
      <c r="V819">
        <v>50</v>
      </c>
      <c r="W819" t="s">
        <v>1050</v>
      </c>
      <c r="X819" t="s">
        <v>199</v>
      </c>
      <c r="Y819">
        <v>15</v>
      </c>
      <c r="AB819">
        <v>0</v>
      </c>
      <c r="AC819" t="s">
        <v>297</v>
      </c>
      <c r="AJ819" t="s">
        <v>201</v>
      </c>
      <c r="AV819" t="s">
        <v>448</v>
      </c>
      <c r="AZ819">
        <v>0</v>
      </c>
    </row>
    <row r="820" spans="1:52" x14ac:dyDescent="0.3">
      <c r="A820" t="s">
        <v>1049</v>
      </c>
      <c r="C820" t="s">
        <v>920</v>
      </c>
      <c r="D820" t="s">
        <v>81</v>
      </c>
      <c r="E820">
        <v>5000000</v>
      </c>
      <c r="H820">
        <v>79</v>
      </c>
      <c r="I820" t="s">
        <v>446</v>
      </c>
      <c r="J820">
        <v>7.8999999999999996E-5</v>
      </c>
      <c r="K820" t="s">
        <v>57</v>
      </c>
      <c r="O820">
        <v>5000</v>
      </c>
      <c r="P820" t="s">
        <v>277</v>
      </c>
      <c r="T820">
        <v>25</v>
      </c>
      <c r="V820">
        <v>50</v>
      </c>
      <c r="W820" t="s">
        <v>1050</v>
      </c>
      <c r="X820" t="s">
        <v>199</v>
      </c>
      <c r="Y820">
        <v>15</v>
      </c>
      <c r="AB820">
        <v>0</v>
      </c>
      <c r="AC820" t="s">
        <v>297</v>
      </c>
      <c r="AJ820" t="s">
        <v>201</v>
      </c>
      <c r="AV820" t="s">
        <v>448</v>
      </c>
      <c r="AZ820">
        <v>0</v>
      </c>
    </row>
  </sheetData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9"/>
  <sheetViews>
    <sheetView workbookViewId="0">
      <selection activeCell="C19" sqref="C19:F19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12.6640625" bestFit="1" customWidth="1"/>
    <col min="4" max="4" width="10" bestFit="1" customWidth="1"/>
    <col min="5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COUNTA(LiquidImmersionMaster[Ref])</f>
        <v>819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COUNTA(LiquidImmersionMaster[GrimeDirt])</f>
        <v>121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COUNTA(LiquidImmersionMaster[Rinsate])</f>
        <v>193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ImmersionMaster[ConvertedCoupAreaUn]),COUNTIF(LiquidImmersionMaster[ConvertedCoupAreaUn],INDEX(LiquidImmersionMaster[ConvertedCoupAreaUn],MATCH(TRUE,LiquidImmersionMaster[ConvertedCoupAreaUn]&lt;&gt;"",0)))=COUNTIF(LiquidImmersionMaster[ConvertedCoupAreaUn],"&lt;&gt;"),""),INDEX(LiquidImmersionMaster[ConvertedCoupAreaUn],MATCH(TRUE,LiquidImmersionMaster[ConvertedCoupAreaUn]&lt;&gt;"",0)), "multiple units given"),"NA")</f>
        <v>m^2</v>
      </c>
      <c r="C11" s="3">
        <f>IF(AND(ISNUMBER(E11),ISNUMBER(F11)),MIN(LiquidImmersionMaster[ConvertedCoupArea]),"NA")</f>
        <v>2.5000000000000001E-5</v>
      </c>
      <c r="D11" s="3">
        <f>IF(AND(ISNUMBER(E11),ISNUMBER(F11)),MAX(LiquidImmersionMaster[ConvertedCoupArea]),"NA")</f>
        <v>2.5000000000000001E-3</v>
      </c>
      <c r="E11" s="3">
        <f>IFERROR(AVERAGE(LiquidImmersionMaster[ConvertedCoupArea]),"NA")</f>
        <v>8.1887623066104187E-4</v>
      </c>
      <c r="F11" s="3">
        <f>IFERROR(STDEV(LiquidImmersionMaster[ConvertedCoupArea]),"NA")</f>
        <v>8.9478393064857038E-4</v>
      </c>
    </row>
    <row r="12" spans="1:6" x14ac:dyDescent="0.3">
      <c r="A12" s="3" t="s">
        <v>1591</v>
      </c>
      <c r="B12" s="3" t="str" cm="1">
        <f t="array" ref="B12">IFERROR(IF(IF(COUNTA(LiquidImmersionMaster[LoadingUn]),COUNTIF(LiquidImmersionMaster[LoadingUn],INDEX(LiquidImmersionMaster[LoadingUn],MATCH(TRUE,LiquidImmersionMaster[LoadingUn]&lt;&gt;"",0)))=COUNTIF(LiquidImmersionMaster[LoadingUn],"&lt;&gt;"),""),INDEX(LiquidImmersionMaster[LoadingUn],MATCH(TRUE,LiquidImmersionMaster[LoadingUn]&lt;&gt;"",0)), "multiple units given"),"NA")</f>
        <v>multiple units given</v>
      </c>
      <c r="C12" s="3">
        <f>IF(AND(ISNUMBER(E12),ISNUMBER(F12)),MIN(LiquidImmersionMaster[LoadingNum]),"NA")</f>
        <v>10000</v>
      </c>
      <c r="D12" s="3">
        <f>IF(AND(ISNUMBER(E12),ISNUMBER(F12)),MAX(LiquidImmersionMaster[LoadingNum]),"NA")</f>
        <v>100000000</v>
      </c>
      <c r="E12" s="3">
        <f>IFERROR(AVERAGE(LiquidImmersionMaster[LoadingNum]),"NA")</f>
        <v>42911518.925518923</v>
      </c>
      <c r="F12" s="3">
        <f>IFERROR(STDEV(LiquidImmersionMaster[LoadingNum]),"NA")</f>
        <v>48114504.140869938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IF(AND(ISNUMBER(E13),ISNUMBER(F13)),MIN(LiquidImmersionMaster[TotalApp]),"NA")</f>
        <v>NA</v>
      </c>
      <c r="D13" s="3" t="str">
        <f>IF(AND(ISNUMBER(E13),ISNUMBER(F13)),MAX(LiquidImmersionMaster[TotalApp]),"NA")</f>
        <v>NA</v>
      </c>
      <c r="E13" s="3" t="str">
        <f>IFERROR(AVERAGE(LiquidImmersionMaster[TotalApp]),"NA")</f>
        <v>NA</v>
      </c>
      <c r="F13" s="3" t="str">
        <f>IFERROR(STDEV(LiquidImmersionMaster[TotalApp]),"NA")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IF(AND(ISNUMBER(E14),ISNUMBER(F14)),MIN(LiquidImmersionMaster[TempNum]),"NA")</f>
        <v>4</v>
      </c>
      <c r="D14" s="3">
        <f>IF(AND(ISNUMBER(E14),ISNUMBER(F14)),MAX(LiquidImmersionMaster[TempNum]),"NA")</f>
        <v>70</v>
      </c>
      <c r="E14" s="3">
        <f>IFERROR(AVERAGE(LiquidImmersionMaster[TempNum]),"NA")</f>
        <v>22.651404151404151</v>
      </c>
      <c r="F14" s="3">
        <f>IFERROR(STDEV(LiquidImmersionMaster[TempNum]),"NA")</f>
        <v>6.2922630612377031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IF(AND(ISNUMBER(E15),ISNUMBER(F15)),MIN(LiquidImmersionMaster[RHNum]),"NA")</f>
        <v>50</v>
      </c>
      <c r="D15" s="3">
        <f>IF(AND(ISNUMBER(E15),ISNUMBER(F15)),MAX(LiquidImmersionMaster[RHNum]),"NA")</f>
        <v>50</v>
      </c>
      <c r="E15" s="3">
        <f>IFERROR(AVERAGE(LiquidImmersionMaster[RHNum]),"NA")</f>
        <v>50</v>
      </c>
      <c r="F15" s="3">
        <f>IFERROR(STDEV(LiquidImmersionMaster[RHNum]),"NA")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IF(AND(ISNUMBER(E16),ISNUMBER(F16)),MIN(LiquidImmersionMaster[ContTimeNumMin]),"NA")</f>
        <v>3.330669073875468E-15</v>
      </c>
      <c r="D16" s="3">
        <f>IF(AND(ISNUMBER(E16),ISNUMBER(F16)),MAX(LiquidImmersionMaster[ContTimeNumMin]),"NA")</f>
        <v>1440</v>
      </c>
      <c r="E16" s="3">
        <f>IFERROR(AVERAGE(LiquidImmersionMaster[ContTimeNumMin]),"NA")</f>
        <v>56.575242044760223</v>
      </c>
      <c r="F16" s="3">
        <f>IFERROR(STDEV(LiquidImmersionMaster[ContTimeNumMin]),"NA")</f>
        <v>206.62864286956335</v>
      </c>
    </row>
    <row r="17" spans="1:6" x14ac:dyDescent="0.3">
      <c r="A17" s="3" t="s">
        <v>1598</v>
      </c>
      <c r="B17" s="3" t="str" cm="1">
        <f t="array" ref="B17">IFERROR(IF(IF(COUNTA(LiquidImmersionMaster[ConcDoseUn]),COUNTIF(LiquidImmersionMaster[ConcDoseUn],INDEX(LiquidImmersionMaster[ConcDoseUn],MATCH(TRUE,LiquidImmersionMaster[ConcDoseUn]&lt;&gt;"",0)))=COUNTIF(LiquidImmersionMaster[ConcDoseUn],"&lt;&gt;"),""),INDEX(LiquidImmersionMaster[ConcDoseUn],MATCH(TRUE,LiquidImmersionMaster[ConcDoseUn]&lt;&gt;"",0)), "multiple units given"),"NA")</f>
        <v>multiple units given</v>
      </c>
      <c r="C17" s="3">
        <f>IF(AND(ISNUMBER(E17),ISNUMBER(F17)),MIN(LiquidImmersionMaster[ConcDoseNum]),"NA")</f>
        <v>0</v>
      </c>
      <c r="D17" s="3">
        <f>IF(AND(ISNUMBER(E17),ISNUMBER(F17)),MAX(LiquidImmersionMaster[ConcDoseNum]),"NA")</f>
        <v>25600</v>
      </c>
      <c r="E17" s="3">
        <f>IFERROR(AVERAGE(LiquidImmersionMaster[ConcDoseNum]),"NA")</f>
        <v>2223.1624263363797</v>
      </c>
      <c r="F17" s="3">
        <f>IFERROR(STDEV(LiquidImmersionMaster[ConcDoseNum]),"NA")</f>
        <v>3383.0362443443655</v>
      </c>
    </row>
    <row r="18" spans="1:6" x14ac:dyDescent="0.3">
      <c r="A18" s="3" t="s">
        <v>1599</v>
      </c>
      <c r="B18" s="3" t="str" cm="1">
        <f t="array" ref="B18">IFERROR(IF(IF(COUNTA(LiquidImmersionMaster[EffMeas]),COUNTIF(LiquidImmersionMaster[EffMeas],INDEX(LiquidImmersionMaster[EffMeas],MATCH(TRUE,LiquidImmersionMaster[EffMeas]&lt;&gt;"",0)))=COUNTIF(LiquidImmersionMaster[EffMeas],"&lt;&gt;"),""),INDEX(LiquidImmersionMaster[EffMeas],MATCH(TRUE,LiquidImmersionMaster[EffMeas]&lt;&gt;"",0)), "multiple units given"),"NA")</f>
        <v>multiple units given</v>
      </c>
      <c r="C18" s="3">
        <f>IF(AND(ISNUMBER(E18),ISNUMBER(F18)),MIN(LiquidImmersionMaster[Eff]),"NA")</f>
        <v>-1.33</v>
      </c>
      <c r="D18" s="3">
        <f>IF(AND(ISNUMBER(E18),ISNUMBER(F18)),MAX(LiquidImmersionMaster[Eff]),"NA")</f>
        <v>30</v>
      </c>
      <c r="E18" s="3">
        <f>IFERROR(AVERAGE(LiquidImmersionMaster[Eff]),"NA")</f>
        <v>4.9984771875848359</v>
      </c>
      <c r="F18" s="3">
        <f>IFERROR(STDEV(LiquidImmersionMaster[Eff]),"NA")</f>
        <v>4.1789977934819849</v>
      </c>
    </row>
    <row r="19" spans="1:6" x14ac:dyDescent="0.3">
      <c r="A19" s="3" t="s">
        <v>1600</v>
      </c>
      <c r="B19" s="3" t="str" cm="1">
        <f t="array" ref="B19">IFERROR(IF(IF(COUNTA(LiquidImmersionMaster[ConvertedVolAppUn]),COUNTIF(LiquidImmersionMaster[ConvertedVolAppUn],INDEX(LiquidImmersionMaster[ConvertedVolAppUn],MATCH(TRUE,LiquidImmersionMaster[ConvertedVolAppUn]&lt;&gt;"",0)))=COUNTIF(LiquidImmersionMaster[ConvertedVolAppUn],"&lt;&gt;"),""),INDEX(LiquidImmersionMaster[ConvertedVolAppUn],MATCH(TRUE,LiquidImmersionMaster[ConvertedVolAppUn]&lt;&gt;"",0)), "multiple units given"),"NA")</f>
        <v>mL</v>
      </c>
      <c r="C19" s="3">
        <f>IF(AND(ISNUMBER(E19),ISNUMBER(F19)),MIN(LiquidImmersionMaster[ConvertedVolApp]),"NA")</f>
        <v>10</v>
      </c>
      <c r="D19" s="3">
        <f>IF(AND(ISNUMBER(E19),ISNUMBER(F19)),MAX(LiquidImmersionMaster[ConvertedVolApp]),"NA")</f>
        <v>10</v>
      </c>
      <c r="E19" s="3">
        <f>IFERROR(AVERAGE(LiquidImmersionMaster[ConvertedVolApp]),"NA")</f>
        <v>10</v>
      </c>
      <c r="F19" s="3">
        <f>IFERROR(STDEV(LiquidImmersionMaster[ConvertedVolApp]),"NA")</f>
        <v>0</v>
      </c>
    </row>
  </sheetData>
  <conditionalFormatting sqref="B11:B19">
    <cfRule type="cellIs" dxfId="24" priority="1" operator="equal">
      <formula>"multiple units given"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A809"/>
  <sheetViews>
    <sheetView topLeftCell="AA1" workbookViewId="0">
      <selection activeCell="Y474" sqref="Y474:Y502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1274</v>
      </c>
      <c r="C2" t="s">
        <v>1275</v>
      </c>
      <c r="D2" t="s">
        <v>995</v>
      </c>
      <c r="E2">
        <v>310000</v>
      </c>
      <c r="H2">
        <v>100</v>
      </c>
      <c r="I2" t="s">
        <v>56</v>
      </c>
      <c r="J2">
        <v>0.01</v>
      </c>
      <c r="K2" t="s">
        <v>57</v>
      </c>
      <c r="L2" t="s">
        <v>1021</v>
      </c>
      <c r="O2">
        <v>25000</v>
      </c>
      <c r="P2" t="s">
        <v>262</v>
      </c>
      <c r="T2">
        <v>25</v>
      </c>
      <c r="V2">
        <v>50</v>
      </c>
      <c r="W2" t="s">
        <v>1276</v>
      </c>
      <c r="X2" t="s">
        <v>280</v>
      </c>
      <c r="Y2">
        <v>5</v>
      </c>
      <c r="AB2">
        <v>4</v>
      </c>
      <c r="AC2" t="s">
        <v>85</v>
      </c>
      <c r="AE2" t="s">
        <v>371</v>
      </c>
      <c r="AI2">
        <v>2</v>
      </c>
      <c r="AK2">
        <v>3</v>
      </c>
      <c r="AL2" t="s">
        <v>82</v>
      </c>
      <c r="AM2">
        <v>3</v>
      </c>
      <c r="AN2" t="s">
        <v>82</v>
      </c>
      <c r="AT2" t="s">
        <v>73</v>
      </c>
      <c r="AV2" t="s">
        <v>115</v>
      </c>
    </row>
    <row r="3" spans="1:53" x14ac:dyDescent="0.3">
      <c r="A3" t="s">
        <v>1274</v>
      </c>
      <c r="C3" t="s">
        <v>1275</v>
      </c>
      <c r="D3" t="s">
        <v>995</v>
      </c>
      <c r="E3">
        <v>310000</v>
      </c>
      <c r="H3">
        <v>100</v>
      </c>
      <c r="I3" t="s">
        <v>56</v>
      </c>
      <c r="J3">
        <v>0.01</v>
      </c>
      <c r="K3" t="s">
        <v>57</v>
      </c>
      <c r="L3" t="s">
        <v>1021</v>
      </c>
      <c r="O3">
        <v>25000</v>
      </c>
      <c r="P3" t="s">
        <v>262</v>
      </c>
      <c r="T3">
        <v>25</v>
      </c>
      <c r="V3">
        <v>50</v>
      </c>
      <c r="W3" t="s">
        <v>1277</v>
      </c>
      <c r="X3" t="s">
        <v>280</v>
      </c>
      <c r="Y3">
        <v>5</v>
      </c>
      <c r="AB3">
        <v>5</v>
      </c>
      <c r="AC3" t="s">
        <v>85</v>
      </c>
      <c r="AE3" t="s">
        <v>371</v>
      </c>
      <c r="AI3">
        <v>2</v>
      </c>
      <c r="AK3">
        <v>3</v>
      </c>
      <c r="AL3" t="s">
        <v>82</v>
      </c>
      <c r="AM3">
        <v>3</v>
      </c>
      <c r="AN3" t="s">
        <v>82</v>
      </c>
      <c r="AT3" t="s">
        <v>318</v>
      </c>
      <c r="AV3" t="s">
        <v>115</v>
      </c>
    </row>
    <row r="4" spans="1:53" x14ac:dyDescent="0.3">
      <c r="A4" t="s">
        <v>1274</v>
      </c>
      <c r="C4" t="s">
        <v>1275</v>
      </c>
      <c r="D4" t="s">
        <v>995</v>
      </c>
      <c r="E4">
        <v>310000</v>
      </c>
      <c r="H4">
        <v>100</v>
      </c>
      <c r="I4" t="s">
        <v>56</v>
      </c>
      <c r="J4">
        <v>0.01</v>
      </c>
      <c r="K4" t="s">
        <v>57</v>
      </c>
      <c r="L4" t="s">
        <v>1021</v>
      </c>
      <c r="O4">
        <v>25000</v>
      </c>
      <c r="P4" t="s">
        <v>262</v>
      </c>
      <c r="T4">
        <v>25</v>
      </c>
      <c r="V4">
        <v>50</v>
      </c>
      <c r="W4" t="s">
        <v>1278</v>
      </c>
      <c r="X4" t="s">
        <v>280</v>
      </c>
      <c r="Y4">
        <v>5</v>
      </c>
      <c r="AB4">
        <v>5</v>
      </c>
      <c r="AC4" t="s">
        <v>85</v>
      </c>
      <c r="AE4" t="s">
        <v>371</v>
      </c>
      <c r="AI4">
        <v>2</v>
      </c>
      <c r="AK4">
        <v>3</v>
      </c>
      <c r="AL4" t="s">
        <v>82</v>
      </c>
      <c r="AM4">
        <v>3</v>
      </c>
      <c r="AN4" t="s">
        <v>82</v>
      </c>
      <c r="AT4" t="s">
        <v>382</v>
      </c>
      <c r="AV4" t="s">
        <v>115</v>
      </c>
    </row>
    <row r="5" spans="1:53" x14ac:dyDescent="0.3">
      <c r="A5" t="s">
        <v>1274</v>
      </c>
      <c r="C5" t="s">
        <v>1275</v>
      </c>
      <c r="D5" t="s">
        <v>995</v>
      </c>
      <c r="E5">
        <v>310000</v>
      </c>
      <c r="H5">
        <v>100</v>
      </c>
      <c r="I5" t="s">
        <v>56</v>
      </c>
      <c r="J5">
        <v>0.01</v>
      </c>
      <c r="K5" t="s">
        <v>57</v>
      </c>
      <c r="L5" t="s">
        <v>1021</v>
      </c>
      <c r="O5">
        <v>25000</v>
      </c>
      <c r="P5" t="s">
        <v>262</v>
      </c>
      <c r="T5">
        <v>25</v>
      </c>
      <c r="V5">
        <v>50</v>
      </c>
      <c r="W5" t="s">
        <v>1279</v>
      </c>
      <c r="X5" t="s">
        <v>280</v>
      </c>
      <c r="Y5">
        <v>5</v>
      </c>
      <c r="AB5">
        <v>6</v>
      </c>
      <c r="AC5" t="s">
        <v>85</v>
      </c>
      <c r="AE5" t="s">
        <v>371</v>
      </c>
      <c r="AI5">
        <v>2</v>
      </c>
      <c r="AK5">
        <v>3</v>
      </c>
      <c r="AL5" t="s">
        <v>82</v>
      </c>
      <c r="AM5">
        <v>3</v>
      </c>
      <c r="AN5" t="s">
        <v>82</v>
      </c>
      <c r="AT5" t="s">
        <v>77</v>
      </c>
      <c r="AV5" t="s">
        <v>115</v>
      </c>
    </row>
    <row r="6" spans="1:53" x14ac:dyDescent="0.3">
      <c r="A6" t="s">
        <v>1274</v>
      </c>
      <c r="C6" t="s">
        <v>1275</v>
      </c>
      <c r="D6" t="s">
        <v>995</v>
      </c>
      <c r="E6">
        <v>1000</v>
      </c>
      <c r="H6">
        <v>100</v>
      </c>
      <c r="I6" t="s">
        <v>56</v>
      </c>
      <c r="J6">
        <v>0.01</v>
      </c>
      <c r="K6" t="s">
        <v>57</v>
      </c>
      <c r="L6" t="s">
        <v>1021</v>
      </c>
      <c r="O6">
        <v>25000</v>
      </c>
      <c r="P6" t="s">
        <v>262</v>
      </c>
      <c r="T6">
        <v>25</v>
      </c>
      <c r="V6">
        <v>50</v>
      </c>
      <c r="W6" t="s">
        <v>1280</v>
      </c>
      <c r="X6" t="s">
        <v>280</v>
      </c>
      <c r="Y6">
        <v>5</v>
      </c>
      <c r="AB6">
        <v>5</v>
      </c>
      <c r="AC6" t="s">
        <v>85</v>
      </c>
      <c r="AE6" t="s">
        <v>371</v>
      </c>
      <c r="AI6">
        <v>2</v>
      </c>
      <c r="AK6">
        <v>3</v>
      </c>
      <c r="AL6" t="s">
        <v>82</v>
      </c>
      <c r="AM6">
        <v>3</v>
      </c>
      <c r="AN6" t="s">
        <v>82</v>
      </c>
      <c r="AT6" t="s">
        <v>75</v>
      </c>
      <c r="AV6" t="s">
        <v>115</v>
      </c>
    </row>
    <row r="7" spans="1:53" x14ac:dyDescent="0.3">
      <c r="A7" t="s">
        <v>1274</v>
      </c>
      <c r="C7" t="s">
        <v>1275</v>
      </c>
      <c r="D7" t="s">
        <v>995</v>
      </c>
      <c r="E7">
        <v>1000</v>
      </c>
      <c r="H7">
        <v>100</v>
      </c>
      <c r="I7" t="s">
        <v>56</v>
      </c>
      <c r="J7">
        <v>0.01</v>
      </c>
      <c r="K7" t="s">
        <v>57</v>
      </c>
      <c r="L7" t="s">
        <v>1021</v>
      </c>
      <c r="O7">
        <v>25000</v>
      </c>
      <c r="P7" t="s">
        <v>262</v>
      </c>
      <c r="T7">
        <v>25</v>
      </c>
      <c r="V7">
        <v>50</v>
      </c>
      <c r="W7" t="s">
        <v>1281</v>
      </c>
      <c r="X7" t="s">
        <v>280</v>
      </c>
      <c r="Y7">
        <v>5</v>
      </c>
      <c r="AB7">
        <v>5</v>
      </c>
      <c r="AC7" t="s">
        <v>85</v>
      </c>
      <c r="AE7" t="s">
        <v>371</v>
      </c>
      <c r="AI7">
        <v>2</v>
      </c>
      <c r="AK7">
        <v>3</v>
      </c>
      <c r="AL7" t="s">
        <v>82</v>
      </c>
      <c r="AM7">
        <v>3</v>
      </c>
      <c r="AN7" t="s">
        <v>82</v>
      </c>
      <c r="AV7" t="s">
        <v>115</v>
      </c>
    </row>
    <row r="8" spans="1:53" x14ac:dyDescent="0.3">
      <c r="A8" t="s">
        <v>1274</v>
      </c>
      <c r="C8" t="s">
        <v>1275</v>
      </c>
      <c r="D8" t="s">
        <v>995</v>
      </c>
      <c r="E8">
        <v>1000</v>
      </c>
      <c r="H8">
        <v>100</v>
      </c>
      <c r="I8" t="s">
        <v>56</v>
      </c>
      <c r="J8">
        <v>0.01</v>
      </c>
      <c r="K8" t="s">
        <v>57</v>
      </c>
      <c r="L8" t="s">
        <v>1021</v>
      </c>
      <c r="O8">
        <v>25000</v>
      </c>
      <c r="P8" t="s">
        <v>262</v>
      </c>
      <c r="T8">
        <v>25</v>
      </c>
      <c r="V8">
        <v>50</v>
      </c>
      <c r="W8" t="s">
        <v>1282</v>
      </c>
      <c r="X8" t="s">
        <v>280</v>
      </c>
      <c r="Y8">
        <v>5</v>
      </c>
      <c r="AB8">
        <v>5</v>
      </c>
      <c r="AC8" t="s">
        <v>85</v>
      </c>
      <c r="AE8" t="s">
        <v>371</v>
      </c>
      <c r="AI8">
        <v>2</v>
      </c>
      <c r="AK8">
        <v>3</v>
      </c>
      <c r="AL8" t="s">
        <v>82</v>
      </c>
      <c r="AM8">
        <v>3</v>
      </c>
      <c r="AN8" t="s">
        <v>82</v>
      </c>
      <c r="AT8" t="s">
        <v>203</v>
      </c>
      <c r="AV8" t="s">
        <v>115</v>
      </c>
    </row>
    <row r="9" spans="1:53" x14ac:dyDescent="0.3">
      <c r="A9" t="s">
        <v>1274</v>
      </c>
      <c r="C9" t="s">
        <v>1275</v>
      </c>
      <c r="D9" t="s">
        <v>995</v>
      </c>
      <c r="E9">
        <v>1000</v>
      </c>
      <c r="H9">
        <v>100</v>
      </c>
      <c r="I9" t="s">
        <v>56</v>
      </c>
      <c r="J9">
        <v>0.01</v>
      </c>
      <c r="K9" t="s">
        <v>57</v>
      </c>
      <c r="L9" t="s">
        <v>1021</v>
      </c>
      <c r="O9">
        <v>2500</v>
      </c>
      <c r="P9" t="s">
        <v>262</v>
      </c>
      <c r="T9">
        <v>25</v>
      </c>
      <c r="V9">
        <v>50</v>
      </c>
      <c r="W9" t="s">
        <v>1276</v>
      </c>
      <c r="X9" t="s">
        <v>280</v>
      </c>
      <c r="Y9">
        <v>5</v>
      </c>
      <c r="AB9">
        <v>0</v>
      </c>
      <c r="AC9" t="s">
        <v>85</v>
      </c>
      <c r="AE9" t="s">
        <v>371</v>
      </c>
      <c r="AI9">
        <v>2</v>
      </c>
      <c r="AK9">
        <v>3</v>
      </c>
      <c r="AL9" t="s">
        <v>82</v>
      </c>
      <c r="AM9">
        <v>3</v>
      </c>
      <c r="AN9" t="s">
        <v>82</v>
      </c>
      <c r="AT9" t="s">
        <v>73</v>
      </c>
      <c r="AV9" t="s">
        <v>115</v>
      </c>
    </row>
    <row r="10" spans="1:53" x14ac:dyDescent="0.3">
      <c r="A10" t="s">
        <v>1274</v>
      </c>
      <c r="C10" t="s">
        <v>1275</v>
      </c>
      <c r="D10" t="s">
        <v>995</v>
      </c>
      <c r="E10">
        <v>1000</v>
      </c>
      <c r="H10">
        <v>100</v>
      </c>
      <c r="I10" t="s">
        <v>56</v>
      </c>
      <c r="J10">
        <v>0.01</v>
      </c>
      <c r="K10" t="s">
        <v>57</v>
      </c>
      <c r="L10" t="s">
        <v>1021</v>
      </c>
      <c r="O10">
        <v>2500</v>
      </c>
      <c r="P10" t="s">
        <v>262</v>
      </c>
      <c r="T10">
        <v>25</v>
      </c>
      <c r="V10">
        <v>50</v>
      </c>
      <c r="W10" t="s">
        <v>1277</v>
      </c>
      <c r="X10" t="s">
        <v>280</v>
      </c>
      <c r="Y10">
        <v>5</v>
      </c>
      <c r="AB10">
        <v>0</v>
      </c>
      <c r="AC10" t="s">
        <v>85</v>
      </c>
      <c r="AE10" t="s">
        <v>371</v>
      </c>
      <c r="AI10">
        <v>2</v>
      </c>
      <c r="AK10">
        <v>3</v>
      </c>
      <c r="AL10" t="s">
        <v>82</v>
      </c>
      <c r="AM10">
        <v>3</v>
      </c>
      <c r="AN10" t="s">
        <v>82</v>
      </c>
      <c r="AT10" t="s">
        <v>318</v>
      </c>
      <c r="AV10" t="s">
        <v>115</v>
      </c>
    </row>
    <row r="11" spans="1:53" x14ac:dyDescent="0.3">
      <c r="A11" t="s">
        <v>1274</v>
      </c>
      <c r="C11" t="s">
        <v>1275</v>
      </c>
      <c r="D11" t="s">
        <v>995</v>
      </c>
      <c r="E11">
        <v>1000</v>
      </c>
      <c r="H11">
        <v>100</v>
      </c>
      <c r="I11" t="s">
        <v>56</v>
      </c>
      <c r="J11">
        <v>0.01</v>
      </c>
      <c r="K11" t="s">
        <v>57</v>
      </c>
      <c r="L11" t="s">
        <v>1021</v>
      </c>
      <c r="O11">
        <v>2500</v>
      </c>
      <c r="P11" t="s">
        <v>262</v>
      </c>
      <c r="T11">
        <v>25</v>
      </c>
      <c r="V11">
        <v>50</v>
      </c>
      <c r="W11" t="s">
        <v>1278</v>
      </c>
      <c r="X11" t="s">
        <v>280</v>
      </c>
      <c r="Y11">
        <v>5</v>
      </c>
      <c r="AB11">
        <v>0</v>
      </c>
      <c r="AC11" t="s">
        <v>85</v>
      </c>
      <c r="AE11" t="s">
        <v>371</v>
      </c>
      <c r="AI11">
        <v>2</v>
      </c>
      <c r="AK11">
        <v>3</v>
      </c>
      <c r="AL11" t="s">
        <v>82</v>
      </c>
      <c r="AM11">
        <v>3</v>
      </c>
      <c r="AN11" t="s">
        <v>82</v>
      </c>
      <c r="AT11" t="s">
        <v>382</v>
      </c>
      <c r="AV11" t="s">
        <v>115</v>
      </c>
    </row>
    <row r="12" spans="1:53" x14ac:dyDescent="0.3">
      <c r="A12" t="s">
        <v>1274</v>
      </c>
      <c r="C12" t="s">
        <v>1275</v>
      </c>
      <c r="D12" t="s">
        <v>995</v>
      </c>
      <c r="E12">
        <v>1000</v>
      </c>
      <c r="H12">
        <v>100</v>
      </c>
      <c r="I12" t="s">
        <v>56</v>
      </c>
      <c r="J12">
        <v>0.01</v>
      </c>
      <c r="K12" t="s">
        <v>57</v>
      </c>
      <c r="L12" t="s">
        <v>1021</v>
      </c>
      <c r="O12">
        <v>2500</v>
      </c>
      <c r="P12" t="s">
        <v>262</v>
      </c>
      <c r="T12">
        <v>25</v>
      </c>
      <c r="V12">
        <v>50</v>
      </c>
      <c r="W12" t="s">
        <v>1279</v>
      </c>
      <c r="X12" t="s">
        <v>280</v>
      </c>
      <c r="Y12">
        <v>5</v>
      </c>
      <c r="AB12">
        <v>0</v>
      </c>
      <c r="AC12" t="s">
        <v>85</v>
      </c>
      <c r="AE12" t="s">
        <v>371</v>
      </c>
      <c r="AI12">
        <v>2</v>
      </c>
      <c r="AK12">
        <v>3</v>
      </c>
      <c r="AL12" t="s">
        <v>82</v>
      </c>
      <c r="AM12">
        <v>3</v>
      </c>
      <c r="AN12" t="s">
        <v>82</v>
      </c>
      <c r="AT12" t="s">
        <v>77</v>
      </c>
      <c r="AV12" t="s">
        <v>115</v>
      </c>
    </row>
    <row r="13" spans="1:53" x14ac:dyDescent="0.3">
      <c r="A13" t="s">
        <v>1274</v>
      </c>
      <c r="C13" t="s">
        <v>1275</v>
      </c>
      <c r="D13" t="s">
        <v>995</v>
      </c>
      <c r="E13">
        <v>1000</v>
      </c>
      <c r="H13">
        <v>100</v>
      </c>
      <c r="I13" t="s">
        <v>56</v>
      </c>
      <c r="J13">
        <v>0.01</v>
      </c>
      <c r="K13" t="s">
        <v>57</v>
      </c>
      <c r="L13" t="s">
        <v>1021</v>
      </c>
      <c r="O13">
        <v>2500</v>
      </c>
      <c r="P13" t="s">
        <v>262</v>
      </c>
      <c r="T13">
        <v>25</v>
      </c>
      <c r="V13">
        <v>50</v>
      </c>
      <c r="W13" t="s">
        <v>1280</v>
      </c>
      <c r="X13" t="s">
        <v>280</v>
      </c>
      <c r="Y13">
        <v>5</v>
      </c>
      <c r="AA13" t="s">
        <v>128</v>
      </c>
      <c r="AB13">
        <v>1</v>
      </c>
      <c r="AC13" t="s">
        <v>85</v>
      </c>
      <c r="AI13">
        <v>2</v>
      </c>
      <c r="AK13">
        <v>3</v>
      </c>
      <c r="AL13" t="s">
        <v>82</v>
      </c>
      <c r="AM13">
        <v>3</v>
      </c>
      <c r="AN13" t="s">
        <v>82</v>
      </c>
      <c r="AT13" t="s">
        <v>75</v>
      </c>
      <c r="AV13" t="s">
        <v>115</v>
      </c>
      <c r="AZ13">
        <v>0</v>
      </c>
    </row>
    <row r="14" spans="1:53" x14ac:dyDescent="0.3">
      <c r="A14" t="s">
        <v>1274</v>
      </c>
      <c r="C14" t="s">
        <v>1275</v>
      </c>
      <c r="D14" t="s">
        <v>995</v>
      </c>
      <c r="E14">
        <v>1000</v>
      </c>
      <c r="H14">
        <v>100</v>
      </c>
      <c r="I14" t="s">
        <v>56</v>
      </c>
      <c r="J14">
        <v>0.01</v>
      </c>
      <c r="K14" t="s">
        <v>57</v>
      </c>
      <c r="L14" t="s">
        <v>1021</v>
      </c>
      <c r="O14">
        <v>2500</v>
      </c>
      <c r="P14" t="s">
        <v>262</v>
      </c>
      <c r="T14">
        <v>25</v>
      </c>
      <c r="V14">
        <v>50</v>
      </c>
      <c r="W14" t="s">
        <v>1281</v>
      </c>
      <c r="X14" t="s">
        <v>280</v>
      </c>
      <c r="Y14">
        <v>5</v>
      </c>
      <c r="AB14">
        <v>0</v>
      </c>
      <c r="AC14" t="s">
        <v>85</v>
      </c>
      <c r="AE14" t="s">
        <v>371</v>
      </c>
      <c r="AI14">
        <v>2</v>
      </c>
      <c r="AK14">
        <v>3</v>
      </c>
      <c r="AL14" t="s">
        <v>82</v>
      </c>
      <c r="AM14">
        <v>3</v>
      </c>
      <c r="AN14" t="s">
        <v>82</v>
      </c>
      <c r="AV14" t="s">
        <v>115</v>
      </c>
    </row>
    <row r="15" spans="1:53" x14ac:dyDescent="0.3">
      <c r="A15" t="s">
        <v>1274</v>
      </c>
      <c r="C15" t="s">
        <v>1275</v>
      </c>
      <c r="D15" t="s">
        <v>995</v>
      </c>
      <c r="E15">
        <v>1000</v>
      </c>
      <c r="H15">
        <v>100</v>
      </c>
      <c r="I15" t="s">
        <v>56</v>
      </c>
      <c r="J15">
        <v>0.01</v>
      </c>
      <c r="K15" t="s">
        <v>57</v>
      </c>
      <c r="L15" t="s">
        <v>1021</v>
      </c>
      <c r="O15">
        <v>2500</v>
      </c>
      <c r="P15" t="s">
        <v>262</v>
      </c>
      <c r="T15">
        <v>25</v>
      </c>
      <c r="V15">
        <v>50</v>
      </c>
      <c r="W15" t="s">
        <v>1282</v>
      </c>
      <c r="X15" t="s">
        <v>280</v>
      </c>
      <c r="Y15">
        <v>5</v>
      </c>
      <c r="AB15">
        <v>0</v>
      </c>
      <c r="AC15" t="s">
        <v>85</v>
      </c>
      <c r="AE15" t="s">
        <v>371</v>
      </c>
      <c r="AI15">
        <v>2</v>
      </c>
      <c r="AK15">
        <v>3</v>
      </c>
      <c r="AL15" t="s">
        <v>82</v>
      </c>
      <c r="AM15">
        <v>3</v>
      </c>
      <c r="AN15" t="s">
        <v>82</v>
      </c>
      <c r="AT15" t="s">
        <v>203</v>
      </c>
      <c r="AV15" t="s">
        <v>115</v>
      </c>
    </row>
    <row r="16" spans="1:53" x14ac:dyDescent="0.3">
      <c r="A16" t="s">
        <v>1274</v>
      </c>
      <c r="C16" t="s">
        <v>1275</v>
      </c>
      <c r="D16" t="s">
        <v>995</v>
      </c>
      <c r="E16">
        <v>1000</v>
      </c>
      <c r="H16">
        <v>100</v>
      </c>
      <c r="I16" t="s">
        <v>56</v>
      </c>
      <c r="J16">
        <v>0.01</v>
      </c>
      <c r="K16" t="s">
        <v>57</v>
      </c>
      <c r="L16" t="s">
        <v>1021</v>
      </c>
      <c r="O16">
        <v>25000</v>
      </c>
      <c r="P16" t="s">
        <v>262</v>
      </c>
      <c r="T16">
        <v>25</v>
      </c>
      <c r="V16">
        <v>50</v>
      </c>
      <c r="W16" t="s">
        <v>1276</v>
      </c>
      <c r="X16" t="s">
        <v>280</v>
      </c>
      <c r="Y16">
        <v>5</v>
      </c>
      <c r="AB16">
        <v>3</v>
      </c>
      <c r="AC16" t="s">
        <v>85</v>
      </c>
      <c r="AE16" t="s">
        <v>371</v>
      </c>
      <c r="AI16">
        <v>2</v>
      </c>
      <c r="AK16">
        <v>3</v>
      </c>
      <c r="AL16" t="s">
        <v>82</v>
      </c>
      <c r="AM16">
        <v>3</v>
      </c>
      <c r="AN16" t="s">
        <v>82</v>
      </c>
      <c r="AT16" t="s">
        <v>73</v>
      </c>
      <c r="AV16" t="s">
        <v>115</v>
      </c>
    </row>
    <row r="17" spans="1:53" x14ac:dyDescent="0.3">
      <c r="A17" t="s">
        <v>1274</v>
      </c>
      <c r="C17" t="s">
        <v>1275</v>
      </c>
      <c r="D17" t="s">
        <v>995</v>
      </c>
      <c r="E17">
        <v>1000</v>
      </c>
      <c r="H17">
        <v>100</v>
      </c>
      <c r="I17" t="s">
        <v>56</v>
      </c>
      <c r="J17">
        <v>0.01</v>
      </c>
      <c r="K17" t="s">
        <v>57</v>
      </c>
      <c r="L17" t="s">
        <v>1021</v>
      </c>
      <c r="O17">
        <v>25000</v>
      </c>
      <c r="P17" t="s">
        <v>262</v>
      </c>
      <c r="T17">
        <v>25</v>
      </c>
      <c r="V17">
        <v>50</v>
      </c>
      <c r="W17" t="s">
        <v>1277</v>
      </c>
      <c r="X17" t="s">
        <v>280</v>
      </c>
      <c r="Y17">
        <v>5</v>
      </c>
      <c r="AB17">
        <v>0</v>
      </c>
      <c r="AC17" t="s">
        <v>85</v>
      </c>
      <c r="AE17" t="s">
        <v>371</v>
      </c>
      <c r="AI17">
        <v>2</v>
      </c>
      <c r="AK17">
        <v>3</v>
      </c>
      <c r="AL17" t="s">
        <v>82</v>
      </c>
      <c r="AM17">
        <v>3</v>
      </c>
      <c r="AN17" t="s">
        <v>82</v>
      </c>
      <c r="AT17" t="s">
        <v>318</v>
      </c>
      <c r="AV17" t="s">
        <v>115</v>
      </c>
    </row>
    <row r="18" spans="1:53" x14ac:dyDescent="0.3">
      <c r="A18" t="s">
        <v>1274</v>
      </c>
      <c r="C18" t="s">
        <v>1275</v>
      </c>
      <c r="D18" t="s">
        <v>995</v>
      </c>
      <c r="E18">
        <v>1000</v>
      </c>
      <c r="H18">
        <v>100</v>
      </c>
      <c r="I18" t="s">
        <v>56</v>
      </c>
      <c r="J18">
        <v>0.01</v>
      </c>
      <c r="K18" t="s">
        <v>57</v>
      </c>
      <c r="L18" t="s">
        <v>1021</v>
      </c>
      <c r="O18">
        <v>25000</v>
      </c>
      <c r="P18" t="s">
        <v>262</v>
      </c>
      <c r="T18">
        <v>25</v>
      </c>
      <c r="V18">
        <v>50</v>
      </c>
      <c r="W18" t="s">
        <v>1278</v>
      </c>
      <c r="X18" t="s">
        <v>280</v>
      </c>
      <c r="Y18">
        <v>5</v>
      </c>
      <c r="AA18" t="s">
        <v>128</v>
      </c>
      <c r="AB18">
        <v>1</v>
      </c>
      <c r="AC18" t="s">
        <v>85</v>
      </c>
      <c r="AI18">
        <v>2</v>
      </c>
      <c r="AK18">
        <v>3</v>
      </c>
      <c r="AL18" t="s">
        <v>82</v>
      </c>
      <c r="AM18">
        <v>3</v>
      </c>
      <c r="AN18" t="s">
        <v>82</v>
      </c>
      <c r="AT18" t="s">
        <v>382</v>
      </c>
      <c r="AV18" t="s">
        <v>115</v>
      </c>
      <c r="AZ18">
        <v>0</v>
      </c>
    </row>
    <row r="19" spans="1:53" x14ac:dyDescent="0.3">
      <c r="A19" t="s">
        <v>1274</v>
      </c>
      <c r="C19" t="s">
        <v>1275</v>
      </c>
      <c r="D19" t="s">
        <v>995</v>
      </c>
      <c r="E19">
        <v>1000</v>
      </c>
      <c r="H19">
        <v>100</v>
      </c>
      <c r="I19" t="s">
        <v>56</v>
      </c>
      <c r="J19">
        <v>0.01</v>
      </c>
      <c r="K19" t="s">
        <v>57</v>
      </c>
      <c r="L19" t="s">
        <v>1021</v>
      </c>
      <c r="O19">
        <v>25000</v>
      </c>
      <c r="P19" t="s">
        <v>262</v>
      </c>
      <c r="T19">
        <v>25</v>
      </c>
      <c r="V19">
        <v>50</v>
      </c>
      <c r="W19" t="s">
        <v>1279</v>
      </c>
      <c r="X19" t="s">
        <v>280</v>
      </c>
      <c r="Y19">
        <v>5</v>
      </c>
      <c r="AB19">
        <v>4</v>
      </c>
      <c r="AC19" t="s">
        <v>85</v>
      </c>
      <c r="AE19" t="s">
        <v>371</v>
      </c>
      <c r="AI19">
        <v>2</v>
      </c>
      <c r="AK19">
        <v>3</v>
      </c>
      <c r="AL19" t="s">
        <v>82</v>
      </c>
      <c r="AM19">
        <v>3</v>
      </c>
      <c r="AN19" t="s">
        <v>82</v>
      </c>
      <c r="AT19" t="s">
        <v>77</v>
      </c>
      <c r="AV19" t="s">
        <v>115</v>
      </c>
    </row>
    <row r="20" spans="1:53" x14ac:dyDescent="0.3">
      <c r="A20" t="s">
        <v>1274</v>
      </c>
      <c r="C20" t="s">
        <v>1275</v>
      </c>
      <c r="D20" t="s">
        <v>995</v>
      </c>
      <c r="E20">
        <v>1000</v>
      </c>
      <c r="H20">
        <v>100</v>
      </c>
      <c r="I20" t="s">
        <v>56</v>
      </c>
      <c r="J20">
        <v>0.01</v>
      </c>
      <c r="K20" t="s">
        <v>57</v>
      </c>
      <c r="L20" t="s">
        <v>1021</v>
      </c>
      <c r="O20">
        <v>25000</v>
      </c>
      <c r="P20" t="s">
        <v>262</v>
      </c>
      <c r="T20">
        <v>25</v>
      </c>
      <c r="V20">
        <v>50</v>
      </c>
      <c r="W20" t="s">
        <v>1280</v>
      </c>
      <c r="X20" t="s">
        <v>280</v>
      </c>
      <c r="Y20">
        <v>5</v>
      </c>
      <c r="AB20">
        <v>3</v>
      </c>
      <c r="AC20" t="s">
        <v>85</v>
      </c>
      <c r="AE20" t="s">
        <v>371</v>
      </c>
      <c r="AI20">
        <v>2</v>
      </c>
      <c r="AK20">
        <v>3</v>
      </c>
      <c r="AL20" t="s">
        <v>82</v>
      </c>
      <c r="AM20">
        <v>3</v>
      </c>
      <c r="AN20" t="s">
        <v>82</v>
      </c>
      <c r="AT20" t="s">
        <v>75</v>
      </c>
      <c r="AV20" t="s">
        <v>115</v>
      </c>
    </row>
    <row r="21" spans="1:53" x14ac:dyDescent="0.3">
      <c r="A21" t="s">
        <v>1274</v>
      </c>
      <c r="C21" t="s">
        <v>1275</v>
      </c>
      <c r="D21" t="s">
        <v>995</v>
      </c>
      <c r="E21">
        <v>1000</v>
      </c>
      <c r="H21">
        <v>100</v>
      </c>
      <c r="I21" t="s">
        <v>56</v>
      </c>
      <c r="J21">
        <v>0.01</v>
      </c>
      <c r="K21" t="s">
        <v>57</v>
      </c>
      <c r="L21" t="s">
        <v>1021</v>
      </c>
      <c r="O21">
        <v>25000</v>
      </c>
      <c r="P21" t="s">
        <v>262</v>
      </c>
      <c r="T21">
        <v>25</v>
      </c>
      <c r="V21">
        <v>50</v>
      </c>
      <c r="W21" t="s">
        <v>1281</v>
      </c>
      <c r="X21" t="s">
        <v>280</v>
      </c>
      <c r="Y21">
        <v>5</v>
      </c>
      <c r="AB21">
        <v>4</v>
      </c>
      <c r="AC21" t="s">
        <v>85</v>
      </c>
      <c r="AE21" t="s">
        <v>371</v>
      </c>
      <c r="AI21">
        <v>2</v>
      </c>
      <c r="AK21">
        <v>3</v>
      </c>
      <c r="AL21" t="s">
        <v>82</v>
      </c>
      <c r="AM21">
        <v>3</v>
      </c>
      <c r="AN21" t="s">
        <v>82</v>
      </c>
      <c r="AV21" t="s">
        <v>115</v>
      </c>
    </row>
    <row r="22" spans="1:53" x14ac:dyDescent="0.3">
      <c r="A22" t="s">
        <v>1274</v>
      </c>
      <c r="C22" t="s">
        <v>1275</v>
      </c>
      <c r="D22" t="s">
        <v>995</v>
      </c>
      <c r="E22">
        <v>1000</v>
      </c>
      <c r="H22">
        <v>100</v>
      </c>
      <c r="I22" t="s">
        <v>56</v>
      </c>
      <c r="J22">
        <v>0.01</v>
      </c>
      <c r="K22" t="s">
        <v>57</v>
      </c>
      <c r="L22" t="s">
        <v>1021</v>
      </c>
      <c r="O22">
        <v>25000</v>
      </c>
      <c r="P22" t="s">
        <v>262</v>
      </c>
      <c r="T22">
        <v>25</v>
      </c>
      <c r="V22">
        <v>50</v>
      </c>
      <c r="W22" t="s">
        <v>1282</v>
      </c>
      <c r="X22" t="s">
        <v>280</v>
      </c>
      <c r="Y22">
        <v>5</v>
      </c>
      <c r="AB22">
        <v>5</v>
      </c>
      <c r="AC22" t="s">
        <v>85</v>
      </c>
      <c r="AE22" t="s">
        <v>371</v>
      </c>
      <c r="AI22">
        <v>2</v>
      </c>
      <c r="AK22">
        <v>3</v>
      </c>
      <c r="AL22" t="s">
        <v>82</v>
      </c>
      <c r="AM22">
        <v>3</v>
      </c>
      <c r="AN22" t="s">
        <v>82</v>
      </c>
      <c r="AT22" t="s">
        <v>203</v>
      </c>
      <c r="AV22" t="s">
        <v>115</v>
      </c>
    </row>
    <row r="23" spans="1:53" x14ac:dyDescent="0.3">
      <c r="A23" t="s">
        <v>1283</v>
      </c>
      <c r="C23" t="s">
        <v>1275</v>
      </c>
      <c r="E23">
        <v>1000</v>
      </c>
      <c r="L23" t="s">
        <v>112</v>
      </c>
      <c r="O23">
        <v>47</v>
      </c>
      <c r="P23" t="s">
        <v>262</v>
      </c>
      <c r="S23">
        <v>2</v>
      </c>
      <c r="T23">
        <v>22</v>
      </c>
      <c r="V23">
        <v>50</v>
      </c>
      <c r="W23" t="s">
        <v>150</v>
      </c>
      <c r="X23" t="s">
        <v>1284</v>
      </c>
      <c r="Y23">
        <v>10</v>
      </c>
      <c r="AB23">
        <v>3.67209785793571</v>
      </c>
      <c r="AC23" t="s">
        <v>210</v>
      </c>
      <c r="AD23" t="s">
        <v>1285</v>
      </c>
      <c r="AE23" t="s">
        <v>614</v>
      </c>
      <c r="AH23">
        <v>4.6618126855372601</v>
      </c>
      <c r="AI23">
        <v>3</v>
      </c>
      <c r="AT23" t="s">
        <v>150</v>
      </c>
      <c r="BA23">
        <v>4.6618126855372601</v>
      </c>
    </row>
    <row r="24" spans="1:53" x14ac:dyDescent="0.3">
      <c r="A24" t="s">
        <v>1283</v>
      </c>
      <c r="C24" t="s">
        <v>1275</v>
      </c>
      <c r="E24">
        <v>10000000</v>
      </c>
      <c r="L24" t="s">
        <v>112</v>
      </c>
      <c r="O24">
        <v>47</v>
      </c>
      <c r="P24" t="s">
        <v>262</v>
      </c>
      <c r="S24">
        <v>2</v>
      </c>
      <c r="T24">
        <v>22</v>
      </c>
      <c r="V24">
        <v>50</v>
      </c>
      <c r="W24" t="s">
        <v>150</v>
      </c>
      <c r="X24" t="s">
        <v>1284</v>
      </c>
      <c r="Y24">
        <v>60</v>
      </c>
      <c r="AB24">
        <v>2.5440680443502699</v>
      </c>
      <c r="AC24" t="s">
        <v>210</v>
      </c>
      <c r="AD24" t="s">
        <v>1286</v>
      </c>
      <c r="AE24" t="s">
        <v>614</v>
      </c>
      <c r="AH24">
        <v>4.6618126855372601</v>
      </c>
      <c r="AI24">
        <v>3</v>
      </c>
      <c r="AT24" t="s">
        <v>150</v>
      </c>
      <c r="BA24">
        <v>4.6618126855372601</v>
      </c>
    </row>
    <row r="25" spans="1:53" x14ac:dyDescent="0.3">
      <c r="A25" t="s">
        <v>1283</v>
      </c>
      <c r="C25" t="s">
        <v>1275</v>
      </c>
      <c r="E25">
        <v>10000000</v>
      </c>
      <c r="L25" t="s">
        <v>112</v>
      </c>
      <c r="O25">
        <v>47</v>
      </c>
      <c r="P25" t="s">
        <v>262</v>
      </c>
      <c r="S25">
        <v>2</v>
      </c>
      <c r="T25">
        <v>22</v>
      </c>
      <c r="V25">
        <v>50</v>
      </c>
      <c r="W25" t="s">
        <v>150</v>
      </c>
      <c r="X25" t="s">
        <v>1284</v>
      </c>
      <c r="Y25">
        <v>1440</v>
      </c>
      <c r="AE25" t="s">
        <v>614</v>
      </c>
      <c r="AH25">
        <v>4.6618126855372601</v>
      </c>
      <c r="AI25">
        <v>3</v>
      </c>
      <c r="AT25" t="s">
        <v>150</v>
      </c>
      <c r="BA25">
        <v>4.6618126855372601</v>
      </c>
    </row>
    <row r="26" spans="1:53" x14ac:dyDescent="0.3">
      <c r="A26" t="s">
        <v>1283</v>
      </c>
      <c r="C26" t="s">
        <v>1275</v>
      </c>
      <c r="E26">
        <v>10000000</v>
      </c>
      <c r="L26" t="s">
        <v>112</v>
      </c>
      <c r="O26">
        <v>187</v>
      </c>
      <c r="P26" t="s">
        <v>262</v>
      </c>
      <c r="S26">
        <v>2</v>
      </c>
      <c r="T26">
        <v>22</v>
      </c>
      <c r="V26">
        <v>50</v>
      </c>
      <c r="W26" t="s">
        <v>150</v>
      </c>
      <c r="X26" t="s">
        <v>1284</v>
      </c>
      <c r="Y26">
        <v>10</v>
      </c>
      <c r="AE26" t="s">
        <v>614</v>
      </c>
      <c r="AH26">
        <v>4.6618126855372601</v>
      </c>
      <c r="AI26">
        <v>3</v>
      </c>
      <c r="AT26" t="s">
        <v>150</v>
      </c>
      <c r="BA26">
        <v>4.6618126855372601</v>
      </c>
    </row>
    <row r="27" spans="1:53" x14ac:dyDescent="0.3">
      <c r="A27" t="s">
        <v>1283</v>
      </c>
      <c r="C27" t="s">
        <v>1275</v>
      </c>
      <c r="E27">
        <v>10000000</v>
      </c>
      <c r="L27" t="s">
        <v>112</v>
      </c>
      <c r="O27">
        <v>187</v>
      </c>
      <c r="P27" t="s">
        <v>262</v>
      </c>
      <c r="S27">
        <v>2</v>
      </c>
      <c r="T27">
        <v>22</v>
      </c>
      <c r="V27">
        <v>50</v>
      </c>
      <c r="W27" t="s">
        <v>150</v>
      </c>
      <c r="X27" t="s">
        <v>1284</v>
      </c>
      <c r="Y27">
        <v>60</v>
      </c>
      <c r="AE27" t="s">
        <v>614</v>
      </c>
      <c r="AH27">
        <v>4.6618126855372601</v>
      </c>
      <c r="AI27">
        <v>3</v>
      </c>
      <c r="AT27" t="s">
        <v>150</v>
      </c>
      <c r="BA27">
        <v>4.6618126855372601</v>
      </c>
    </row>
    <row r="28" spans="1:53" x14ac:dyDescent="0.3">
      <c r="A28" t="s">
        <v>1283</v>
      </c>
      <c r="C28" t="s">
        <v>1275</v>
      </c>
      <c r="E28">
        <v>10000000</v>
      </c>
      <c r="L28" t="s">
        <v>112</v>
      </c>
      <c r="O28">
        <v>187</v>
      </c>
      <c r="P28" t="s">
        <v>262</v>
      </c>
      <c r="S28">
        <v>2</v>
      </c>
      <c r="T28">
        <v>22</v>
      </c>
      <c r="V28">
        <v>50</v>
      </c>
      <c r="W28" t="s">
        <v>150</v>
      </c>
      <c r="X28" t="s">
        <v>1284</v>
      </c>
      <c r="Y28">
        <v>1440</v>
      </c>
      <c r="AE28" t="s">
        <v>614</v>
      </c>
      <c r="AH28">
        <v>4.6618126855372601</v>
      </c>
      <c r="AI28">
        <v>3</v>
      </c>
      <c r="AT28" t="s">
        <v>150</v>
      </c>
      <c r="BA28">
        <v>4.6618126855372601</v>
      </c>
    </row>
    <row r="29" spans="1:53" x14ac:dyDescent="0.3">
      <c r="A29" t="s">
        <v>1283</v>
      </c>
      <c r="C29" t="s">
        <v>1275</v>
      </c>
      <c r="E29">
        <v>10000000</v>
      </c>
      <c r="L29" t="s">
        <v>112</v>
      </c>
      <c r="O29">
        <v>47</v>
      </c>
      <c r="P29" t="s">
        <v>262</v>
      </c>
      <c r="S29">
        <v>2</v>
      </c>
      <c r="T29">
        <v>22</v>
      </c>
      <c r="V29">
        <v>50</v>
      </c>
      <c r="W29" t="s">
        <v>150</v>
      </c>
      <c r="X29" t="s">
        <v>1284</v>
      </c>
      <c r="Y29">
        <v>10</v>
      </c>
      <c r="AB29">
        <v>4.3802112417116001</v>
      </c>
      <c r="AC29" t="s">
        <v>210</v>
      </c>
      <c r="AD29" t="s">
        <v>410</v>
      </c>
      <c r="AE29" t="s">
        <v>614</v>
      </c>
      <c r="AH29">
        <v>5.1139433523068298</v>
      </c>
      <c r="AI29">
        <v>3</v>
      </c>
      <c r="AT29" t="s">
        <v>150</v>
      </c>
      <c r="BA29">
        <v>5.1139433523068298</v>
      </c>
    </row>
    <row r="30" spans="1:53" x14ac:dyDescent="0.3">
      <c r="A30" t="s">
        <v>1283</v>
      </c>
      <c r="C30" t="s">
        <v>1275</v>
      </c>
      <c r="E30">
        <v>10000000</v>
      </c>
      <c r="L30" t="s">
        <v>112</v>
      </c>
      <c r="O30">
        <v>47</v>
      </c>
      <c r="P30" t="s">
        <v>262</v>
      </c>
      <c r="S30">
        <v>2</v>
      </c>
      <c r="T30">
        <v>22</v>
      </c>
      <c r="V30">
        <v>50</v>
      </c>
      <c r="W30" t="s">
        <v>150</v>
      </c>
      <c r="X30" t="s">
        <v>1284</v>
      </c>
      <c r="Y30">
        <v>60</v>
      </c>
      <c r="AB30">
        <v>3.04139268515822</v>
      </c>
      <c r="AC30" t="s">
        <v>210</v>
      </c>
      <c r="AD30" t="s">
        <v>1287</v>
      </c>
      <c r="AE30" t="s">
        <v>614</v>
      </c>
      <c r="AH30">
        <v>5.1139433523068298</v>
      </c>
      <c r="AI30">
        <v>3</v>
      </c>
      <c r="AT30" t="s">
        <v>150</v>
      </c>
      <c r="BA30">
        <v>5.1139433523068298</v>
      </c>
    </row>
    <row r="31" spans="1:53" x14ac:dyDescent="0.3">
      <c r="A31" t="s">
        <v>1283</v>
      </c>
      <c r="C31" t="s">
        <v>1275</v>
      </c>
      <c r="E31">
        <v>10000000</v>
      </c>
      <c r="L31" t="s">
        <v>112</v>
      </c>
      <c r="O31">
        <v>47</v>
      </c>
      <c r="P31" t="s">
        <v>262</v>
      </c>
      <c r="S31">
        <v>2</v>
      </c>
      <c r="T31">
        <v>22</v>
      </c>
      <c r="V31">
        <v>50</v>
      </c>
      <c r="W31" t="s">
        <v>150</v>
      </c>
      <c r="X31" t="s">
        <v>1284</v>
      </c>
      <c r="Y31">
        <v>1440</v>
      </c>
      <c r="AE31" t="s">
        <v>614</v>
      </c>
      <c r="AH31">
        <v>5.1139433523068298</v>
      </c>
      <c r="AI31">
        <v>3</v>
      </c>
      <c r="AT31" t="s">
        <v>150</v>
      </c>
      <c r="BA31">
        <v>5.1139433523068298</v>
      </c>
    </row>
    <row r="32" spans="1:53" x14ac:dyDescent="0.3">
      <c r="A32" t="s">
        <v>1283</v>
      </c>
      <c r="C32" t="s">
        <v>1275</v>
      </c>
      <c r="E32">
        <v>10000000</v>
      </c>
      <c r="L32" t="s">
        <v>112</v>
      </c>
      <c r="O32">
        <v>187</v>
      </c>
      <c r="P32" t="s">
        <v>262</v>
      </c>
      <c r="S32">
        <v>2</v>
      </c>
      <c r="T32">
        <v>22</v>
      </c>
      <c r="V32">
        <v>50</v>
      </c>
      <c r="W32" t="s">
        <v>150</v>
      </c>
      <c r="X32" t="s">
        <v>1284</v>
      </c>
      <c r="Y32">
        <v>10</v>
      </c>
      <c r="AE32" t="s">
        <v>614</v>
      </c>
      <c r="AH32">
        <v>5.1139433523068298</v>
      </c>
      <c r="AI32">
        <v>3</v>
      </c>
      <c r="AT32" t="s">
        <v>150</v>
      </c>
      <c r="BA32">
        <v>5.1139433523068298</v>
      </c>
    </row>
    <row r="33" spans="1:53" x14ac:dyDescent="0.3">
      <c r="A33" t="s">
        <v>1283</v>
      </c>
      <c r="C33" t="s">
        <v>1275</v>
      </c>
      <c r="E33">
        <v>10000000</v>
      </c>
      <c r="L33" t="s">
        <v>112</v>
      </c>
      <c r="O33">
        <v>187</v>
      </c>
      <c r="P33" t="s">
        <v>262</v>
      </c>
      <c r="S33">
        <v>2</v>
      </c>
      <c r="T33">
        <v>22</v>
      </c>
      <c r="V33">
        <v>50</v>
      </c>
      <c r="W33" t="s">
        <v>150</v>
      </c>
      <c r="X33" t="s">
        <v>1284</v>
      </c>
      <c r="Y33">
        <v>60</v>
      </c>
      <c r="AE33" t="s">
        <v>614</v>
      </c>
      <c r="AH33">
        <v>5.1139433523068298</v>
      </c>
      <c r="AI33">
        <v>3</v>
      </c>
      <c r="AT33" t="s">
        <v>150</v>
      </c>
      <c r="BA33">
        <v>5.1139433523068298</v>
      </c>
    </row>
    <row r="34" spans="1:53" x14ac:dyDescent="0.3">
      <c r="A34" t="s">
        <v>1283</v>
      </c>
      <c r="C34" t="s">
        <v>1275</v>
      </c>
      <c r="E34">
        <v>10000000</v>
      </c>
      <c r="L34" t="s">
        <v>112</v>
      </c>
      <c r="O34">
        <v>187</v>
      </c>
      <c r="P34" t="s">
        <v>262</v>
      </c>
      <c r="S34">
        <v>2</v>
      </c>
      <c r="T34">
        <v>22</v>
      </c>
      <c r="V34">
        <v>50</v>
      </c>
      <c r="W34" t="s">
        <v>150</v>
      </c>
      <c r="X34" t="s">
        <v>1284</v>
      </c>
      <c r="Y34">
        <v>1440</v>
      </c>
      <c r="AE34" t="s">
        <v>614</v>
      </c>
      <c r="AH34">
        <v>5.1139433523068298</v>
      </c>
      <c r="AI34">
        <v>3</v>
      </c>
      <c r="AT34" t="s">
        <v>150</v>
      </c>
      <c r="BA34">
        <v>5.1139433523068298</v>
      </c>
    </row>
    <row r="35" spans="1:53" x14ac:dyDescent="0.3">
      <c r="A35" t="s">
        <v>1283</v>
      </c>
      <c r="C35" t="s">
        <v>1275</v>
      </c>
      <c r="E35">
        <v>10000000</v>
      </c>
      <c r="L35" t="s">
        <v>112</v>
      </c>
      <c r="O35">
        <v>3.5</v>
      </c>
      <c r="P35" t="s">
        <v>59</v>
      </c>
      <c r="S35">
        <v>2</v>
      </c>
      <c r="T35">
        <v>22</v>
      </c>
      <c r="V35">
        <v>50</v>
      </c>
      <c r="W35" t="s">
        <v>903</v>
      </c>
      <c r="X35" t="s">
        <v>1284</v>
      </c>
      <c r="Y35">
        <v>60</v>
      </c>
      <c r="AB35">
        <v>8.1673173347481693</v>
      </c>
      <c r="AC35" t="s">
        <v>210</v>
      </c>
      <c r="AE35" t="s">
        <v>614</v>
      </c>
      <c r="AH35">
        <v>9.9731278535996903</v>
      </c>
      <c r="AI35">
        <v>2</v>
      </c>
      <c r="BA35">
        <v>9.9731278535996903</v>
      </c>
    </row>
    <row r="36" spans="1:53" x14ac:dyDescent="0.3">
      <c r="A36" t="s">
        <v>1283</v>
      </c>
      <c r="C36" t="s">
        <v>1275</v>
      </c>
      <c r="E36">
        <v>10000000</v>
      </c>
      <c r="L36" t="s">
        <v>112</v>
      </c>
      <c r="O36">
        <v>109</v>
      </c>
      <c r="P36" t="s">
        <v>262</v>
      </c>
      <c r="S36">
        <v>2</v>
      </c>
      <c r="T36">
        <v>22</v>
      </c>
      <c r="V36">
        <v>50</v>
      </c>
      <c r="W36" t="s">
        <v>903</v>
      </c>
      <c r="X36" t="s">
        <v>1284</v>
      </c>
      <c r="Y36">
        <v>60</v>
      </c>
      <c r="AB36">
        <v>8.4456042032735894</v>
      </c>
      <c r="AC36" t="s">
        <v>210</v>
      </c>
      <c r="AE36" t="s">
        <v>614</v>
      </c>
      <c r="AH36">
        <v>9.9731278535996903</v>
      </c>
      <c r="AI36">
        <v>3</v>
      </c>
      <c r="BA36">
        <v>9.9731278535996903</v>
      </c>
    </row>
    <row r="37" spans="1:53" x14ac:dyDescent="0.3">
      <c r="A37" t="s">
        <v>1283</v>
      </c>
      <c r="C37" t="s">
        <v>1275</v>
      </c>
      <c r="E37">
        <v>10000000</v>
      </c>
      <c r="L37" t="s">
        <v>112</v>
      </c>
      <c r="O37">
        <v>109</v>
      </c>
      <c r="P37" t="s">
        <v>262</v>
      </c>
      <c r="S37">
        <v>2</v>
      </c>
      <c r="T37">
        <v>22</v>
      </c>
      <c r="V37">
        <v>50</v>
      </c>
      <c r="W37" t="s">
        <v>903</v>
      </c>
      <c r="X37" t="s">
        <v>1284</v>
      </c>
      <c r="Y37">
        <v>60</v>
      </c>
      <c r="AB37">
        <v>5.2041199826559197</v>
      </c>
      <c r="AC37" t="s">
        <v>210</v>
      </c>
      <c r="AE37" t="s">
        <v>614</v>
      </c>
      <c r="AH37">
        <v>9.9731278535996903</v>
      </c>
      <c r="AI37">
        <v>2</v>
      </c>
      <c r="BA37">
        <v>9.9731278535996903</v>
      </c>
    </row>
    <row r="38" spans="1:53" x14ac:dyDescent="0.3">
      <c r="A38" t="s">
        <v>1283</v>
      </c>
      <c r="C38" t="s">
        <v>1275</v>
      </c>
      <c r="E38">
        <v>10000000</v>
      </c>
      <c r="L38" t="s">
        <v>112</v>
      </c>
      <c r="O38">
        <v>3.5</v>
      </c>
      <c r="P38" t="s">
        <v>59</v>
      </c>
      <c r="S38">
        <v>2</v>
      </c>
      <c r="T38">
        <v>22</v>
      </c>
      <c r="V38">
        <v>50</v>
      </c>
      <c r="W38" t="s">
        <v>903</v>
      </c>
      <c r="X38" t="s">
        <v>1284</v>
      </c>
      <c r="Y38">
        <v>1440</v>
      </c>
      <c r="AA38" t="s">
        <v>128</v>
      </c>
      <c r="AB38">
        <v>2.6989700043360099</v>
      </c>
      <c r="AC38" t="s">
        <v>210</v>
      </c>
      <c r="AH38">
        <v>9.4232458739367999</v>
      </c>
      <c r="AI38">
        <v>2</v>
      </c>
      <c r="AZ38">
        <v>0</v>
      </c>
      <c r="BA38">
        <v>9.4232458739367999</v>
      </c>
    </row>
    <row r="39" spans="1:53" x14ac:dyDescent="0.3">
      <c r="A39" t="s">
        <v>1283</v>
      </c>
      <c r="C39" t="s">
        <v>1275</v>
      </c>
      <c r="E39">
        <v>10000000</v>
      </c>
      <c r="L39" t="s">
        <v>112</v>
      </c>
      <c r="O39">
        <v>109</v>
      </c>
      <c r="P39" t="s">
        <v>262</v>
      </c>
      <c r="S39">
        <v>2</v>
      </c>
      <c r="T39">
        <v>22</v>
      </c>
      <c r="V39">
        <v>50</v>
      </c>
      <c r="W39" t="s">
        <v>903</v>
      </c>
      <c r="X39" t="s">
        <v>1284</v>
      </c>
      <c r="Y39">
        <v>1440</v>
      </c>
      <c r="AB39">
        <v>9.7993405494535804</v>
      </c>
      <c r="AC39" t="s">
        <v>210</v>
      </c>
      <c r="AE39" t="s">
        <v>614</v>
      </c>
      <c r="AH39">
        <v>9.4232458739367999</v>
      </c>
      <c r="AI39">
        <v>3</v>
      </c>
      <c r="BA39">
        <v>9.4232458739367999</v>
      </c>
    </row>
    <row r="40" spans="1:53" x14ac:dyDescent="0.3">
      <c r="A40" t="s">
        <v>1283</v>
      </c>
      <c r="C40" t="s">
        <v>1275</v>
      </c>
      <c r="E40">
        <v>10000000</v>
      </c>
      <c r="L40" t="s">
        <v>112</v>
      </c>
      <c r="O40">
        <v>109</v>
      </c>
      <c r="P40" t="s">
        <v>262</v>
      </c>
      <c r="S40">
        <v>2</v>
      </c>
      <c r="T40">
        <v>22</v>
      </c>
      <c r="V40">
        <v>50</v>
      </c>
      <c r="W40" t="s">
        <v>903</v>
      </c>
      <c r="X40" t="s">
        <v>1284</v>
      </c>
      <c r="Y40">
        <v>1440</v>
      </c>
      <c r="AA40" t="s">
        <v>128</v>
      </c>
      <c r="AB40">
        <v>4</v>
      </c>
      <c r="AC40" t="s">
        <v>210</v>
      </c>
      <c r="AH40">
        <v>9.4232458739367999</v>
      </c>
      <c r="AI40">
        <v>2</v>
      </c>
      <c r="AZ40">
        <v>0</v>
      </c>
      <c r="BA40">
        <v>9.4232458739367999</v>
      </c>
    </row>
    <row r="41" spans="1:53" x14ac:dyDescent="0.3">
      <c r="A41" t="s">
        <v>1230</v>
      </c>
      <c r="C41" t="s">
        <v>1275</v>
      </c>
      <c r="D41" t="s">
        <v>81</v>
      </c>
      <c r="E41">
        <v>10000000</v>
      </c>
      <c r="H41">
        <v>1.44</v>
      </c>
      <c r="I41" t="s">
        <v>57</v>
      </c>
      <c r="J41">
        <v>1.44</v>
      </c>
      <c r="K41" t="s">
        <v>57</v>
      </c>
      <c r="L41" t="s">
        <v>112</v>
      </c>
      <c r="O41">
        <v>10</v>
      </c>
      <c r="P41" t="s">
        <v>1288</v>
      </c>
      <c r="T41">
        <v>27</v>
      </c>
      <c r="V41">
        <v>80</v>
      </c>
      <c r="W41" t="s">
        <v>1232</v>
      </c>
      <c r="X41" t="s">
        <v>1233</v>
      </c>
      <c r="Y41">
        <v>30</v>
      </c>
      <c r="AB41">
        <v>4.8</v>
      </c>
      <c r="AC41" t="s">
        <v>85</v>
      </c>
      <c r="AD41" t="s">
        <v>98</v>
      </c>
      <c r="AE41" t="s">
        <v>63</v>
      </c>
      <c r="AI41">
        <v>9</v>
      </c>
      <c r="AK41">
        <v>7.6</v>
      </c>
      <c r="AL41" t="s">
        <v>1167</v>
      </c>
      <c r="AM41">
        <v>7600</v>
      </c>
      <c r="AN41" t="s">
        <v>82</v>
      </c>
      <c r="AT41" t="s">
        <v>65</v>
      </c>
      <c r="AU41">
        <v>5.2777777777777777</v>
      </c>
      <c r="AV41" t="s">
        <v>1234</v>
      </c>
    </row>
    <row r="42" spans="1:53" x14ac:dyDescent="0.3">
      <c r="A42" t="s">
        <v>1230</v>
      </c>
      <c r="C42" t="s">
        <v>1275</v>
      </c>
      <c r="D42" t="s">
        <v>81</v>
      </c>
      <c r="E42">
        <v>10000000</v>
      </c>
      <c r="H42">
        <v>1.44</v>
      </c>
      <c r="I42" t="s">
        <v>57</v>
      </c>
      <c r="J42">
        <v>1.44</v>
      </c>
      <c r="K42" t="s">
        <v>57</v>
      </c>
      <c r="L42" t="s">
        <v>112</v>
      </c>
      <c r="O42">
        <v>0</v>
      </c>
      <c r="T42">
        <v>27</v>
      </c>
      <c r="V42">
        <v>80</v>
      </c>
      <c r="W42" t="s">
        <v>1232</v>
      </c>
      <c r="X42" t="s">
        <v>1233</v>
      </c>
      <c r="Y42">
        <v>30</v>
      </c>
      <c r="AB42">
        <v>4.7</v>
      </c>
      <c r="AC42" t="s">
        <v>85</v>
      </c>
      <c r="AD42" t="s">
        <v>98</v>
      </c>
      <c r="AE42" t="s">
        <v>63</v>
      </c>
      <c r="AI42">
        <v>9</v>
      </c>
      <c r="AK42">
        <v>7.6</v>
      </c>
      <c r="AL42" t="s">
        <v>1167</v>
      </c>
      <c r="AM42">
        <v>7600</v>
      </c>
      <c r="AN42" t="s">
        <v>82</v>
      </c>
      <c r="AT42" t="s">
        <v>65</v>
      </c>
      <c r="AU42">
        <v>5.2777777777777777</v>
      </c>
      <c r="AV42" t="s">
        <v>1234</v>
      </c>
    </row>
    <row r="43" spans="1:53" x14ac:dyDescent="0.3">
      <c r="A43" t="s">
        <v>1230</v>
      </c>
      <c r="C43" t="s">
        <v>1275</v>
      </c>
      <c r="D43" t="s">
        <v>81</v>
      </c>
      <c r="E43">
        <v>10000000</v>
      </c>
      <c r="H43">
        <v>1.44</v>
      </c>
      <c r="I43" t="s">
        <v>57</v>
      </c>
      <c r="J43">
        <v>1.44</v>
      </c>
      <c r="K43" t="s">
        <v>57</v>
      </c>
      <c r="L43" t="s">
        <v>112</v>
      </c>
      <c r="O43">
        <v>10</v>
      </c>
      <c r="P43" t="s">
        <v>1288</v>
      </c>
      <c r="T43">
        <v>27</v>
      </c>
      <c r="V43">
        <v>80</v>
      </c>
      <c r="W43" t="s">
        <v>1235</v>
      </c>
      <c r="X43" t="s">
        <v>1233</v>
      </c>
      <c r="Y43">
        <v>30</v>
      </c>
      <c r="AB43">
        <v>8.6</v>
      </c>
      <c r="AC43" t="s">
        <v>85</v>
      </c>
      <c r="AD43" t="s">
        <v>106</v>
      </c>
      <c r="AE43" t="s">
        <v>63</v>
      </c>
      <c r="AI43">
        <v>9</v>
      </c>
      <c r="AK43">
        <v>7.6</v>
      </c>
      <c r="AL43" t="s">
        <v>1167</v>
      </c>
      <c r="AM43">
        <v>7600</v>
      </c>
      <c r="AN43" t="s">
        <v>82</v>
      </c>
      <c r="AT43" t="s">
        <v>1236</v>
      </c>
      <c r="AU43">
        <v>5.2777777777777777</v>
      </c>
      <c r="AV43" t="s">
        <v>1234</v>
      </c>
    </row>
    <row r="44" spans="1:53" x14ac:dyDescent="0.3">
      <c r="A44" t="s">
        <v>1230</v>
      </c>
      <c r="C44" t="s">
        <v>1275</v>
      </c>
      <c r="D44" t="s">
        <v>81</v>
      </c>
      <c r="E44">
        <v>10000000</v>
      </c>
      <c r="H44">
        <v>1.44</v>
      </c>
      <c r="I44" t="s">
        <v>57</v>
      </c>
      <c r="J44">
        <v>1.44</v>
      </c>
      <c r="K44" t="s">
        <v>57</v>
      </c>
      <c r="L44" t="s">
        <v>112</v>
      </c>
      <c r="O44">
        <v>0</v>
      </c>
      <c r="T44">
        <v>27</v>
      </c>
      <c r="V44">
        <v>80</v>
      </c>
      <c r="W44" t="s">
        <v>1235</v>
      </c>
      <c r="X44" t="s">
        <v>1233</v>
      </c>
      <c r="Y44">
        <v>30</v>
      </c>
      <c r="AB44">
        <v>9.3000000000000007</v>
      </c>
      <c r="AC44" t="s">
        <v>85</v>
      </c>
      <c r="AD44" t="s">
        <v>328</v>
      </c>
      <c r="AE44" t="s">
        <v>63</v>
      </c>
      <c r="AI44">
        <v>9</v>
      </c>
      <c r="AK44">
        <v>7.6</v>
      </c>
      <c r="AL44" t="s">
        <v>1167</v>
      </c>
      <c r="AM44">
        <v>7600</v>
      </c>
      <c r="AN44" t="s">
        <v>82</v>
      </c>
      <c r="AT44" t="s">
        <v>1236</v>
      </c>
      <c r="AU44">
        <v>5.2777777777777777</v>
      </c>
      <c r="AV44" t="s">
        <v>1234</v>
      </c>
    </row>
    <row r="45" spans="1:53" x14ac:dyDescent="0.3">
      <c r="A45" t="s">
        <v>1230</v>
      </c>
      <c r="C45" t="s">
        <v>1275</v>
      </c>
      <c r="D45" t="s">
        <v>81</v>
      </c>
      <c r="E45">
        <v>10000000</v>
      </c>
      <c r="H45">
        <v>1.44</v>
      </c>
      <c r="I45" t="s">
        <v>57</v>
      </c>
      <c r="J45">
        <v>1.44</v>
      </c>
      <c r="K45" t="s">
        <v>57</v>
      </c>
      <c r="L45" t="s">
        <v>112</v>
      </c>
      <c r="O45">
        <v>10</v>
      </c>
      <c r="P45" t="s">
        <v>1288</v>
      </c>
      <c r="T45">
        <v>27</v>
      </c>
      <c r="V45">
        <v>80</v>
      </c>
      <c r="W45" t="s">
        <v>1237</v>
      </c>
      <c r="X45" t="s">
        <v>1233</v>
      </c>
      <c r="Y45">
        <v>30</v>
      </c>
      <c r="AB45">
        <v>4.9000000000000004</v>
      </c>
      <c r="AC45" t="s">
        <v>85</v>
      </c>
      <c r="AD45" t="s">
        <v>331</v>
      </c>
      <c r="AE45" t="s">
        <v>63</v>
      </c>
      <c r="AI45">
        <v>9</v>
      </c>
      <c r="AK45">
        <v>7.6</v>
      </c>
      <c r="AL45" t="s">
        <v>1167</v>
      </c>
      <c r="AM45">
        <v>7600</v>
      </c>
      <c r="AN45" t="s">
        <v>82</v>
      </c>
      <c r="AT45" t="s">
        <v>458</v>
      </c>
      <c r="AU45">
        <v>5.2777777777777777</v>
      </c>
      <c r="AV45" t="s">
        <v>1234</v>
      </c>
    </row>
    <row r="46" spans="1:53" x14ac:dyDescent="0.3">
      <c r="A46" t="s">
        <v>1230</v>
      </c>
      <c r="C46" t="s">
        <v>1275</v>
      </c>
      <c r="D46" t="s">
        <v>81</v>
      </c>
      <c r="E46">
        <v>10000000</v>
      </c>
      <c r="H46">
        <v>1.44</v>
      </c>
      <c r="I46" t="s">
        <v>57</v>
      </c>
      <c r="J46">
        <v>1.44</v>
      </c>
      <c r="K46" t="s">
        <v>57</v>
      </c>
      <c r="L46" t="s">
        <v>112</v>
      </c>
      <c r="O46">
        <v>0</v>
      </c>
      <c r="T46">
        <v>27</v>
      </c>
      <c r="V46">
        <v>80</v>
      </c>
      <c r="W46" t="s">
        <v>1237</v>
      </c>
      <c r="X46" t="s">
        <v>1233</v>
      </c>
      <c r="Y46">
        <v>30</v>
      </c>
      <c r="AB46">
        <v>8</v>
      </c>
      <c r="AC46" t="s">
        <v>85</v>
      </c>
      <c r="AD46" t="s">
        <v>321</v>
      </c>
      <c r="AE46" t="s">
        <v>63</v>
      </c>
      <c r="AI46">
        <v>9</v>
      </c>
      <c r="AK46">
        <v>7.6</v>
      </c>
      <c r="AL46" t="s">
        <v>1167</v>
      </c>
      <c r="AM46">
        <v>7600</v>
      </c>
      <c r="AN46" t="s">
        <v>82</v>
      </c>
      <c r="AT46" t="s">
        <v>458</v>
      </c>
      <c r="AU46">
        <v>5.2777777777777777</v>
      </c>
      <c r="AV46" t="s">
        <v>1234</v>
      </c>
    </row>
    <row r="47" spans="1:53" x14ac:dyDescent="0.3">
      <c r="A47" t="s">
        <v>1230</v>
      </c>
      <c r="C47" t="s">
        <v>1275</v>
      </c>
      <c r="D47" t="s">
        <v>81</v>
      </c>
      <c r="E47">
        <v>10000000</v>
      </c>
      <c r="H47">
        <v>1.44</v>
      </c>
      <c r="I47" t="s">
        <v>57</v>
      </c>
      <c r="J47">
        <v>1.44</v>
      </c>
      <c r="K47" t="s">
        <v>57</v>
      </c>
      <c r="L47" t="s">
        <v>112</v>
      </c>
      <c r="O47">
        <v>10</v>
      </c>
      <c r="P47" t="s">
        <v>1288</v>
      </c>
      <c r="T47">
        <v>27</v>
      </c>
      <c r="V47">
        <v>80</v>
      </c>
      <c r="W47" t="s">
        <v>1232</v>
      </c>
      <c r="X47" t="s">
        <v>1233</v>
      </c>
      <c r="Y47">
        <v>30</v>
      </c>
      <c r="AB47">
        <v>8.6</v>
      </c>
      <c r="AC47" t="s">
        <v>85</v>
      </c>
      <c r="AD47" t="s">
        <v>334</v>
      </c>
      <c r="AE47" t="s">
        <v>63</v>
      </c>
      <c r="AI47">
        <v>9</v>
      </c>
      <c r="AK47">
        <v>7.6</v>
      </c>
      <c r="AL47" t="s">
        <v>1167</v>
      </c>
      <c r="AM47">
        <v>7600</v>
      </c>
      <c r="AN47" t="s">
        <v>82</v>
      </c>
      <c r="AT47" t="s">
        <v>65</v>
      </c>
      <c r="AU47">
        <v>5.2777777777777777</v>
      </c>
      <c r="AV47" t="s">
        <v>1234</v>
      </c>
    </row>
    <row r="48" spans="1:53" x14ac:dyDescent="0.3">
      <c r="A48" t="s">
        <v>1230</v>
      </c>
      <c r="C48" t="s">
        <v>1275</v>
      </c>
      <c r="D48" t="s">
        <v>81</v>
      </c>
      <c r="E48">
        <v>10000000</v>
      </c>
      <c r="H48">
        <v>1.44</v>
      </c>
      <c r="I48" t="s">
        <v>57</v>
      </c>
      <c r="J48">
        <v>1.44</v>
      </c>
      <c r="K48" t="s">
        <v>57</v>
      </c>
      <c r="L48" t="s">
        <v>112</v>
      </c>
      <c r="O48">
        <v>0</v>
      </c>
      <c r="T48">
        <v>27</v>
      </c>
      <c r="V48">
        <v>80</v>
      </c>
      <c r="W48" t="s">
        <v>1232</v>
      </c>
      <c r="X48" t="s">
        <v>1233</v>
      </c>
      <c r="Y48">
        <v>30</v>
      </c>
      <c r="AB48">
        <v>6.6</v>
      </c>
      <c r="AC48" t="s">
        <v>85</v>
      </c>
      <c r="AD48" t="s">
        <v>98</v>
      </c>
      <c r="AE48" t="s">
        <v>63</v>
      </c>
      <c r="AI48">
        <v>9</v>
      </c>
      <c r="AK48">
        <v>7.6</v>
      </c>
      <c r="AL48" t="s">
        <v>1167</v>
      </c>
      <c r="AM48">
        <v>7600</v>
      </c>
      <c r="AN48" t="s">
        <v>82</v>
      </c>
      <c r="AT48" t="s">
        <v>65</v>
      </c>
      <c r="AU48">
        <v>5.2777777777777777</v>
      </c>
      <c r="AV48" t="s">
        <v>1234</v>
      </c>
    </row>
    <row r="49" spans="1:48" x14ac:dyDescent="0.3">
      <c r="A49" t="s">
        <v>1230</v>
      </c>
      <c r="C49" t="s">
        <v>1275</v>
      </c>
      <c r="D49" t="s">
        <v>81</v>
      </c>
      <c r="E49">
        <v>10000000</v>
      </c>
      <c r="H49">
        <v>1.44</v>
      </c>
      <c r="I49" t="s">
        <v>57</v>
      </c>
      <c r="J49">
        <v>1.44</v>
      </c>
      <c r="K49" t="s">
        <v>57</v>
      </c>
      <c r="L49" t="s">
        <v>112</v>
      </c>
      <c r="O49">
        <v>10</v>
      </c>
      <c r="P49" t="s">
        <v>1288</v>
      </c>
      <c r="T49">
        <v>27</v>
      </c>
      <c r="V49">
        <v>80</v>
      </c>
      <c r="W49" t="s">
        <v>1235</v>
      </c>
      <c r="X49" t="s">
        <v>1233</v>
      </c>
      <c r="Y49">
        <v>30</v>
      </c>
      <c r="AB49">
        <v>9.1</v>
      </c>
      <c r="AC49" t="s">
        <v>85</v>
      </c>
      <c r="AD49" t="s">
        <v>331</v>
      </c>
      <c r="AE49" t="s">
        <v>63</v>
      </c>
      <c r="AI49">
        <v>9</v>
      </c>
      <c r="AK49">
        <v>7.6</v>
      </c>
      <c r="AL49" t="s">
        <v>1167</v>
      </c>
      <c r="AM49">
        <v>7600</v>
      </c>
      <c r="AN49" t="s">
        <v>82</v>
      </c>
      <c r="AT49" t="s">
        <v>1236</v>
      </c>
      <c r="AU49">
        <v>5.2777777777777777</v>
      </c>
      <c r="AV49" t="s">
        <v>1234</v>
      </c>
    </row>
    <row r="50" spans="1:48" x14ac:dyDescent="0.3">
      <c r="A50" t="s">
        <v>1230</v>
      </c>
      <c r="C50" t="s">
        <v>1275</v>
      </c>
      <c r="D50" t="s">
        <v>81</v>
      </c>
      <c r="E50">
        <v>10000000</v>
      </c>
      <c r="H50">
        <v>1.44</v>
      </c>
      <c r="I50" t="s">
        <v>57</v>
      </c>
      <c r="J50">
        <v>1.44</v>
      </c>
      <c r="K50" t="s">
        <v>57</v>
      </c>
      <c r="L50" t="s">
        <v>112</v>
      </c>
      <c r="O50">
        <v>0</v>
      </c>
      <c r="T50">
        <v>27</v>
      </c>
      <c r="V50">
        <v>80</v>
      </c>
      <c r="W50" t="s">
        <v>1235</v>
      </c>
      <c r="X50" t="s">
        <v>1233</v>
      </c>
      <c r="Y50">
        <v>30</v>
      </c>
      <c r="AB50">
        <v>9</v>
      </c>
      <c r="AC50" t="s">
        <v>85</v>
      </c>
      <c r="AD50" t="s">
        <v>322</v>
      </c>
      <c r="AE50" t="s">
        <v>63</v>
      </c>
      <c r="AI50">
        <v>9</v>
      </c>
      <c r="AK50">
        <v>7.6</v>
      </c>
      <c r="AL50" t="s">
        <v>1167</v>
      </c>
      <c r="AM50">
        <v>7600</v>
      </c>
      <c r="AN50" t="s">
        <v>82</v>
      </c>
      <c r="AT50" t="s">
        <v>1236</v>
      </c>
      <c r="AU50">
        <v>5.2777777777777777</v>
      </c>
      <c r="AV50" t="s">
        <v>1234</v>
      </c>
    </row>
    <row r="51" spans="1:48" x14ac:dyDescent="0.3">
      <c r="A51" t="s">
        <v>1230</v>
      </c>
      <c r="C51" t="s">
        <v>1275</v>
      </c>
      <c r="D51" t="s">
        <v>81</v>
      </c>
      <c r="E51">
        <v>10000000</v>
      </c>
      <c r="H51">
        <v>1.44</v>
      </c>
      <c r="I51" t="s">
        <v>57</v>
      </c>
      <c r="J51">
        <v>1.44</v>
      </c>
      <c r="K51" t="s">
        <v>57</v>
      </c>
      <c r="L51" t="s">
        <v>112</v>
      </c>
      <c r="O51">
        <v>10</v>
      </c>
      <c r="P51" t="s">
        <v>1288</v>
      </c>
      <c r="T51">
        <v>27</v>
      </c>
      <c r="V51">
        <v>80</v>
      </c>
      <c r="W51" t="s">
        <v>1237</v>
      </c>
      <c r="X51" t="s">
        <v>1233</v>
      </c>
      <c r="Y51">
        <v>30</v>
      </c>
      <c r="AB51">
        <v>8.6999999999999904</v>
      </c>
      <c r="AC51" t="s">
        <v>85</v>
      </c>
      <c r="AD51" t="s">
        <v>322</v>
      </c>
      <c r="AE51" t="s">
        <v>63</v>
      </c>
      <c r="AI51">
        <v>9</v>
      </c>
      <c r="AK51">
        <v>7.6</v>
      </c>
      <c r="AL51" t="s">
        <v>1167</v>
      </c>
      <c r="AM51">
        <v>7600</v>
      </c>
      <c r="AN51" t="s">
        <v>82</v>
      </c>
      <c r="AT51" t="s">
        <v>458</v>
      </c>
      <c r="AU51">
        <v>5.2777777777777777</v>
      </c>
      <c r="AV51" t="s">
        <v>1234</v>
      </c>
    </row>
    <row r="52" spans="1:48" x14ac:dyDescent="0.3">
      <c r="A52" t="s">
        <v>1230</v>
      </c>
      <c r="C52" t="s">
        <v>1275</v>
      </c>
      <c r="D52" t="s">
        <v>81</v>
      </c>
      <c r="E52">
        <v>10000000</v>
      </c>
      <c r="H52">
        <v>1.44</v>
      </c>
      <c r="I52" t="s">
        <v>57</v>
      </c>
      <c r="J52">
        <v>1.44</v>
      </c>
      <c r="K52" t="s">
        <v>57</v>
      </c>
      <c r="L52" t="s">
        <v>112</v>
      </c>
      <c r="O52">
        <v>0</v>
      </c>
      <c r="T52">
        <v>27</v>
      </c>
      <c r="V52">
        <v>80</v>
      </c>
      <c r="W52" t="s">
        <v>1237</v>
      </c>
      <c r="X52" t="s">
        <v>1233</v>
      </c>
      <c r="Y52">
        <v>30</v>
      </c>
      <c r="AB52">
        <v>8.9</v>
      </c>
      <c r="AC52" t="s">
        <v>85</v>
      </c>
      <c r="AD52" t="s">
        <v>1289</v>
      </c>
      <c r="AE52" t="s">
        <v>63</v>
      </c>
      <c r="AI52">
        <v>9</v>
      </c>
      <c r="AK52">
        <v>7.6</v>
      </c>
      <c r="AL52" t="s">
        <v>1167</v>
      </c>
      <c r="AM52">
        <v>7600</v>
      </c>
      <c r="AN52" t="s">
        <v>82</v>
      </c>
      <c r="AT52" t="s">
        <v>458</v>
      </c>
      <c r="AU52">
        <v>5.2777777777777777</v>
      </c>
      <c r="AV52" t="s">
        <v>1234</v>
      </c>
    </row>
    <row r="53" spans="1:48" x14ac:dyDescent="0.3">
      <c r="A53" t="s">
        <v>1290</v>
      </c>
      <c r="C53" t="s">
        <v>1275</v>
      </c>
      <c r="D53" t="s">
        <v>81</v>
      </c>
      <c r="E53">
        <v>10000000</v>
      </c>
      <c r="H53">
        <v>1.33</v>
      </c>
      <c r="I53" t="s">
        <v>56</v>
      </c>
      <c r="J53">
        <v>1.3300000000000001E-4</v>
      </c>
      <c r="K53" t="s">
        <v>57</v>
      </c>
      <c r="O53">
        <v>10</v>
      </c>
      <c r="P53" t="s">
        <v>1291</v>
      </c>
      <c r="T53">
        <v>25</v>
      </c>
      <c r="V53">
        <v>50</v>
      </c>
      <c r="W53" t="s">
        <v>388</v>
      </c>
      <c r="X53" t="s">
        <v>932</v>
      </c>
      <c r="Y53">
        <v>3</v>
      </c>
      <c r="AB53">
        <v>0.7</v>
      </c>
      <c r="AC53" t="s">
        <v>85</v>
      </c>
      <c r="AT53" t="s">
        <v>65</v>
      </c>
      <c r="AV53" t="s">
        <v>88</v>
      </c>
    </row>
    <row r="54" spans="1:48" x14ac:dyDescent="0.3">
      <c r="A54" t="s">
        <v>1290</v>
      </c>
      <c r="C54" t="s">
        <v>1275</v>
      </c>
      <c r="D54" t="s">
        <v>81</v>
      </c>
      <c r="E54">
        <v>10000000</v>
      </c>
      <c r="H54">
        <v>1.33</v>
      </c>
      <c r="I54" t="s">
        <v>56</v>
      </c>
      <c r="J54">
        <v>1.3300000000000001E-4</v>
      </c>
      <c r="K54" t="s">
        <v>57</v>
      </c>
      <c r="O54">
        <v>10</v>
      </c>
      <c r="P54" t="s">
        <v>1291</v>
      </c>
      <c r="T54">
        <v>25</v>
      </c>
      <c r="V54">
        <v>50</v>
      </c>
      <c r="W54" t="s">
        <v>384</v>
      </c>
      <c r="X54" t="s">
        <v>932</v>
      </c>
      <c r="Y54">
        <v>3</v>
      </c>
      <c r="AB54">
        <v>1.05</v>
      </c>
      <c r="AC54" t="s">
        <v>85</v>
      </c>
      <c r="AV54" t="s">
        <v>88</v>
      </c>
    </row>
    <row r="55" spans="1:48" x14ac:dyDescent="0.3">
      <c r="A55" t="s">
        <v>1290</v>
      </c>
      <c r="C55" t="s">
        <v>1275</v>
      </c>
      <c r="D55" t="s">
        <v>81</v>
      </c>
      <c r="E55">
        <v>10000000</v>
      </c>
      <c r="H55">
        <v>1.33</v>
      </c>
      <c r="I55" t="s">
        <v>56</v>
      </c>
      <c r="J55">
        <v>1.3300000000000001E-4</v>
      </c>
      <c r="K55" t="s">
        <v>57</v>
      </c>
      <c r="O55">
        <v>5</v>
      </c>
      <c r="P55" t="s">
        <v>1291</v>
      </c>
      <c r="T55">
        <v>25</v>
      </c>
      <c r="V55">
        <v>50</v>
      </c>
      <c r="W55" t="s">
        <v>1292</v>
      </c>
      <c r="X55" t="s">
        <v>932</v>
      </c>
      <c r="Y55">
        <v>3</v>
      </c>
      <c r="AB55">
        <v>3.2</v>
      </c>
      <c r="AC55" t="s">
        <v>85</v>
      </c>
      <c r="AT55" t="s">
        <v>65</v>
      </c>
      <c r="AV55" t="s">
        <v>88</v>
      </c>
    </row>
    <row r="56" spans="1:48" x14ac:dyDescent="0.3">
      <c r="A56" t="s">
        <v>1290</v>
      </c>
      <c r="C56" t="s">
        <v>1275</v>
      </c>
      <c r="D56" t="s">
        <v>81</v>
      </c>
      <c r="E56">
        <v>10000000</v>
      </c>
      <c r="H56">
        <v>1.33</v>
      </c>
      <c r="I56" t="s">
        <v>56</v>
      </c>
      <c r="J56">
        <v>1.3300000000000001E-4</v>
      </c>
      <c r="K56" t="s">
        <v>57</v>
      </c>
      <c r="O56">
        <v>5</v>
      </c>
      <c r="P56" t="s">
        <v>1291</v>
      </c>
      <c r="T56">
        <v>25</v>
      </c>
      <c r="V56">
        <v>50</v>
      </c>
      <c r="W56" t="s">
        <v>1292</v>
      </c>
      <c r="X56" t="s">
        <v>932</v>
      </c>
      <c r="Y56">
        <v>3</v>
      </c>
      <c r="AB56">
        <v>1</v>
      </c>
      <c r="AC56" t="s">
        <v>85</v>
      </c>
      <c r="AT56" t="s">
        <v>65</v>
      </c>
      <c r="AV56" t="s">
        <v>88</v>
      </c>
    </row>
    <row r="57" spans="1:48" x14ac:dyDescent="0.3">
      <c r="A57" t="s">
        <v>1290</v>
      </c>
      <c r="C57" t="s">
        <v>1275</v>
      </c>
      <c r="D57" t="s">
        <v>81</v>
      </c>
      <c r="E57">
        <v>10000000</v>
      </c>
      <c r="H57">
        <v>1.33</v>
      </c>
      <c r="I57" t="s">
        <v>56</v>
      </c>
      <c r="J57">
        <v>1.3300000000000001E-4</v>
      </c>
      <c r="K57" t="s">
        <v>57</v>
      </c>
      <c r="O57">
        <v>5</v>
      </c>
      <c r="P57" t="s">
        <v>1291</v>
      </c>
      <c r="T57">
        <v>25</v>
      </c>
      <c r="V57">
        <v>50</v>
      </c>
      <c r="W57" t="s">
        <v>1292</v>
      </c>
      <c r="X57" t="s">
        <v>932</v>
      </c>
      <c r="Y57">
        <v>3</v>
      </c>
      <c r="AB57">
        <v>0.8</v>
      </c>
      <c r="AC57" t="s">
        <v>85</v>
      </c>
      <c r="AT57" t="s">
        <v>65</v>
      </c>
      <c r="AV57" t="s">
        <v>88</v>
      </c>
    </row>
    <row r="58" spans="1:48" x14ac:dyDescent="0.3">
      <c r="A58" t="s">
        <v>1290</v>
      </c>
      <c r="C58" t="s">
        <v>1275</v>
      </c>
      <c r="D58" t="s">
        <v>81</v>
      </c>
      <c r="E58">
        <v>10000000</v>
      </c>
      <c r="H58">
        <v>1.33</v>
      </c>
      <c r="I58" t="s">
        <v>56</v>
      </c>
      <c r="J58">
        <v>1.3300000000000001E-4</v>
      </c>
      <c r="K58" t="s">
        <v>57</v>
      </c>
      <c r="O58">
        <v>5</v>
      </c>
      <c r="P58" t="s">
        <v>1291</v>
      </c>
      <c r="T58">
        <v>25</v>
      </c>
      <c r="V58">
        <v>50</v>
      </c>
      <c r="W58" t="s">
        <v>1292</v>
      </c>
      <c r="X58" t="s">
        <v>932</v>
      </c>
      <c r="Y58">
        <v>3</v>
      </c>
      <c r="AB58">
        <v>0.14000000000000001</v>
      </c>
      <c r="AC58" t="s">
        <v>85</v>
      </c>
      <c r="AT58" t="s">
        <v>65</v>
      </c>
      <c r="AV58" t="s">
        <v>88</v>
      </c>
    </row>
    <row r="59" spans="1:48" x14ac:dyDescent="0.3">
      <c r="A59" t="s">
        <v>1290</v>
      </c>
      <c r="C59" t="s">
        <v>1275</v>
      </c>
      <c r="D59" t="s">
        <v>81</v>
      </c>
      <c r="E59">
        <v>10000000</v>
      </c>
      <c r="H59">
        <v>1.33</v>
      </c>
      <c r="I59" t="s">
        <v>56</v>
      </c>
      <c r="J59">
        <v>1.3300000000000001E-4</v>
      </c>
      <c r="K59" t="s">
        <v>57</v>
      </c>
      <c r="O59">
        <v>5</v>
      </c>
      <c r="P59" t="s">
        <v>1291</v>
      </c>
      <c r="T59">
        <v>25</v>
      </c>
      <c r="V59">
        <v>50</v>
      </c>
      <c r="W59" t="s">
        <v>1292</v>
      </c>
      <c r="X59" t="s">
        <v>932</v>
      </c>
      <c r="Y59">
        <v>3</v>
      </c>
      <c r="AB59">
        <v>0.2</v>
      </c>
      <c r="AC59" t="s">
        <v>85</v>
      </c>
      <c r="AT59" t="s">
        <v>65</v>
      </c>
      <c r="AV59" t="s">
        <v>88</v>
      </c>
    </row>
    <row r="60" spans="1:48" x14ac:dyDescent="0.3">
      <c r="A60" t="s">
        <v>1290</v>
      </c>
      <c r="C60" t="s">
        <v>1275</v>
      </c>
      <c r="D60" t="s">
        <v>81</v>
      </c>
      <c r="E60">
        <v>10000000</v>
      </c>
      <c r="H60">
        <v>1.33</v>
      </c>
      <c r="I60" t="s">
        <v>56</v>
      </c>
      <c r="J60">
        <v>1.3300000000000001E-4</v>
      </c>
      <c r="K60" t="s">
        <v>57</v>
      </c>
      <c r="O60">
        <v>5</v>
      </c>
      <c r="P60" t="s">
        <v>1291</v>
      </c>
      <c r="T60">
        <v>25</v>
      </c>
      <c r="V60">
        <v>50</v>
      </c>
      <c r="W60" t="s">
        <v>1292</v>
      </c>
      <c r="X60" t="s">
        <v>932</v>
      </c>
      <c r="Y60">
        <v>3</v>
      </c>
      <c r="AB60">
        <v>0.14000000000000001</v>
      </c>
      <c r="AC60" t="s">
        <v>85</v>
      </c>
      <c r="AT60" t="s">
        <v>65</v>
      </c>
      <c r="AV60" t="s">
        <v>88</v>
      </c>
    </row>
    <row r="61" spans="1:48" x14ac:dyDescent="0.3">
      <c r="A61" t="s">
        <v>1290</v>
      </c>
      <c r="C61" t="s">
        <v>1275</v>
      </c>
      <c r="D61" t="s">
        <v>81</v>
      </c>
      <c r="E61">
        <v>10000000</v>
      </c>
      <c r="H61">
        <v>1.33</v>
      </c>
      <c r="I61" t="s">
        <v>56</v>
      </c>
      <c r="J61">
        <v>1.3300000000000001E-4</v>
      </c>
      <c r="K61" t="s">
        <v>57</v>
      </c>
      <c r="O61">
        <v>5</v>
      </c>
      <c r="P61" t="s">
        <v>1291</v>
      </c>
      <c r="T61">
        <v>25</v>
      </c>
      <c r="V61">
        <v>50</v>
      </c>
      <c r="W61" t="s">
        <v>1292</v>
      </c>
      <c r="X61" t="s">
        <v>932</v>
      </c>
      <c r="Y61">
        <v>3</v>
      </c>
      <c r="AB61">
        <v>0</v>
      </c>
      <c r="AC61" t="s">
        <v>85</v>
      </c>
      <c r="AT61" t="s">
        <v>65</v>
      </c>
      <c r="AV61" t="s">
        <v>88</v>
      </c>
    </row>
    <row r="62" spans="1:48" x14ac:dyDescent="0.3">
      <c r="A62" t="s">
        <v>1290</v>
      </c>
      <c r="C62" t="s">
        <v>1275</v>
      </c>
      <c r="D62" t="s">
        <v>81</v>
      </c>
      <c r="E62">
        <v>10000000</v>
      </c>
      <c r="H62">
        <v>1.33</v>
      </c>
      <c r="I62" t="s">
        <v>56</v>
      </c>
      <c r="J62">
        <v>1.3300000000000001E-4</v>
      </c>
      <c r="K62" t="s">
        <v>57</v>
      </c>
      <c r="L62" t="s">
        <v>112</v>
      </c>
      <c r="O62">
        <v>0</v>
      </c>
      <c r="P62" t="s">
        <v>59</v>
      </c>
      <c r="T62">
        <v>25</v>
      </c>
      <c r="V62">
        <v>50</v>
      </c>
      <c r="W62" t="s">
        <v>1292</v>
      </c>
      <c r="X62" t="s">
        <v>1293</v>
      </c>
      <c r="Y62">
        <v>3</v>
      </c>
      <c r="AB62">
        <v>5</v>
      </c>
      <c r="AC62" t="s">
        <v>85</v>
      </c>
      <c r="AK62">
        <v>0.5</v>
      </c>
      <c r="AL62" t="s">
        <v>82</v>
      </c>
      <c r="AM62">
        <v>0.5</v>
      </c>
      <c r="AN62" t="s">
        <v>82</v>
      </c>
      <c r="AT62" t="s">
        <v>65</v>
      </c>
      <c r="AU62">
        <v>3.759398496240602</v>
      </c>
      <c r="AV62" t="s">
        <v>115</v>
      </c>
    </row>
    <row r="63" spans="1:48" x14ac:dyDescent="0.3">
      <c r="A63" t="s">
        <v>1290</v>
      </c>
      <c r="C63" t="s">
        <v>1275</v>
      </c>
      <c r="D63" t="s">
        <v>81</v>
      </c>
      <c r="E63">
        <v>10000000</v>
      </c>
      <c r="H63">
        <v>1.33</v>
      </c>
      <c r="I63" t="s">
        <v>56</v>
      </c>
      <c r="J63">
        <v>1.3300000000000001E-4</v>
      </c>
      <c r="K63" t="s">
        <v>57</v>
      </c>
      <c r="L63" t="s">
        <v>112</v>
      </c>
      <c r="O63">
        <v>0</v>
      </c>
      <c r="P63" t="s">
        <v>59</v>
      </c>
      <c r="T63">
        <v>25</v>
      </c>
      <c r="V63">
        <v>50</v>
      </c>
      <c r="W63" t="s">
        <v>1292</v>
      </c>
      <c r="X63" t="s">
        <v>1293</v>
      </c>
      <c r="Y63">
        <v>3</v>
      </c>
      <c r="AB63">
        <v>4.9000000000000004</v>
      </c>
      <c r="AC63" t="s">
        <v>85</v>
      </c>
      <c r="AK63">
        <v>0.5</v>
      </c>
      <c r="AL63" t="s">
        <v>82</v>
      </c>
      <c r="AM63">
        <v>0.5</v>
      </c>
      <c r="AN63" t="s">
        <v>82</v>
      </c>
      <c r="AT63" t="s">
        <v>65</v>
      </c>
      <c r="AU63">
        <v>3.759398496240602</v>
      </c>
      <c r="AV63" t="s">
        <v>115</v>
      </c>
    </row>
    <row r="64" spans="1:48" x14ac:dyDescent="0.3">
      <c r="A64" t="s">
        <v>1290</v>
      </c>
      <c r="C64" t="s">
        <v>1275</v>
      </c>
      <c r="D64" t="s">
        <v>81</v>
      </c>
      <c r="E64">
        <v>10000000</v>
      </c>
      <c r="H64">
        <v>1.33</v>
      </c>
      <c r="I64" t="s">
        <v>56</v>
      </c>
      <c r="J64">
        <v>1.3300000000000001E-4</v>
      </c>
      <c r="K64" t="s">
        <v>57</v>
      </c>
      <c r="L64" t="s">
        <v>112</v>
      </c>
      <c r="O64">
        <v>0</v>
      </c>
      <c r="P64" t="s">
        <v>59</v>
      </c>
      <c r="T64">
        <v>25</v>
      </c>
      <c r="V64">
        <v>50</v>
      </c>
      <c r="W64" t="s">
        <v>1292</v>
      </c>
      <c r="X64" t="s">
        <v>1293</v>
      </c>
      <c r="Y64">
        <v>3</v>
      </c>
      <c r="AB64">
        <v>4.9000000000000004</v>
      </c>
      <c r="AC64" t="s">
        <v>85</v>
      </c>
      <c r="AK64">
        <v>0.5</v>
      </c>
      <c r="AL64" t="s">
        <v>82</v>
      </c>
      <c r="AM64">
        <v>0.5</v>
      </c>
      <c r="AN64" t="s">
        <v>82</v>
      </c>
      <c r="AT64" t="s">
        <v>65</v>
      </c>
      <c r="AU64">
        <v>3.759398496240602</v>
      </c>
      <c r="AV64" t="s">
        <v>115</v>
      </c>
    </row>
    <row r="65" spans="1:48" x14ac:dyDescent="0.3">
      <c r="A65" t="s">
        <v>1290</v>
      </c>
      <c r="C65" t="s">
        <v>1275</v>
      </c>
      <c r="D65" t="s">
        <v>81</v>
      </c>
      <c r="E65">
        <v>10000000</v>
      </c>
      <c r="H65">
        <v>1.33</v>
      </c>
      <c r="I65" t="s">
        <v>56</v>
      </c>
      <c r="J65">
        <v>1.3300000000000001E-4</v>
      </c>
      <c r="K65" t="s">
        <v>57</v>
      </c>
      <c r="L65" t="s">
        <v>112</v>
      </c>
      <c r="O65">
        <v>0</v>
      </c>
      <c r="P65" t="s">
        <v>59</v>
      </c>
      <c r="T65">
        <v>25</v>
      </c>
      <c r="V65">
        <v>50</v>
      </c>
      <c r="W65" t="s">
        <v>1292</v>
      </c>
      <c r="X65" t="s">
        <v>1293</v>
      </c>
      <c r="Y65">
        <v>3</v>
      </c>
      <c r="AB65">
        <v>4.7</v>
      </c>
      <c r="AC65" t="s">
        <v>85</v>
      </c>
      <c r="AK65">
        <v>0.5</v>
      </c>
      <c r="AL65" t="s">
        <v>82</v>
      </c>
      <c r="AM65">
        <v>0.5</v>
      </c>
      <c r="AN65" t="s">
        <v>82</v>
      </c>
      <c r="AT65" t="s">
        <v>65</v>
      </c>
      <c r="AU65">
        <v>3.759398496240602</v>
      </c>
      <c r="AV65" t="s">
        <v>115</v>
      </c>
    </row>
    <row r="66" spans="1:48" x14ac:dyDescent="0.3">
      <c r="A66" t="s">
        <v>1290</v>
      </c>
      <c r="C66" t="s">
        <v>1275</v>
      </c>
      <c r="D66" t="s">
        <v>81</v>
      </c>
      <c r="E66">
        <v>10000000</v>
      </c>
      <c r="H66">
        <v>1.33</v>
      </c>
      <c r="I66" t="s">
        <v>56</v>
      </c>
      <c r="J66">
        <v>1.3300000000000001E-4</v>
      </c>
      <c r="K66" t="s">
        <v>57</v>
      </c>
      <c r="L66" t="s">
        <v>112</v>
      </c>
      <c r="O66">
        <v>0</v>
      </c>
      <c r="P66" t="s">
        <v>59</v>
      </c>
      <c r="T66">
        <v>25</v>
      </c>
      <c r="V66">
        <v>50</v>
      </c>
      <c r="W66" t="s">
        <v>1292</v>
      </c>
      <c r="X66" t="s">
        <v>1293</v>
      </c>
      <c r="Y66">
        <v>3</v>
      </c>
      <c r="AB66">
        <v>4.7</v>
      </c>
      <c r="AC66" t="s">
        <v>85</v>
      </c>
      <c r="AK66">
        <v>0.5</v>
      </c>
      <c r="AL66" t="s">
        <v>82</v>
      </c>
      <c r="AM66">
        <v>0.5</v>
      </c>
      <c r="AN66" t="s">
        <v>82</v>
      </c>
      <c r="AT66" t="s">
        <v>65</v>
      </c>
      <c r="AU66">
        <v>3.759398496240602</v>
      </c>
      <c r="AV66" t="s">
        <v>115</v>
      </c>
    </row>
    <row r="67" spans="1:48" x14ac:dyDescent="0.3">
      <c r="A67" t="s">
        <v>1290</v>
      </c>
      <c r="C67" t="s">
        <v>1275</v>
      </c>
      <c r="D67" t="s">
        <v>81</v>
      </c>
      <c r="E67">
        <v>10000000</v>
      </c>
      <c r="H67">
        <v>1.33</v>
      </c>
      <c r="I67" t="s">
        <v>56</v>
      </c>
      <c r="J67">
        <v>1.3300000000000001E-4</v>
      </c>
      <c r="K67" t="s">
        <v>57</v>
      </c>
      <c r="L67" t="s">
        <v>112</v>
      </c>
      <c r="O67">
        <v>0</v>
      </c>
      <c r="P67" t="s">
        <v>59</v>
      </c>
      <c r="T67">
        <v>25</v>
      </c>
      <c r="V67">
        <v>50</v>
      </c>
      <c r="W67" t="s">
        <v>1292</v>
      </c>
      <c r="X67" t="s">
        <v>1293</v>
      </c>
      <c r="Y67">
        <v>3</v>
      </c>
      <c r="AB67">
        <v>4</v>
      </c>
      <c r="AC67" t="s">
        <v>85</v>
      </c>
      <c r="AK67">
        <v>0.5</v>
      </c>
      <c r="AL67" t="s">
        <v>82</v>
      </c>
      <c r="AM67">
        <v>0.5</v>
      </c>
      <c r="AN67" t="s">
        <v>82</v>
      </c>
      <c r="AT67" t="s">
        <v>65</v>
      </c>
      <c r="AU67">
        <v>3.759398496240602</v>
      </c>
      <c r="AV67" t="s">
        <v>115</v>
      </c>
    </row>
    <row r="68" spans="1:48" x14ac:dyDescent="0.3">
      <c r="A68" t="s">
        <v>1290</v>
      </c>
      <c r="C68" t="s">
        <v>1275</v>
      </c>
      <c r="D68" t="s">
        <v>81</v>
      </c>
      <c r="E68">
        <v>10000000</v>
      </c>
      <c r="H68">
        <v>1.33</v>
      </c>
      <c r="I68" t="s">
        <v>56</v>
      </c>
      <c r="J68">
        <v>1.3300000000000001E-4</v>
      </c>
      <c r="K68" t="s">
        <v>57</v>
      </c>
      <c r="L68" t="s">
        <v>112</v>
      </c>
      <c r="O68">
        <v>0</v>
      </c>
      <c r="P68" t="s">
        <v>59</v>
      </c>
      <c r="T68">
        <v>25</v>
      </c>
      <c r="V68">
        <v>50</v>
      </c>
      <c r="W68" t="s">
        <v>1292</v>
      </c>
      <c r="X68" t="s">
        <v>1293</v>
      </c>
      <c r="Y68">
        <v>3</v>
      </c>
      <c r="AB68">
        <v>3.5</v>
      </c>
      <c r="AC68" t="s">
        <v>85</v>
      </c>
      <c r="AK68">
        <v>0.5</v>
      </c>
      <c r="AL68" t="s">
        <v>82</v>
      </c>
      <c r="AM68">
        <v>0.5</v>
      </c>
      <c r="AN68" t="s">
        <v>82</v>
      </c>
      <c r="AT68" t="s">
        <v>65</v>
      </c>
      <c r="AU68">
        <v>3.759398496240602</v>
      </c>
      <c r="AV68" t="s">
        <v>115</v>
      </c>
    </row>
    <row r="69" spans="1:48" x14ac:dyDescent="0.3">
      <c r="A69" t="s">
        <v>1290</v>
      </c>
      <c r="C69" t="s">
        <v>1275</v>
      </c>
      <c r="D69" t="s">
        <v>81</v>
      </c>
      <c r="E69">
        <v>10000000</v>
      </c>
      <c r="H69">
        <v>1.33</v>
      </c>
      <c r="I69" t="s">
        <v>56</v>
      </c>
      <c r="J69">
        <v>1.3300000000000001E-4</v>
      </c>
      <c r="K69" t="s">
        <v>57</v>
      </c>
      <c r="L69" t="s">
        <v>112</v>
      </c>
      <c r="O69">
        <v>0.3</v>
      </c>
      <c r="P69" t="s">
        <v>59</v>
      </c>
      <c r="T69">
        <v>25</v>
      </c>
      <c r="V69">
        <v>50</v>
      </c>
      <c r="W69" t="s">
        <v>1292</v>
      </c>
      <c r="X69" t="s">
        <v>1293</v>
      </c>
      <c r="Y69">
        <v>3</v>
      </c>
      <c r="AB69">
        <v>8</v>
      </c>
      <c r="AC69" t="s">
        <v>85</v>
      </c>
      <c r="AK69">
        <v>0.5</v>
      </c>
      <c r="AL69" t="s">
        <v>82</v>
      </c>
      <c r="AM69">
        <v>0.5</v>
      </c>
      <c r="AN69" t="s">
        <v>82</v>
      </c>
      <c r="AT69" t="s">
        <v>65</v>
      </c>
      <c r="AU69">
        <v>3.759398496240602</v>
      </c>
      <c r="AV69" t="s">
        <v>115</v>
      </c>
    </row>
    <row r="70" spans="1:48" x14ac:dyDescent="0.3">
      <c r="A70" t="s">
        <v>1290</v>
      </c>
      <c r="C70" t="s">
        <v>1275</v>
      </c>
      <c r="D70" t="s">
        <v>81</v>
      </c>
      <c r="E70">
        <v>10000000</v>
      </c>
      <c r="H70">
        <v>1.33</v>
      </c>
      <c r="I70" t="s">
        <v>56</v>
      </c>
      <c r="J70">
        <v>1.3300000000000001E-4</v>
      </c>
      <c r="K70" t="s">
        <v>57</v>
      </c>
      <c r="L70" t="s">
        <v>112</v>
      </c>
      <c r="O70">
        <v>0.3</v>
      </c>
      <c r="P70" t="s">
        <v>59</v>
      </c>
      <c r="T70">
        <v>25</v>
      </c>
      <c r="V70">
        <v>50</v>
      </c>
      <c r="W70" t="s">
        <v>1292</v>
      </c>
      <c r="X70" t="s">
        <v>1293</v>
      </c>
      <c r="Y70">
        <v>3</v>
      </c>
      <c r="AB70">
        <v>8</v>
      </c>
      <c r="AC70" t="s">
        <v>85</v>
      </c>
      <c r="AK70">
        <v>0.5</v>
      </c>
      <c r="AL70" t="s">
        <v>82</v>
      </c>
      <c r="AM70">
        <v>0.5</v>
      </c>
      <c r="AN70" t="s">
        <v>82</v>
      </c>
      <c r="AT70" t="s">
        <v>65</v>
      </c>
      <c r="AU70">
        <v>3.759398496240602</v>
      </c>
      <c r="AV70" t="s">
        <v>115</v>
      </c>
    </row>
    <row r="71" spans="1:48" x14ac:dyDescent="0.3">
      <c r="A71" t="s">
        <v>1290</v>
      </c>
      <c r="C71" t="s">
        <v>1275</v>
      </c>
      <c r="D71" t="s">
        <v>81</v>
      </c>
      <c r="E71">
        <v>10000000</v>
      </c>
      <c r="H71">
        <v>1.33</v>
      </c>
      <c r="I71" t="s">
        <v>56</v>
      </c>
      <c r="J71">
        <v>1.3300000000000001E-4</v>
      </c>
      <c r="K71" t="s">
        <v>57</v>
      </c>
      <c r="L71" t="s">
        <v>112</v>
      </c>
      <c r="O71">
        <v>0.3</v>
      </c>
      <c r="P71" t="s">
        <v>59</v>
      </c>
      <c r="T71">
        <v>25</v>
      </c>
      <c r="V71">
        <v>50</v>
      </c>
      <c r="W71" t="s">
        <v>1292</v>
      </c>
      <c r="X71" t="s">
        <v>1293</v>
      </c>
      <c r="Y71">
        <v>3</v>
      </c>
      <c r="AB71">
        <v>8</v>
      </c>
      <c r="AC71" t="s">
        <v>85</v>
      </c>
      <c r="AK71">
        <v>0.5</v>
      </c>
      <c r="AL71" t="s">
        <v>82</v>
      </c>
      <c r="AM71">
        <v>0.5</v>
      </c>
      <c r="AN71" t="s">
        <v>82</v>
      </c>
      <c r="AT71" t="s">
        <v>65</v>
      </c>
      <c r="AU71">
        <v>3.759398496240602</v>
      </c>
      <c r="AV71" t="s">
        <v>115</v>
      </c>
    </row>
    <row r="72" spans="1:48" x14ac:dyDescent="0.3">
      <c r="A72" t="s">
        <v>1290</v>
      </c>
      <c r="C72" t="s">
        <v>1275</v>
      </c>
      <c r="D72" t="s">
        <v>81</v>
      </c>
      <c r="E72">
        <v>10000000</v>
      </c>
      <c r="H72">
        <v>1.33</v>
      </c>
      <c r="I72" t="s">
        <v>56</v>
      </c>
      <c r="J72">
        <v>1.3300000000000001E-4</v>
      </c>
      <c r="K72" t="s">
        <v>57</v>
      </c>
      <c r="L72" t="s">
        <v>112</v>
      </c>
      <c r="O72">
        <v>0.3</v>
      </c>
      <c r="P72" t="s">
        <v>59</v>
      </c>
      <c r="T72">
        <v>25</v>
      </c>
      <c r="V72">
        <v>50</v>
      </c>
      <c r="W72" t="s">
        <v>1292</v>
      </c>
      <c r="X72" t="s">
        <v>1293</v>
      </c>
      <c r="Y72">
        <v>3</v>
      </c>
      <c r="AB72">
        <v>8</v>
      </c>
      <c r="AC72" t="s">
        <v>85</v>
      </c>
      <c r="AK72">
        <v>0.5</v>
      </c>
      <c r="AL72" t="s">
        <v>82</v>
      </c>
      <c r="AM72">
        <v>0.5</v>
      </c>
      <c r="AN72" t="s">
        <v>82</v>
      </c>
      <c r="AT72" t="s">
        <v>65</v>
      </c>
      <c r="AU72">
        <v>3.759398496240602</v>
      </c>
      <c r="AV72" t="s">
        <v>115</v>
      </c>
    </row>
    <row r="73" spans="1:48" x14ac:dyDescent="0.3">
      <c r="A73" t="s">
        <v>1290</v>
      </c>
      <c r="C73" t="s">
        <v>1275</v>
      </c>
      <c r="D73" t="s">
        <v>81</v>
      </c>
      <c r="E73">
        <v>10000000</v>
      </c>
      <c r="H73">
        <v>1.33</v>
      </c>
      <c r="I73" t="s">
        <v>56</v>
      </c>
      <c r="J73">
        <v>1.3300000000000001E-4</v>
      </c>
      <c r="K73" t="s">
        <v>57</v>
      </c>
      <c r="L73" t="s">
        <v>112</v>
      </c>
      <c r="O73">
        <v>0.3</v>
      </c>
      <c r="P73" t="s">
        <v>59</v>
      </c>
      <c r="T73">
        <v>25</v>
      </c>
      <c r="V73">
        <v>50</v>
      </c>
      <c r="W73" t="s">
        <v>1292</v>
      </c>
      <c r="X73" t="s">
        <v>1293</v>
      </c>
      <c r="Y73">
        <v>3</v>
      </c>
      <c r="Z73">
        <v>2</v>
      </c>
      <c r="AB73">
        <v>8</v>
      </c>
      <c r="AC73" t="s">
        <v>85</v>
      </c>
      <c r="AK73">
        <v>0.5</v>
      </c>
      <c r="AL73" t="s">
        <v>82</v>
      </c>
      <c r="AM73">
        <v>0.5</v>
      </c>
      <c r="AN73" t="s">
        <v>82</v>
      </c>
      <c r="AT73" t="s">
        <v>65</v>
      </c>
      <c r="AU73">
        <v>3.759398496240602</v>
      </c>
      <c r="AV73" t="s">
        <v>115</v>
      </c>
    </row>
    <row r="74" spans="1:48" x14ac:dyDescent="0.3">
      <c r="A74" t="s">
        <v>1290</v>
      </c>
      <c r="C74" t="s">
        <v>1275</v>
      </c>
      <c r="D74" t="s">
        <v>81</v>
      </c>
      <c r="E74">
        <v>10000000</v>
      </c>
      <c r="H74">
        <v>1.33</v>
      </c>
      <c r="I74" t="s">
        <v>56</v>
      </c>
      <c r="J74">
        <v>1.3300000000000001E-4</v>
      </c>
      <c r="K74" t="s">
        <v>57</v>
      </c>
      <c r="L74" t="s">
        <v>112</v>
      </c>
      <c r="O74">
        <v>0.3</v>
      </c>
      <c r="P74" t="s">
        <v>59</v>
      </c>
      <c r="T74">
        <v>25</v>
      </c>
      <c r="V74">
        <v>50</v>
      </c>
      <c r="W74" t="s">
        <v>1292</v>
      </c>
      <c r="X74" t="s">
        <v>1293</v>
      </c>
      <c r="Y74">
        <v>3</v>
      </c>
      <c r="Z74">
        <v>2</v>
      </c>
      <c r="AB74">
        <v>8</v>
      </c>
      <c r="AC74" t="s">
        <v>85</v>
      </c>
      <c r="AK74">
        <v>0.5</v>
      </c>
      <c r="AL74" t="s">
        <v>82</v>
      </c>
      <c r="AM74">
        <v>0.5</v>
      </c>
      <c r="AN74" t="s">
        <v>82</v>
      </c>
      <c r="AT74" t="s">
        <v>65</v>
      </c>
      <c r="AU74">
        <v>3.759398496240602</v>
      </c>
      <c r="AV74" t="s">
        <v>115</v>
      </c>
    </row>
    <row r="75" spans="1:48" x14ac:dyDescent="0.3">
      <c r="A75" t="s">
        <v>1290</v>
      </c>
      <c r="C75" t="s">
        <v>1275</v>
      </c>
      <c r="D75" t="s">
        <v>81</v>
      </c>
      <c r="E75">
        <v>10000000</v>
      </c>
      <c r="H75">
        <v>1.33</v>
      </c>
      <c r="I75" t="s">
        <v>56</v>
      </c>
      <c r="J75">
        <v>1.3300000000000001E-4</v>
      </c>
      <c r="K75" t="s">
        <v>57</v>
      </c>
      <c r="L75" t="s">
        <v>112</v>
      </c>
      <c r="O75">
        <v>0.3</v>
      </c>
      <c r="P75" t="s">
        <v>59</v>
      </c>
      <c r="T75">
        <v>25</v>
      </c>
      <c r="V75">
        <v>50</v>
      </c>
      <c r="W75" t="s">
        <v>1292</v>
      </c>
      <c r="X75" t="s">
        <v>1293</v>
      </c>
      <c r="Y75">
        <v>3</v>
      </c>
      <c r="Z75">
        <v>2</v>
      </c>
      <c r="AB75">
        <v>8</v>
      </c>
      <c r="AC75" t="s">
        <v>85</v>
      </c>
      <c r="AK75">
        <v>0.5</v>
      </c>
      <c r="AL75" t="s">
        <v>82</v>
      </c>
      <c r="AM75">
        <v>0.5</v>
      </c>
      <c r="AN75" t="s">
        <v>82</v>
      </c>
      <c r="AT75" t="s">
        <v>65</v>
      </c>
      <c r="AU75">
        <v>3.759398496240602</v>
      </c>
      <c r="AV75" t="s">
        <v>115</v>
      </c>
    </row>
    <row r="76" spans="1:48" x14ac:dyDescent="0.3">
      <c r="A76" t="s">
        <v>1290</v>
      </c>
      <c r="C76" t="s">
        <v>1275</v>
      </c>
      <c r="D76" t="s">
        <v>81</v>
      </c>
      <c r="E76">
        <v>10000000</v>
      </c>
      <c r="H76">
        <v>1.33</v>
      </c>
      <c r="I76" t="s">
        <v>56</v>
      </c>
      <c r="J76">
        <v>1.3300000000000001E-4</v>
      </c>
      <c r="K76" t="s">
        <v>57</v>
      </c>
      <c r="L76" t="s">
        <v>112</v>
      </c>
      <c r="O76">
        <v>0.24</v>
      </c>
      <c r="P76" t="s">
        <v>59</v>
      </c>
      <c r="T76">
        <v>25</v>
      </c>
      <c r="V76">
        <v>50</v>
      </c>
      <c r="W76" t="s">
        <v>1292</v>
      </c>
      <c r="X76" t="s">
        <v>1293</v>
      </c>
      <c r="Y76">
        <v>3</v>
      </c>
      <c r="Z76">
        <v>2</v>
      </c>
      <c r="AB76">
        <v>8</v>
      </c>
      <c r="AC76" t="s">
        <v>85</v>
      </c>
      <c r="AK76">
        <v>0.5</v>
      </c>
      <c r="AL76" t="s">
        <v>82</v>
      </c>
      <c r="AM76">
        <v>0.5</v>
      </c>
      <c r="AN76" t="s">
        <v>82</v>
      </c>
      <c r="AT76" t="s">
        <v>65</v>
      </c>
      <c r="AU76">
        <v>3.759398496240602</v>
      </c>
      <c r="AV76" t="s">
        <v>115</v>
      </c>
    </row>
    <row r="77" spans="1:48" x14ac:dyDescent="0.3">
      <c r="A77" t="s">
        <v>1290</v>
      </c>
      <c r="C77" t="s">
        <v>1275</v>
      </c>
      <c r="D77" t="s">
        <v>81</v>
      </c>
      <c r="E77">
        <v>10000000</v>
      </c>
      <c r="H77">
        <v>1.33</v>
      </c>
      <c r="I77" t="s">
        <v>56</v>
      </c>
      <c r="J77">
        <v>1.3300000000000001E-4</v>
      </c>
      <c r="K77" t="s">
        <v>57</v>
      </c>
      <c r="L77" t="s">
        <v>112</v>
      </c>
      <c r="O77">
        <v>0.24</v>
      </c>
      <c r="P77" t="s">
        <v>59</v>
      </c>
      <c r="T77">
        <v>25</v>
      </c>
      <c r="V77">
        <v>50</v>
      </c>
      <c r="W77" t="s">
        <v>1292</v>
      </c>
      <c r="X77" t="s">
        <v>1293</v>
      </c>
      <c r="Y77">
        <v>3</v>
      </c>
      <c r="Z77">
        <v>2</v>
      </c>
      <c r="AB77">
        <v>8</v>
      </c>
      <c r="AC77" t="s">
        <v>85</v>
      </c>
      <c r="AK77">
        <v>0.5</v>
      </c>
      <c r="AL77" t="s">
        <v>82</v>
      </c>
      <c r="AM77">
        <v>0.5</v>
      </c>
      <c r="AN77" t="s">
        <v>82</v>
      </c>
      <c r="AT77" t="s">
        <v>65</v>
      </c>
      <c r="AU77">
        <v>3.759398496240602</v>
      </c>
      <c r="AV77" t="s">
        <v>115</v>
      </c>
    </row>
    <row r="78" spans="1:48" x14ac:dyDescent="0.3">
      <c r="A78" t="s">
        <v>1290</v>
      </c>
      <c r="C78" t="s">
        <v>1275</v>
      </c>
      <c r="D78" t="s">
        <v>81</v>
      </c>
      <c r="E78">
        <v>10000000</v>
      </c>
      <c r="H78">
        <v>1.33</v>
      </c>
      <c r="I78" t="s">
        <v>56</v>
      </c>
      <c r="J78">
        <v>1.3300000000000001E-4</v>
      </c>
      <c r="K78" t="s">
        <v>57</v>
      </c>
      <c r="L78" t="s">
        <v>112</v>
      </c>
      <c r="O78">
        <v>0.24</v>
      </c>
      <c r="P78" t="s">
        <v>59</v>
      </c>
      <c r="T78">
        <v>25</v>
      </c>
      <c r="V78">
        <v>50</v>
      </c>
      <c r="W78" t="s">
        <v>1292</v>
      </c>
      <c r="X78" t="s">
        <v>1293</v>
      </c>
      <c r="Y78">
        <v>3</v>
      </c>
      <c r="Z78">
        <v>2</v>
      </c>
      <c r="AB78">
        <v>8</v>
      </c>
      <c r="AC78" t="s">
        <v>85</v>
      </c>
      <c r="AK78">
        <v>0.5</v>
      </c>
      <c r="AL78" t="s">
        <v>82</v>
      </c>
      <c r="AM78">
        <v>0.5</v>
      </c>
      <c r="AN78" t="s">
        <v>82</v>
      </c>
      <c r="AT78" t="s">
        <v>65</v>
      </c>
      <c r="AU78">
        <v>3.759398496240602</v>
      </c>
      <c r="AV78" t="s">
        <v>115</v>
      </c>
    </row>
    <row r="79" spans="1:48" x14ac:dyDescent="0.3">
      <c r="A79" t="s">
        <v>1290</v>
      </c>
      <c r="C79" t="s">
        <v>1275</v>
      </c>
      <c r="D79" t="s">
        <v>81</v>
      </c>
      <c r="E79">
        <v>50000000</v>
      </c>
      <c r="H79">
        <v>1.33</v>
      </c>
      <c r="I79" t="s">
        <v>56</v>
      </c>
      <c r="J79">
        <v>1.3300000000000001E-4</v>
      </c>
      <c r="K79" t="s">
        <v>57</v>
      </c>
      <c r="L79" t="s">
        <v>112</v>
      </c>
      <c r="O79">
        <v>0.24</v>
      </c>
      <c r="P79" t="s">
        <v>59</v>
      </c>
      <c r="T79">
        <v>25</v>
      </c>
      <c r="V79">
        <v>50</v>
      </c>
      <c r="W79" t="s">
        <v>1292</v>
      </c>
      <c r="X79" t="s">
        <v>1293</v>
      </c>
      <c r="Y79">
        <v>3</v>
      </c>
      <c r="Z79">
        <v>2</v>
      </c>
      <c r="AB79">
        <v>8</v>
      </c>
      <c r="AC79" t="s">
        <v>85</v>
      </c>
      <c r="AK79">
        <v>0.5</v>
      </c>
      <c r="AL79" t="s">
        <v>82</v>
      </c>
      <c r="AM79">
        <v>0.5</v>
      </c>
      <c r="AN79" t="s">
        <v>82</v>
      </c>
      <c r="AT79" t="s">
        <v>65</v>
      </c>
      <c r="AU79">
        <v>3.759398496240602</v>
      </c>
      <c r="AV79" t="s">
        <v>115</v>
      </c>
    </row>
    <row r="80" spans="1:48" x14ac:dyDescent="0.3">
      <c r="A80" t="s">
        <v>1290</v>
      </c>
      <c r="C80" t="s">
        <v>1275</v>
      </c>
      <c r="D80" t="s">
        <v>81</v>
      </c>
      <c r="E80">
        <v>50000000</v>
      </c>
      <c r="H80">
        <v>1.33</v>
      </c>
      <c r="I80" t="s">
        <v>56</v>
      </c>
      <c r="J80">
        <v>1.3300000000000001E-4</v>
      </c>
      <c r="K80" t="s">
        <v>57</v>
      </c>
      <c r="L80" t="s">
        <v>112</v>
      </c>
      <c r="O80">
        <v>0.24</v>
      </c>
      <c r="P80" t="s">
        <v>59</v>
      </c>
      <c r="T80">
        <v>25</v>
      </c>
      <c r="V80">
        <v>50</v>
      </c>
      <c r="W80" t="s">
        <v>1292</v>
      </c>
      <c r="X80" t="s">
        <v>1293</v>
      </c>
      <c r="Y80">
        <v>3</v>
      </c>
      <c r="Z80">
        <v>2</v>
      </c>
      <c r="AB80">
        <v>5.7</v>
      </c>
      <c r="AC80" t="s">
        <v>85</v>
      </c>
      <c r="AK80">
        <v>0.5</v>
      </c>
      <c r="AL80" t="s">
        <v>82</v>
      </c>
      <c r="AM80">
        <v>0.5</v>
      </c>
      <c r="AN80" t="s">
        <v>82</v>
      </c>
      <c r="AT80" t="s">
        <v>65</v>
      </c>
      <c r="AU80">
        <v>3.759398496240602</v>
      </c>
      <c r="AV80" t="s">
        <v>115</v>
      </c>
    </row>
    <row r="81" spans="1:53" x14ac:dyDescent="0.3">
      <c r="A81" t="s">
        <v>1290</v>
      </c>
      <c r="C81" t="s">
        <v>1275</v>
      </c>
      <c r="D81" t="s">
        <v>81</v>
      </c>
      <c r="E81">
        <v>50000000</v>
      </c>
      <c r="H81">
        <v>1.33</v>
      </c>
      <c r="I81" t="s">
        <v>56</v>
      </c>
      <c r="J81">
        <v>1.3300000000000001E-4</v>
      </c>
      <c r="K81" t="s">
        <v>57</v>
      </c>
      <c r="L81" t="s">
        <v>112</v>
      </c>
      <c r="O81">
        <v>0.24</v>
      </c>
      <c r="P81" t="s">
        <v>59</v>
      </c>
      <c r="T81">
        <v>25</v>
      </c>
      <c r="V81">
        <v>50</v>
      </c>
      <c r="W81" t="s">
        <v>1292</v>
      </c>
      <c r="X81" t="s">
        <v>1293</v>
      </c>
      <c r="Y81">
        <v>3</v>
      </c>
      <c r="Z81">
        <v>2</v>
      </c>
      <c r="AB81">
        <v>5.3</v>
      </c>
      <c r="AC81" t="s">
        <v>85</v>
      </c>
      <c r="AK81">
        <v>0.5</v>
      </c>
      <c r="AL81" t="s">
        <v>82</v>
      </c>
      <c r="AM81">
        <v>0.5</v>
      </c>
      <c r="AN81" t="s">
        <v>82</v>
      </c>
      <c r="AT81" t="s">
        <v>65</v>
      </c>
      <c r="AU81">
        <v>3.759398496240602</v>
      </c>
      <c r="AV81" t="s">
        <v>115</v>
      </c>
    </row>
    <row r="82" spans="1:53" x14ac:dyDescent="0.3">
      <c r="A82" t="s">
        <v>1290</v>
      </c>
      <c r="C82" t="s">
        <v>1275</v>
      </c>
      <c r="D82" t="s">
        <v>81</v>
      </c>
      <c r="E82">
        <v>50000000</v>
      </c>
      <c r="H82">
        <v>1.33</v>
      </c>
      <c r="I82" t="s">
        <v>56</v>
      </c>
      <c r="J82">
        <v>1.3300000000000001E-4</v>
      </c>
      <c r="K82" t="s">
        <v>57</v>
      </c>
      <c r="L82" t="s">
        <v>112</v>
      </c>
      <c r="O82">
        <v>0.24</v>
      </c>
      <c r="P82" t="s">
        <v>59</v>
      </c>
      <c r="T82">
        <v>25</v>
      </c>
      <c r="V82">
        <v>50</v>
      </c>
      <c r="W82" t="s">
        <v>1292</v>
      </c>
      <c r="X82" t="s">
        <v>1293</v>
      </c>
      <c r="Y82">
        <v>3</v>
      </c>
      <c r="Z82">
        <v>2</v>
      </c>
      <c r="AB82">
        <v>5</v>
      </c>
      <c r="AC82" t="s">
        <v>85</v>
      </c>
      <c r="AK82">
        <v>0.5</v>
      </c>
      <c r="AL82" t="s">
        <v>82</v>
      </c>
      <c r="AM82">
        <v>0.5</v>
      </c>
      <c r="AN82" t="s">
        <v>82</v>
      </c>
      <c r="AT82" t="s">
        <v>65</v>
      </c>
      <c r="AU82">
        <v>3.759398496240602</v>
      </c>
      <c r="AV82" t="s">
        <v>115</v>
      </c>
    </row>
    <row r="83" spans="1:53" x14ac:dyDescent="0.3">
      <c r="A83" t="s">
        <v>1290</v>
      </c>
      <c r="C83" t="s">
        <v>1275</v>
      </c>
      <c r="D83" t="s">
        <v>81</v>
      </c>
      <c r="E83">
        <v>50000000</v>
      </c>
      <c r="H83">
        <v>1.33</v>
      </c>
      <c r="I83" t="s">
        <v>56</v>
      </c>
      <c r="J83">
        <v>1.3300000000000001E-4</v>
      </c>
      <c r="K83" t="s">
        <v>57</v>
      </c>
      <c r="L83" t="s">
        <v>112</v>
      </c>
      <c r="O83">
        <v>0.12</v>
      </c>
      <c r="P83" t="s">
        <v>59</v>
      </c>
      <c r="T83">
        <v>25</v>
      </c>
      <c r="V83">
        <v>50</v>
      </c>
      <c r="W83" t="s">
        <v>1292</v>
      </c>
      <c r="X83" t="s">
        <v>1293</v>
      </c>
      <c r="Y83">
        <v>3</v>
      </c>
      <c r="Z83">
        <v>2</v>
      </c>
      <c r="AB83">
        <v>8</v>
      </c>
      <c r="AC83" t="s">
        <v>85</v>
      </c>
      <c r="AK83">
        <v>0.5</v>
      </c>
      <c r="AL83" t="s">
        <v>82</v>
      </c>
      <c r="AM83">
        <v>0.5</v>
      </c>
      <c r="AN83" t="s">
        <v>82</v>
      </c>
      <c r="AT83" t="s">
        <v>65</v>
      </c>
      <c r="AU83">
        <v>3.759398496240602</v>
      </c>
      <c r="AV83" t="s">
        <v>115</v>
      </c>
    </row>
    <row r="84" spans="1:53" x14ac:dyDescent="0.3">
      <c r="A84" t="s">
        <v>1290</v>
      </c>
      <c r="C84" t="s">
        <v>1275</v>
      </c>
      <c r="D84" t="s">
        <v>81</v>
      </c>
      <c r="E84">
        <v>50000000</v>
      </c>
      <c r="H84">
        <v>1.33</v>
      </c>
      <c r="I84" t="s">
        <v>56</v>
      </c>
      <c r="J84">
        <v>1.3300000000000001E-4</v>
      </c>
      <c r="K84" t="s">
        <v>57</v>
      </c>
      <c r="L84" t="s">
        <v>112</v>
      </c>
      <c r="O84">
        <v>0.12</v>
      </c>
      <c r="P84" t="s">
        <v>59</v>
      </c>
      <c r="T84">
        <v>25</v>
      </c>
      <c r="V84">
        <v>50</v>
      </c>
      <c r="W84" t="s">
        <v>1292</v>
      </c>
      <c r="X84" t="s">
        <v>1293</v>
      </c>
      <c r="Y84">
        <v>3</v>
      </c>
      <c r="Z84">
        <v>1</v>
      </c>
      <c r="AB84">
        <v>8</v>
      </c>
      <c r="AC84" t="s">
        <v>85</v>
      </c>
      <c r="AK84">
        <v>0.5</v>
      </c>
      <c r="AL84" t="s">
        <v>82</v>
      </c>
      <c r="AM84">
        <v>0.5</v>
      </c>
      <c r="AN84" t="s">
        <v>82</v>
      </c>
      <c r="AT84" t="s">
        <v>65</v>
      </c>
      <c r="AU84">
        <v>3.759398496240602</v>
      </c>
      <c r="AV84" t="s">
        <v>115</v>
      </c>
    </row>
    <row r="85" spans="1:53" x14ac:dyDescent="0.3">
      <c r="A85" t="s">
        <v>1290</v>
      </c>
      <c r="C85" t="s">
        <v>1275</v>
      </c>
      <c r="D85" t="s">
        <v>81</v>
      </c>
      <c r="E85">
        <v>50000000</v>
      </c>
      <c r="H85">
        <v>1.33</v>
      </c>
      <c r="I85" t="s">
        <v>56</v>
      </c>
      <c r="J85">
        <v>1.3300000000000001E-4</v>
      </c>
      <c r="K85" t="s">
        <v>57</v>
      </c>
      <c r="L85" t="s">
        <v>112</v>
      </c>
      <c r="O85">
        <v>0.12</v>
      </c>
      <c r="P85" t="s">
        <v>59</v>
      </c>
      <c r="T85">
        <v>25</v>
      </c>
      <c r="V85">
        <v>50</v>
      </c>
      <c r="W85" t="s">
        <v>1292</v>
      </c>
      <c r="X85" t="s">
        <v>1293</v>
      </c>
      <c r="Y85">
        <v>3</v>
      </c>
      <c r="Z85">
        <v>1</v>
      </c>
      <c r="AB85">
        <v>6.4</v>
      </c>
      <c r="AC85" t="s">
        <v>85</v>
      </c>
      <c r="AK85">
        <v>0.5</v>
      </c>
      <c r="AL85" t="s">
        <v>82</v>
      </c>
      <c r="AM85">
        <v>0.5</v>
      </c>
      <c r="AN85" t="s">
        <v>82</v>
      </c>
      <c r="AT85" t="s">
        <v>65</v>
      </c>
      <c r="AU85">
        <v>3.759398496240602</v>
      </c>
      <c r="AV85" t="s">
        <v>115</v>
      </c>
    </row>
    <row r="86" spans="1:53" x14ac:dyDescent="0.3">
      <c r="A86" t="s">
        <v>1290</v>
      </c>
      <c r="C86" t="s">
        <v>1275</v>
      </c>
      <c r="D86" t="s">
        <v>81</v>
      </c>
      <c r="E86">
        <v>50000000</v>
      </c>
      <c r="H86">
        <v>1.33</v>
      </c>
      <c r="I86" t="s">
        <v>56</v>
      </c>
      <c r="J86">
        <v>1.3300000000000001E-4</v>
      </c>
      <c r="K86" t="s">
        <v>57</v>
      </c>
      <c r="L86" t="s">
        <v>112</v>
      </c>
      <c r="O86">
        <v>0.12</v>
      </c>
      <c r="P86" t="s">
        <v>59</v>
      </c>
      <c r="T86">
        <v>25</v>
      </c>
      <c r="V86">
        <v>50</v>
      </c>
      <c r="W86" t="s">
        <v>1292</v>
      </c>
      <c r="X86" t="s">
        <v>1293</v>
      </c>
      <c r="Y86">
        <v>3</v>
      </c>
      <c r="Z86">
        <v>1</v>
      </c>
      <c r="AB86">
        <v>4.7</v>
      </c>
      <c r="AC86" t="s">
        <v>85</v>
      </c>
      <c r="AK86">
        <v>0.5</v>
      </c>
      <c r="AL86" t="s">
        <v>82</v>
      </c>
      <c r="AM86">
        <v>0.5</v>
      </c>
      <c r="AN86" t="s">
        <v>82</v>
      </c>
      <c r="AT86" t="s">
        <v>65</v>
      </c>
      <c r="AU86">
        <v>3.759398496240602</v>
      </c>
      <c r="AV86" t="s">
        <v>115</v>
      </c>
    </row>
    <row r="87" spans="1:53" x14ac:dyDescent="0.3">
      <c r="A87" t="s">
        <v>1290</v>
      </c>
      <c r="C87" t="s">
        <v>1275</v>
      </c>
      <c r="D87" t="s">
        <v>81</v>
      </c>
      <c r="E87">
        <v>50000000</v>
      </c>
      <c r="H87">
        <v>1.33</v>
      </c>
      <c r="I87" t="s">
        <v>56</v>
      </c>
      <c r="J87">
        <v>1.3300000000000001E-4</v>
      </c>
      <c r="K87" t="s">
        <v>57</v>
      </c>
      <c r="L87" t="s">
        <v>112</v>
      </c>
      <c r="O87">
        <v>0.12</v>
      </c>
      <c r="P87" t="s">
        <v>59</v>
      </c>
      <c r="T87">
        <v>25</v>
      </c>
      <c r="V87">
        <v>50</v>
      </c>
      <c r="W87" t="s">
        <v>1292</v>
      </c>
      <c r="X87" t="s">
        <v>1293</v>
      </c>
      <c r="Y87">
        <v>3</v>
      </c>
      <c r="Z87">
        <v>1</v>
      </c>
      <c r="AB87">
        <v>3</v>
      </c>
      <c r="AC87" t="s">
        <v>85</v>
      </c>
      <c r="AK87">
        <v>0.5</v>
      </c>
      <c r="AL87" t="s">
        <v>82</v>
      </c>
      <c r="AM87">
        <v>0.5</v>
      </c>
      <c r="AN87" t="s">
        <v>82</v>
      </c>
      <c r="AT87" t="s">
        <v>65</v>
      </c>
      <c r="AU87">
        <v>3.759398496240602</v>
      </c>
      <c r="AV87" t="s">
        <v>115</v>
      </c>
    </row>
    <row r="88" spans="1:53" x14ac:dyDescent="0.3">
      <c r="A88" t="s">
        <v>1290</v>
      </c>
      <c r="C88" t="s">
        <v>1275</v>
      </c>
      <c r="D88" t="s">
        <v>81</v>
      </c>
      <c r="E88">
        <v>50000000</v>
      </c>
      <c r="H88">
        <v>1.33</v>
      </c>
      <c r="I88" t="s">
        <v>56</v>
      </c>
      <c r="J88">
        <v>1.3300000000000001E-4</v>
      </c>
      <c r="K88" t="s">
        <v>57</v>
      </c>
      <c r="L88" t="s">
        <v>112</v>
      </c>
      <c r="O88">
        <v>0.12</v>
      </c>
      <c r="P88" t="s">
        <v>59</v>
      </c>
      <c r="T88">
        <v>25</v>
      </c>
      <c r="V88">
        <v>50</v>
      </c>
      <c r="W88" t="s">
        <v>1292</v>
      </c>
      <c r="X88" t="s">
        <v>1293</v>
      </c>
      <c r="Y88">
        <v>3</v>
      </c>
      <c r="Z88">
        <v>1</v>
      </c>
      <c r="AB88">
        <v>2.2000000000000002</v>
      </c>
      <c r="AC88" t="s">
        <v>85</v>
      </c>
      <c r="AK88">
        <v>0.5</v>
      </c>
      <c r="AL88" t="s">
        <v>82</v>
      </c>
      <c r="AM88">
        <v>0.5</v>
      </c>
      <c r="AN88" t="s">
        <v>82</v>
      </c>
      <c r="AT88" t="s">
        <v>65</v>
      </c>
      <c r="AU88">
        <v>3.759398496240602</v>
      </c>
      <c r="AV88" t="s">
        <v>115</v>
      </c>
    </row>
    <row r="89" spans="1:53" x14ac:dyDescent="0.3">
      <c r="A89" t="s">
        <v>1290</v>
      </c>
      <c r="C89" t="s">
        <v>1275</v>
      </c>
      <c r="D89" t="s">
        <v>81</v>
      </c>
      <c r="E89">
        <v>50000000</v>
      </c>
      <c r="H89">
        <v>1.33</v>
      </c>
      <c r="I89" t="s">
        <v>56</v>
      </c>
      <c r="J89">
        <v>1.3300000000000001E-4</v>
      </c>
      <c r="K89" t="s">
        <v>57</v>
      </c>
      <c r="L89" t="s">
        <v>112</v>
      </c>
      <c r="O89">
        <v>0.12</v>
      </c>
      <c r="P89" t="s">
        <v>59</v>
      </c>
      <c r="T89">
        <v>25</v>
      </c>
      <c r="V89">
        <v>50</v>
      </c>
      <c r="W89" t="s">
        <v>1292</v>
      </c>
      <c r="X89" t="s">
        <v>1293</v>
      </c>
      <c r="Y89">
        <v>3</v>
      </c>
      <c r="Z89">
        <v>1</v>
      </c>
      <c r="AB89">
        <v>2</v>
      </c>
      <c r="AC89" t="s">
        <v>85</v>
      </c>
      <c r="AK89">
        <v>0.5</v>
      </c>
      <c r="AL89" t="s">
        <v>82</v>
      </c>
      <c r="AM89">
        <v>0.5</v>
      </c>
      <c r="AN89" t="s">
        <v>82</v>
      </c>
      <c r="AT89" t="s">
        <v>65</v>
      </c>
      <c r="AU89">
        <v>3.759398496240602</v>
      </c>
      <c r="AV89" t="s">
        <v>115</v>
      </c>
    </row>
    <row r="90" spans="1:53" x14ac:dyDescent="0.3">
      <c r="A90" t="s">
        <v>1244</v>
      </c>
      <c r="C90" t="s">
        <v>1275</v>
      </c>
      <c r="D90" t="s">
        <v>81</v>
      </c>
      <c r="E90">
        <v>50000000</v>
      </c>
      <c r="H90">
        <v>14.25</v>
      </c>
      <c r="I90" t="s">
        <v>56</v>
      </c>
      <c r="J90">
        <v>1.4250000000000001E-3</v>
      </c>
      <c r="K90" t="s">
        <v>57</v>
      </c>
      <c r="L90" t="s">
        <v>112</v>
      </c>
      <c r="O90">
        <v>5000</v>
      </c>
      <c r="P90" t="s">
        <v>277</v>
      </c>
      <c r="S90" t="s">
        <v>1245</v>
      </c>
      <c r="T90">
        <v>22.5</v>
      </c>
      <c r="V90">
        <v>50</v>
      </c>
      <c r="W90" t="s">
        <v>1246</v>
      </c>
      <c r="X90" t="s">
        <v>957</v>
      </c>
      <c r="Y90">
        <v>60</v>
      </c>
      <c r="Z90">
        <v>1</v>
      </c>
      <c r="AB90">
        <v>7</v>
      </c>
      <c r="AC90" t="s">
        <v>85</v>
      </c>
      <c r="AD90" t="s">
        <v>340</v>
      </c>
      <c r="AE90" t="s">
        <v>138</v>
      </c>
      <c r="AI90">
        <v>5</v>
      </c>
      <c r="AK90">
        <v>1.1599999999999999</v>
      </c>
      <c r="AL90" t="s">
        <v>82</v>
      </c>
      <c r="AM90">
        <v>1.1599999999999999</v>
      </c>
      <c r="AN90" t="s">
        <v>82</v>
      </c>
      <c r="AT90" t="s">
        <v>73</v>
      </c>
      <c r="AU90">
        <v>0.81403508771929822</v>
      </c>
      <c r="AV90" t="s">
        <v>115</v>
      </c>
    </row>
    <row r="91" spans="1:53" x14ac:dyDescent="0.3">
      <c r="A91" t="s">
        <v>1244</v>
      </c>
      <c r="C91" t="s">
        <v>1275</v>
      </c>
      <c r="D91" t="s">
        <v>81</v>
      </c>
      <c r="E91">
        <v>50000000</v>
      </c>
      <c r="H91">
        <v>14.25</v>
      </c>
      <c r="I91" t="s">
        <v>56</v>
      </c>
      <c r="J91">
        <v>1.4250000000000001E-3</v>
      </c>
      <c r="K91" t="s">
        <v>57</v>
      </c>
      <c r="L91" t="s">
        <v>112</v>
      </c>
      <c r="O91">
        <v>5000</v>
      </c>
      <c r="P91" t="s">
        <v>277</v>
      </c>
      <c r="S91" t="s">
        <v>1245</v>
      </c>
      <c r="T91">
        <v>22.5</v>
      </c>
      <c r="V91">
        <v>50</v>
      </c>
      <c r="W91" t="s">
        <v>359</v>
      </c>
      <c r="X91" t="s">
        <v>957</v>
      </c>
      <c r="Y91">
        <v>60</v>
      </c>
      <c r="Z91">
        <v>2</v>
      </c>
      <c r="AA91" t="s">
        <v>94</v>
      </c>
      <c r="AB91">
        <v>7.61</v>
      </c>
      <c r="AC91" t="s">
        <v>85</v>
      </c>
      <c r="AD91" t="s">
        <v>236</v>
      </c>
      <c r="AI91">
        <v>5</v>
      </c>
      <c r="AK91">
        <v>1.1599999999999999</v>
      </c>
      <c r="AL91" t="s">
        <v>82</v>
      </c>
      <c r="AM91">
        <v>1.1599999999999999</v>
      </c>
      <c r="AN91" t="s">
        <v>82</v>
      </c>
      <c r="AT91" t="s">
        <v>360</v>
      </c>
      <c r="AU91">
        <v>0.81403508771929822</v>
      </c>
      <c r="AV91" t="s">
        <v>115</v>
      </c>
      <c r="AZ91">
        <v>0</v>
      </c>
      <c r="BA91">
        <v>7.61</v>
      </c>
    </row>
    <row r="92" spans="1:53" x14ac:dyDescent="0.3">
      <c r="A92" t="s">
        <v>1244</v>
      </c>
      <c r="C92" t="s">
        <v>1275</v>
      </c>
      <c r="D92" t="s">
        <v>81</v>
      </c>
      <c r="E92">
        <v>50000000</v>
      </c>
      <c r="H92">
        <v>14.25</v>
      </c>
      <c r="I92" t="s">
        <v>56</v>
      </c>
      <c r="J92">
        <v>1.4250000000000001E-3</v>
      </c>
      <c r="K92" t="s">
        <v>57</v>
      </c>
      <c r="L92" t="s">
        <v>112</v>
      </c>
      <c r="O92">
        <v>5000</v>
      </c>
      <c r="P92" t="s">
        <v>277</v>
      </c>
      <c r="S92" t="s">
        <v>1245</v>
      </c>
      <c r="T92">
        <v>22.5</v>
      </c>
      <c r="V92">
        <v>50</v>
      </c>
      <c r="W92" t="s">
        <v>725</v>
      </c>
      <c r="X92" t="s">
        <v>957</v>
      </c>
      <c r="Y92">
        <v>60</v>
      </c>
      <c r="Z92">
        <v>1</v>
      </c>
      <c r="AA92" t="s">
        <v>94</v>
      </c>
      <c r="AB92">
        <v>7.87</v>
      </c>
      <c r="AC92" t="s">
        <v>85</v>
      </c>
      <c r="AD92" t="s">
        <v>418</v>
      </c>
      <c r="AI92">
        <v>5</v>
      </c>
      <c r="AK92">
        <v>1.1599999999999999</v>
      </c>
      <c r="AL92" t="s">
        <v>82</v>
      </c>
      <c r="AM92">
        <v>1.1599999999999999</v>
      </c>
      <c r="AN92" t="s">
        <v>82</v>
      </c>
      <c r="AT92" t="s">
        <v>65</v>
      </c>
      <c r="AU92">
        <v>0.81403508771929822</v>
      </c>
      <c r="AV92" t="s">
        <v>115</v>
      </c>
      <c r="AZ92">
        <v>0</v>
      </c>
      <c r="BA92">
        <v>7.87</v>
      </c>
    </row>
    <row r="93" spans="1:53" x14ac:dyDescent="0.3">
      <c r="A93" t="s">
        <v>1244</v>
      </c>
      <c r="C93" t="s">
        <v>1275</v>
      </c>
      <c r="D93" t="s">
        <v>81</v>
      </c>
      <c r="E93">
        <v>50000000</v>
      </c>
      <c r="H93">
        <v>14.25</v>
      </c>
      <c r="I93" t="s">
        <v>56</v>
      </c>
      <c r="J93">
        <v>1.4250000000000001E-3</v>
      </c>
      <c r="K93" t="s">
        <v>57</v>
      </c>
      <c r="L93" t="s">
        <v>112</v>
      </c>
      <c r="O93">
        <v>5000</v>
      </c>
      <c r="P93" t="s">
        <v>277</v>
      </c>
      <c r="S93" t="s">
        <v>1245</v>
      </c>
      <c r="T93">
        <v>22.5</v>
      </c>
      <c r="V93">
        <v>50</v>
      </c>
      <c r="W93" t="s">
        <v>621</v>
      </c>
      <c r="X93" t="s">
        <v>957</v>
      </c>
      <c r="Y93">
        <v>60</v>
      </c>
      <c r="Z93">
        <v>1</v>
      </c>
      <c r="AA93" t="s">
        <v>94</v>
      </c>
      <c r="AB93">
        <v>7.42</v>
      </c>
      <c r="AC93" t="s">
        <v>85</v>
      </c>
      <c r="AD93" t="s">
        <v>503</v>
      </c>
      <c r="AI93">
        <v>5</v>
      </c>
      <c r="AK93">
        <v>1.1599999999999999</v>
      </c>
      <c r="AL93" t="s">
        <v>82</v>
      </c>
      <c r="AM93">
        <v>1.1599999999999999</v>
      </c>
      <c r="AN93" t="s">
        <v>82</v>
      </c>
      <c r="AT93" t="s">
        <v>79</v>
      </c>
      <c r="AU93">
        <v>0.81403508771929822</v>
      </c>
      <c r="AV93" t="s">
        <v>115</v>
      </c>
      <c r="AZ93">
        <v>0</v>
      </c>
      <c r="BA93">
        <v>7.42</v>
      </c>
    </row>
    <row r="94" spans="1:53" x14ac:dyDescent="0.3">
      <c r="A94" t="s">
        <v>1244</v>
      </c>
      <c r="C94" t="s">
        <v>1275</v>
      </c>
      <c r="D94" t="s">
        <v>81</v>
      </c>
      <c r="E94">
        <v>50000000</v>
      </c>
      <c r="H94">
        <v>14.25</v>
      </c>
      <c r="I94" t="s">
        <v>56</v>
      </c>
      <c r="J94">
        <v>1.4250000000000001E-3</v>
      </c>
      <c r="K94" t="s">
        <v>57</v>
      </c>
      <c r="L94" t="s">
        <v>112</v>
      </c>
      <c r="O94">
        <v>5000</v>
      </c>
      <c r="P94" t="s">
        <v>277</v>
      </c>
      <c r="S94" t="s">
        <v>1245</v>
      </c>
      <c r="T94">
        <v>22.5</v>
      </c>
      <c r="V94">
        <v>50</v>
      </c>
      <c r="W94" t="s">
        <v>147</v>
      </c>
      <c r="X94" t="s">
        <v>957</v>
      </c>
      <c r="Y94">
        <v>60</v>
      </c>
      <c r="Z94">
        <v>1</v>
      </c>
      <c r="AA94" t="s">
        <v>94</v>
      </c>
      <c r="AB94">
        <v>7.72</v>
      </c>
      <c r="AC94" t="s">
        <v>85</v>
      </c>
      <c r="AD94" t="s">
        <v>418</v>
      </c>
      <c r="AI94">
        <v>5</v>
      </c>
      <c r="AK94">
        <v>1.1599999999999999</v>
      </c>
      <c r="AL94" t="s">
        <v>82</v>
      </c>
      <c r="AM94">
        <v>1.1599999999999999</v>
      </c>
      <c r="AN94" t="s">
        <v>82</v>
      </c>
      <c r="AT94" t="s">
        <v>150</v>
      </c>
      <c r="AU94">
        <v>0.81403508771929822</v>
      </c>
      <c r="AV94" t="s">
        <v>115</v>
      </c>
      <c r="AZ94">
        <v>0</v>
      </c>
      <c r="BA94">
        <v>7.72</v>
      </c>
    </row>
    <row r="95" spans="1:53" x14ac:dyDescent="0.3">
      <c r="A95" t="s">
        <v>1244</v>
      </c>
      <c r="C95" t="s">
        <v>1275</v>
      </c>
      <c r="D95" t="s">
        <v>81</v>
      </c>
      <c r="E95">
        <v>50000000</v>
      </c>
      <c r="H95">
        <v>14.25</v>
      </c>
      <c r="I95" t="s">
        <v>56</v>
      </c>
      <c r="J95">
        <v>1.4250000000000001E-3</v>
      </c>
      <c r="K95" t="s">
        <v>57</v>
      </c>
      <c r="L95" t="s">
        <v>112</v>
      </c>
      <c r="O95">
        <v>5000</v>
      </c>
      <c r="P95" t="s">
        <v>277</v>
      </c>
      <c r="S95" t="s">
        <v>1245</v>
      </c>
      <c r="T95">
        <v>22.5</v>
      </c>
      <c r="V95">
        <v>50</v>
      </c>
      <c r="W95" t="s">
        <v>1247</v>
      </c>
      <c r="X95" t="s">
        <v>957</v>
      </c>
      <c r="Y95">
        <v>60</v>
      </c>
      <c r="Z95">
        <v>1</v>
      </c>
      <c r="AA95" t="s">
        <v>94</v>
      </c>
      <c r="AB95">
        <v>7.86</v>
      </c>
      <c r="AC95" t="s">
        <v>85</v>
      </c>
      <c r="AD95" t="s">
        <v>240</v>
      </c>
      <c r="AI95">
        <v>5</v>
      </c>
      <c r="AK95">
        <v>1.1599999999999999</v>
      </c>
      <c r="AL95" t="s">
        <v>82</v>
      </c>
      <c r="AM95">
        <v>1.1599999999999999</v>
      </c>
      <c r="AN95" t="s">
        <v>82</v>
      </c>
      <c r="AT95" t="s">
        <v>358</v>
      </c>
      <c r="AU95">
        <v>0.81403508771929822</v>
      </c>
      <c r="AV95" t="s">
        <v>115</v>
      </c>
      <c r="AZ95">
        <v>0</v>
      </c>
      <c r="BA95">
        <v>7.86</v>
      </c>
    </row>
    <row r="96" spans="1:53" x14ac:dyDescent="0.3">
      <c r="A96" t="s">
        <v>1244</v>
      </c>
      <c r="C96" t="s">
        <v>1275</v>
      </c>
      <c r="D96" t="s">
        <v>81</v>
      </c>
      <c r="E96">
        <v>50000000</v>
      </c>
      <c r="H96">
        <v>14.25</v>
      </c>
      <c r="I96" t="s">
        <v>56</v>
      </c>
      <c r="J96">
        <v>1.4250000000000001E-3</v>
      </c>
      <c r="K96" t="s">
        <v>57</v>
      </c>
      <c r="L96" t="s">
        <v>112</v>
      </c>
      <c r="O96">
        <v>5000</v>
      </c>
      <c r="P96" t="s">
        <v>277</v>
      </c>
      <c r="S96" t="s">
        <v>1245</v>
      </c>
      <c r="T96">
        <v>22.5</v>
      </c>
      <c r="V96">
        <v>50</v>
      </c>
      <c r="W96" t="s">
        <v>355</v>
      </c>
      <c r="X96" t="s">
        <v>957</v>
      </c>
      <c r="Y96">
        <v>60</v>
      </c>
      <c r="Z96">
        <v>1</v>
      </c>
      <c r="AB96">
        <v>4.6399999999999899</v>
      </c>
      <c r="AC96" t="s">
        <v>85</v>
      </c>
      <c r="AD96" t="s">
        <v>492</v>
      </c>
      <c r="AE96" t="s">
        <v>138</v>
      </c>
      <c r="AI96">
        <v>5</v>
      </c>
      <c r="AK96">
        <v>1.1599999999999999</v>
      </c>
      <c r="AL96" t="s">
        <v>82</v>
      </c>
      <c r="AM96">
        <v>1.1599999999999999</v>
      </c>
      <c r="AN96" t="s">
        <v>82</v>
      </c>
      <c r="AT96" t="s">
        <v>212</v>
      </c>
      <c r="AU96">
        <v>0.81403508771929822</v>
      </c>
      <c r="AV96" t="s">
        <v>115</v>
      </c>
    </row>
    <row r="97" spans="1:53" x14ac:dyDescent="0.3">
      <c r="A97" t="s">
        <v>1244</v>
      </c>
      <c r="C97" t="s">
        <v>1275</v>
      </c>
      <c r="D97" t="s">
        <v>81</v>
      </c>
      <c r="E97">
        <v>50000000</v>
      </c>
      <c r="H97">
        <v>14.25</v>
      </c>
      <c r="I97" t="s">
        <v>56</v>
      </c>
      <c r="J97">
        <v>1.4250000000000001E-3</v>
      </c>
      <c r="K97" t="s">
        <v>57</v>
      </c>
      <c r="L97" t="s">
        <v>112</v>
      </c>
      <c r="O97">
        <v>5000</v>
      </c>
      <c r="P97" t="s">
        <v>277</v>
      </c>
      <c r="S97" t="s">
        <v>1245</v>
      </c>
      <c r="T97">
        <v>22.5</v>
      </c>
      <c r="V97">
        <v>50</v>
      </c>
      <c r="W97" t="s">
        <v>1246</v>
      </c>
      <c r="X97" t="s">
        <v>957</v>
      </c>
      <c r="Y97">
        <v>60</v>
      </c>
      <c r="Z97">
        <v>1</v>
      </c>
      <c r="AA97" t="s">
        <v>94</v>
      </c>
      <c r="AB97">
        <v>7.42</v>
      </c>
      <c r="AC97" t="s">
        <v>85</v>
      </c>
      <c r="AD97" t="s">
        <v>248</v>
      </c>
      <c r="AI97">
        <v>5</v>
      </c>
      <c r="AK97">
        <v>1.1599999999999999</v>
      </c>
      <c r="AL97" t="s">
        <v>82</v>
      </c>
      <c r="AM97">
        <v>1.1599999999999999</v>
      </c>
      <c r="AN97" t="s">
        <v>82</v>
      </c>
      <c r="AT97" t="s">
        <v>73</v>
      </c>
      <c r="AU97">
        <v>0.81403508771929822</v>
      </c>
      <c r="AV97" t="s">
        <v>115</v>
      </c>
      <c r="AZ97">
        <v>0</v>
      </c>
      <c r="BA97">
        <v>7.42</v>
      </c>
    </row>
    <row r="98" spans="1:53" x14ac:dyDescent="0.3">
      <c r="A98" t="s">
        <v>1244</v>
      </c>
      <c r="C98" t="s">
        <v>1275</v>
      </c>
      <c r="D98" t="s">
        <v>81</v>
      </c>
      <c r="E98">
        <v>50000000</v>
      </c>
      <c r="H98">
        <v>14.25</v>
      </c>
      <c r="I98" t="s">
        <v>56</v>
      </c>
      <c r="J98">
        <v>1.4250000000000001E-3</v>
      </c>
      <c r="K98" t="s">
        <v>57</v>
      </c>
      <c r="L98" t="s">
        <v>112</v>
      </c>
      <c r="O98">
        <v>5000</v>
      </c>
      <c r="P98" t="s">
        <v>277</v>
      </c>
      <c r="S98" t="s">
        <v>1245</v>
      </c>
      <c r="T98">
        <v>22.5</v>
      </c>
      <c r="V98">
        <v>50</v>
      </c>
      <c r="W98" t="s">
        <v>359</v>
      </c>
      <c r="X98" t="s">
        <v>957</v>
      </c>
      <c r="Y98">
        <v>60</v>
      </c>
      <c r="Z98">
        <v>2</v>
      </c>
      <c r="AA98" t="s">
        <v>94</v>
      </c>
      <c r="AB98">
        <v>7.66</v>
      </c>
      <c r="AC98" t="s">
        <v>85</v>
      </c>
      <c r="AD98" t="s">
        <v>236</v>
      </c>
      <c r="AI98">
        <v>5</v>
      </c>
      <c r="AK98">
        <v>1.1599999999999999</v>
      </c>
      <c r="AL98" t="s">
        <v>82</v>
      </c>
      <c r="AM98">
        <v>1.1599999999999999</v>
      </c>
      <c r="AN98" t="s">
        <v>82</v>
      </c>
      <c r="AT98" t="s">
        <v>360</v>
      </c>
      <c r="AU98">
        <v>0.81403508771929822</v>
      </c>
      <c r="AV98" t="s">
        <v>115</v>
      </c>
      <c r="AZ98">
        <v>0</v>
      </c>
      <c r="BA98">
        <v>7.66</v>
      </c>
    </row>
    <row r="99" spans="1:53" x14ac:dyDescent="0.3">
      <c r="A99" t="s">
        <v>1244</v>
      </c>
      <c r="C99" t="s">
        <v>1275</v>
      </c>
      <c r="D99" t="s">
        <v>81</v>
      </c>
      <c r="E99">
        <v>50000000</v>
      </c>
      <c r="H99">
        <v>14.25</v>
      </c>
      <c r="I99" t="s">
        <v>56</v>
      </c>
      <c r="J99">
        <v>1.4250000000000001E-3</v>
      </c>
      <c r="K99" t="s">
        <v>57</v>
      </c>
      <c r="L99" t="s">
        <v>112</v>
      </c>
      <c r="O99">
        <v>5000</v>
      </c>
      <c r="P99" t="s">
        <v>277</v>
      </c>
      <c r="S99" t="s">
        <v>1245</v>
      </c>
      <c r="T99">
        <v>22.5</v>
      </c>
      <c r="V99">
        <v>50</v>
      </c>
      <c r="W99" t="s">
        <v>725</v>
      </c>
      <c r="X99" t="s">
        <v>957</v>
      </c>
      <c r="Y99">
        <v>60</v>
      </c>
      <c r="Z99">
        <v>2</v>
      </c>
      <c r="AA99" t="s">
        <v>94</v>
      </c>
      <c r="AB99">
        <v>7.64</v>
      </c>
      <c r="AC99" t="s">
        <v>85</v>
      </c>
      <c r="AD99" t="s">
        <v>418</v>
      </c>
      <c r="AI99">
        <v>5</v>
      </c>
      <c r="AK99">
        <v>1.1599999999999999</v>
      </c>
      <c r="AL99" t="s">
        <v>82</v>
      </c>
      <c r="AM99">
        <v>1.1599999999999999</v>
      </c>
      <c r="AN99" t="s">
        <v>82</v>
      </c>
      <c r="AT99" t="s">
        <v>65</v>
      </c>
      <c r="AU99">
        <v>0.81403508771929822</v>
      </c>
      <c r="AV99" t="s">
        <v>115</v>
      </c>
      <c r="AZ99">
        <v>0</v>
      </c>
      <c r="BA99">
        <v>7.64</v>
      </c>
    </row>
    <row r="100" spans="1:53" x14ac:dyDescent="0.3">
      <c r="A100" t="s">
        <v>1244</v>
      </c>
      <c r="C100" t="s">
        <v>1275</v>
      </c>
      <c r="D100" t="s">
        <v>81</v>
      </c>
      <c r="E100">
        <v>50000000</v>
      </c>
      <c r="H100">
        <v>14.25</v>
      </c>
      <c r="I100" t="s">
        <v>56</v>
      </c>
      <c r="J100">
        <v>1.4250000000000001E-3</v>
      </c>
      <c r="K100" t="s">
        <v>57</v>
      </c>
      <c r="L100" t="s">
        <v>112</v>
      </c>
      <c r="O100">
        <v>5000</v>
      </c>
      <c r="P100" t="s">
        <v>277</v>
      </c>
      <c r="S100" t="s">
        <v>1245</v>
      </c>
      <c r="T100">
        <v>22.5</v>
      </c>
      <c r="V100">
        <v>50</v>
      </c>
      <c r="W100" t="s">
        <v>621</v>
      </c>
      <c r="X100" t="s">
        <v>957</v>
      </c>
      <c r="Y100">
        <v>60</v>
      </c>
      <c r="Z100">
        <v>1</v>
      </c>
      <c r="AA100" t="s">
        <v>94</v>
      </c>
      <c r="AB100">
        <v>6.69</v>
      </c>
      <c r="AC100" t="s">
        <v>85</v>
      </c>
      <c r="AD100" t="s">
        <v>505</v>
      </c>
      <c r="AI100">
        <v>5</v>
      </c>
      <c r="AK100">
        <v>1.1599999999999999</v>
      </c>
      <c r="AL100" t="s">
        <v>82</v>
      </c>
      <c r="AM100">
        <v>1.1599999999999999</v>
      </c>
      <c r="AN100" t="s">
        <v>82</v>
      </c>
      <c r="AT100" t="s">
        <v>79</v>
      </c>
      <c r="AU100">
        <v>0.81403508771929822</v>
      </c>
      <c r="AV100" t="s">
        <v>115</v>
      </c>
      <c r="AZ100">
        <v>0</v>
      </c>
      <c r="BA100">
        <v>6.69</v>
      </c>
    </row>
    <row r="101" spans="1:53" x14ac:dyDescent="0.3">
      <c r="A101" t="s">
        <v>1244</v>
      </c>
      <c r="C101" t="s">
        <v>1275</v>
      </c>
      <c r="D101" t="s">
        <v>81</v>
      </c>
      <c r="E101">
        <v>50000000</v>
      </c>
      <c r="H101">
        <v>14.25</v>
      </c>
      <c r="I101" t="s">
        <v>56</v>
      </c>
      <c r="J101">
        <v>1.4250000000000001E-3</v>
      </c>
      <c r="K101" t="s">
        <v>57</v>
      </c>
      <c r="L101" t="s">
        <v>112</v>
      </c>
      <c r="O101">
        <v>5000</v>
      </c>
      <c r="P101" t="s">
        <v>277</v>
      </c>
      <c r="S101" t="s">
        <v>1245</v>
      </c>
      <c r="T101">
        <v>22.5</v>
      </c>
      <c r="V101">
        <v>50</v>
      </c>
      <c r="W101" t="s">
        <v>147</v>
      </c>
      <c r="X101" t="s">
        <v>957</v>
      </c>
      <c r="Y101">
        <v>60</v>
      </c>
      <c r="Z101">
        <v>1</v>
      </c>
      <c r="AA101" t="s">
        <v>94</v>
      </c>
      <c r="AB101">
        <v>7.03</v>
      </c>
      <c r="AC101" t="s">
        <v>85</v>
      </c>
      <c r="AD101" t="s">
        <v>511</v>
      </c>
      <c r="AI101">
        <v>5</v>
      </c>
      <c r="AK101">
        <v>1.1599999999999999</v>
      </c>
      <c r="AL101" t="s">
        <v>82</v>
      </c>
      <c r="AM101">
        <v>1.1599999999999999</v>
      </c>
      <c r="AN101" t="s">
        <v>82</v>
      </c>
      <c r="AT101" t="s">
        <v>150</v>
      </c>
      <c r="AU101">
        <v>0.81403508771929822</v>
      </c>
      <c r="AV101" t="s">
        <v>115</v>
      </c>
      <c r="AZ101">
        <v>0</v>
      </c>
      <c r="BA101">
        <v>7.03</v>
      </c>
    </row>
    <row r="102" spans="1:53" x14ac:dyDescent="0.3">
      <c r="A102" t="s">
        <v>1244</v>
      </c>
      <c r="C102" t="s">
        <v>1275</v>
      </c>
      <c r="D102" t="s">
        <v>81</v>
      </c>
      <c r="E102">
        <v>50000000</v>
      </c>
      <c r="H102">
        <v>14.25</v>
      </c>
      <c r="I102" t="s">
        <v>56</v>
      </c>
      <c r="J102">
        <v>1.4250000000000001E-3</v>
      </c>
      <c r="K102" t="s">
        <v>57</v>
      </c>
      <c r="L102" t="s">
        <v>112</v>
      </c>
      <c r="O102">
        <v>5000</v>
      </c>
      <c r="P102" t="s">
        <v>277</v>
      </c>
      <c r="S102" t="s">
        <v>1245</v>
      </c>
      <c r="T102">
        <v>22.5</v>
      </c>
      <c r="V102">
        <v>50</v>
      </c>
      <c r="W102" t="s">
        <v>1247</v>
      </c>
      <c r="X102" t="s">
        <v>957</v>
      </c>
      <c r="Y102">
        <v>60</v>
      </c>
      <c r="Z102">
        <v>1</v>
      </c>
      <c r="AA102" t="s">
        <v>94</v>
      </c>
      <c r="AB102">
        <v>7.29</v>
      </c>
      <c r="AC102" t="s">
        <v>85</v>
      </c>
      <c r="AD102" t="s">
        <v>242</v>
      </c>
      <c r="AI102">
        <v>5</v>
      </c>
      <c r="AK102">
        <v>1.1599999999999999</v>
      </c>
      <c r="AL102" t="s">
        <v>82</v>
      </c>
      <c r="AM102">
        <v>1.1599999999999999</v>
      </c>
      <c r="AN102" t="s">
        <v>82</v>
      </c>
      <c r="AT102" t="s">
        <v>358</v>
      </c>
      <c r="AU102">
        <v>0.81403508771929822</v>
      </c>
      <c r="AV102" t="s">
        <v>115</v>
      </c>
      <c r="AZ102">
        <v>0</v>
      </c>
      <c r="BA102">
        <v>7.29</v>
      </c>
    </row>
    <row r="103" spans="1:53" x14ac:dyDescent="0.3">
      <c r="A103" t="s">
        <v>1244</v>
      </c>
      <c r="C103" t="s">
        <v>1275</v>
      </c>
      <c r="D103" t="s">
        <v>81</v>
      </c>
      <c r="E103">
        <v>50000000</v>
      </c>
      <c r="H103">
        <v>14.25</v>
      </c>
      <c r="I103" t="s">
        <v>56</v>
      </c>
      <c r="J103">
        <v>1.4250000000000001E-3</v>
      </c>
      <c r="K103" t="s">
        <v>57</v>
      </c>
      <c r="L103" t="s">
        <v>112</v>
      </c>
      <c r="O103">
        <v>5000</v>
      </c>
      <c r="P103" t="s">
        <v>277</v>
      </c>
      <c r="S103" t="s">
        <v>1245</v>
      </c>
      <c r="T103">
        <v>22.5</v>
      </c>
      <c r="V103">
        <v>50</v>
      </c>
      <c r="W103" t="s">
        <v>355</v>
      </c>
      <c r="X103" t="s">
        <v>957</v>
      </c>
      <c r="Y103">
        <v>60</v>
      </c>
      <c r="Z103">
        <v>3</v>
      </c>
      <c r="AB103">
        <v>5.15</v>
      </c>
      <c r="AC103" t="s">
        <v>85</v>
      </c>
      <c r="AD103" t="s">
        <v>330</v>
      </c>
      <c r="AE103" t="s">
        <v>138</v>
      </c>
      <c r="AI103">
        <v>5</v>
      </c>
      <c r="AK103">
        <v>1.1599999999999999</v>
      </c>
      <c r="AL103" t="s">
        <v>82</v>
      </c>
      <c r="AM103">
        <v>1.1599999999999999</v>
      </c>
      <c r="AN103" t="s">
        <v>82</v>
      </c>
      <c r="AT103" t="s">
        <v>212</v>
      </c>
      <c r="AU103">
        <v>0.81403508771929822</v>
      </c>
      <c r="AV103" t="s">
        <v>115</v>
      </c>
    </row>
    <row r="104" spans="1:53" x14ac:dyDescent="0.3">
      <c r="A104" t="s">
        <v>1244</v>
      </c>
      <c r="C104" t="s">
        <v>1275</v>
      </c>
      <c r="D104" t="s">
        <v>81</v>
      </c>
      <c r="E104">
        <v>50000000</v>
      </c>
      <c r="H104">
        <v>14.25</v>
      </c>
      <c r="I104" t="s">
        <v>56</v>
      </c>
      <c r="J104">
        <v>1.4250000000000001E-3</v>
      </c>
      <c r="K104" t="s">
        <v>57</v>
      </c>
      <c r="L104" t="s">
        <v>112</v>
      </c>
      <c r="O104">
        <v>5000</v>
      </c>
      <c r="P104" t="s">
        <v>277</v>
      </c>
      <c r="S104" t="s">
        <v>1245</v>
      </c>
      <c r="T104">
        <v>22.5</v>
      </c>
      <c r="V104">
        <v>50</v>
      </c>
      <c r="W104" t="s">
        <v>1246</v>
      </c>
      <c r="X104" t="s">
        <v>957</v>
      </c>
      <c r="Y104">
        <v>30</v>
      </c>
      <c r="Z104">
        <v>1</v>
      </c>
      <c r="AA104" t="s">
        <v>94</v>
      </c>
      <c r="AB104">
        <v>7.82</v>
      </c>
      <c r="AC104" t="s">
        <v>85</v>
      </c>
      <c r="AD104" t="s">
        <v>240</v>
      </c>
      <c r="AI104">
        <v>5</v>
      </c>
      <c r="AK104">
        <v>0.15</v>
      </c>
      <c r="AL104" t="s">
        <v>82</v>
      </c>
      <c r="AM104">
        <v>0.15</v>
      </c>
      <c r="AN104" t="s">
        <v>82</v>
      </c>
      <c r="AO104">
        <v>0</v>
      </c>
      <c r="AT104" t="s">
        <v>73</v>
      </c>
      <c r="AU104">
        <v>0.10526315789473679</v>
      </c>
      <c r="AV104" t="s">
        <v>115</v>
      </c>
      <c r="AZ104">
        <v>0</v>
      </c>
      <c r="BA104">
        <v>7.82</v>
      </c>
    </row>
    <row r="105" spans="1:53" x14ac:dyDescent="0.3">
      <c r="A105" t="s">
        <v>1244</v>
      </c>
      <c r="C105" t="s">
        <v>1275</v>
      </c>
      <c r="D105" t="s">
        <v>81</v>
      </c>
      <c r="E105">
        <v>50000000</v>
      </c>
      <c r="H105">
        <v>14.25</v>
      </c>
      <c r="I105" t="s">
        <v>56</v>
      </c>
      <c r="J105">
        <v>1.4250000000000001E-3</v>
      </c>
      <c r="K105" t="s">
        <v>57</v>
      </c>
      <c r="L105" t="s">
        <v>112</v>
      </c>
      <c r="O105">
        <v>5000</v>
      </c>
      <c r="P105" t="s">
        <v>277</v>
      </c>
      <c r="S105" t="s">
        <v>1245</v>
      </c>
      <c r="T105">
        <v>22.5</v>
      </c>
      <c r="V105">
        <v>50</v>
      </c>
      <c r="W105" t="s">
        <v>359</v>
      </c>
      <c r="X105" t="s">
        <v>957</v>
      </c>
      <c r="Y105">
        <v>10</v>
      </c>
      <c r="Z105">
        <v>1</v>
      </c>
      <c r="AA105" t="s">
        <v>94</v>
      </c>
      <c r="AB105">
        <v>7.58</v>
      </c>
      <c r="AC105" t="s">
        <v>85</v>
      </c>
      <c r="AD105" t="s">
        <v>418</v>
      </c>
      <c r="AI105">
        <v>5</v>
      </c>
      <c r="AK105">
        <v>0.15</v>
      </c>
      <c r="AL105" t="s">
        <v>82</v>
      </c>
      <c r="AM105">
        <v>0.15</v>
      </c>
      <c r="AN105" t="s">
        <v>82</v>
      </c>
      <c r="AO105">
        <v>0</v>
      </c>
      <c r="AT105" t="s">
        <v>360</v>
      </c>
      <c r="AU105">
        <v>0.10526315789473679</v>
      </c>
      <c r="AV105" t="s">
        <v>115</v>
      </c>
      <c r="AZ105">
        <v>0</v>
      </c>
      <c r="BA105">
        <v>7.58</v>
      </c>
    </row>
    <row r="106" spans="1:53" x14ac:dyDescent="0.3">
      <c r="A106" t="s">
        <v>1244</v>
      </c>
      <c r="C106" t="s">
        <v>1275</v>
      </c>
      <c r="D106" t="s">
        <v>81</v>
      </c>
      <c r="E106">
        <v>50000000</v>
      </c>
      <c r="H106">
        <v>14.25</v>
      </c>
      <c r="I106" t="s">
        <v>56</v>
      </c>
      <c r="J106">
        <v>1.4250000000000001E-3</v>
      </c>
      <c r="K106" t="s">
        <v>57</v>
      </c>
      <c r="L106" t="s">
        <v>112</v>
      </c>
      <c r="O106">
        <v>5000</v>
      </c>
      <c r="P106" t="s">
        <v>277</v>
      </c>
      <c r="S106" t="s">
        <v>1245</v>
      </c>
      <c r="T106">
        <v>22.5</v>
      </c>
      <c r="V106">
        <v>50</v>
      </c>
      <c r="W106" t="s">
        <v>725</v>
      </c>
      <c r="X106" t="s">
        <v>957</v>
      </c>
      <c r="Y106">
        <v>10</v>
      </c>
      <c r="Z106">
        <v>1</v>
      </c>
      <c r="AA106" t="s">
        <v>94</v>
      </c>
      <c r="AB106">
        <v>7.8</v>
      </c>
      <c r="AC106" t="s">
        <v>85</v>
      </c>
      <c r="AD106" t="s">
        <v>232</v>
      </c>
      <c r="AI106">
        <v>5</v>
      </c>
      <c r="AK106">
        <v>0.15</v>
      </c>
      <c r="AL106" t="s">
        <v>82</v>
      </c>
      <c r="AM106">
        <v>0.15</v>
      </c>
      <c r="AN106" t="s">
        <v>82</v>
      </c>
      <c r="AO106">
        <v>0</v>
      </c>
      <c r="AT106" t="s">
        <v>65</v>
      </c>
      <c r="AU106">
        <v>0.10526315789473679</v>
      </c>
      <c r="AV106" t="s">
        <v>115</v>
      </c>
      <c r="AZ106">
        <v>0</v>
      </c>
      <c r="BA106">
        <v>7.8</v>
      </c>
    </row>
    <row r="107" spans="1:53" x14ac:dyDescent="0.3">
      <c r="A107" t="s">
        <v>1244</v>
      </c>
      <c r="C107" t="s">
        <v>1275</v>
      </c>
      <c r="D107" t="s">
        <v>81</v>
      </c>
      <c r="E107">
        <v>50000000</v>
      </c>
      <c r="H107">
        <v>14.25</v>
      </c>
      <c r="I107" t="s">
        <v>56</v>
      </c>
      <c r="J107">
        <v>1.4250000000000001E-3</v>
      </c>
      <c r="K107" t="s">
        <v>57</v>
      </c>
      <c r="L107" t="s">
        <v>112</v>
      </c>
      <c r="O107">
        <v>5000</v>
      </c>
      <c r="P107" t="s">
        <v>277</v>
      </c>
      <c r="S107" t="s">
        <v>1245</v>
      </c>
      <c r="T107">
        <v>22.5</v>
      </c>
      <c r="V107">
        <v>50</v>
      </c>
      <c r="W107" t="s">
        <v>621</v>
      </c>
      <c r="X107" t="s">
        <v>957</v>
      </c>
      <c r="Y107">
        <v>10</v>
      </c>
      <c r="Z107">
        <v>1</v>
      </c>
      <c r="AA107" t="s">
        <v>94</v>
      </c>
      <c r="AB107">
        <v>7.53</v>
      </c>
      <c r="AC107" t="s">
        <v>85</v>
      </c>
      <c r="AD107" t="s">
        <v>365</v>
      </c>
      <c r="AI107">
        <v>5</v>
      </c>
      <c r="AK107">
        <v>0.15</v>
      </c>
      <c r="AL107" t="s">
        <v>82</v>
      </c>
      <c r="AM107">
        <v>0.15</v>
      </c>
      <c r="AN107" t="s">
        <v>82</v>
      </c>
      <c r="AO107">
        <v>0</v>
      </c>
      <c r="AT107" t="s">
        <v>79</v>
      </c>
      <c r="AU107">
        <v>0.10526315789473679</v>
      </c>
      <c r="AV107" t="s">
        <v>115</v>
      </c>
      <c r="AZ107">
        <v>0</v>
      </c>
      <c r="BA107">
        <v>7.53</v>
      </c>
    </row>
    <row r="108" spans="1:53" x14ac:dyDescent="0.3">
      <c r="A108" t="s">
        <v>1244</v>
      </c>
      <c r="C108" t="s">
        <v>1275</v>
      </c>
      <c r="D108" t="s">
        <v>81</v>
      </c>
      <c r="E108">
        <v>50000000</v>
      </c>
      <c r="H108">
        <v>14.25</v>
      </c>
      <c r="I108" t="s">
        <v>56</v>
      </c>
      <c r="J108">
        <v>1.4250000000000001E-3</v>
      </c>
      <c r="K108" t="s">
        <v>57</v>
      </c>
      <c r="L108" t="s">
        <v>112</v>
      </c>
      <c r="O108">
        <v>5000</v>
      </c>
      <c r="P108" t="s">
        <v>277</v>
      </c>
      <c r="S108" t="s">
        <v>1245</v>
      </c>
      <c r="T108">
        <v>22.5</v>
      </c>
      <c r="V108">
        <v>50</v>
      </c>
      <c r="W108" t="s">
        <v>147</v>
      </c>
      <c r="X108" t="s">
        <v>957</v>
      </c>
      <c r="Y108">
        <v>10</v>
      </c>
      <c r="Z108">
        <v>1</v>
      </c>
      <c r="AA108" t="s">
        <v>94</v>
      </c>
      <c r="AB108">
        <v>7.75</v>
      </c>
      <c r="AC108" t="s">
        <v>85</v>
      </c>
      <c r="AD108" t="s">
        <v>235</v>
      </c>
      <c r="AI108">
        <v>5</v>
      </c>
      <c r="AK108">
        <v>0.15</v>
      </c>
      <c r="AL108" t="s">
        <v>82</v>
      </c>
      <c r="AM108">
        <v>0.15</v>
      </c>
      <c r="AN108" t="s">
        <v>82</v>
      </c>
      <c r="AO108">
        <v>0</v>
      </c>
      <c r="AT108" t="s">
        <v>150</v>
      </c>
      <c r="AU108">
        <v>0.10526315789473679</v>
      </c>
      <c r="AV108" t="s">
        <v>115</v>
      </c>
      <c r="AZ108">
        <v>0</v>
      </c>
      <c r="BA108">
        <v>7.75</v>
      </c>
    </row>
    <row r="109" spans="1:53" x14ac:dyDescent="0.3">
      <c r="A109" t="s">
        <v>1244</v>
      </c>
      <c r="C109" t="s">
        <v>1275</v>
      </c>
      <c r="D109" t="s">
        <v>81</v>
      </c>
      <c r="E109">
        <v>50000000</v>
      </c>
      <c r="H109">
        <v>14.25</v>
      </c>
      <c r="I109" t="s">
        <v>56</v>
      </c>
      <c r="J109">
        <v>1.4250000000000001E-3</v>
      </c>
      <c r="K109" t="s">
        <v>57</v>
      </c>
      <c r="L109" t="s">
        <v>112</v>
      </c>
      <c r="O109">
        <v>5000</v>
      </c>
      <c r="P109" t="s">
        <v>277</v>
      </c>
      <c r="S109" t="s">
        <v>1245</v>
      </c>
      <c r="T109">
        <v>22.5</v>
      </c>
      <c r="V109">
        <v>50</v>
      </c>
      <c r="W109" t="s">
        <v>1247</v>
      </c>
      <c r="X109" t="s">
        <v>957</v>
      </c>
      <c r="Y109">
        <v>30</v>
      </c>
      <c r="Z109">
        <v>1</v>
      </c>
      <c r="AA109" t="s">
        <v>94</v>
      </c>
      <c r="AB109">
        <v>8.08</v>
      </c>
      <c r="AC109" t="s">
        <v>85</v>
      </c>
      <c r="AD109" t="s">
        <v>227</v>
      </c>
      <c r="AI109">
        <v>5</v>
      </c>
      <c r="AK109">
        <v>0.15</v>
      </c>
      <c r="AL109" t="s">
        <v>82</v>
      </c>
      <c r="AM109">
        <v>0.15</v>
      </c>
      <c r="AN109" t="s">
        <v>82</v>
      </c>
      <c r="AO109">
        <v>0</v>
      </c>
      <c r="AT109" t="s">
        <v>358</v>
      </c>
      <c r="AU109">
        <v>0.10526315789473679</v>
      </c>
      <c r="AV109" t="s">
        <v>115</v>
      </c>
      <c r="AZ109">
        <v>0</v>
      </c>
      <c r="BA109">
        <v>8.08</v>
      </c>
    </row>
    <row r="110" spans="1:53" x14ac:dyDescent="0.3">
      <c r="A110" t="s">
        <v>1244</v>
      </c>
      <c r="C110" t="s">
        <v>1275</v>
      </c>
      <c r="D110" t="s">
        <v>81</v>
      </c>
      <c r="E110">
        <v>50000000</v>
      </c>
      <c r="H110">
        <v>14.25</v>
      </c>
      <c r="I110" t="s">
        <v>56</v>
      </c>
      <c r="J110">
        <v>1.4250000000000001E-3</v>
      </c>
      <c r="K110" t="s">
        <v>57</v>
      </c>
      <c r="L110" t="s">
        <v>112</v>
      </c>
      <c r="O110">
        <v>5000</v>
      </c>
      <c r="P110" t="s">
        <v>277</v>
      </c>
      <c r="S110" t="s">
        <v>1245</v>
      </c>
      <c r="T110">
        <v>22.5</v>
      </c>
      <c r="V110">
        <v>50</v>
      </c>
      <c r="W110" t="s">
        <v>355</v>
      </c>
      <c r="X110" t="s">
        <v>957</v>
      </c>
      <c r="Y110">
        <v>30</v>
      </c>
      <c r="Z110">
        <v>1</v>
      </c>
      <c r="AB110">
        <v>5.4</v>
      </c>
      <c r="AC110" t="s">
        <v>85</v>
      </c>
      <c r="AD110" t="s">
        <v>335</v>
      </c>
      <c r="AE110" t="s">
        <v>138</v>
      </c>
      <c r="AI110">
        <v>5</v>
      </c>
      <c r="AK110">
        <v>0.15</v>
      </c>
      <c r="AL110" t="s">
        <v>82</v>
      </c>
      <c r="AM110">
        <v>0.15</v>
      </c>
      <c r="AN110" t="s">
        <v>82</v>
      </c>
      <c r="AO110">
        <v>0</v>
      </c>
      <c r="AT110" t="s">
        <v>212</v>
      </c>
      <c r="AU110">
        <v>0.10526315789473679</v>
      </c>
      <c r="AV110" t="s">
        <v>115</v>
      </c>
    </row>
    <row r="111" spans="1:53" x14ac:dyDescent="0.3">
      <c r="A111" t="s">
        <v>1244</v>
      </c>
      <c r="C111" t="s">
        <v>1275</v>
      </c>
      <c r="D111" t="s">
        <v>81</v>
      </c>
      <c r="E111">
        <v>50000000</v>
      </c>
      <c r="H111">
        <v>14.25</v>
      </c>
      <c r="I111" t="s">
        <v>56</v>
      </c>
      <c r="J111">
        <v>1.4250000000000001E-3</v>
      </c>
      <c r="K111" t="s">
        <v>57</v>
      </c>
      <c r="L111" t="s">
        <v>112</v>
      </c>
      <c r="O111">
        <v>5000</v>
      </c>
      <c r="P111" t="s">
        <v>277</v>
      </c>
      <c r="S111" t="s">
        <v>1245</v>
      </c>
      <c r="T111">
        <v>22.5</v>
      </c>
      <c r="V111">
        <v>50</v>
      </c>
      <c r="W111" t="s">
        <v>1246</v>
      </c>
      <c r="X111" t="s">
        <v>957</v>
      </c>
      <c r="Y111">
        <v>30</v>
      </c>
      <c r="Z111">
        <v>1</v>
      </c>
      <c r="AA111" t="s">
        <v>94</v>
      </c>
      <c r="AB111">
        <v>7.91</v>
      </c>
      <c r="AC111" t="s">
        <v>85</v>
      </c>
      <c r="AD111" t="s">
        <v>236</v>
      </c>
      <c r="AI111">
        <v>5</v>
      </c>
      <c r="AK111">
        <v>0.15</v>
      </c>
      <c r="AL111" t="s">
        <v>82</v>
      </c>
      <c r="AM111">
        <v>0.15</v>
      </c>
      <c r="AN111" t="s">
        <v>82</v>
      </c>
      <c r="AO111">
        <v>0</v>
      </c>
      <c r="AT111" t="s">
        <v>73</v>
      </c>
      <c r="AU111">
        <v>0.10526315789473679</v>
      </c>
      <c r="AV111" t="s">
        <v>115</v>
      </c>
      <c r="AZ111">
        <v>0</v>
      </c>
      <c r="BA111">
        <v>7.91</v>
      </c>
    </row>
    <row r="112" spans="1:53" x14ac:dyDescent="0.3">
      <c r="A112" t="s">
        <v>1244</v>
      </c>
      <c r="C112" t="s">
        <v>1275</v>
      </c>
      <c r="D112" t="s">
        <v>81</v>
      </c>
      <c r="E112">
        <v>50000000</v>
      </c>
      <c r="H112">
        <v>14.25</v>
      </c>
      <c r="I112" t="s">
        <v>56</v>
      </c>
      <c r="J112">
        <v>1.4250000000000001E-3</v>
      </c>
      <c r="K112" t="s">
        <v>57</v>
      </c>
      <c r="L112" t="s">
        <v>112</v>
      </c>
      <c r="O112">
        <v>5000</v>
      </c>
      <c r="P112" t="s">
        <v>277</v>
      </c>
      <c r="S112" t="s">
        <v>1245</v>
      </c>
      <c r="T112">
        <v>22.5</v>
      </c>
      <c r="V112">
        <v>50</v>
      </c>
      <c r="W112" t="s">
        <v>359</v>
      </c>
      <c r="X112" t="s">
        <v>957</v>
      </c>
      <c r="Y112">
        <v>10</v>
      </c>
      <c r="Z112">
        <v>1</v>
      </c>
      <c r="AA112" t="s">
        <v>94</v>
      </c>
      <c r="AB112">
        <v>7.87</v>
      </c>
      <c r="AC112" t="s">
        <v>85</v>
      </c>
      <c r="AD112" t="s">
        <v>418</v>
      </c>
      <c r="AI112">
        <v>5</v>
      </c>
      <c r="AK112">
        <v>0.15</v>
      </c>
      <c r="AL112" t="s">
        <v>82</v>
      </c>
      <c r="AM112">
        <v>0.15</v>
      </c>
      <c r="AN112" t="s">
        <v>82</v>
      </c>
      <c r="AO112">
        <v>0</v>
      </c>
      <c r="AT112" t="s">
        <v>360</v>
      </c>
      <c r="AU112">
        <v>0.10526315789473679</v>
      </c>
      <c r="AV112" t="s">
        <v>115</v>
      </c>
      <c r="AZ112">
        <v>0</v>
      </c>
      <c r="BA112">
        <v>7.87</v>
      </c>
    </row>
    <row r="113" spans="1:53" x14ac:dyDescent="0.3">
      <c r="A113" t="s">
        <v>1244</v>
      </c>
      <c r="C113" t="s">
        <v>1275</v>
      </c>
      <c r="D113" t="s">
        <v>81</v>
      </c>
      <c r="E113">
        <v>50000000</v>
      </c>
      <c r="H113">
        <v>14.25</v>
      </c>
      <c r="I113" t="s">
        <v>56</v>
      </c>
      <c r="J113">
        <v>1.4250000000000001E-3</v>
      </c>
      <c r="K113" t="s">
        <v>57</v>
      </c>
      <c r="L113" t="s">
        <v>112</v>
      </c>
      <c r="O113">
        <v>5000</v>
      </c>
      <c r="P113" t="s">
        <v>277</v>
      </c>
      <c r="S113" t="s">
        <v>1245</v>
      </c>
      <c r="T113">
        <v>22.5</v>
      </c>
      <c r="V113">
        <v>50</v>
      </c>
      <c r="W113" t="s">
        <v>725</v>
      </c>
      <c r="X113" t="s">
        <v>957</v>
      </c>
      <c r="Y113">
        <v>10</v>
      </c>
      <c r="Z113">
        <v>1</v>
      </c>
      <c r="AA113" t="s">
        <v>94</v>
      </c>
      <c r="AB113">
        <v>7.89</v>
      </c>
      <c r="AC113" t="s">
        <v>85</v>
      </c>
      <c r="AD113" t="s">
        <v>232</v>
      </c>
      <c r="AI113">
        <v>5</v>
      </c>
      <c r="AK113">
        <v>0.15</v>
      </c>
      <c r="AL113" t="s">
        <v>82</v>
      </c>
      <c r="AM113">
        <v>0.15</v>
      </c>
      <c r="AN113" t="s">
        <v>82</v>
      </c>
      <c r="AO113">
        <v>0</v>
      </c>
      <c r="AT113" t="s">
        <v>65</v>
      </c>
      <c r="AU113">
        <v>0.10526315789473679</v>
      </c>
      <c r="AV113" t="s">
        <v>115</v>
      </c>
      <c r="AZ113">
        <v>0</v>
      </c>
      <c r="BA113">
        <v>7.89</v>
      </c>
    </row>
    <row r="114" spans="1:53" x14ac:dyDescent="0.3">
      <c r="A114" t="s">
        <v>1244</v>
      </c>
      <c r="C114" t="s">
        <v>1275</v>
      </c>
      <c r="D114" t="s">
        <v>81</v>
      </c>
      <c r="E114">
        <v>50000000</v>
      </c>
      <c r="H114">
        <v>14.25</v>
      </c>
      <c r="I114" t="s">
        <v>56</v>
      </c>
      <c r="J114">
        <v>1.4250000000000001E-3</v>
      </c>
      <c r="K114" t="s">
        <v>57</v>
      </c>
      <c r="L114" t="s">
        <v>112</v>
      </c>
      <c r="O114">
        <v>5000</v>
      </c>
      <c r="P114" t="s">
        <v>277</v>
      </c>
      <c r="S114" t="s">
        <v>1245</v>
      </c>
      <c r="T114">
        <v>22.5</v>
      </c>
      <c r="V114">
        <v>50</v>
      </c>
      <c r="W114" t="s">
        <v>621</v>
      </c>
      <c r="X114" t="s">
        <v>957</v>
      </c>
      <c r="Y114">
        <v>10</v>
      </c>
      <c r="Z114">
        <v>1</v>
      </c>
      <c r="AA114" t="s">
        <v>94</v>
      </c>
      <c r="AB114">
        <v>7.46</v>
      </c>
      <c r="AC114" t="s">
        <v>85</v>
      </c>
      <c r="AD114" t="s">
        <v>103</v>
      </c>
      <c r="AI114">
        <v>5</v>
      </c>
      <c r="AK114">
        <v>0.15</v>
      </c>
      <c r="AL114" t="s">
        <v>82</v>
      </c>
      <c r="AM114">
        <v>0.15</v>
      </c>
      <c r="AN114" t="s">
        <v>82</v>
      </c>
      <c r="AO114">
        <v>0</v>
      </c>
      <c r="AT114" t="s">
        <v>79</v>
      </c>
      <c r="AU114">
        <v>0.10526315789473679</v>
      </c>
      <c r="AV114" t="s">
        <v>115</v>
      </c>
      <c r="AZ114">
        <v>0</v>
      </c>
      <c r="BA114">
        <v>7.46</v>
      </c>
    </row>
    <row r="115" spans="1:53" x14ac:dyDescent="0.3">
      <c r="A115" t="s">
        <v>1244</v>
      </c>
      <c r="C115" t="s">
        <v>1275</v>
      </c>
      <c r="D115" t="s">
        <v>81</v>
      </c>
      <c r="E115">
        <v>50000000</v>
      </c>
      <c r="H115">
        <v>14.25</v>
      </c>
      <c r="I115" t="s">
        <v>56</v>
      </c>
      <c r="J115">
        <v>1.4250000000000001E-3</v>
      </c>
      <c r="K115" t="s">
        <v>57</v>
      </c>
      <c r="L115" t="s">
        <v>112</v>
      </c>
      <c r="O115">
        <v>5000</v>
      </c>
      <c r="P115" t="s">
        <v>277</v>
      </c>
      <c r="S115" t="s">
        <v>1245</v>
      </c>
      <c r="T115">
        <v>22.5</v>
      </c>
      <c r="V115">
        <v>50</v>
      </c>
      <c r="W115" t="s">
        <v>147</v>
      </c>
      <c r="X115" t="s">
        <v>957</v>
      </c>
      <c r="Y115">
        <v>10</v>
      </c>
      <c r="Z115">
        <v>1</v>
      </c>
      <c r="AA115" t="s">
        <v>94</v>
      </c>
      <c r="AB115">
        <v>7.95</v>
      </c>
      <c r="AC115" t="s">
        <v>85</v>
      </c>
      <c r="AD115" t="s">
        <v>231</v>
      </c>
      <c r="AI115">
        <v>5</v>
      </c>
      <c r="AK115">
        <v>0.15</v>
      </c>
      <c r="AL115" t="s">
        <v>82</v>
      </c>
      <c r="AM115">
        <v>0.15</v>
      </c>
      <c r="AN115" t="s">
        <v>82</v>
      </c>
      <c r="AO115">
        <v>0</v>
      </c>
      <c r="AT115" t="s">
        <v>150</v>
      </c>
      <c r="AU115">
        <v>0.10526315789473679</v>
      </c>
      <c r="AV115" t="s">
        <v>115</v>
      </c>
      <c r="AZ115">
        <v>0</v>
      </c>
      <c r="BA115">
        <v>7.95</v>
      </c>
    </row>
    <row r="116" spans="1:53" x14ac:dyDescent="0.3">
      <c r="A116" t="s">
        <v>1244</v>
      </c>
      <c r="C116" t="s">
        <v>1275</v>
      </c>
      <c r="D116" t="s">
        <v>81</v>
      </c>
      <c r="E116">
        <v>50000000</v>
      </c>
      <c r="H116">
        <v>14.25</v>
      </c>
      <c r="I116" t="s">
        <v>56</v>
      </c>
      <c r="J116">
        <v>1.4250000000000001E-3</v>
      </c>
      <c r="K116" t="s">
        <v>57</v>
      </c>
      <c r="L116" t="s">
        <v>112</v>
      </c>
      <c r="O116">
        <v>5000</v>
      </c>
      <c r="P116" t="s">
        <v>277</v>
      </c>
      <c r="S116" t="s">
        <v>1245</v>
      </c>
      <c r="T116">
        <v>22.5</v>
      </c>
      <c r="V116">
        <v>50</v>
      </c>
      <c r="W116" t="s">
        <v>1247</v>
      </c>
      <c r="X116" t="s">
        <v>957</v>
      </c>
      <c r="Y116">
        <v>30</v>
      </c>
      <c r="Z116">
        <v>1</v>
      </c>
      <c r="AA116" t="s">
        <v>94</v>
      </c>
      <c r="AB116">
        <v>7.93</v>
      </c>
      <c r="AC116" t="s">
        <v>85</v>
      </c>
      <c r="AD116" t="s">
        <v>237</v>
      </c>
      <c r="AI116">
        <v>5</v>
      </c>
      <c r="AK116">
        <v>0.15</v>
      </c>
      <c r="AL116" t="s">
        <v>82</v>
      </c>
      <c r="AM116">
        <v>0.15</v>
      </c>
      <c r="AN116" t="s">
        <v>82</v>
      </c>
      <c r="AO116">
        <v>0</v>
      </c>
      <c r="AT116" t="s">
        <v>358</v>
      </c>
      <c r="AU116">
        <v>0.10526315789473679</v>
      </c>
      <c r="AV116" t="s">
        <v>115</v>
      </c>
      <c r="AZ116">
        <v>0</v>
      </c>
      <c r="BA116">
        <v>7.93</v>
      </c>
    </row>
    <row r="117" spans="1:53" x14ac:dyDescent="0.3">
      <c r="A117" t="s">
        <v>1244</v>
      </c>
      <c r="C117" t="s">
        <v>1275</v>
      </c>
      <c r="D117" t="s">
        <v>81</v>
      </c>
      <c r="E117">
        <v>50000000</v>
      </c>
      <c r="H117">
        <v>14.25</v>
      </c>
      <c r="I117" t="s">
        <v>56</v>
      </c>
      <c r="J117">
        <v>1.4250000000000001E-3</v>
      </c>
      <c r="K117" t="s">
        <v>57</v>
      </c>
      <c r="L117" t="s">
        <v>112</v>
      </c>
      <c r="O117">
        <v>5000</v>
      </c>
      <c r="P117" t="s">
        <v>277</v>
      </c>
      <c r="S117" t="s">
        <v>1245</v>
      </c>
      <c r="T117">
        <v>22.5</v>
      </c>
      <c r="V117">
        <v>50</v>
      </c>
      <c r="W117" t="s">
        <v>355</v>
      </c>
      <c r="X117" t="s">
        <v>957</v>
      </c>
      <c r="Y117">
        <v>30</v>
      </c>
      <c r="Z117">
        <v>1</v>
      </c>
      <c r="AB117">
        <v>6</v>
      </c>
      <c r="AC117" t="s">
        <v>85</v>
      </c>
      <c r="AD117" t="s">
        <v>522</v>
      </c>
      <c r="AE117" t="s">
        <v>138</v>
      </c>
      <c r="AI117">
        <v>5</v>
      </c>
      <c r="AK117">
        <v>0.15</v>
      </c>
      <c r="AL117" t="s">
        <v>82</v>
      </c>
      <c r="AM117">
        <v>0.15</v>
      </c>
      <c r="AN117" t="s">
        <v>82</v>
      </c>
      <c r="AO117">
        <v>0</v>
      </c>
      <c r="AT117" t="s">
        <v>212</v>
      </c>
      <c r="AU117">
        <v>0.10526315789473679</v>
      </c>
      <c r="AV117" t="s">
        <v>115</v>
      </c>
    </row>
    <row r="118" spans="1:53" x14ac:dyDescent="0.3">
      <c r="A118" t="s">
        <v>1244</v>
      </c>
      <c r="C118" t="s">
        <v>1275</v>
      </c>
      <c r="D118" t="s">
        <v>81</v>
      </c>
      <c r="E118">
        <v>50000000</v>
      </c>
      <c r="H118">
        <v>14.25</v>
      </c>
      <c r="I118" t="s">
        <v>56</v>
      </c>
      <c r="J118">
        <v>1.4250000000000001E-3</v>
      </c>
      <c r="K118" t="s">
        <v>57</v>
      </c>
      <c r="L118" t="s">
        <v>112</v>
      </c>
      <c r="O118">
        <v>400</v>
      </c>
      <c r="P118" t="s">
        <v>277</v>
      </c>
      <c r="S118" t="s">
        <v>1245</v>
      </c>
      <c r="T118">
        <v>22.5</v>
      </c>
      <c r="V118">
        <v>50</v>
      </c>
      <c r="W118" t="s">
        <v>1246</v>
      </c>
      <c r="X118" t="s">
        <v>957</v>
      </c>
      <c r="Y118">
        <v>10</v>
      </c>
      <c r="Z118">
        <v>1</v>
      </c>
      <c r="AB118">
        <v>1.83</v>
      </c>
      <c r="AC118" t="s">
        <v>85</v>
      </c>
      <c r="AD118" t="s">
        <v>241</v>
      </c>
      <c r="AE118" t="s">
        <v>138</v>
      </c>
      <c r="AI118">
        <v>5</v>
      </c>
      <c r="AK118">
        <v>0.2</v>
      </c>
      <c r="AL118" t="s">
        <v>82</v>
      </c>
      <c r="AM118">
        <v>0.2</v>
      </c>
      <c r="AN118" t="s">
        <v>82</v>
      </c>
      <c r="AT118" t="s">
        <v>73</v>
      </c>
      <c r="AU118">
        <v>0.14035087719298239</v>
      </c>
      <c r="AV118" t="s">
        <v>115</v>
      </c>
    </row>
    <row r="119" spans="1:53" x14ac:dyDescent="0.3">
      <c r="A119" t="s">
        <v>1244</v>
      </c>
      <c r="C119" t="s">
        <v>1275</v>
      </c>
      <c r="D119" t="s">
        <v>81</v>
      </c>
      <c r="E119">
        <v>50000000</v>
      </c>
      <c r="H119">
        <v>14.25</v>
      </c>
      <c r="I119" t="s">
        <v>56</v>
      </c>
      <c r="J119">
        <v>1.4250000000000001E-3</v>
      </c>
      <c r="K119" t="s">
        <v>57</v>
      </c>
      <c r="L119" t="s">
        <v>112</v>
      </c>
      <c r="O119">
        <v>400</v>
      </c>
      <c r="P119" t="s">
        <v>277</v>
      </c>
      <c r="S119" t="s">
        <v>1245</v>
      </c>
      <c r="T119">
        <v>22.5</v>
      </c>
      <c r="V119">
        <v>50</v>
      </c>
      <c r="W119" t="s">
        <v>359</v>
      </c>
      <c r="X119" t="s">
        <v>957</v>
      </c>
      <c r="Y119">
        <v>10</v>
      </c>
      <c r="Z119">
        <v>1</v>
      </c>
      <c r="AB119">
        <v>2.59</v>
      </c>
      <c r="AC119" t="s">
        <v>85</v>
      </c>
      <c r="AD119" t="s">
        <v>234</v>
      </c>
      <c r="AE119" t="s">
        <v>138</v>
      </c>
      <c r="AI119">
        <v>5</v>
      </c>
      <c r="AK119">
        <v>0.2</v>
      </c>
      <c r="AL119" t="s">
        <v>82</v>
      </c>
      <c r="AM119">
        <v>0.2</v>
      </c>
      <c r="AN119" t="s">
        <v>82</v>
      </c>
      <c r="AT119" t="s">
        <v>360</v>
      </c>
      <c r="AU119">
        <v>0.14035087719298239</v>
      </c>
      <c r="AV119" t="s">
        <v>115</v>
      </c>
    </row>
    <row r="120" spans="1:53" x14ac:dyDescent="0.3">
      <c r="A120" t="s">
        <v>1244</v>
      </c>
      <c r="C120" t="s">
        <v>1275</v>
      </c>
      <c r="D120" t="s">
        <v>81</v>
      </c>
      <c r="E120">
        <v>50000000</v>
      </c>
      <c r="H120">
        <v>14.25</v>
      </c>
      <c r="I120" t="s">
        <v>56</v>
      </c>
      <c r="J120">
        <v>1.4250000000000001E-3</v>
      </c>
      <c r="K120" t="s">
        <v>57</v>
      </c>
      <c r="L120" t="s">
        <v>112</v>
      </c>
      <c r="O120">
        <v>400</v>
      </c>
      <c r="P120" t="s">
        <v>277</v>
      </c>
      <c r="S120" t="s">
        <v>1245</v>
      </c>
      <c r="T120">
        <v>22.5</v>
      </c>
      <c r="V120">
        <v>50</v>
      </c>
      <c r="W120" t="s">
        <v>725</v>
      </c>
      <c r="X120" t="s">
        <v>957</v>
      </c>
      <c r="Y120">
        <v>10</v>
      </c>
      <c r="AB120">
        <v>0.95</v>
      </c>
      <c r="AC120" t="s">
        <v>85</v>
      </c>
      <c r="AD120" t="s">
        <v>248</v>
      </c>
      <c r="AE120" t="s">
        <v>138</v>
      </c>
      <c r="AI120">
        <v>5</v>
      </c>
      <c r="AK120">
        <v>0.2</v>
      </c>
      <c r="AL120" t="s">
        <v>82</v>
      </c>
      <c r="AM120">
        <v>0.2</v>
      </c>
      <c r="AN120" t="s">
        <v>82</v>
      </c>
      <c r="AT120" t="s">
        <v>65</v>
      </c>
      <c r="AU120">
        <v>0.14035087719298239</v>
      </c>
      <c r="AV120" t="s">
        <v>115</v>
      </c>
    </row>
    <row r="121" spans="1:53" x14ac:dyDescent="0.3">
      <c r="A121" t="s">
        <v>1244</v>
      </c>
      <c r="C121" t="s">
        <v>1275</v>
      </c>
      <c r="D121" t="s">
        <v>81</v>
      </c>
      <c r="E121">
        <v>50000000</v>
      </c>
      <c r="H121">
        <v>14.25</v>
      </c>
      <c r="I121" t="s">
        <v>56</v>
      </c>
      <c r="J121">
        <v>1.4250000000000001E-3</v>
      </c>
      <c r="K121" t="s">
        <v>57</v>
      </c>
      <c r="L121" t="s">
        <v>112</v>
      </c>
      <c r="O121">
        <v>400</v>
      </c>
      <c r="P121" t="s">
        <v>277</v>
      </c>
      <c r="S121" t="s">
        <v>1245</v>
      </c>
      <c r="T121">
        <v>22.5</v>
      </c>
      <c r="V121">
        <v>50</v>
      </c>
      <c r="W121" t="s">
        <v>621</v>
      </c>
      <c r="X121" t="s">
        <v>957</v>
      </c>
      <c r="Y121">
        <v>10</v>
      </c>
      <c r="AB121">
        <v>0.7</v>
      </c>
      <c r="AC121" t="s">
        <v>85</v>
      </c>
      <c r="AD121" t="s">
        <v>240</v>
      </c>
      <c r="AE121" t="s">
        <v>138</v>
      </c>
      <c r="AI121">
        <v>5</v>
      </c>
      <c r="AK121">
        <v>0.2</v>
      </c>
      <c r="AL121" t="s">
        <v>82</v>
      </c>
      <c r="AM121">
        <v>0.2</v>
      </c>
      <c r="AN121" t="s">
        <v>82</v>
      </c>
      <c r="AT121" t="s">
        <v>79</v>
      </c>
      <c r="AU121">
        <v>0.14035087719298239</v>
      </c>
      <c r="AV121" t="s">
        <v>115</v>
      </c>
    </row>
    <row r="122" spans="1:53" x14ac:dyDescent="0.3">
      <c r="A122" t="s">
        <v>1244</v>
      </c>
      <c r="C122" t="s">
        <v>1275</v>
      </c>
      <c r="D122" t="s">
        <v>81</v>
      </c>
      <c r="E122">
        <v>50000000</v>
      </c>
      <c r="H122">
        <v>14.25</v>
      </c>
      <c r="I122" t="s">
        <v>56</v>
      </c>
      <c r="J122">
        <v>1.4250000000000001E-3</v>
      </c>
      <c r="K122" t="s">
        <v>57</v>
      </c>
      <c r="L122" t="s">
        <v>112</v>
      </c>
      <c r="O122">
        <v>400</v>
      </c>
      <c r="P122" t="s">
        <v>277</v>
      </c>
      <c r="S122" t="s">
        <v>1245</v>
      </c>
      <c r="T122">
        <v>22.5</v>
      </c>
      <c r="V122">
        <v>50</v>
      </c>
      <c r="W122" t="s">
        <v>147</v>
      </c>
      <c r="X122" t="s">
        <v>957</v>
      </c>
      <c r="Y122">
        <v>10</v>
      </c>
      <c r="AB122">
        <v>2.52999999999999</v>
      </c>
      <c r="AC122" t="s">
        <v>85</v>
      </c>
      <c r="AD122" t="s">
        <v>556</v>
      </c>
      <c r="AE122" t="s">
        <v>138</v>
      </c>
      <c r="AI122">
        <v>5</v>
      </c>
      <c r="AK122">
        <v>0.2</v>
      </c>
      <c r="AL122" t="s">
        <v>82</v>
      </c>
      <c r="AM122">
        <v>0.2</v>
      </c>
      <c r="AN122" t="s">
        <v>82</v>
      </c>
      <c r="AT122" t="s">
        <v>150</v>
      </c>
      <c r="AU122">
        <v>0.14035087719298239</v>
      </c>
      <c r="AV122" t="s">
        <v>115</v>
      </c>
    </row>
    <row r="123" spans="1:53" x14ac:dyDescent="0.3">
      <c r="A123" t="s">
        <v>1244</v>
      </c>
      <c r="C123" t="s">
        <v>1275</v>
      </c>
      <c r="D123" t="s">
        <v>81</v>
      </c>
      <c r="E123">
        <v>50000000</v>
      </c>
      <c r="H123">
        <v>14.25</v>
      </c>
      <c r="I123" t="s">
        <v>56</v>
      </c>
      <c r="J123">
        <v>1.4250000000000001E-3</v>
      </c>
      <c r="K123" t="s">
        <v>57</v>
      </c>
      <c r="L123" t="s">
        <v>112</v>
      </c>
      <c r="O123">
        <v>400</v>
      </c>
      <c r="P123" t="s">
        <v>277</v>
      </c>
      <c r="S123" t="s">
        <v>1245</v>
      </c>
      <c r="T123">
        <v>22.5</v>
      </c>
      <c r="V123">
        <v>50</v>
      </c>
      <c r="W123" t="s">
        <v>1247</v>
      </c>
      <c r="X123" t="s">
        <v>957</v>
      </c>
      <c r="Y123">
        <v>10</v>
      </c>
      <c r="AB123">
        <v>1.77</v>
      </c>
      <c r="AC123" t="s">
        <v>85</v>
      </c>
      <c r="AD123" t="s">
        <v>524</v>
      </c>
      <c r="AE123" t="s">
        <v>138</v>
      </c>
      <c r="AI123">
        <v>5</v>
      </c>
      <c r="AK123">
        <v>0.2</v>
      </c>
      <c r="AL123" t="s">
        <v>82</v>
      </c>
      <c r="AM123">
        <v>0.2</v>
      </c>
      <c r="AN123" t="s">
        <v>82</v>
      </c>
      <c r="AT123" t="s">
        <v>358</v>
      </c>
      <c r="AU123">
        <v>0.14035087719298239</v>
      </c>
      <c r="AV123" t="s">
        <v>115</v>
      </c>
    </row>
    <row r="124" spans="1:53" x14ac:dyDescent="0.3">
      <c r="A124" t="s">
        <v>1244</v>
      </c>
      <c r="C124" t="s">
        <v>1275</v>
      </c>
      <c r="D124" t="s">
        <v>81</v>
      </c>
      <c r="E124">
        <v>50000000</v>
      </c>
      <c r="H124">
        <v>14.25</v>
      </c>
      <c r="I124" t="s">
        <v>56</v>
      </c>
      <c r="J124">
        <v>1.4250000000000001E-3</v>
      </c>
      <c r="K124" t="s">
        <v>57</v>
      </c>
      <c r="L124" t="s">
        <v>112</v>
      </c>
      <c r="O124">
        <v>400</v>
      </c>
      <c r="P124" t="s">
        <v>277</v>
      </c>
      <c r="S124" t="s">
        <v>1245</v>
      </c>
      <c r="T124">
        <v>22.5</v>
      </c>
      <c r="V124">
        <v>50</v>
      </c>
      <c r="W124" t="s">
        <v>355</v>
      </c>
      <c r="X124" t="s">
        <v>957</v>
      </c>
      <c r="Y124">
        <v>10</v>
      </c>
      <c r="AB124">
        <v>0.75</v>
      </c>
      <c r="AC124" t="s">
        <v>85</v>
      </c>
      <c r="AD124" t="s">
        <v>225</v>
      </c>
      <c r="AE124" t="s">
        <v>138</v>
      </c>
      <c r="AI124">
        <v>5</v>
      </c>
      <c r="AK124">
        <v>0.2</v>
      </c>
      <c r="AL124" t="s">
        <v>82</v>
      </c>
      <c r="AM124">
        <v>0.2</v>
      </c>
      <c r="AN124" t="s">
        <v>82</v>
      </c>
      <c r="AT124" t="s">
        <v>212</v>
      </c>
      <c r="AU124">
        <v>0.14035087719298239</v>
      </c>
      <c r="AV124" t="s">
        <v>115</v>
      </c>
    </row>
    <row r="125" spans="1:53" x14ac:dyDescent="0.3">
      <c r="A125" t="s">
        <v>1244</v>
      </c>
      <c r="C125" t="s">
        <v>1275</v>
      </c>
      <c r="D125" t="s">
        <v>81</v>
      </c>
      <c r="E125">
        <v>50000000</v>
      </c>
      <c r="H125">
        <v>14.25</v>
      </c>
      <c r="I125" t="s">
        <v>56</v>
      </c>
      <c r="J125">
        <v>1.4250000000000001E-3</v>
      </c>
      <c r="K125" t="s">
        <v>57</v>
      </c>
      <c r="L125" t="s">
        <v>112</v>
      </c>
      <c r="O125">
        <v>400</v>
      </c>
      <c r="P125" t="s">
        <v>277</v>
      </c>
      <c r="S125" t="s">
        <v>1245</v>
      </c>
      <c r="T125">
        <v>22.5</v>
      </c>
      <c r="V125">
        <v>50</v>
      </c>
      <c r="W125" t="s">
        <v>1246</v>
      </c>
      <c r="X125" t="s">
        <v>957</v>
      </c>
      <c r="Y125">
        <v>10</v>
      </c>
      <c r="AB125">
        <v>0.87</v>
      </c>
      <c r="AC125" t="s">
        <v>85</v>
      </c>
      <c r="AD125" t="s">
        <v>633</v>
      </c>
      <c r="AE125" t="s">
        <v>138</v>
      </c>
      <c r="AI125">
        <v>5</v>
      </c>
      <c r="AK125">
        <v>0.2</v>
      </c>
      <c r="AL125" t="s">
        <v>82</v>
      </c>
      <c r="AM125">
        <v>0.2</v>
      </c>
      <c r="AN125" t="s">
        <v>82</v>
      </c>
      <c r="AT125" t="s">
        <v>73</v>
      </c>
      <c r="AU125">
        <v>0.14035087719298239</v>
      </c>
      <c r="AV125" t="s">
        <v>115</v>
      </c>
    </row>
    <row r="126" spans="1:53" x14ac:dyDescent="0.3">
      <c r="A126" t="s">
        <v>1244</v>
      </c>
      <c r="C126" t="s">
        <v>1275</v>
      </c>
      <c r="D126" t="s">
        <v>81</v>
      </c>
      <c r="E126">
        <v>50000000</v>
      </c>
      <c r="H126">
        <v>14.25</v>
      </c>
      <c r="I126" t="s">
        <v>56</v>
      </c>
      <c r="J126">
        <v>1.4250000000000001E-3</v>
      </c>
      <c r="K126" t="s">
        <v>57</v>
      </c>
      <c r="L126" t="s">
        <v>112</v>
      </c>
      <c r="O126">
        <v>400</v>
      </c>
      <c r="P126" t="s">
        <v>277</v>
      </c>
      <c r="S126" t="s">
        <v>1245</v>
      </c>
      <c r="T126">
        <v>22.5</v>
      </c>
      <c r="V126">
        <v>50</v>
      </c>
      <c r="W126" t="s">
        <v>359</v>
      </c>
      <c r="X126" t="s">
        <v>957</v>
      </c>
      <c r="Y126">
        <v>10</v>
      </c>
      <c r="AB126">
        <v>0.3</v>
      </c>
      <c r="AC126" t="s">
        <v>85</v>
      </c>
      <c r="AD126" t="s">
        <v>248</v>
      </c>
      <c r="AE126" t="s">
        <v>138</v>
      </c>
      <c r="AI126">
        <v>5</v>
      </c>
      <c r="AK126">
        <v>0.2</v>
      </c>
      <c r="AL126" t="s">
        <v>82</v>
      </c>
      <c r="AM126">
        <v>0.2</v>
      </c>
      <c r="AN126" t="s">
        <v>82</v>
      </c>
      <c r="AT126" t="s">
        <v>360</v>
      </c>
      <c r="AU126">
        <v>0.14035087719298239</v>
      </c>
      <c r="AV126" t="s">
        <v>115</v>
      </c>
    </row>
    <row r="127" spans="1:53" x14ac:dyDescent="0.3">
      <c r="A127" t="s">
        <v>1244</v>
      </c>
      <c r="C127" t="s">
        <v>1275</v>
      </c>
      <c r="D127" t="s">
        <v>81</v>
      </c>
      <c r="E127">
        <v>50000000</v>
      </c>
      <c r="H127">
        <v>14.25</v>
      </c>
      <c r="I127" t="s">
        <v>56</v>
      </c>
      <c r="J127">
        <v>1.4250000000000001E-3</v>
      </c>
      <c r="K127" t="s">
        <v>57</v>
      </c>
      <c r="L127" t="s">
        <v>112</v>
      </c>
      <c r="O127">
        <v>400</v>
      </c>
      <c r="P127" t="s">
        <v>277</v>
      </c>
      <c r="S127" t="s">
        <v>1245</v>
      </c>
      <c r="T127">
        <v>22.5</v>
      </c>
      <c r="V127">
        <v>50</v>
      </c>
      <c r="W127" t="s">
        <v>725</v>
      </c>
      <c r="X127" t="s">
        <v>957</v>
      </c>
      <c r="Y127">
        <v>10</v>
      </c>
      <c r="AB127">
        <v>-0.66</v>
      </c>
      <c r="AC127" t="s">
        <v>85</v>
      </c>
      <c r="AD127" t="s">
        <v>553</v>
      </c>
      <c r="AE127" t="s">
        <v>138</v>
      </c>
      <c r="AI127">
        <v>5</v>
      </c>
      <c r="AK127">
        <v>0.2</v>
      </c>
      <c r="AL127" t="s">
        <v>82</v>
      </c>
      <c r="AM127">
        <v>0.2</v>
      </c>
      <c r="AN127" t="s">
        <v>82</v>
      </c>
      <c r="AT127" t="s">
        <v>65</v>
      </c>
      <c r="AU127">
        <v>0.14035087719298239</v>
      </c>
      <c r="AV127" t="s">
        <v>115</v>
      </c>
    </row>
    <row r="128" spans="1:53" x14ac:dyDescent="0.3">
      <c r="A128" t="s">
        <v>1244</v>
      </c>
      <c r="C128" t="s">
        <v>1275</v>
      </c>
      <c r="D128" t="s">
        <v>81</v>
      </c>
      <c r="E128">
        <v>50000000</v>
      </c>
      <c r="H128">
        <v>14.25</v>
      </c>
      <c r="I128" t="s">
        <v>56</v>
      </c>
      <c r="J128">
        <v>1.4250000000000001E-3</v>
      </c>
      <c r="K128" t="s">
        <v>57</v>
      </c>
      <c r="L128" t="s">
        <v>112</v>
      </c>
      <c r="O128">
        <v>400</v>
      </c>
      <c r="P128" t="s">
        <v>277</v>
      </c>
      <c r="S128" t="s">
        <v>1245</v>
      </c>
      <c r="T128">
        <v>22.5</v>
      </c>
      <c r="V128">
        <v>50</v>
      </c>
      <c r="W128" t="s">
        <v>621</v>
      </c>
      <c r="X128" t="s">
        <v>957</v>
      </c>
      <c r="Y128">
        <v>10</v>
      </c>
      <c r="AB128">
        <v>0.73</v>
      </c>
      <c r="AC128" t="s">
        <v>85</v>
      </c>
      <c r="AD128" t="s">
        <v>239</v>
      </c>
      <c r="AE128" t="s">
        <v>138</v>
      </c>
      <c r="AI128">
        <v>5</v>
      </c>
      <c r="AK128">
        <v>0.2</v>
      </c>
      <c r="AL128" t="s">
        <v>82</v>
      </c>
      <c r="AM128">
        <v>0.2</v>
      </c>
      <c r="AN128" t="s">
        <v>82</v>
      </c>
      <c r="AT128" t="s">
        <v>79</v>
      </c>
      <c r="AU128">
        <v>0.14035087719298239</v>
      </c>
      <c r="AV128" t="s">
        <v>115</v>
      </c>
    </row>
    <row r="129" spans="1:48" x14ac:dyDescent="0.3">
      <c r="A129" t="s">
        <v>1244</v>
      </c>
      <c r="C129" t="s">
        <v>1275</v>
      </c>
      <c r="D129" t="s">
        <v>81</v>
      </c>
      <c r="E129">
        <v>50000000</v>
      </c>
      <c r="H129">
        <v>14.25</v>
      </c>
      <c r="I129" t="s">
        <v>56</v>
      </c>
      <c r="J129">
        <v>1.4250000000000001E-3</v>
      </c>
      <c r="K129" t="s">
        <v>57</v>
      </c>
      <c r="L129" t="s">
        <v>112</v>
      </c>
      <c r="O129">
        <v>400</v>
      </c>
      <c r="P129" t="s">
        <v>277</v>
      </c>
      <c r="S129" t="s">
        <v>1245</v>
      </c>
      <c r="T129">
        <v>22.5</v>
      </c>
      <c r="V129">
        <v>50</v>
      </c>
      <c r="W129" t="s">
        <v>147</v>
      </c>
      <c r="X129" t="s">
        <v>957</v>
      </c>
      <c r="Y129">
        <v>10</v>
      </c>
      <c r="AB129">
        <v>0.3</v>
      </c>
      <c r="AC129" t="s">
        <v>85</v>
      </c>
      <c r="AD129" t="s">
        <v>103</v>
      </c>
      <c r="AE129" t="s">
        <v>138</v>
      </c>
      <c r="AI129">
        <v>5</v>
      </c>
      <c r="AK129">
        <v>0.2</v>
      </c>
      <c r="AL129" t="s">
        <v>82</v>
      </c>
      <c r="AM129">
        <v>0.2</v>
      </c>
      <c r="AN129" t="s">
        <v>82</v>
      </c>
      <c r="AT129" t="s">
        <v>150</v>
      </c>
      <c r="AU129">
        <v>0.14035087719298239</v>
      </c>
      <c r="AV129" t="s">
        <v>115</v>
      </c>
    </row>
    <row r="130" spans="1:48" x14ac:dyDescent="0.3">
      <c r="A130" t="s">
        <v>1244</v>
      </c>
      <c r="C130" t="s">
        <v>1275</v>
      </c>
      <c r="D130" t="s">
        <v>81</v>
      </c>
      <c r="E130">
        <v>50000000</v>
      </c>
      <c r="H130">
        <v>14.25</v>
      </c>
      <c r="I130" t="s">
        <v>56</v>
      </c>
      <c r="J130">
        <v>1.4250000000000001E-3</v>
      </c>
      <c r="K130" t="s">
        <v>57</v>
      </c>
      <c r="L130" t="s">
        <v>112</v>
      </c>
      <c r="O130">
        <v>400</v>
      </c>
      <c r="P130" t="s">
        <v>277</v>
      </c>
      <c r="S130" t="s">
        <v>1245</v>
      </c>
      <c r="T130">
        <v>22.5</v>
      </c>
      <c r="V130">
        <v>50</v>
      </c>
      <c r="W130" t="s">
        <v>1247</v>
      </c>
      <c r="X130" t="s">
        <v>957</v>
      </c>
      <c r="Y130">
        <v>10</v>
      </c>
      <c r="AB130">
        <v>-0.49</v>
      </c>
      <c r="AC130" t="s">
        <v>85</v>
      </c>
      <c r="AD130" t="s">
        <v>553</v>
      </c>
      <c r="AE130" t="s">
        <v>138</v>
      </c>
      <c r="AI130">
        <v>5</v>
      </c>
      <c r="AK130">
        <v>0.2</v>
      </c>
      <c r="AL130" t="s">
        <v>82</v>
      </c>
      <c r="AM130">
        <v>0.2</v>
      </c>
      <c r="AN130" t="s">
        <v>82</v>
      </c>
      <c r="AT130" t="s">
        <v>358</v>
      </c>
      <c r="AU130">
        <v>0.14035087719298239</v>
      </c>
      <c r="AV130" t="s">
        <v>115</v>
      </c>
    </row>
    <row r="131" spans="1:48" x14ac:dyDescent="0.3">
      <c r="A131" t="s">
        <v>1244</v>
      </c>
      <c r="C131" t="s">
        <v>1275</v>
      </c>
      <c r="D131" t="s">
        <v>81</v>
      </c>
      <c r="E131">
        <v>50000000</v>
      </c>
      <c r="H131">
        <v>14.25</v>
      </c>
      <c r="I131" t="s">
        <v>56</v>
      </c>
      <c r="J131">
        <v>1.4250000000000001E-3</v>
      </c>
      <c r="K131" t="s">
        <v>57</v>
      </c>
      <c r="L131" t="s">
        <v>112</v>
      </c>
      <c r="O131">
        <v>400</v>
      </c>
      <c r="P131" t="s">
        <v>277</v>
      </c>
      <c r="S131" t="s">
        <v>1245</v>
      </c>
      <c r="T131">
        <v>22.5</v>
      </c>
      <c r="V131">
        <v>50</v>
      </c>
      <c r="W131" t="s">
        <v>355</v>
      </c>
      <c r="X131" t="s">
        <v>957</v>
      </c>
      <c r="Y131">
        <v>10</v>
      </c>
      <c r="AB131">
        <v>0.31</v>
      </c>
      <c r="AC131" t="s">
        <v>85</v>
      </c>
      <c r="AD131" t="s">
        <v>92</v>
      </c>
      <c r="AE131" t="s">
        <v>138</v>
      </c>
      <c r="AI131">
        <v>5</v>
      </c>
      <c r="AK131">
        <v>0.2</v>
      </c>
      <c r="AL131" t="s">
        <v>82</v>
      </c>
      <c r="AM131">
        <v>0.2</v>
      </c>
      <c r="AN131" t="s">
        <v>82</v>
      </c>
      <c r="AT131" t="s">
        <v>212</v>
      </c>
      <c r="AU131">
        <v>0.14035087719298239</v>
      </c>
      <c r="AV131" t="s">
        <v>115</v>
      </c>
    </row>
    <row r="132" spans="1:48" x14ac:dyDescent="0.3">
      <c r="A132" t="s">
        <v>1244</v>
      </c>
      <c r="C132" t="s">
        <v>1275</v>
      </c>
      <c r="D132" t="s">
        <v>81</v>
      </c>
      <c r="E132">
        <v>50000000</v>
      </c>
      <c r="H132">
        <v>14.25</v>
      </c>
      <c r="I132" t="s">
        <v>56</v>
      </c>
      <c r="J132">
        <v>1.4250000000000001E-3</v>
      </c>
      <c r="K132" t="s">
        <v>57</v>
      </c>
      <c r="L132" t="s">
        <v>112</v>
      </c>
      <c r="O132">
        <v>1500</v>
      </c>
      <c r="P132" t="s">
        <v>277</v>
      </c>
      <c r="S132" t="s">
        <v>1245</v>
      </c>
      <c r="T132">
        <v>22.5</v>
      </c>
      <c r="V132">
        <v>50</v>
      </c>
      <c r="W132" t="s">
        <v>1246</v>
      </c>
      <c r="X132" t="s">
        <v>957</v>
      </c>
      <c r="Y132">
        <v>70</v>
      </c>
      <c r="AB132">
        <v>0.13</v>
      </c>
      <c r="AC132" t="s">
        <v>85</v>
      </c>
      <c r="AD132" t="s">
        <v>231</v>
      </c>
      <c r="AE132" t="s">
        <v>138</v>
      </c>
      <c r="AI132">
        <v>5</v>
      </c>
      <c r="AK132">
        <v>0.1</v>
      </c>
      <c r="AL132" t="s">
        <v>82</v>
      </c>
      <c r="AM132">
        <v>0.1</v>
      </c>
      <c r="AN132" t="s">
        <v>82</v>
      </c>
      <c r="AT132" t="s">
        <v>73</v>
      </c>
      <c r="AU132">
        <v>7.0175438596491224E-2</v>
      </c>
      <c r="AV132" t="s">
        <v>115</v>
      </c>
    </row>
    <row r="133" spans="1:48" x14ac:dyDescent="0.3">
      <c r="A133" t="s">
        <v>1244</v>
      </c>
      <c r="C133" t="s">
        <v>1275</v>
      </c>
      <c r="D133" t="s">
        <v>81</v>
      </c>
      <c r="E133">
        <v>50000000</v>
      </c>
      <c r="H133">
        <v>14.25</v>
      </c>
      <c r="I133" t="s">
        <v>56</v>
      </c>
      <c r="J133">
        <v>1.4250000000000001E-3</v>
      </c>
      <c r="K133" t="s">
        <v>57</v>
      </c>
      <c r="L133" t="s">
        <v>112</v>
      </c>
      <c r="O133">
        <v>1500</v>
      </c>
      <c r="P133" t="s">
        <v>277</v>
      </c>
      <c r="S133" t="s">
        <v>1245</v>
      </c>
      <c r="T133">
        <v>22.5</v>
      </c>
      <c r="V133">
        <v>50</v>
      </c>
      <c r="W133" t="s">
        <v>359</v>
      </c>
      <c r="X133" t="s">
        <v>957</v>
      </c>
      <c r="Y133">
        <v>70</v>
      </c>
      <c r="AB133">
        <v>0.18</v>
      </c>
      <c r="AC133" t="s">
        <v>85</v>
      </c>
      <c r="AD133" t="s">
        <v>231</v>
      </c>
      <c r="AE133" t="s">
        <v>138</v>
      </c>
      <c r="AI133">
        <v>5</v>
      </c>
      <c r="AK133">
        <v>0.1</v>
      </c>
      <c r="AL133" t="s">
        <v>82</v>
      </c>
      <c r="AM133">
        <v>0.1</v>
      </c>
      <c r="AN133" t="s">
        <v>82</v>
      </c>
      <c r="AT133" t="s">
        <v>360</v>
      </c>
      <c r="AU133">
        <v>7.0175438596491224E-2</v>
      </c>
      <c r="AV133" t="s">
        <v>115</v>
      </c>
    </row>
    <row r="134" spans="1:48" x14ac:dyDescent="0.3">
      <c r="A134" t="s">
        <v>1244</v>
      </c>
      <c r="C134" t="s">
        <v>1275</v>
      </c>
      <c r="D134" t="s">
        <v>81</v>
      </c>
      <c r="E134">
        <v>50000000</v>
      </c>
      <c r="H134">
        <v>14.25</v>
      </c>
      <c r="I134" t="s">
        <v>56</v>
      </c>
      <c r="J134">
        <v>1.4250000000000001E-3</v>
      </c>
      <c r="K134" t="s">
        <v>57</v>
      </c>
      <c r="L134" t="s">
        <v>112</v>
      </c>
      <c r="O134">
        <v>1500</v>
      </c>
      <c r="P134" t="s">
        <v>277</v>
      </c>
      <c r="S134" t="s">
        <v>1245</v>
      </c>
      <c r="T134">
        <v>22.5</v>
      </c>
      <c r="V134">
        <v>50</v>
      </c>
      <c r="W134" t="s">
        <v>725</v>
      </c>
      <c r="X134" t="s">
        <v>957</v>
      </c>
      <c r="Y134">
        <v>70</v>
      </c>
      <c r="AB134">
        <v>0.09</v>
      </c>
      <c r="AC134" t="s">
        <v>85</v>
      </c>
      <c r="AD134" t="s">
        <v>490</v>
      </c>
      <c r="AE134" t="s">
        <v>138</v>
      </c>
      <c r="AI134">
        <v>5</v>
      </c>
      <c r="AK134">
        <v>0.1</v>
      </c>
      <c r="AL134" t="s">
        <v>82</v>
      </c>
      <c r="AM134">
        <v>0.1</v>
      </c>
      <c r="AN134" t="s">
        <v>82</v>
      </c>
      <c r="AT134" t="s">
        <v>65</v>
      </c>
      <c r="AU134">
        <v>7.0175438596491224E-2</v>
      </c>
      <c r="AV134" t="s">
        <v>115</v>
      </c>
    </row>
    <row r="135" spans="1:48" x14ac:dyDescent="0.3">
      <c r="A135" t="s">
        <v>1244</v>
      </c>
      <c r="C135" t="s">
        <v>1275</v>
      </c>
      <c r="D135" t="s">
        <v>81</v>
      </c>
      <c r="E135">
        <v>50000000</v>
      </c>
      <c r="H135">
        <v>14.25</v>
      </c>
      <c r="I135" t="s">
        <v>56</v>
      </c>
      <c r="J135">
        <v>1.4250000000000001E-3</v>
      </c>
      <c r="K135" t="s">
        <v>57</v>
      </c>
      <c r="L135" t="s">
        <v>112</v>
      </c>
      <c r="O135">
        <v>1500</v>
      </c>
      <c r="P135" t="s">
        <v>277</v>
      </c>
      <c r="S135" t="s">
        <v>1245</v>
      </c>
      <c r="T135">
        <v>22.5</v>
      </c>
      <c r="V135">
        <v>50</v>
      </c>
      <c r="W135" t="s">
        <v>621</v>
      </c>
      <c r="X135" t="s">
        <v>957</v>
      </c>
      <c r="Y135">
        <v>70</v>
      </c>
      <c r="AB135">
        <v>0.19</v>
      </c>
      <c r="AC135" t="s">
        <v>85</v>
      </c>
      <c r="AD135" t="s">
        <v>219</v>
      </c>
      <c r="AE135" t="s">
        <v>138</v>
      </c>
      <c r="AI135">
        <v>5</v>
      </c>
      <c r="AK135">
        <v>0.1</v>
      </c>
      <c r="AL135" t="s">
        <v>82</v>
      </c>
      <c r="AM135">
        <v>0.1</v>
      </c>
      <c r="AN135" t="s">
        <v>82</v>
      </c>
      <c r="AT135" t="s">
        <v>79</v>
      </c>
      <c r="AU135">
        <v>7.0175438596491224E-2</v>
      </c>
      <c r="AV135" t="s">
        <v>115</v>
      </c>
    </row>
    <row r="136" spans="1:48" x14ac:dyDescent="0.3">
      <c r="A136" t="s">
        <v>1244</v>
      </c>
      <c r="C136" t="s">
        <v>1275</v>
      </c>
      <c r="D136" t="s">
        <v>81</v>
      </c>
      <c r="E136">
        <v>50000000</v>
      </c>
      <c r="H136">
        <v>14.25</v>
      </c>
      <c r="I136" t="s">
        <v>56</v>
      </c>
      <c r="J136">
        <v>1.4250000000000001E-3</v>
      </c>
      <c r="K136" t="s">
        <v>57</v>
      </c>
      <c r="L136" t="s">
        <v>112</v>
      </c>
      <c r="O136">
        <v>1500</v>
      </c>
      <c r="P136" t="s">
        <v>277</v>
      </c>
      <c r="S136" t="s">
        <v>1245</v>
      </c>
      <c r="T136">
        <v>22.5</v>
      </c>
      <c r="V136">
        <v>50</v>
      </c>
      <c r="W136" t="s">
        <v>147</v>
      </c>
      <c r="X136" t="s">
        <v>957</v>
      </c>
      <c r="Y136">
        <v>70</v>
      </c>
      <c r="AB136">
        <v>4.6500000000000004</v>
      </c>
      <c r="AC136" t="s">
        <v>85</v>
      </c>
      <c r="AD136" t="s">
        <v>437</v>
      </c>
      <c r="AE136" t="s">
        <v>138</v>
      </c>
      <c r="AI136">
        <v>5</v>
      </c>
      <c r="AK136">
        <v>0.1</v>
      </c>
      <c r="AL136" t="s">
        <v>82</v>
      </c>
      <c r="AM136">
        <v>0.1</v>
      </c>
      <c r="AN136" t="s">
        <v>82</v>
      </c>
      <c r="AT136" t="s">
        <v>150</v>
      </c>
      <c r="AU136">
        <v>7.0175438596491224E-2</v>
      </c>
      <c r="AV136" t="s">
        <v>115</v>
      </c>
    </row>
    <row r="137" spans="1:48" x14ac:dyDescent="0.3">
      <c r="A137" t="s">
        <v>1244</v>
      </c>
      <c r="C137" t="s">
        <v>1275</v>
      </c>
      <c r="D137" t="s">
        <v>81</v>
      </c>
      <c r="E137">
        <v>50000000</v>
      </c>
      <c r="H137">
        <v>14.25</v>
      </c>
      <c r="I137" t="s">
        <v>56</v>
      </c>
      <c r="J137">
        <v>1.4250000000000001E-3</v>
      </c>
      <c r="K137" t="s">
        <v>57</v>
      </c>
      <c r="L137" t="s">
        <v>112</v>
      </c>
      <c r="O137">
        <v>1500</v>
      </c>
      <c r="P137" t="s">
        <v>277</v>
      </c>
      <c r="S137" t="s">
        <v>1245</v>
      </c>
      <c r="T137">
        <v>22.5</v>
      </c>
      <c r="V137">
        <v>50</v>
      </c>
      <c r="W137" t="s">
        <v>1247</v>
      </c>
      <c r="X137" t="s">
        <v>957</v>
      </c>
      <c r="Y137">
        <v>70</v>
      </c>
      <c r="AB137">
        <v>0.33</v>
      </c>
      <c r="AC137" t="s">
        <v>85</v>
      </c>
      <c r="AD137" t="s">
        <v>231</v>
      </c>
      <c r="AE137" t="s">
        <v>138</v>
      </c>
      <c r="AI137">
        <v>5</v>
      </c>
      <c r="AK137">
        <v>0.1</v>
      </c>
      <c r="AL137" t="s">
        <v>82</v>
      </c>
      <c r="AM137">
        <v>0.1</v>
      </c>
      <c r="AN137" t="s">
        <v>82</v>
      </c>
      <c r="AT137" t="s">
        <v>358</v>
      </c>
      <c r="AU137">
        <v>7.0175438596491224E-2</v>
      </c>
      <c r="AV137" t="s">
        <v>115</v>
      </c>
    </row>
    <row r="138" spans="1:48" x14ac:dyDescent="0.3">
      <c r="A138" t="s">
        <v>1244</v>
      </c>
      <c r="C138" t="s">
        <v>1275</v>
      </c>
      <c r="D138" t="s">
        <v>81</v>
      </c>
      <c r="E138">
        <v>50000000</v>
      </c>
      <c r="H138">
        <v>14.25</v>
      </c>
      <c r="I138" t="s">
        <v>56</v>
      </c>
      <c r="J138">
        <v>1.4250000000000001E-3</v>
      </c>
      <c r="K138" t="s">
        <v>57</v>
      </c>
      <c r="L138" t="s">
        <v>112</v>
      </c>
      <c r="O138">
        <v>1500</v>
      </c>
      <c r="P138" t="s">
        <v>277</v>
      </c>
      <c r="S138" t="s">
        <v>1245</v>
      </c>
      <c r="T138">
        <v>22.5</v>
      </c>
      <c r="V138">
        <v>50</v>
      </c>
      <c r="W138" t="s">
        <v>355</v>
      </c>
      <c r="X138" t="s">
        <v>957</v>
      </c>
      <c r="Y138">
        <v>70</v>
      </c>
      <c r="AB138">
        <v>0.39</v>
      </c>
      <c r="AC138" t="s">
        <v>85</v>
      </c>
      <c r="AD138" t="s">
        <v>524</v>
      </c>
      <c r="AE138" t="s">
        <v>138</v>
      </c>
      <c r="AI138">
        <v>5</v>
      </c>
      <c r="AK138">
        <v>0.1</v>
      </c>
      <c r="AL138" t="s">
        <v>82</v>
      </c>
      <c r="AM138">
        <v>0.1</v>
      </c>
      <c r="AN138" t="s">
        <v>82</v>
      </c>
      <c r="AT138" t="s">
        <v>212</v>
      </c>
      <c r="AU138">
        <v>7.0175438596491224E-2</v>
      </c>
      <c r="AV138" t="s">
        <v>115</v>
      </c>
    </row>
    <row r="139" spans="1:48" x14ac:dyDescent="0.3">
      <c r="A139" t="s">
        <v>1244</v>
      </c>
      <c r="C139" t="s">
        <v>1275</v>
      </c>
      <c r="D139" t="s">
        <v>81</v>
      </c>
      <c r="E139">
        <v>50000000</v>
      </c>
      <c r="H139">
        <v>14.25</v>
      </c>
      <c r="I139" t="s">
        <v>56</v>
      </c>
      <c r="J139">
        <v>1.4250000000000001E-3</v>
      </c>
      <c r="K139" t="s">
        <v>57</v>
      </c>
      <c r="L139" t="s">
        <v>112</v>
      </c>
      <c r="O139">
        <v>1500</v>
      </c>
      <c r="P139" t="s">
        <v>277</v>
      </c>
      <c r="S139" t="s">
        <v>1245</v>
      </c>
      <c r="T139">
        <v>22.5</v>
      </c>
      <c r="V139">
        <v>50</v>
      </c>
      <c r="W139" t="s">
        <v>1246</v>
      </c>
      <c r="X139" t="s">
        <v>957</v>
      </c>
      <c r="Y139">
        <v>70</v>
      </c>
      <c r="AB139">
        <v>0.59</v>
      </c>
      <c r="AC139" t="s">
        <v>85</v>
      </c>
      <c r="AD139" t="s">
        <v>242</v>
      </c>
      <c r="AE139" t="s">
        <v>138</v>
      </c>
      <c r="AI139">
        <v>5</v>
      </c>
      <c r="AK139">
        <v>0.1</v>
      </c>
      <c r="AL139" t="s">
        <v>82</v>
      </c>
      <c r="AM139">
        <v>0.1</v>
      </c>
      <c r="AN139" t="s">
        <v>82</v>
      </c>
      <c r="AT139" t="s">
        <v>73</v>
      </c>
      <c r="AU139">
        <v>7.0175438596491224E-2</v>
      </c>
      <c r="AV139" t="s">
        <v>115</v>
      </c>
    </row>
    <row r="140" spans="1:48" x14ac:dyDescent="0.3">
      <c r="A140" t="s">
        <v>1244</v>
      </c>
      <c r="C140" t="s">
        <v>1275</v>
      </c>
      <c r="D140" t="s">
        <v>81</v>
      </c>
      <c r="E140">
        <v>50000000</v>
      </c>
      <c r="H140">
        <v>14.25</v>
      </c>
      <c r="I140" t="s">
        <v>56</v>
      </c>
      <c r="J140">
        <v>1.4250000000000001E-3</v>
      </c>
      <c r="K140" t="s">
        <v>57</v>
      </c>
      <c r="L140" t="s">
        <v>112</v>
      </c>
      <c r="O140">
        <v>1500</v>
      </c>
      <c r="P140" t="s">
        <v>277</v>
      </c>
      <c r="S140" t="s">
        <v>1245</v>
      </c>
      <c r="T140">
        <v>22.5</v>
      </c>
      <c r="V140">
        <v>50</v>
      </c>
      <c r="W140" t="s">
        <v>359</v>
      </c>
      <c r="X140" t="s">
        <v>957</v>
      </c>
      <c r="Y140">
        <v>70</v>
      </c>
      <c r="AB140">
        <v>1.37</v>
      </c>
      <c r="AC140" t="s">
        <v>85</v>
      </c>
      <c r="AD140" t="s">
        <v>238</v>
      </c>
      <c r="AE140" t="s">
        <v>138</v>
      </c>
      <c r="AI140">
        <v>5</v>
      </c>
      <c r="AK140">
        <v>0.1</v>
      </c>
      <c r="AL140" t="s">
        <v>82</v>
      </c>
      <c r="AM140">
        <v>0.1</v>
      </c>
      <c r="AN140" t="s">
        <v>82</v>
      </c>
      <c r="AT140" t="s">
        <v>360</v>
      </c>
      <c r="AU140">
        <v>7.0175438596491224E-2</v>
      </c>
      <c r="AV140" t="s">
        <v>115</v>
      </c>
    </row>
    <row r="141" spans="1:48" x14ac:dyDescent="0.3">
      <c r="A141" t="s">
        <v>1244</v>
      </c>
      <c r="C141" t="s">
        <v>1275</v>
      </c>
      <c r="D141" t="s">
        <v>81</v>
      </c>
      <c r="E141">
        <v>50000000</v>
      </c>
      <c r="H141">
        <v>14.25</v>
      </c>
      <c r="I141" t="s">
        <v>56</v>
      </c>
      <c r="J141">
        <v>1.4250000000000001E-3</v>
      </c>
      <c r="K141" t="s">
        <v>57</v>
      </c>
      <c r="L141" t="s">
        <v>112</v>
      </c>
      <c r="O141">
        <v>1500</v>
      </c>
      <c r="P141" t="s">
        <v>277</v>
      </c>
      <c r="S141" t="s">
        <v>1245</v>
      </c>
      <c r="T141">
        <v>22.5</v>
      </c>
      <c r="V141">
        <v>50</v>
      </c>
      <c r="W141" t="s">
        <v>725</v>
      </c>
      <c r="X141" t="s">
        <v>957</v>
      </c>
      <c r="Y141">
        <v>70</v>
      </c>
      <c r="AB141">
        <v>0.76</v>
      </c>
      <c r="AC141" t="s">
        <v>85</v>
      </c>
      <c r="AD141" t="s">
        <v>503</v>
      </c>
      <c r="AE141" t="s">
        <v>138</v>
      </c>
      <c r="AI141">
        <v>5</v>
      </c>
      <c r="AK141">
        <v>0.1</v>
      </c>
      <c r="AL141" t="s">
        <v>82</v>
      </c>
      <c r="AM141">
        <v>0.1</v>
      </c>
      <c r="AN141" t="s">
        <v>82</v>
      </c>
      <c r="AT141" t="s">
        <v>65</v>
      </c>
      <c r="AU141">
        <v>7.0175438596491224E-2</v>
      </c>
      <c r="AV141" t="s">
        <v>115</v>
      </c>
    </row>
    <row r="142" spans="1:48" x14ac:dyDescent="0.3">
      <c r="A142" t="s">
        <v>1244</v>
      </c>
      <c r="C142" t="s">
        <v>1275</v>
      </c>
      <c r="D142" t="s">
        <v>81</v>
      </c>
      <c r="E142">
        <v>50000000</v>
      </c>
      <c r="H142">
        <v>14.25</v>
      </c>
      <c r="I142" t="s">
        <v>56</v>
      </c>
      <c r="J142">
        <v>1.4250000000000001E-3</v>
      </c>
      <c r="K142" t="s">
        <v>57</v>
      </c>
      <c r="L142" t="s">
        <v>112</v>
      </c>
      <c r="O142">
        <v>1500</v>
      </c>
      <c r="P142" t="s">
        <v>277</v>
      </c>
      <c r="S142" t="s">
        <v>1245</v>
      </c>
      <c r="T142">
        <v>22.5</v>
      </c>
      <c r="V142">
        <v>50</v>
      </c>
      <c r="W142" t="s">
        <v>621</v>
      </c>
      <c r="X142" t="s">
        <v>957</v>
      </c>
      <c r="Y142">
        <v>70</v>
      </c>
      <c r="AB142">
        <v>0.6</v>
      </c>
      <c r="AC142" t="s">
        <v>85</v>
      </c>
      <c r="AD142" t="s">
        <v>437</v>
      </c>
      <c r="AE142" t="s">
        <v>138</v>
      </c>
      <c r="AI142">
        <v>5</v>
      </c>
      <c r="AK142">
        <v>0.1</v>
      </c>
      <c r="AL142" t="s">
        <v>82</v>
      </c>
      <c r="AM142">
        <v>0.1</v>
      </c>
      <c r="AN142" t="s">
        <v>82</v>
      </c>
      <c r="AT142" t="s">
        <v>79</v>
      </c>
      <c r="AU142">
        <v>7.0175438596491224E-2</v>
      </c>
      <c r="AV142" t="s">
        <v>115</v>
      </c>
    </row>
    <row r="143" spans="1:48" x14ac:dyDescent="0.3">
      <c r="A143" t="s">
        <v>1244</v>
      </c>
      <c r="C143" t="s">
        <v>1275</v>
      </c>
      <c r="D143" t="s">
        <v>81</v>
      </c>
      <c r="E143">
        <v>50000000</v>
      </c>
      <c r="H143">
        <v>14.25</v>
      </c>
      <c r="I143" t="s">
        <v>56</v>
      </c>
      <c r="J143">
        <v>1.4250000000000001E-3</v>
      </c>
      <c r="K143" t="s">
        <v>57</v>
      </c>
      <c r="L143" t="s">
        <v>112</v>
      </c>
      <c r="O143">
        <v>1500</v>
      </c>
      <c r="P143" t="s">
        <v>277</v>
      </c>
      <c r="S143" t="s">
        <v>1245</v>
      </c>
      <c r="T143">
        <v>22.5</v>
      </c>
      <c r="V143">
        <v>50</v>
      </c>
      <c r="W143" t="s">
        <v>147</v>
      </c>
      <c r="X143" t="s">
        <v>957</v>
      </c>
      <c r="Y143">
        <v>70</v>
      </c>
      <c r="AB143">
        <v>0.22</v>
      </c>
      <c r="AC143" t="s">
        <v>85</v>
      </c>
      <c r="AD143" t="s">
        <v>487</v>
      </c>
      <c r="AE143" t="s">
        <v>138</v>
      </c>
      <c r="AI143">
        <v>5</v>
      </c>
      <c r="AK143">
        <v>0.1</v>
      </c>
      <c r="AL143" t="s">
        <v>82</v>
      </c>
      <c r="AM143">
        <v>0.1</v>
      </c>
      <c r="AN143" t="s">
        <v>82</v>
      </c>
      <c r="AT143" t="s">
        <v>150</v>
      </c>
      <c r="AU143">
        <v>7.0175438596491224E-2</v>
      </c>
      <c r="AV143" t="s">
        <v>115</v>
      </c>
    </row>
    <row r="144" spans="1:48" x14ac:dyDescent="0.3">
      <c r="A144" t="s">
        <v>1244</v>
      </c>
      <c r="C144" t="s">
        <v>1275</v>
      </c>
      <c r="D144" t="s">
        <v>81</v>
      </c>
      <c r="E144">
        <v>50000000</v>
      </c>
      <c r="H144">
        <v>14.25</v>
      </c>
      <c r="I144" t="s">
        <v>56</v>
      </c>
      <c r="J144">
        <v>1.4250000000000001E-3</v>
      </c>
      <c r="K144" t="s">
        <v>57</v>
      </c>
      <c r="L144" t="s">
        <v>112</v>
      </c>
      <c r="O144">
        <v>1500</v>
      </c>
      <c r="P144" t="s">
        <v>277</v>
      </c>
      <c r="S144" t="s">
        <v>1245</v>
      </c>
      <c r="T144">
        <v>22.5</v>
      </c>
      <c r="V144">
        <v>50</v>
      </c>
      <c r="W144" t="s">
        <v>1247</v>
      </c>
      <c r="X144" t="s">
        <v>957</v>
      </c>
      <c r="Y144">
        <v>70</v>
      </c>
      <c r="AB144">
        <v>0.51</v>
      </c>
      <c r="AC144" t="s">
        <v>85</v>
      </c>
      <c r="AD144" t="s">
        <v>248</v>
      </c>
      <c r="AE144" t="s">
        <v>138</v>
      </c>
      <c r="AI144">
        <v>5</v>
      </c>
      <c r="AK144">
        <v>0.1</v>
      </c>
      <c r="AL144" t="s">
        <v>82</v>
      </c>
      <c r="AM144">
        <v>0.1</v>
      </c>
      <c r="AN144" t="s">
        <v>82</v>
      </c>
      <c r="AT144" t="s">
        <v>358</v>
      </c>
      <c r="AU144">
        <v>7.0175438596491224E-2</v>
      </c>
      <c r="AV144" t="s">
        <v>115</v>
      </c>
    </row>
    <row r="145" spans="1:53" x14ac:dyDescent="0.3">
      <c r="A145" t="s">
        <v>1244</v>
      </c>
      <c r="C145" t="s">
        <v>1275</v>
      </c>
      <c r="D145" t="s">
        <v>81</v>
      </c>
      <c r="E145">
        <v>50000000</v>
      </c>
      <c r="H145">
        <v>14.25</v>
      </c>
      <c r="I145" t="s">
        <v>56</v>
      </c>
      <c r="J145">
        <v>1.4250000000000001E-3</v>
      </c>
      <c r="K145" t="s">
        <v>57</v>
      </c>
      <c r="L145" t="s">
        <v>112</v>
      </c>
      <c r="O145">
        <v>1500</v>
      </c>
      <c r="P145" t="s">
        <v>277</v>
      </c>
      <c r="S145" t="s">
        <v>1245</v>
      </c>
      <c r="T145">
        <v>22.5</v>
      </c>
      <c r="V145">
        <v>50</v>
      </c>
      <c r="W145" t="s">
        <v>355</v>
      </c>
      <c r="X145" t="s">
        <v>957</v>
      </c>
      <c r="Y145">
        <v>70</v>
      </c>
      <c r="AB145">
        <v>0.65</v>
      </c>
      <c r="AC145" t="s">
        <v>85</v>
      </c>
      <c r="AD145" t="s">
        <v>314</v>
      </c>
      <c r="AE145" t="s">
        <v>138</v>
      </c>
      <c r="AI145">
        <v>5</v>
      </c>
      <c r="AK145">
        <v>0.1</v>
      </c>
      <c r="AL145" t="s">
        <v>82</v>
      </c>
      <c r="AM145">
        <v>0.1</v>
      </c>
      <c r="AN145" t="s">
        <v>82</v>
      </c>
      <c r="AT145" t="s">
        <v>212</v>
      </c>
      <c r="AU145">
        <v>7.0175438596491224E-2</v>
      </c>
      <c r="AV145" t="s">
        <v>115</v>
      </c>
    </row>
    <row r="146" spans="1:53" x14ac:dyDescent="0.3">
      <c r="A146" t="s">
        <v>1244</v>
      </c>
      <c r="C146" t="s">
        <v>1275</v>
      </c>
      <c r="D146" t="s">
        <v>81</v>
      </c>
      <c r="E146">
        <v>50000000</v>
      </c>
      <c r="H146">
        <v>14.25</v>
      </c>
      <c r="I146" t="s">
        <v>56</v>
      </c>
      <c r="J146">
        <v>1.4250000000000001E-3</v>
      </c>
      <c r="K146" t="s">
        <v>57</v>
      </c>
      <c r="L146" t="s">
        <v>112</v>
      </c>
      <c r="O146">
        <v>6800</v>
      </c>
      <c r="P146" t="s">
        <v>121</v>
      </c>
      <c r="S146" t="s">
        <v>1245</v>
      </c>
      <c r="T146">
        <v>22.5</v>
      </c>
      <c r="V146">
        <v>50</v>
      </c>
      <c r="W146" t="s">
        <v>1247</v>
      </c>
      <c r="X146" t="s">
        <v>957</v>
      </c>
      <c r="Y146">
        <v>60</v>
      </c>
      <c r="AB146">
        <v>7.31</v>
      </c>
      <c r="AC146" t="s">
        <v>85</v>
      </c>
      <c r="AD146" t="s">
        <v>1294</v>
      </c>
      <c r="AE146" t="s">
        <v>138</v>
      </c>
      <c r="AI146">
        <v>5</v>
      </c>
      <c r="AK146">
        <v>0.27</v>
      </c>
      <c r="AL146" t="s">
        <v>82</v>
      </c>
      <c r="AM146">
        <v>0.27</v>
      </c>
      <c r="AN146" t="s">
        <v>82</v>
      </c>
      <c r="AO146">
        <v>0</v>
      </c>
      <c r="AT146" t="s">
        <v>358</v>
      </c>
      <c r="AU146">
        <v>0.18947368421052629</v>
      </c>
      <c r="AV146" t="s">
        <v>115</v>
      </c>
    </row>
    <row r="147" spans="1:53" x14ac:dyDescent="0.3">
      <c r="A147" t="s">
        <v>1244</v>
      </c>
      <c r="C147" t="s">
        <v>1275</v>
      </c>
      <c r="D147" t="s">
        <v>81</v>
      </c>
      <c r="E147">
        <v>50000000</v>
      </c>
      <c r="H147">
        <v>14.25</v>
      </c>
      <c r="I147" t="s">
        <v>56</v>
      </c>
      <c r="J147">
        <v>1.4250000000000001E-3</v>
      </c>
      <c r="K147" t="s">
        <v>57</v>
      </c>
      <c r="L147" t="s">
        <v>112</v>
      </c>
      <c r="O147">
        <v>6800</v>
      </c>
      <c r="P147" t="s">
        <v>121</v>
      </c>
      <c r="S147" t="s">
        <v>1245</v>
      </c>
      <c r="T147">
        <v>22.5</v>
      </c>
      <c r="V147">
        <v>50</v>
      </c>
      <c r="W147" t="s">
        <v>355</v>
      </c>
      <c r="X147" t="s">
        <v>957</v>
      </c>
      <c r="Y147">
        <v>60</v>
      </c>
      <c r="AB147">
        <v>0.81</v>
      </c>
      <c r="AC147" t="s">
        <v>85</v>
      </c>
      <c r="AD147" t="s">
        <v>325</v>
      </c>
      <c r="AE147" t="s">
        <v>138</v>
      </c>
      <c r="AI147">
        <v>5</v>
      </c>
      <c r="AK147">
        <v>0.27</v>
      </c>
      <c r="AL147" t="s">
        <v>82</v>
      </c>
      <c r="AM147">
        <v>0.27</v>
      </c>
      <c r="AN147" t="s">
        <v>82</v>
      </c>
      <c r="AT147" t="s">
        <v>212</v>
      </c>
      <c r="AU147">
        <v>0.18947368421052629</v>
      </c>
      <c r="AV147" t="s">
        <v>115</v>
      </c>
    </row>
    <row r="148" spans="1:53" x14ac:dyDescent="0.3">
      <c r="A148" t="s">
        <v>1244</v>
      </c>
      <c r="C148" t="s">
        <v>1275</v>
      </c>
      <c r="D148" t="s">
        <v>81</v>
      </c>
      <c r="E148">
        <v>50000000</v>
      </c>
      <c r="H148">
        <v>14.25</v>
      </c>
      <c r="I148" t="s">
        <v>56</v>
      </c>
      <c r="J148">
        <v>1.4250000000000001E-3</v>
      </c>
      <c r="K148" t="s">
        <v>57</v>
      </c>
      <c r="L148" t="s">
        <v>112</v>
      </c>
      <c r="O148">
        <v>6800</v>
      </c>
      <c r="P148" t="s">
        <v>121</v>
      </c>
      <c r="S148" t="s">
        <v>1245</v>
      </c>
      <c r="T148">
        <v>22.5</v>
      </c>
      <c r="V148">
        <v>50</v>
      </c>
      <c r="W148" t="s">
        <v>1295</v>
      </c>
      <c r="X148" t="s">
        <v>957</v>
      </c>
      <c r="Y148">
        <v>60</v>
      </c>
      <c r="AB148">
        <v>4.99</v>
      </c>
      <c r="AC148" t="s">
        <v>85</v>
      </c>
      <c r="AD148" t="s">
        <v>1260</v>
      </c>
      <c r="AE148" t="s">
        <v>138</v>
      </c>
      <c r="AI148">
        <v>5</v>
      </c>
      <c r="AK148">
        <v>0.27</v>
      </c>
      <c r="AL148" t="s">
        <v>82</v>
      </c>
      <c r="AM148">
        <v>0.27</v>
      </c>
      <c r="AN148" t="s">
        <v>82</v>
      </c>
      <c r="AT148" t="s">
        <v>77</v>
      </c>
      <c r="AU148">
        <v>0.18947368421052629</v>
      </c>
      <c r="AV148" t="s">
        <v>115</v>
      </c>
    </row>
    <row r="149" spans="1:53" x14ac:dyDescent="0.3">
      <c r="A149" t="s">
        <v>1244</v>
      </c>
      <c r="C149" t="s">
        <v>1275</v>
      </c>
      <c r="D149" t="s">
        <v>81</v>
      </c>
      <c r="E149">
        <v>50000000</v>
      </c>
      <c r="H149">
        <v>9.6</v>
      </c>
      <c r="I149" t="s">
        <v>56</v>
      </c>
      <c r="J149">
        <v>9.6000000000000002E-4</v>
      </c>
      <c r="K149" t="s">
        <v>57</v>
      </c>
      <c r="L149" t="s">
        <v>112</v>
      </c>
      <c r="O149">
        <v>6800</v>
      </c>
      <c r="P149" t="s">
        <v>121</v>
      </c>
      <c r="S149" t="s">
        <v>1245</v>
      </c>
      <c r="T149">
        <v>22.5</v>
      </c>
      <c r="V149">
        <v>50</v>
      </c>
      <c r="W149" t="s">
        <v>1229</v>
      </c>
      <c r="X149" t="s">
        <v>957</v>
      </c>
      <c r="Y149">
        <v>60</v>
      </c>
      <c r="AB149">
        <v>1.47</v>
      </c>
      <c r="AC149" t="s">
        <v>85</v>
      </c>
      <c r="AD149" t="s">
        <v>513</v>
      </c>
      <c r="AE149" t="s">
        <v>138</v>
      </c>
      <c r="AI149">
        <v>5</v>
      </c>
      <c r="AK149">
        <v>0.27</v>
      </c>
      <c r="AL149" t="s">
        <v>82</v>
      </c>
      <c r="AM149">
        <v>0.27</v>
      </c>
      <c r="AN149" t="s">
        <v>82</v>
      </c>
      <c r="AT149" t="s">
        <v>221</v>
      </c>
      <c r="AU149">
        <v>0.28125000000000011</v>
      </c>
      <c r="AV149" t="s">
        <v>115</v>
      </c>
    </row>
    <row r="150" spans="1:53" x14ac:dyDescent="0.3">
      <c r="A150" t="s">
        <v>1244</v>
      </c>
      <c r="C150" t="s">
        <v>1275</v>
      </c>
      <c r="D150" t="s">
        <v>81</v>
      </c>
      <c r="E150">
        <v>50000000</v>
      </c>
      <c r="H150">
        <v>14.25</v>
      </c>
      <c r="I150" t="s">
        <v>56</v>
      </c>
      <c r="J150">
        <v>1.4250000000000001E-3</v>
      </c>
      <c r="K150" t="s">
        <v>57</v>
      </c>
      <c r="L150" t="s">
        <v>112</v>
      </c>
      <c r="O150">
        <v>6400</v>
      </c>
      <c r="P150" t="s">
        <v>121</v>
      </c>
      <c r="S150" t="s">
        <v>1245</v>
      </c>
      <c r="T150">
        <v>22.5</v>
      </c>
      <c r="V150">
        <v>50</v>
      </c>
      <c r="W150" t="s">
        <v>1247</v>
      </c>
      <c r="X150" t="s">
        <v>957</v>
      </c>
      <c r="Y150">
        <v>60</v>
      </c>
      <c r="AA150" t="s">
        <v>94</v>
      </c>
      <c r="AB150">
        <v>7.22</v>
      </c>
      <c r="AC150" t="s">
        <v>85</v>
      </c>
      <c r="AD150" t="s">
        <v>418</v>
      </c>
      <c r="AI150">
        <v>5</v>
      </c>
      <c r="AK150">
        <v>0.27</v>
      </c>
      <c r="AL150" t="s">
        <v>82</v>
      </c>
      <c r="AM150">
        <v>0.27</v>
      </c>
      <c r="AN150" t="s">
        <v>82</v>
      </c>
      <c r="AO150">
        <v>0</v>
      </c>
      <c r="AT150" t="s">
        <v>358</v>
      </c>
      <c r="AU150">
        <v>0.18947368421052629</v>
      </c>
      <c r="AV150" t="s">
        <v>115</v>
      </c>
      <c r="AZ150">
        <v>0</v>
      </c>
      <c r="BA150">
        <v>7.22</v>
      </c>
    </row>
    <row r="151" spans="1:53" x14ac:dyDescent="0.3">
      <c r="A151" t="s">
        <v>1244</v>
      </c>
      <c r="C151" t="s">
        <v>1275</v>
      </c>
      <c r="D151" t="s">
        <v>81</v>
      </c>
      <c r="E151">
        <v>50000000</v>
      </c>
      <c r="H151">
        <v>14.25</v>
      </c>
      <c r="I151" t="s">
        <v>56</v>
      </c>
      <c r="J151">
        <v>1.4250000000000001E-3</v>
      </c>
      <c r="K151" t="s">
        <v>57</v>
      </c>
      <c r="L151" t="s">
        <v>112</v>
      </c>
      <c r="O151">
        <v>6400</v>
      </c>
      <c r="P151" t="s">
        <v>121</v>
      </c>
      <c r="S151" t="s">
        <v>1245</v>
      </c>
      <c r="T151">
        <v>22.5</v>
      </c>
      <c r="V151">
        <v>50</v>
      </c>
      <c r="W151" t="s">
        <v>355</v>
      </c>
      <c r="X151" t="s">
        <v>957</v>
      </c>
      <c r="Y151">
        <v>60</v>
      </c>
      <c r="AB151">
        <v>0.68</v>
      </c>
      <c r="AC151" t="s">
        <v>85</v>
      </c>
      <c r="AD151" t="s">
        <v>98</v>
      </c>
      <c r="AE151" t="s">
        <v>138</v>
      </c>
      <c r="AI151">
        <v>5</v>
      </c>
      <c r="AK151">
        <v>0.27</v>
      </c>
      <c r="AL151" t="s">
        <v>82</v>
      </c>
      <c r="AM151">
        <v>0.27</v>
      </c>
      <c r="AN151" t="s">
        <v>82</v>
      </c>
      <c r="AT151" t="s">
        <v>212</v>
      </c>
      <c r="AU151">
        <v>0.18947368421052629</v>
      </c>
      <c r="AV151" t="s">
        <v>115</v>
      </c>
    </row>
    <row r="152" spans="1:53" x14ac:dyDescent="0.3">
      <c r="A152" t="s">
        <v>1244</v>
      </c>
      <c r="C152" t="s">
        <v>1275</v>
      </c>
      <c r="D152" t="s">
        <v>81</v>
      </c>
      <c r="E152">
        <v>50000000</v>
      </c>
      <c r="H152">
        <v>14.25</v>
      </c>
      <c r="I152" t="s">
        <v>56</v>
      </c>
      <c r="J152">
        <v>1.4250000000000001E-3</v>
      </c>
      <c r="K152" t="s">
        <v>57</v>
      </c>
      <c r="L152" t="s">
        <v>112</v>
      </c>
      <c r="O152">
        <v>6400</v>
      </c>
      <c r="P152" t="s">
        <v>121</v>
      </c>
      <c r="S152" t="s">
        <v>1245</v>
      </c>
      <c r="T152">
        <v>22.5</v>
      </c>
      <c r="V152">
        <v>50</v>
      </c>
      <c r="W152" t="s">
        <v>1295</v>
      </c>
      <c r="X152" t="s">
        <v>957</v>
      </c>
      <c r="Y152">
        <v>60</v>
      </c>
      <c r="AA152" t="s">
        <v>94</v>
      </c>
      <c r="AB152">
        <v>5.63</v>
      </c>
      <c r="AC152" t="s">
        <v>85</v>
      </c>
      <c r="AD152" t="s">
        <v>490</v>
      </c>
      <c r="AI152">
        <v>5</v>
      </c>
      <c r="AK152">
        <v>0.27</v>
      </c>
      <c r="AL152" t="s">
        <v>82</v>
      </c>
      <c r="AM152">
        <v>0.27</v>
      </c>
      <c r="AN152" t="s">
        <v>82</v>
      </c>
      <c r="AT152" t="s">
        <v>77</v>
      </c>
      <c r="AU152">
        <v>0.18947368421052629</v>
      </c>
      <c r="AV152" t="s">
        <v>115</v>
      </c>
      <c r="AZ152">
        <v>0</v>
      </c>
      <c r="BA152">
        <v>5.63</v>
      </c>
    </row>
    <row r="153" spans="1:53" x14ac:dyDescent="0.3">
      <c r="A153" t="s">
        <v>1244</v>
      </c>
      <c r="C153" t="s">
        <v>1275</v>
      </c>
      <c r="D153" t="s">
        <v>81</v>
      </c>
      <c r="E153">
        <v>50000000</v>
      </c>
      <c r="H153">
        <v>9.6</v>
      </c>
      <c r="I153" t="s">
        <v>56</v>
      </c>
      <c r="J153">
        <v>9.6000000000000002E-4</v>
      </c>
      <c r="K153" t="s">
        <v>57</v>
      </c>
      <c r="L153" t="s">
        <v>112</v>
      </c>
      <c r="O153">
        <v>6400</v>
      </c>
      <c r="P153" t="s">
        <v>121</v>
      </c>
      <c r="S153" t="s">
        <v>1245</v>
      </c>
      <c r="T153">
        <v>22.5</v>
      </c>
      <c r="V153">
        <v>50</v>
      </c>
      <c r="W153" t="s">
        <v>1229</v>
      </c>
      <c r="X153" t="s">
        <v>957</v>
      </c>
      <c r="Y153">
        <v>60</v>
      </c>
      <c r="AB153">
        <v>0.18</v>
      </c>
      <c r="AC153" t="s">
        <v>85</v>
      </c>
      <c r="AD153" t="s">
        <v>242</v>
      </c>
      <c r="AE153" t="s">
        <v>138</v>
      </c>
      <c r="AI153">
        <v>5</v>
      </c>
      <c r="AK153">
        <v>0.27</v>
      </c>
      <c r="AL153" t="s">
        <v>82</v>
      </c>
      <c r="AM153">
        <v>0.27</v>
      </c>
      <c r="AN153" t="s">
        <v>82</v>
      </c>
      <c r="AT153" t="s">
        <v>221</v>
      </c>
      <c r="AU153">
        <v>0.28125000000000011</v>
      </c>
      <c r="AV153" t="s">
        <v>115</v>
      </c>
    </row>
    <row r="154" spans="1:53" x14ac:dyDescent="0.3">
      <c r="A154" t="s">
        <v>1296</v>
      </c>
      <c r="B154" t="s">
        <v>1297</v>
      </c>
      <c r="C154" t="s">
        <v>1275</v>
      </c>
      <c r="D154" t="s">
        <v>81</v>
      </c>
      <c r="E154">
        <v>50000000</v>
      </c>
      <c r="H154">
        <v>0.78500000000000003</v>
      </c>
      <c r="I154" t="s">
        <v>56</v>
      </c>
      <c r="J154">
        <v>7.8500000000000011E-5</v>
      </c>
      <c r="K154" t="s">
        <v>57</v>
      </c>
      <c r="L154" t="s">
        <v>112</v>
      </c>
      <c r="O154">
        <v>5000</v>
      </c>
      <c r="P154" t="s">
        <v>121</v>
      </c>
      <c r="S154">
        <v>2</v>
      </c>
      <c r="T154">
        <v>20</v>
      </c>
      <c r="V154">
        <v>50</v>
      </c>
      <c r="W154" t="s">
        <v>388</v>
      </c>
      <c r="X154" t="s">
        <v>1298</v>
      </c>
      <c r="Y154">
        <v>1</v>
      </c>
      <c r="AB154">
        <v>0.66390041493775798</v>
      </c>
      <c r="AC154" t="s">
        <v>85</v>
      </c>
      <c r="AI154">
        <v>5</v>
      </c>
      <c r="AK154">
        <v>50</v>
      </c>
      <c r="AL154" t="s">
        <v>220</v>
      </c>
      <c r="AM154">
        <v>0.05</v>
      </c>
      <c r="AN154" t="s">
        <v>82</v>
      </c>
      <c r="AT154" t="s">
        <v>65</v>
      </c>
      <c r="AU154">
        <v>0.63694267515923564</v>
      </c>
      <c r="AV154" t="s">
        <v>1262</v>
      </c>
    </row>
    <row r="155" spans="1:53" x14ac:dyDescent="0.3">
      <c r="A155" t="s">
        <v>1296</v>
      </c>
      <c r="B155" t="s">
        <v>1297</v>
      </c>
      <c r="C155" t="s">
        <v>1275</v>
      </c>
      <c r="D155" t="s">
        <v>81</v>
      </c>
      <c r="E155">
        <v>50000000</v>
      </c>
      <c r="H155">
        <v>0.78500000000000003</v>
      </c>
      <c r="I155" t="s">
        <v>56</v>
      </c>
      <c r="J155">
        <v>7.8500000000000011E-5</v>
      </c>
      <c r="K155" t="s">
        <v>57</v>
      </c>
      <c r="L155" t="s">
        <v>112</v>
      </c>
      <c r="O155">
        <v>5000</v>
      </c>
      <c r="P155" t="s">
        <v>121</v>
      </c>
      <c r="S155">
        <v>2</v>
      </c>
      <c r="T155">
        <v>20</v>
      </c>
      <c r="V155">
        <v>50</v>
      </c>
      <c r="W155" t="s">
        <v>388</v>
      </c>
      <c r="X155" t="s">
        <v>1298</v>
      </c>
      <c r="Y155">
        <v>5</v>
      </c>
      <c r="AB155">
        <v>1.3609958506224</v>
      </c>
      <c r="AC155" t="s">
        <v>85</v>
      </c>
      <c r="AI155">
        <v>5</v>
      </c>
      <c r="AK155">
        <v>50</v>
      </c>
      <c r="AL155" t="s">
        <v>220</v>
      </c>
      <c r="AM155">
        <v>0.05</v>
      </c>
      <c r="AN155" t="s">
        <v>82</v>
      </c>
      <c r="AT155" t="s">
        <v>65</v>
      </c>
      <c r="AU155">
        <v>0.63694267515923564</v>
      </c>
      <c r="AV155" t="s">
        <v>1262</v>
      </c>
    </row>
    <row r="156" spans="1:53" x14ac:dyDescent="0.3">
      <c r="A156" t="s">
        <v>1296</v>
      </c>
      <c r="B156" t="s">
        <v>1297</v>
      </c>
      <c r="C156" t="s">
        <v>1275</v>
      </c>
      <c r="D156" t="s">
        <v>81</v>
      </c>
      <c r="E156">
        <v>50000000</v>
      </c>
      <c r="H156">
        <v>0.78500000000000003</v>
      </c>
      <c r="I156" t="s">
        <v>56</v>
      </c>
      <c r="J156">
        <v>7.8500000000000011E-5</v>
      </c>
      <c r="K156" t="s">
        <v>57</v>
      </c>
      <c r="L156" t="s">
        <v>112</v>
      </c>
      <c r="O156">
        <v>5000</v>
      </c>
      <c r="P156" t="s">
        <v>121</v>
      </c>
      <c r="S156">
        <v>2</v>
      </c>
      <c r="T156">
        <v>20</v>
      </c>
      <c r="V156">
        <v>50</v>
      </c>
      <c r="W156" t="s">
        <v>388</v>
      </c>
      <c r="X156" t="s">
        <v>1298</v>
      </c>
      <c r="Y156">
        <v>10</v>
      </c>
      <c r="AB156">
        <v>6.5062240663900299</v>
      </c>
      <c r="AC156" t="s">
        <v>85</v>
      </c>
      <c r="AI156">
        <v>5</v>
      </c>
      <c r="AK156">
        <v>50</v>
      </c>
      <c r="AL156" t="s">
        <v>220</v>
      </c>
      <c r="AM156">
        <v>0.05</v>
      </c>
      <c r="AN156" t="s">
        <v>82</v>
      </c>
      <c r="AT156" t="s">
        <v>65</v>
      </c>
      <c r="AU156">
        <v>0.63694267515923564</v>
      </c>
      <c r="AV156" t="s">
        <v>1262</v>
      </c>
    </row>
    <row r="157" spans="1:53" x14ac:dyDescent="0.3">
      <c r="A157" t="s">
        <v>1296</v>
      </c>
      <c r="B157" t="s">
        <v>1297</v>
      </c>
      <c r="C157" t="s">
        <v>1275</v>
      </c>
      <c r="D157" t="s">
        <v>81</v>
      </c>
      <c r="E157">
        <v>50000000</v>
      </c>
      <c r="H157">
        <v>0.78500000000000003</v>
      </c>
      <c r="I157" t="s">
        <v>56</v>
      </c>
      <c r="J157">
        <v>7.8500000000000011E-5</v>
      </c>
      <c r="K157" t="s">
        <v>57</v>
      </c>
      <c r="L157" t="s">
        <v>112</v>
      </c>
      <c r="O157">
        <v>500</v>
      </c>
      <c r="P157" t="s">
        <v>121</v>
      </c>
      <c r="S157">
        <v>2</v>
      </c>
      <c r="T157">
        <v>20</v>
      </c>
      <c r="V157">
        <v>50</v>
      </c>
      <c r="W157" t="s">
        <v>388</v>
      </c>
      <c r="X157" t="s">
        <v>1298</v>
      </c>
      <c r="Y157">
        <v>1</v>
      </c>
      <c r="AB157">
        <v>9.9585062240664102E-2</v>
      </c>
      <c r="AC157" t="s">
        <v>85</v>
      </c>
      <c r="AI157">
        <v>5</v>
      </c>
      <c r="AK157">
        <v>50</v>
      </c>
      <c r="AL157" t="s">
        <v>220</v>
      </c>
      <c r="AM157">
        <v>0.05</v>
      </c>
      <c r="AN157" t="s">
        <v>82</v>
      </c>
      <c r="AT157" t="s">
        <v>65</v>
      </c>
      <c r="AU157">
        <v>0.63694267515923564</v>
      </c>
      <c r="AV157" t="s">
        <v>1262</v>
      </c>
    </row>
    <row r="158" spans="1:53" x14ac:dyDescent="0.3">
      <c r="A158" t="s">
        <v>1296</v>
      </c>
      <c r="B158" t="s">
        <v>1297</v>
      </c>
      <c r="C158" t="s">
        <v>1275</v>
      </c>
      <c r="D158" t="s">
        <v>81</v>
      </c>
      <c r="E158">
        <v>50000000</v>
      </c>
      <c r="H158">
        <v>0.78500000000000003</v>
      </c>
      <c r="I158" t="s">
        <v>56</v>
      </c>
      <c r="J158">
        <v>7.8500000000000011E-5</v>
      </c>
      <c r="K158" t="s">
        <v>57</v>
      </c>
      <c r="L158" t="s">
        <v>112</v>
      </c>
      <c r="O158">
        <v>500</v>
      </c>
      <c r="P158" t="s">
        <v>121</v>
      </c>
      <c r="S158">
        <v>2</v>
      </c>
      <c r="T158">
        <v>20</v>
      </c>
      <c r="V158">
        <v>50</v>
      </c>
      <c r="W158" t="s">
        <v>388</v>
      </c>
      <c r="X158" t="s">
        <v>1298</v>
      </c>
      <c r="Y158">
        <v>5</v>
      </c>
      <c r="AB158">
        <v>0.16597510373443899</v>
      </c>
      <c r="AC158" t="s">
        <v>85</v>
      </c>
      <c r="AI158">
        <v>5</v>
      </c>
      <c r="AK158">
        <v>50</v>
      </c>
      <c r="AL158" t="s">
        <v>220</v>
      </c>
      <c r="AM158">
        <v>0.05</v>
      </c>
      <c r="AN158" t="s">
        <v>82</v>
      </c>
      <c r="AT158" t="s">
        <v>65</v>
      </c>
      <c r="AU158">
        <v>0.63694267515923564</v>
      </c>
      <c r="AV158" t="s">
        <v>1262</v>
      </c>
    </row>
    <row r="159" spans="1:53" x14ac:dyDescent="0.3">
      <c r="A159" t="s">
        <v>1296</v>
      </c>
      <c r="B159" t="s">
        <v>1297</v>
      </c>
      <c r="C159" t="s">
        <v>1275</v>
      </c>
      <c r="D159" t="s">
        <v>81</v>
      </c>
      <c r="E159">
        <v>50000000</v>
      </c>
      <c r="H159">
        <v>0.78500000000000003</v>
      </c>
      <c r="I159" t="s">
        <v>56</v>
      </c>
      <c r="J159">
        <v>7.8500000000000011E-5</v>
      </c>
      <c r="K159" t="s">
        <v>57</v>
      </c>
      <c r="L159" t="s">
        <v>112</v>
      </c>
      <c r="O159">
        <v>500</v>
      </c>
      <c r="P159" t="s">
        <v>121</v>
      </c>
      <c r="S159">
        <v>2</v>
      </c>
      <c r="T159">
        <v>20</v>
      </c>
      <c r="V159">
        <v>50</v>
      </c>
      <c r="W159" t="s">
        <v>388</v>
      </c>
      <c r="X159" t="s">
        <v>1298</v>
      </c>
      <c r="Y159">
        <v>10</v>
      </c>
      <c r="AB159">
        <v>0.232365145228216</v>
      </c>
      <c r="AC159" t="s">
        <v>85</v>
      </c>
      <c r="AI159">
        <v>5</v>
      </c>
      <c r="AK159">
        <v>50</v>
      </c>
      <c r="AL159" t="s">
        <v>220</v>
      </c>
      <c r="AM159">
        <v>0.05</v>
      </c>
      <c r="AN159" t="s">
        <v>82</v>
      </c>
      <c r="AT159" t="s">
        <v>65</v>
      </c>
      <c r="AU159">
        <v>0.63694267515923564</v>
      </c>
      <c r="AV159" t="s">
        <v>1262</v>
      </c>
    </row>
    <row r="160" spans="1:53" x14ac:dyDescent="0.3">
      <c r="A160" t="s">
        <v>213</v>
      </c>
      <c r="C160" t="s">
        <v>1275</v>
      </c>
      <c r="D160" t="s">
        <v>81</v>
      </c>
      <c r="E160">
        <v>50000000</v>
      </c>
      <c r="H160">
        <v>1.8</v>
      </c>
      <c r="I160" t="s">
        <v>215</v>
      </c>
      <c r="J160">
        <v>1.1612879999999999E-3</v>
      </c>
      <c r="K160" t="s">
        <v>57</v>
      </c>
      <c r="O160">
        <v>5400</v>
      </c>
      <c r="P160" t="s">
        <v>121</v>
      </c>
      <c r="T160">
        <v>20</v>
      </c>
      <c r="V160">
        <v>50</v>
      </c>
      <c r="W160" t="s">
        <v>217</v>
      </c>
      <c r="X160" t="s">
        <v>218</v>
      </c>
      <c r="Y160">
        <v>1440</v>
      </c>
      <c r="AB160">
        <v>0.36</v>
      </c>
      <c r="AC160" t="s">
        <v>85</v>
      </c>
      <c r="AD160" t="s">
        <v>365</v>
      </c>
      <c r="AE160" t="s">
        <v>138</v>
      </c>
      <c r="AI160">
        <v>5</v>
      </c>
      <c r="AJ160" t="s">
        <v>201</v>
      </c>
      <c r="AK160">
        <v>4</v>
      </c>
      <c r="AL160" t="s">
        <v>82</v>
      </c>
      <c r="AM160">
        <v>4</v>
      </c>
      <c r="AN160" t="s">
        <v>82</v>
      </c>
      <c r="AT160" t="s">
        <v>221</v>
      </c>
      <c r="AU160">
        <v>3.4444444444444451</v>
      </c>
      <c r="AV160" t="s">
        <v>1299</v>
      </c>
    </row>
    <row r="161" spans="1:53" x14ac:dyDescent="0.3">
      <c r="A161" t="s">
        <v>213</v>
      </c>
      <c r="C161" t="s">
        <v>1275</v>
      </c>
      <c r="D161" t="s">
        <v>81</v>
      </c>
      <c r="E161">
        <v>50000000</v>
      </c>
      <c r="H161">
        <v>1.8</v>
      </c>
      <c r="I161" t="s">
        <v>215</v>
      </c>
      <c r="J161">
        <v>1.1612879999999999E-3</v>
      </c>
      <c r="K161" t="s">
        <v>57</v>
      </c>
      <c r="O161">
        <v>5400</v>
      </c>
      <c r="P161" t="s">
        <v>121</v>
      </c>
      <c r="T161">
        <v>20</v>
      </c>
      <c r="V161">
        <v>50</v>
      </c>
      <c r="W161" t="s">
        <v>229</v>
      </c>
      <c r="X161" t="s">
        <v>218</v>
      </c>
      <c r="Y161">
        <v>1440</v>
      </c>
      <c r="AA161" t="s">
        <v>94</v>
      </c>
      <c r="AB161">
        <v>7.88</v>
      </c>
      <c r="AC161" t="s">
        <v>85</v>
      </c>
      <c r="AD161" t="s">
        <v>236</v>
      </c>
      <c r="AE161" t="s">
        <v>138</v>
      </c>
      <c r="AI161">
        <v>5</v>
      </c>
      <c r="AJ161" t="s">
        <v>201</v>
      </c>
      <c r="AK161">
        <v>4</v>
      </c>
      <c r="AL161" t="s">
        <v>82</v>
      </c>
      <c r="AM161">
        <v>4</v>
      </c>
      <c r="AN161" t="s">
        <v>82</v>
      </c>
      <c r="AU161">
        <v>3.4444444444444451</v>
      </c>
      <c r="AV161" t="s">
        <v>1299</v>
      </c>
      <c r="AZ161">
        <v>0</v>
      </c>
      <c r="BA161">
        <v>7.88</v>
      </c>
    </row>
    <row r="162" spans="1:53" x14ac:dyDescent="0.3">
      <c r="A162" t="s">
        <v>213</v>
      </c>
      <c r="C162" t="s">
        <v>1275</v>
      </c>
      <c r="D162" t="s">
        <v>81</v>
      </c>
      <c r="E162">
        <v>50000000</v>
      </c>
      <c r="H162">
        <v>1.8</v>
      </c>
      <c r="I162" t="s">
        <v>215</v>
      </c>
      <c r="J162">
        <v>1.1612879999999999E-3</v>
      </c>
      <c r="K162" t="s">
        <v>57</v>
      </c>
      <c r="O162">
        <v>5400</v>
      </c>
      <c r="P162" t="s">
        <v>121</v>
      </c>
      <c r="T162">
        <v>20</v>
      </c>
      <c r="V162">
        <v>50</v>
      </c>
      <c r="W162" t="s">
        <v>229</v>
      </c>
      <c r="X162" t="s">
        <v>218</v>
      </c>
      <c r="Y162">
        <v>120</v>
      </c>
      <c r="AA162" t="s">
        <v>94</v>
      </c>
      <c r="AB162">
        <v>7.87</v>
      </c>
      <c r="AC162" t="s">
        <v>85</v>
      </c>
      <c r="AD162" t="s">
        <v>235</v>
      </c>
      <c r="AE162" t="s">
        <v>138</v>
      </c>
      <c r="AI162">
        <v>5</v>
      </c>
      <c r="AJ162" t="s">
        <v>201</v>
      </c>
      <c r="AK162">
        <v>2</v>
      </c>
      <c r="AL162" t="s">
        <v>82</v>
      </c>
      <c r="AM162">
        <v>2</v>
      </c>
      <c r="AN162" t="s">
        <v>82</v>
      </c>
      <c r="AU162">
        <v>1.7222222222222221</v>
      </c>
      <c r="AV162" t="s">
        <v>1299</v>
      </c>
      <c r="AZ162">
        <v>0</v>
      </c>
      <c r="BA162">
        <v>7.87</v>
      </c>
    </row>
    <row r="163" spans="1:53" x14ac:dyDescent="0.3">
      <c r="A163" t="s">
        <v>213</v>
      </c>
      <c r="C163" t="s">
        <v>1275</v>
      </c>
      <c r="D163" t="s">
        <v>81</v>
      </c>
      <c r="E163">
        <v>50000000</v>
      </c>
      <c r="H163">
        <v>1.8</v>
      </c>
      <c r="I163" t="s">
        <v>215</v>
      </c>
      <c r="J163">
        <v>1.1612879999999999E-3</v>
      </c>
      <c r="K163" t="s">
        <v>57</v>
      </c>
      <c r="O163">
        <v>5400</v>
      </c>
      <c r="P163" t="s">
        <v>121</v>
      </c>
      <c r="T163">
        <v>20</v>
      </c>
      <c r="V163">
        <v>50</v>
      </c>
      <c r="W163" t="s">
        <v>229</v>
      </c>
      <c r="X163" t="s">
        <v>218</v>
      </c>
      <c r="Y163">
        <v>60</v>
      </c>
      <c r="AA163" t="s">
        <v>94</v>
      </c>
      <c r="AB163">
        <v>7.91</v>
      </c>
      <c r="AC163" t="s">
        <v>85</v>
      </c>
      <c r="AD163" t="s">
        <v>232</v>
      </c>
      <c r="AE163" t="s">
        <v>138</v>
      </c>
      <c r="AI163">
        <v>5</v>
      </c>
      <c r="AJ163" t="s">
        <v>201</v>
      </c>
      <c r="AK163">
        <v>1</v>
      </c>
      <c r="AL163" t="s">
        <v>82</v>
      </c>
      <c r="AM163">
        <v>1</v>
      </c>
      <c r="AN163" t="s">
        <v>82</v>
      </c>
      <c r="AU163">
        <v>0.86111111111111116</v>
      </c>
      <c r="AV163" t="s">
        <v>1299</v>
      </c>
      <c r="AZ163">
        <v>0</v>
      </c>
      <c r="BA163">
        <v>7.91</v>
      </c>
    </row>
    <row r="164" spans="1:53" x14ac:dyDescent="0.3">
      <c r="A164" t="s">
        <v>213</v>
      </c>
      <c r="C164" t="s">
        <v>1275</v>
      </c>
      <c r="D164" t="s">
        <v>81</v>
      </c>
      <c r="E164">
        <v>50000000</v>
      </c>
      <c r="H164">
        <v>1.8</v>
      </c>
      <c r="I164" t="s">
        <v>215</v>
      </c>
      <c r="J164">
        <v>1.1612879999999999E-3</v>
      </c>
      <c r="K164" t="s">
        <v>57</v>
      </c>
      <c r="O164">
        <v>5400</v>
      </c>
      <c r="P164" t="s">
        <v>121</v>
      </c>
      <c r="T164">
        <v>20</v>
      </c>
      <c r="V164">
        <v>50</v>
      </c>
      <c r="W164" t="s">
        <v>229</v>
      </c>
      <c r="X164" t="s">
        <v>218</v>
      </c>
      <c r="Y164">
        <v>60</v>
      </c>
      <c r="AB164">
        <v>5.16</v>
      </c>
      <c r="AC164" t="s">
        <v>85</v>
      </c>
      <c r="AD164" t="s">
        <v>1300</v>
      </c>
      <c r="AE164" t="s">
        <v>138</v>
      </c>
      <c r="AI164">
        <v>5</v>
      </c>
      <c r="AJ164" t="s">
        <v>201</v>
      </c>
      <c r="AK164">
        <v>1</v>
      </c>
      <c r="AL164" t="s">
        <v>82</v>
      </c>
      <c r="AM164">
        <v>1</v>
      </c>
      <c r="AN164" t="s">
        <v>82</v>
      </c>
      <c r="AU164">
        <v>0.86111111111111116</v>
      </c>
      <c r="AV164" t="s">
        <v>1299</v>
      </c>
    </row>
    <row r="165" spans="1:53" x14ac:dyDescent="0.3">
      <c r="A165" t="s">
        <v>213</v>
      </c>
      <c r="C165" t="s">
        <v>1275</v>
      </c>
      <c r="D165" t="s">
        <v>81</v>
      </c>
      <c r="E165">
        <v>50000000</v>
      </c>
      <c r="H165">
        <v>1.8</v>
      </c>
      <c r="I165" t="s">
        <v>215</v>
      </c>
      <c r="J165">
        <v>1.1612879999999999E-3</v>
      </c>
      <c r="K165" t="s">
        <v>57</v>
      </c>
      <c r="O165">
        <v>5400</v>
      </c>
      <c r="P165" t="s">
        <v>121</v>
      </c>
      <c r="T165">
        <v>20</v>
      </c>
      <c r="V165">
        <v>50</v>
      </c>
      <c r="W165" t="s">
        <v>217</v>
      </c>
      <c r="X165" t="s">
        <v>218</v>
      </c>
      <c r="Y165">
        <v>1440</v>
      </c>
      <c r="AB165">
        <v>0.1</v>
      </c>
      <c r="AC165" t="s">
        <v>85</v>
      </c>
      <c r="AD165" t="s">
        <v>490</v>
      </c>
      <c r="AE165" t="s">
        <v>138</v>
      </c>
      <c r="AI165">
        <v>5</v>
      </c>
      <c r="AJ165" t="s">
        <v>201</v>
      </c>
      <c r="AK165">
        <v>4</v>
      </c>
      <c r="AL165" t="s">
        <v>82</v>
      </c>
      <c r="AM165">
        <v>4</v>
      </c>
      <c r="AN165" t="s">
        <v>82</v>
      </c>
      <c r="AT165" t="s">
        <v>221</v>
      </c>
      <c r="AU165">
        <v>3.4444444444444451</v>
      </c>
      <c r="AV165" t="s">
        <v>1299</v>
      </c>
    </row>
    <row r="166" spans="1:53" x14ac:dyDescent="0.3">
      <c r="A166" t="s">
        <v>213</v>
      </c>
      <c r="C166" t="s">
        <v>1275</v>
      </c>
      <c r="D166" t="s">
        <v>81</v>
      </c>
      <c r="E166">
        <v>50000000</v>
      </c>
      <c r="H166">
        <v>1.8</v>
      </c>
      <c r="I166" t="s">
        <v>215</v>
      </c>
      <c r="J166">
        <v>1.1612879999999999E-3</v>
      </c>
      <c r="K166" t="s">
        <v>57</v>
      </c>
      <c r="O166">
        <v>5400</v>
      </c>
      <c r="P166" t="s">
        <v>121</v>
      </c>
      <c r="T166">
        <v>20</v>
      </c>
      <c r="V166">
        <v>50</v>
      </c>
      <c r="W166" t="s">
        <v>229</v>
      </c>
      <c r="X166" t="s">
        <v>218</v>
      </c>
      <c r="Y166">
        <v>1440</v>
      </c>
      <c r="AA166" t="s">
        <v>94</v>
      </c>
      <c r="AB166">
        <v>7.81</v>
      </c>
      <c r="AC166" t="s">
        <v>85</v>
      </c>
      <c r="AD166" t="s">
        <v>490</v>
      </c>
      <c r="AE166" t="s">
        <v>138</v>
      </c>
      <c r="AI166">
        <v>5</v>
      </c>
      <c r="AJ166" t="s">
        <v>201</v>
      </c>
      <c r="AK166">
        <v>4</v>
      </c>
      <c r="AL166" t="s">
        <v>82</v>
      </c>
      <c r="AM166">
        <v>4</v>
      </c>
      <c r="AN166" t="s">
        <v>82</v>
      </c>
      <c r="AU166">
        <v>3.4444444444444451</v>
      </c>
      <c r="AV166" t="s">
        <v>1299</v>
      </c>
      <c r="AZ166">
        <v>0</v>
      </c>
      <c r="BA166">
        <v>7.81</v>
      </c>
    </row>
    <row r="167" spans="1:53" x14ac:dyDescent="0.3">
      <c r="A167" t="s">
        <v>213</v>
      </c>
      <c r="C167" t="s">
        <v>1275</v>
      </c>
      <c r="D167" t="s">
        <v>81</v>
      </c>
      <c r="E167">
        <v>50000000</v>
      </c>
      <c r="H167">
        <v>1.8</v>
      </c>
      <c r="I167" t="s">
        <v>215</v>
      </c>
      <c r="J167">
        <v>1.1612879999999999E-3</v>
      </c>
      <c r="K167" t="s">
        <v>57</v>
      </c>
      <c r="O167">
        <v>5400</v>
      </c>
      <c r="P167" t="s">
        <v>121</v>
      </c>
      <c r="T167">
        <v>20</v>
      </c>
      <c r="V167">
        <v>50</v>
      </c>
      <c r="W167" t="s">
        <v>229</v>
      </c>
      <c r="X167" t="s">
        <v>218</v>
      </c>
      <c r="Y167">
        <v>120</v>
      </c>
      <c r="AA167" t="s">
        <v>94</v>
      </c>
      <c r="AB167">
        <v>7.93</v>
      </c>
      <c r="AC167" t="s">
        <v>85</v>
      </c>
      <c r="AD167" t="s">
        <v>235</v>
      </c>
      <c r="AE167" t="s">
        <v>138</v>
      </c>
      <c r="AI167">
        <v>5</v>
      </c>
      <c r="AJ167" t="s">
        <v>201</v>
      </c>
      <c r="AK167">
        <v>2</v>
      </c>
      <c r="AL167" t="s">
        <v>82</v>
      </c>
      <c r="AM167">
        <v>2</v>
      </c>
      <c r="AN167" t="s">
        <v>82</v>
      </c>
      <c r="AU167">
        <v>1.7222222222222221</v>
      </c>
      <c r="AV167" t="s">
        <v>1299</v>
      </c>
      <c r="AZ167">
        <v>0</v>
      </c>
      <c r="BA167">
        <v>7.93</v>
      </c>
    </row>
    <row r="168" spans="1:53" x14ac:dyDescent="0.3">
      <c r="A168" t="s">
        <v>213</v>
      </c>
      <c r="C168" t="s">
        <v>1275</v>
      </c>
      <c r="D168" t="s">
        <v>81</v>
      </c>
      <c r="E168">
        <v>50000000</v>
      </c>
      <c r="H168">
        <v>1.8</v>
      </c>
      <c r="I168" t="s">
        <v>215</v>
      </c>
      <c r="J168">
        <v>1.1612879999999999E-3</v>
      </c>
      <c r="K168" t="s">
        <v>57</v>
      </c>
      <c r="O168">
        <v>5400</v>
      </c>
      <c r="P168" t="s">
        <v>121</v>
      </c>
      <c r="T168">
        <v>20</v>
      </c>
      <c r="V168">
        <v>50</v>
      </c>
      <c r="W168" t="s">
        <v>229</v>
      </c>
      <c r="X168" t="s">
        <v>218</v>
      </c>
      <c r="Y168">
        <v>60</v>
      </c>
      <c r="AB168">
        <v>7.21</v>
      </c>
      <c r="AC168" t="s">
        <v>85</v>
      </c>
      <c r="AD168" t="s">
        <v>1301</v>
      </c>
      <c r="AE168" t="s">
        <v>138</v>
      </c>
      <c r="AI168">
        <v>5</v>
      </c>
      <c r="AJ168" t="s">
        <v>201</v>
      </c>
      <c r="AK168">
        <v>1</v>
      </c>
      <c r="AL168" t="s">
        <v>82</v>
      </c>
      <c r="AM168">
        <v>1</v>
      </c>
      <c r="AN168" t="s">
        <v>82</v>
      </c>
      <c r="AU168">
        <v>0.86111111111111116</v>
      </c>
      <c r="AV168" t="s">
        <v>1299</v>
      </c>
    </row>
    <row r="169" spans="1:53" x14ac:dyDescent="0.3">
      <c r="A169" t="s">
        <v>213</v>
      </c>
      <c r="C169" t="s">
        <v>1275</v>
      </c>
      <c r="D169" t="s">
        <v>81</v>
      </c>
      <c r="E169">
        <v>50000000</v>
      </c>
      <c r="H169">
        <v>1.8</v>
      </c>
      <c r="I169" t="s">
        <v>215</v>
      </c>
      <c r="J169">
        <v>1.1612879999999999E-3</v>
      </c>
      <c r="K169" t="s">
        <v>57</v>
      </c>
      <c r="O169">
        <v>5400</v>
      </c>
      <c r="P169" t="s">
        <v>121</v>
      </c>
      <c r="T169">
        <v>20</v>
      </c>
      <c r="V169">
        <v>50</v>
      </c>
      <c r="W169" t="s">
        <v>229</v>
      </c>
      <c r="X169" t="s">
        <v>218</v>
      </c>
      <c r="Y169">
        <v>60</v>
      </c>
      <c r="AB169">
        <v>3.28</v>
      </c>
      <c r="AC169" t="s">
        <v>85</v>
      </c>
      <c r="AD169" t="s">
        <v>1302</v>
      </c>
      <c r="AE169" t="s">
        <v>138</v>
      </c>
      <c r="AI169">
        <v>5</v>
      </c>
      <c r="AJ169" t="s">
        <v>201</v>
      </c>
      <c r="AK169">
        <v>1</v>
      </c>
      <c r="AL169" t="s">
        <v>82</v>
      </c>
      <c r="AM169">
        <v>1</v>
      </c>
      <c r="AN169" t="s">
        <v>82</v>
      </c>
      <c r="AU169">
        <v>0.86111111111111116</v>
      </c>
      <c r="AV169" t="s">
        <v>1299</v>
      </c>
    </row>
    <row r="170" spans="1:53" x14ac:dyDescent="0.3">
      <c r="A170" t="s">
        <v>213</v>
      </c>
      <c r="C170" t="s">
        <v>1275</v>
      </c>
      <c r="D170" t="s">
        <v>81</v>
      </c>
      <c r="E170">
        <v>50000000</v>
      </c>
      <c r="H170">
        <v>1.8</v>
      </c>
      <c r="I170" t="s">
        <v>215</v>
      </c>
      <c r="J170">
        <v>1.1612879999999999E-3</v>
      </c>
      <c r="K170" t="s">
        <v>57</v>
      </c>
      <c r="O170">
        <v>120</v>
      </c>
      <c r="P170" t="s">
        <v>1303</v>
      </c>
      <c r="T170">
        <v>20</v>
      </c>
      <c r="V170">
        <v>50</v>
      </c>
      <c r="W170" t="s">
        <v>217</v>
      </c>
      <c r="X170" t="s">
        <v>218</v>
      </c>
      <c r="Y170">
        <v>10080</v>
      </c>
      <c r="AA170" t="s">
        <v>94</v>
      </c>
      <c r="AB170">
        <v>7.82</v>
      </c>
      <c r="AC170" t="s">
        <v>85</v>
      </c>
      <c r="AD170" t="s">
        <v>227</v>
      </c>
      <c r="AE170" t="s">
        <v>138</v>
      </c>
      <c r="AI170">
        <v>5</v>
      </c>
      <c r="AJ170" t="s">
        <v>201</v>
      </c>
      <c r="AK170">
        <v>6</v>
      </c>
      <c r="AL170" t="s">
        <v>82</v>
      </c>
      <c r="AM170">
        <v>6</v>
      </c>
      <c r="AN170" t="s">
        <v>82</v>
      </c>
      <c r="AT170" t="s">
        <v>221</v>
      </c>
      <c r="AU170">
        <v>5.1666666666666661</v>
      </c>
      <c r="AV170" t="s">
        <v>1299</v>
      </c>
      <c r="AZ170">
        <v>0</v>
      </c>
      <c r="BA170">
        <v>7.82</v>
      </c>
    </row>
    <row r="171" spans="1:53" x14ac:dyDescent="0.3">
      <c r="A171" t="s">
        <v>213</v>
      </c>
      <c r="C171" t="s">
        <v>1275</v>
      </c>
      <c r="D171" t="s">
        <v>81</v>
      </c>
      <c r="E171">
        <v>50000000</v>
      </c>
      <c r="H171">
        <v>1.8</v>
      </c>
      <c r="I171" t="s">
        <v>215</v>
      </c>
      <c r="J171">
        <v>1.1612879999999999E-3</v>
      </c>
      <c r="K171" t="s">
        <v>57</v>
      </c>
      <c r="O171">
        <v>120</v>
      </c>
      <c r="P171" t="s">
        <v>1303</v>
      </c>
      <c r="T171">
        <v>20</v>
      </c>
      <c r="V171">
        <v>50</v>
      </c>
      <c r="W171" t="s">
        <v>217</v>
      </c>
      <c r="X171" t="s">
        <v>218</v>
      </c>
      <c r="Y171">
        <v>10080</v>
      </c>
      <c r="AB171">
        <v>7.07</v>
      </c>
      <c r="AC171" t="s">
        <v>85</v>
      </c>
      <c r="AD171" t="s">
        <v>1304</v>
      </c>
      <c r="AE171" t="s">
        <v>138</v>
      </c>
      <c r="AI171">
        <v>5</v>
      </c>
      <c r="AJ171" t="s">
        <v>201</v>
      </c>
      <c r="AK171">
        <v>3</v>
      </c>
      <c r="AL171" t="s">
        <v>82</v>
      </c>
      <c r="AM171">
        <v>3</v>
      </c>
      <c r="AN171" t="s">
        <v>82</v>
      </c>
      <c r="AT171" t="s">
        <v>221</v>
      </c>
      <c r="AU171">
        <v>2.583333333333333</v>
      </c>
      <c r="AV171" t="s">
        <v>1299</v>
      </c>
    </row>
    <row r="172" spans="1:53" x14ac:dyDescent="0.3">
      <c r="A172" t="s">
        <v>213</v>
      </c>
      <c r="C172" t="s">
        <v>1275</v>
      </c>
      <c r="D172" t="s">
        <v>81</v>
      </c>
      <c r="E172">
        <v>50000000</v>
      </c>
      <c r="H172">
        <v>1.8</v>
      </c>
      <c r="I172" t="s">
        <v>215</v>
      </c>
      <c r="J172">
        <v>1.1612879999999999E-3</v>
      </c>
      <c r="K172" t="s">
        <v>57</v>
      </c>
      <c r="O172">
        <v>120</v>
      </c>
      <c r="P172" t="s">
        <v>1303</v>
      </c>
      <c r="T172">
        <v>20</v>
      </c>
      <c r="V172">
        <v>50</v>
      </c>
      <c r="W172" t="s">
        <v>217</v>
      </c>
      <c r="X172" t="s">
        <v>218</v>
      </c>
      <c r="Y172">
        <v>10080</v>
      </c>
      <c r="AB172">
        <v>5.53</v>
      </c>
      <c r="AC172" t="s">
        <v>85</v>
      </c>
      <c r="AD172" t="s">
        <v>230</v>
      </c>
      <c r="AE172" t="s">
        <v>138</v>
      </c>
      <c r="AI172">
        <v>5</v>
      </c>
      <c r="AJ172" t="s">
        <v>201</v>
      </c>
      <c r="AK172">
        <v>3</v>
      </c>
      <c r="AL172" t="s">
        <v>82</v>
      </c>
      <c r="AM172">
        <v>3</v>
      </c>
      <c r="AN172" t="s">
        <v>82</v>
      </c>
      <c r="AT172" t="s">
        <v>221</v>
      </c>
      <c r="AU172">
        <v>2.583333333333333</v>
      </c>
      <c r="AV172" t="s">
        <v>1299</v>
      </c>
    </row>
    <row r="173" spans="1:53" x14ac:dyDescent="0.3">
      <c r="A173" t="s">
        <v>213</v>
      </c>
      <c r="C173" t="s">
        <v>1275</v>
      </c>
      <c r="D173" t="s">
        <v>81</v>
      </c>
      <c r="E173">
        <v>50000000</v>
      </c>
      <c r="H173">
        <v>1.8</v>
      </c>
      <c r="I173" t="s">
        <v>215</v>
      </c>
      <c r="J173">
        <v>1.1612879999999999E-3</v>
      </c>
      <c r="K173" t="s">
        <v>57</v>
      </c>
      <c r="O173">
        <v>120</v>
      </c>
      <c r="P173" t="s">
        <v>1303</v>
      </c>
      <c r="T173">
        <v>20</v>
      </c>
      <c r="V173">
        <v>50</v>
      </c>
      <c r="W173" t="s">
        <v>217</v>
      </c>
      <c r="X173" t="s">
        <v>218</v>
      </c>
      <c r="Y173">
        <v>10080</v>
      </c>
      <c r="AB173">
        <v>3.8</v>
      </c>
      <c r="AC173" t="s">
        <v>85</v>
      </c>
      <c r="AD173" t="s">
        <v>334</v>
      </c>
      <c r="AE173" t="s">
        <v>138</v>
      </c>
      <c r="AI173">
        <v>5</v>
      </c>
      <c r="AJ173" t="s">
        <v>201</v>
      </c>
      <c r="AK173">
        <v>2</v>
      </c>
      <c r="AL173" t="s">
        <v>82</v>
      </c>
      <c r="AM173">
        <v>2</v>
      </c>
      <c r="AN173" t="s">
        <v>82</v>
      </c>
      <c r="AT173" t="s">
        <v>221</v>
      </c>
      <c r="AU173">
        <v>1.7222222222222221</v>
      </c>
      <c r="AV173" t="s">
        <v>1299</v>
      </c>
    </row>
    <row r="174" spans="1:53" x14ac:dyDescent="0.3">
      <c r="A174" t="s">
        <v>213</v>
      </c>
      <c r="C174" t="s">
        <v>1275</v>
      </c>
      <c r="D174" t="s">
        <v>81</v>
      </c>
      <c r="E174">
        <v>50000000</v>
      </c>
      <c r="H174">
        <v>1.8</v>
      </c>
      <c r="I174" t="s">
        <v>215</v>
      </c>
      <c r="J174">
        <v>1.1612879999999999E-3</v>
      </c>
      <c r="K174" t="s">
        <v>57</v>
      </c>
      <c r="O174">
        <v>120</v>
      </c>
      <c r="P174" t="s">
        <v>1303</v>
      </c>
      <c r="T174">
        <v>20</v>
      </c>
      <c r="V174">
        <v>50</v>
      </c>
      <c r="W174" t="s">
        <v>217</v>
      </c>
      <c r="X174" t="s">
        <v>218</v>
      </c>
      <c r="Y174">
        <v>10080</v>
      </c>
      <c r="AB174">
        <v>0.93</v>
      </c>
      <c r="AC174" t="s">
        <v>85</v>
      </c>
      <c r="AD174" t="s">
        <v>503</v>
      </c>
      <c r="AE174" t="s">
        <v>138</v>
      </c>
      <c r="AI174">
        <v>5</v>
      </c>
      <c r="AJ174" t="s">
        <v>201</v>
      </c>
      <c r="AK174">
        <v>1</v>
      </c>
      <c r="AL174" t="s">
        <v>82</v>
      </c>
      <c r="AM174">
        <v>1</v>
      </c>
      <c r="AN174" t="s">
        <v>82</v>
      </c>
      <c r="AT174" t="s">
        <v>221</v>
      </c>
      <c r="AU174">
        <v>0.86111111111111116</v>
      </c>
      <c r="AV174" t="s">
        <v>1299</v>
      </c>
    </row>
    <row r="175" spans="1:53" x14ac:dyDescent="0.3">
      <c r="A175" t="s">
        <v>213</v>
      </c>
      <c r="C175" t="s">
        <v>1275</v>
      </c>
      <c r="D175" t="s">
        <v>81</v>
      </c>
      <c r="E175">
        <v>50000000</v>
      </c>
      <c r="H175">
        <v>1.8</v>
      </c>
      <c r="I175" t="s">
        <v>215</v>
      </c>
      <c r="J175">
        <v>1.1612879999999999E-3</v>
      </c>
      <c r="K175" t="s">
        <v>57</v>
      </c>
      <c r="O175">
        <v>120</v>
      </c>
      <c r="P175" t="s">
        <v>1303</v>
      </c>
      <c r="T175">
        <v>20</v>
      </c>
      <c r="V175">
        <v>50</v>
      </c>
      <c r="W175" t="s">
        <v>229</v>
      </c>
      <c r="X175" t="s">
        <v>218</v>
      </c>
      <c r="Y175">
        <v>10080</v>
      </c>
      <c r="AA175" t="s">
        <v>94</v>
      </c>
      <c r="AB175">
        <v>7.87</v>
      </c>
      <c r="AC175" t="s">
        <v>85</v>
      </c>
      <c r="AD175" t="s">
        <v>231</v>
      </c>
      <c r="AE175" t="s">
        <v>138</v>
      </c>
      <c r="AI175">
        <v>5</v>
      </c>
      <c r="AJ175" t="s">
        <v>201</v>
      </c>
      <c r="AK175">
        <v>6</v>
      </c>
      <c r="AL175" t="s">
        <v>82</v>
      </c>
      <c r="AM175">
        <v>6</v>
      </c>
      <c r="AN175" t="s">
        <v>82</v>
      </c>
      <c r="AU175">
        <v>5.1666666666666661</v>
      </c>
      <c r="AV175" t="s">
        <v>1299</v>
      </c>
      <c r="AZ175">
        <v>0</v>
      </c>
      <c r="BA175">
        <v>7.87</v>
      </c>
    </row>
    <row r="176" spans="1:53" x14ac:dyDescent="0.3">
      <c r="A176" t="s">
        <v>213</v>
      </c>
      <c r="C176" t="s">
        <v>1275</v>
      </c>
      <c r="D176" t="s">
        <v>81</v>
      </c>
      <c r="E176">
        <v>50000000</v>
      </c>
      <c r="H176">
        <v>1.8</v>
      </c>
      <c r="I176" t="s">
        <v>215</v>
      </c>
      <c r="J176">
        <v>1.1612879999999999E-3</v>
      </c>
      <c r="K176" t="s">
        <v>57</v>
      </c>
      <c r="O176">
        <v>120</v>
      </c>
      <c r="P176" t="s">
        <v>1303</v>
      </c>
      <c r="T176">
        <v>20</v>
      </c>
      <c r="V176">
        <v>50</v>
      </c>
      <c r="W176" t="s">
        <v>229</v>
      </c>
      <c r="X176" t="s">
        <v>218</v>
      </c>
      <c r="Y176">
        <v>10080</v>
      </c>
      <c r="AB176">
        <v>7.38</v>
      </c>
      <c r="AC176" t="s">
        <v>85</v>
      </c>
      <c r="AD176" t="s">
        <v>480</v>
      </c>
      <c r="AE176" t="s">
        <v>138</v>
      </c>
      <c r="AI176">
        <v>5</v>
      </c>
      <c r="AJ176" t="s">
        <v>201</v>
      </c>
      <c r="AK176">
        <v>3</v>
      </c>
      <c r="AL176" t="s">
        <v>82</v>
      </c>
      <c r="AM176">
        <v>3</v>
      </c>
      <c r="AN176" t="s">
        <v>82</v>
      </c>
      <c r="AU176">
        <v>2.583333333333333</v>
      </c>
      <c r="AV176" t="s">
        <v>1299</v>
      </c>
    </row>
    <row r="177" spans="1:53" x14ac:dyDescent="0.3">
      <c r="A177" t="s">
        <v>213</v>
      </c>
      <c r="C177" t="s">
        <v>1275</v>
      </c>
      <c r="D177" t="s">
        <v>81</v>
      </c>
      <c r="E177">
        <v>50000000</v>
      </c>
      <c r="H177">
        <v>1.8</v>
      </c>
      <c r="I177" t="s">
        <v>215</v>
      </c>
      <c r="J177">
        <v>1.1612879999999999E-3</v>
      </c>
      <c r="K177" t="s">
        <v>57</v>
      </c>
      <c r="O177">
        <v>120</v>
      </c>
      <c r="P177" t="s">
        <v>1303</v>
      </c>
      <c r="T177">
        <v>20</v>
      </c>
      <c r="V177">
        <v>50</v>
      </c>
      <c r="W177" t="s">
        <v>229</v>
      </c>
      <c r="X177" t="s">
        <v>218</v>
      </c>
      <c r="Y177">
        <v>10080</v>
      </c>
      <c r="AB177">
        <v>5.24</v>
      </c>
      <c r="AC177" t="s">
        <v>85</v>
      </c>
      <c r="AD177" t="s">
        <v>650</v>
      </c>
      <c r="AE177" t="s">
        <v>138</v>
      </c>
      <c r="AI177">
        <v>5</v>
      </c>
      <c r="AJ177" t="s">
        <v>201</v>
      </c>
      <c r="AK177">
        <v>3</v>
      </c>
      <c r="AL177" t="s">
        <v>82</v>
      </c>
      <c r="AM177">
        <v>3</v>
      </c>
      <c r="AN177" t="s">
        <v>82</v>
      </c>
      <c r="AU177">
        <v>2.583333333333333</v>
      </c>
      <c r="AV177" t="s">
        <v>1299</v>
      </c>
    </row>
    <row r="178" spans="1:53" x14ac:dyDescent="0.3">
      <c r="A178" t="s">
        <v>213</v>
      </c>
      <c r="C178" t="s">
        <v>1275</v>
      </c>
      <c r="D178" t="s">
        <v>81</v>
      </c>
      <c r="E178">
        <v>50000000</v>
      </c>
      <c r="H178">
        <v>1.8</v>
      </c>
      <c r="I178" t="s">
        <v>215</v>
      </c>
      <c r="J178">
        <v>1.1612879999999999E-3</v>
      </c>
      <c r="K178" t="s">
        <v>57</v>
      </c>
      <c r="O178">
        <v>120</v>
      </c>
      <c r="P178" t="s">
        <v>1303</v>
      </c>
      <c r="T178">
        <v>20</v>
      </c>
      <c r="V178">
        <v>50</v>
      </c>
      <c r="W178" t="s">
        <v>229</v>
      </c>
      <c r="X178" t="s">
        <v>218</v>
      </c>
      <c r="Y178">
        <v>10080</v>
      </c>
      <c r="AB178">
        <v>4.17</v>
      </c>
      <c r="AC178" t="s">
        <v>85</v>
      </c>
      <c r="AD178" t="s">
        <v>656</v>
      </c>
      <c r="AE178" t="s">
        <v>138</v>
      </c>
      <c r="AI178">
        <v>5</v>
      </c>
      <c r="AJ178" t="s">
        <v>201</v>
      </c>
      <c r="AK178">
        <v>2</v>
      </c>
      <c r="AL178" t="s">
        <v>82</v>
      </c>
      <c r="AM178">
        <v>2</v>
      </c>
      <c r="AN178" t="s">
        <v>82</v>
      </c>
      <c r="AU178">
        <v>1.7222222222222221</v>
      </c>
      <c r="AV178" t="s">
        <v>1299</v>
      </c>
    </row>
    <row r="179" spans="1:53" x14ac:dyDescent="0.3">
      <c r="A179" t="s">
        <v>213</v>
      </c>
      <c r="C179" t="s">
        <v>1275</v>
      </c>
      <c r="D179" t="s">
        <v>81</v>
      </c>
      <c r="E179">
        <v>50000000</v>
      </c>
      <c r="H179">
        <v>1.8</v>
      </c>
      <c r="I179" t="s">
        <v>215</v>
      </c>
      <c r="J179">
        <v>1.1612879999999999E-3</v>
      </c>
      <c r="K179" t="s">
        <v>57</v>
      </c>
      <c r="O179">
        <v>120</v>
      </c>
      <c r="P179" t="s">
        <v>1303</v>
      </c>
      <c r="T179">
        <v>20</v>
      </c>
      <c r="V179">
        <v>50</v>
      </c>
      <c r="W179" t="s">
        <v>229</v>
      </c>
      <c r="X179" t="s">
        <v>218</v>
      </c>
      <c r="Y179">
        <v>10080</v>
      </c>
      <c r="AB179">
        <v>4.37</v>
      </c>
      <c r="AC179" t="s">
        <v>85</v>
      </c>
      <c r="AD179" t="s">
        <v>92</v>
      </c>
      <c r="AE179" t="s">
        <v>138</v>
      </c>
      <c r="AI179">
        <v>5</v>
      </c>
      <c r="AJ179" t="s">
        <v>201</v>
      </c>
      <c r="AK179">
        <v>1</v>
      </c>
      <c r="AL179" t="s">
        <v>82</v>
      </c>
      <c r="AM179">
        <v>1</v>
      </c>
      <c r="AN179" t="s">
        <v>82</v>
      </c>
      <c r="AU179">
        <v>0.86111111111111116</v>
      </c>
      <c r="AV179" t="s">
        <v>1299</v>
      </c>
    </row>
    <row r="180" spans="1:53" x14ac:dyDescent="0.3">
      <c r="A180" t="s">
        <v>213</v>
      </c>
      <c r="C180" t="s">
        <v>1275</v>
      </c>
      <c r="D180" t="s">
        <v>81</v>
      </c>
      <c r="E180">
        <v>50000000</v>
      </c>
      <c r="H180">
        <v>1.8</v>
      </c>
      <c r="I180" t="s">
        <v>215</v>
      </c>
      <c r="J180">
        <v>1.1612879999999999E-3</v>
      </c>
      <c r="K180" t="s">
        <v>57</v>
      </c>
      <c r="O180">
        <v>120</v>
      </c>
      <c r="P180" t="s">
        <v>1303</v>
      </c>
      <c r="T180">
        <v>20</v>
      </c>
      <c r="V180">
        <v>50</v>
      </c>
      <c r="W180" t="s">
        <v>217</v>
      </c>
      <c r="X180" t="s">
        <v>218</v>
      </c>
      <c r="Y180">
        <v>10080</v>
      </c>
      <c r="AA180" t="s">
        <v>94</v>
      </c>
      <c r="AB180">
        <v>7.86</v>
      </c>
      <c r="AC180" t="s">
        <v>85</v>
      </c>
      <c r="AD180" t="s">
        <v>487</v>
      </c>
      <c r="AE180" t="s">
        <v>138</v>
      </c>
      <c r="AI180">
        <v>5</v>
      </c>
      <c r="AJ180" t="s">
        <v>201</v>
      </c>
      <c r="AK180">
        <v>6</v>
      </c>
      <c r="AL180" t="s">
        <v>82</v>
      </c>
      <c r="AM180">
        <v>6</v>
      </c>
      <c r="AN180" t="s">
        <v>82</v>
      </c>
      <c r="AT180" t="s">
        <v>221</v>
      </c>
      <c r="AU180">
        <v>5.1666666666666661</v>
      </c>
      <c r="AV180" t="s">
        <v>1299</v>
      </c>
      <c r="AZ180">
        <v>0</v>
      </c>
      <c r="BA180">
        <v>7.86</v>
      </c>
    </row>
    <row r="181" spans="1:53" x14ac:dyDescent="0.3">
      <c r="A181" t="s">
        <v>213</v>
      </c>
      <c r="C181" t="s">
        <v>1275</v>
      </c>
      <c r="D181" t="s">
        <v>81</v>
      </c>
      <c r="E181">
        <v>50000000</v>
      </c>
      <c r="H181">
        <v>1.8</v>
      </c>
      <c r="I181" t="s">
        <v>215</v>
      </c>
      <c r="J181">
        <v>1.1612879999999999E-3</v>
      </c>
      <c r="K181" t="s">
        <v>57</v>
      </c>
      <c r="O181">
        <v>120</v>
      </c>
      <c r="P181" t="s">
        <v>1303</v>
      </c>
      <c r="T181">
        <v>20</v>
      </c>
      <c r="V181">
        <v>50</v>
      </c>
      <c r="W181" t="s">
        <v>217</v>
      </c>
      <c r="X181" t="s">
        <v>218</v>
      </c>
      <c r="Y181">
        <v>10080</v>
      </c>
      <c r="AB181">
        <v>3.01</v>
      </c>
      <c r="AC181" t="s">
        <v>85</v>
      </c>
      <c r="AD181" t="s">
        <v>244</v>
      </c>
      <c r="AE181" t="s">
        <v>138</v>
      </c>
      <c r="AI181">
        <v>5</v>
      </c>
      <c r="AJ181" t="s">
        <v>201</v>
      </c>
      <c r="AK181">
        <v>3</v>
      </c>
      <c r="AL181" t="s">
        <v>82</v>
      </c>
      <c r="AM181">
        <v>3</v>
      </c>
      <c r="AN181" t="s">
        <v>82</v>
      </c>
      <c r="AT181" t="s">
        <v>221</v>
      </c>
      <c r="AU181">
        <v>2.583333333333333</v>
      </c>
      <c r="AV181" t="s">
        <v>1299</v>
      </c>
    </row>
    <row r="182" spans="1:53" x14ac:dyDescent="0.3">
      <c r="A182" t="s">
        <v>213</v>
      </c>
      <c r="C182" t="s">
        <v>1275</v>
      </c>
      <c r="D182" t="s">
        <v>81</v>
      </c>
      <c r="E182">
        <v>50000000</v>
      </c>
      <c r="H182">
        <v>1.8</v>
      </c>
      <c r="I182" t="s">
        <v>215</v>
      </c>
      <c r="J182">
        <v>1.1612879999999999E-3</v>
      </c>
      <c r="K182" t="s">
        <v>57</v>
      </c>
      <c r="O182">
        <v>120</v>
      </c>
      <c r="P182" t="s">
        <v>1303</v>
      </c>
      <c r="T182">
        <v>20</v>
      </c>
      <c r="V182">
        <v>50</v>
      </c>
      <c r="W182" t="s">
        <v>217</v>
      </c>
      <c r="X182" t="s">
        <v>218</v>
      </c>
      <c r="Y182">
        <v>10080</v>
      </c>
      <c r="AB182">
        <v>3.01</v>
      </c>
      <c r="AC182" t="s">
        <v>85</v>
      </c>
      <c r="AD182" t="s">
        <v>517</v>
      </c>
      <c r="AE182" t="s">
        <v>138</v>
      </c>
      <c r="AI182">
        <v>5</v>
      </c>
      <c r="AJ182" t="s">
        <v>201</v>
      </c>
      <c r="AK182">
        <v>3</v>
      </c>
      <c r="AL182" t="s">
        <v>82</v>
      </c>
      <c r="AM182">
        <v>3</v>
      </c>
      <c r="AN182" t="s">
        <v>82</v>
      </c>
      <c r="AT182" t="s">
        <v>221</v>
      </c>
      <c r="AU182">
        <v>2.583333333333333</v>
      </c>
      <c r="AV182" t="s">
        <v>1299</v>
      </c>
    </row>
    <row r="183" spans="1:53" x14ac:dyDescent="0.3">
      <c r="A183" t="s">
        <v>213</v>
      </c>
      <c r="C183" t="s">
        <v>1275</v>
      </c>
      <c r="D183" t="s">
        <v>81</v>
      </c>
      <c r="E183">
        <v>50000000</v>
      </c>
      <c r="H183">
        <v>1.8</v>
      </c>
      <c r="I183" t="s">
        <v>215</v>
      </c>
      <c r="J183">
        <v>1.1612879999999999E-3</v>
      </c>
      <c r="K183" t="s">
        <v>57</v>
      </c>
      <c r="O183">
        <v>120</v>
      </c>
      <c r="P183" t="s">
        <v>1303</v>
      </c>
      <c r="T183">
        <v>20</v>
      </c>
      <c r="V183">
        <v>50</v>
      </c>
      <c r="W183" t="s">
        <v>217</v>
      </c>
      <c r="X183" t="s">
        <v>218</v>
      </c>
      <c r="Y183">
        <v>10080</v>
      </c>
      <c r="AB183">
        <v>0.49</v>
      </c>
      <c r="AC183" t="s">
        <v>85</v>
      </c>
      <c r="AD183" t="s">
        <v>104</v>
      </c>
      <c r="AE183" t="s">
        <v>138</v>
      </c>
      <c r="AI183">
        <v>5</v>
      </c>
      <c r="AJ183" t="s">
        <v>201</v>
      </c>
      <c r="AK183">
        <v>2</v>
      </c>
      <c r="AL183" t="s">
        <v>82</v>
      </c>
      <c r="AM183">
        <v>2</v>
      </c>
      <c r="AN183" t="s">
        <v>82</v>
      </c>
      <c r="AT183" t="s">
        <v>221</v>
      </c>
      <c r="AU183">
        <v>1.7222222222222221</v>
      </c>
      <c r="AV183" t="s">
        <v>1299</v>
      </c>
    </row>
    <row r="184" spans="1:53" x14ac:dyDescent="0.3">
      <c r="A184" t="s">
        <v>213</v>
      </c>
      <c r="C184" t="s">
        <v>1275</v>
      </c>
      <c r="D184" t="s">
        <v>81</v>
      </c>
      <c r="E184">
        <v>50000000</v>
      </c>
      <c r="H184">
        <v>1.8</v>
      </c>
      <c r="I184" t="s">
        <v>215</v>
      </c>
      <c r="J184">
        <v>1.1612879999999999E-3</v>
      </c>
      <c r="K184" t="s">
        <v>57</v>
      </c>
      <c r="O184">
        <v>120</v>
      </c>
      <c r="P184" t="s">
        <v>1303</v>
      </c>
      <c r="T184">
        <v>20</v>
      </c>
      <c r="V184">
        <v>50</v>
      </c>
      <c r="W184" t="s">
        <v>217</v>
      </c>
      <c r="X184" t="s">
        <v>218</v>
      </c>
      <c r="Y184">
        <v>10080</v>
      </c>
      <c r="AB184">
        <v>0.2</v>
      </c>
      <c r="AC184" t="s">
        <v>85</v>
      </c>
      <c r="AD184" t="s">
        <v>240</v>
      </c>
      <c r="AE184" t="s">
        <v>138</v>
      </c>
      <c r="AI184">
        <v>5</v>
      </c>
      <c r="AJ184" t="s">
        <v>201</v>
      </c>
      <c r="AK184">
        <v>1</v>
      </c>
      <c r="AL184" t="s">
        <v>82</v>
      </c>
      <c r="AM184">
        <v>1</v>
      </c>
      <c r="AN184" t="s">
        <v>82</v>
      </c>
      <c r="AT184" t="s">
        <v>221</v>
      </c>
      <c r="AU184">
        <v>0.86111111111111116</v>
      </c>
      <c r="AV184" t="s">
        <v>1299</v>
      </c>
    </row>
    <row r="185" spans="1:53" x14ac:dyDescent="0.3">
      <c r="A185" t="s">
        <v>213</v>
      </c>
      <c r="C185" t="s">
        <v>1275</v>
      </c>
      <c r="D185" t="s">
        <v>81</v>
      </c>
      <c r="E185">
        <v>50000000</v>
      </c>
      <c r="H185">
        <v>1.8</v>
      </c>
      <c r="I185" t="s">
        <v>215</v>
      </c>
      <c r="J185">
        <v>1.1612879999999999E-3</v>
      </c>
      <c r="K185" t="s">
        <v>57</v>
      </c>
      <c r="O185">
        <v>120</v>
      </c>
      <c r="P185" t="s">
        <v>1303</v>
      </c>
      <c r="T185">
        <v>20</v>
      </c>
      <c r="V185">
        <v>50</v>
      </c>
      <c r="W185" t="s">
        <v>229</v>
      </c>
      <c r="X185" t="s">
        <v>218</v>
      </c>
      <c r="Y185">
        <v>10080</v>
      </c>
      <c r="AB185">
        <v>1.1000000000000001</v>
      </c>
      <c r="AC185" t="s">
        <v>85</v>
      </c>
      <c r="AD185" t="s">
        <v>103</v>
      </c>
      <c r="AE185" t="s">
        <v>138</v>
      </c>
      <c r="AI185">
        <v>5</v>
      </c>
      <c r="AJ185" t="s">
        <v>201</v>
      </c>
      <c r="AK185">
        <v>6</v>
      </c>
      <c r="AL185" t="s">
        <v>82</v>
      </c>
      <c r="AM185">
        <v>6</v>
      </c>
      <c r="AN185" t="s">
        <v>82</v>
      </c>
      <c r="AU185">
        <v>5.1666666666666661</v>
      </c>
      <c r="AV185" t="s">
        <v>1299</v>
      </c>
    </row>
    <row r="186" spans="1:53" x14ac:dyDescent="0.3">
      <c r="A186" t="s">
        <v>213</v>
      </c>
      <c r="C186" t="s">
        <v>1275</v>
      </c>
      <c r="D186" t="s">
        <v>81</v>
      </c>
      <c r="E186">
        <v>50000000</v>
      </c>
      <c r="H186">
        <v>1.8</v>
      </c>
      <c r="I186" t="s">
        <v>215</v>
      </c>
      <c r="J186">
        <v>1.1612879999999999E-3</v>
      </c>
      <c r="K186" t="s">
        <v>57</v>
      </c>
      <c r="O186">
        <v>120</v>
      </c>
      <c r="P186" t="s">
        <v>1303</v>
      </c>
      <c r="T186">
        <v>20</v>
      </c>
      <c r="V186">
        <v>50</v>
      </c>
      <c r="W186" t="s">
        <v>229</v>
      </c>
      <c r="X186" t="s">
        <v>218</v>
      </c>
      <c r="Y186">
        <v>10080</v>
      </c>
      <c r="AB186">
        <v>0</v>
      </c>
      <c r="AC186" t="s">
        <v>85</v>
      </c>
      <c r="AD186" t="s">
        <v>194</v>
      </c>
      <c r="AE186" t="s">
        <v>138</v>
      </c>
      <c r="AI186">
        <v>5</v>
      </c>
      <c r="AJ186" t="s">
        <v>201</v>
      </c>
      <c r="AK186">
        <v>3</v>
      </c>
      <c r="AL186" t="s">
        <v>82</v>
      </c>
      <c r="AM186">
        <v>3</v>
      </c>
      <c r="AN186" t="s">
        <v>82</v>
      </c>
      <c r="AU186">
        <v>2.583333333333333</v>
      </c>
      <c r="AV186" t="s">
        <v>1299</v>
      </c>
    </row>
    <row r="187" spans="1:53" x14ac:dyDescent="0.3">
      <c r="A187" t="s">
        <v>213</v>
      </c>
      <c r="C187" t="s">
        <v>1275</v>
      </c>
      <c r="D187" t="s">
        <v>81</v>
      </c>
      <c r="E187">
        <v>50000000</v>
      </c>
      <c r="H187">
        <v>1.8</v>
      </c>
      <c r="I187" t="s">
        <v>215</v>
      </c>
      <c r="J187">
        <v>1.1612879999999999E-3</v>
      </c>
      <c r="K187" t="s">
        <v>57</v>
      </c>
      <c r="O187">
        <v>120</v>
      </c>
      <c r="P187" t="s">
        <v>1303</v>
      </c>
      <c r="T187">
        <v>20</v>
      </c>
      <c r="V187">
        <v>50</v>
      </c>
      <c r="W187" t="s">
        <v>229</v>
      </c>
      <c r="X187" t="s">
        <v>218</v>
      </c>
      <c r="Y187">
        <v>10080</v>
      </c>
      <c r="AB187">
        <v>0.62</v>
      </c>
      <c r="AC187" t="s">
        <v>85</v>
      </c>
      <c r="AD187" t="s">
        <v>242</v>
      </c>
      <c r="AE187" t="s">
        <v>138</v>
      </c>
      <c r="AI187">
        <v>5</v>
      </c>
      <c r="AJ187" t="s">
        <v>201</v>
      </c>
      <c r="AK187">
        <v>3</v>
      </c>
      <c r="AL187" t="s">
        <v>82</v>
      </c>
      <c r="AM187">
        <v>3</v>
      </c>
      <c r="AN187" t="s">
        <v>82</v>
      </c>
      <c r="AU187">
        <v>2.583333333333333</v>
      </c>
      <c r="AV187" t="s">
        <v>1299</v>
      </c>
    </row>
    <row r="188" spans="1:53" x14ac:dyDescent="0.3">
      <c r="A188" t="s">
        <v>213</v>
      </c>
      <c r="C188" t="s">
        <v>1275</v>
      </c>
      <c r="D188" t="s">
        <v>81</v>
      </c>
      <c r="E188">
        <v>50000000</v>
      </c>
      <c r="H188">
        <v>1.8</v>
      </c>
      <c r="I188" t="s">
        <v>215</v>
      </c>
      <c r="J188">
        <v>1.1612879999999999E-3</v>
      </c>
      <c r="K188" t="s">
        <v>57</v>
      </c>
      <c r="O188">
        <v>120</v>
      </c>
      <c r="P188" t="s">
        <v>1303</v>
      </c>
      <c r="T188">
        <v>20</v>
      </c>
      <c r="V188">
        <v>50</v>
      </c>
      <c r="W188" t="s">
        <v>229</v>
      </c>
      <c r="X188" t="s">
        <v>218</v>
      </c>
      <c r="Y188">
        <v>10080</v>
      </c>
      <c r="AB188">
        <v>0.05</v>
      </c>
      <c r="AC188" t="s">
        <v>85</v>
      </c>
      <c r="AD188" t="s">
        <v>503</v>
      </c>
      <c r="AE188" t="s">
        <v>138</v>
      </c>
      <c r="AI188">
        <v>5</v>
      </c>
      <c r="AJ188" t="s">
        <v>201</v>
      </c>
      <c r="AK188">
        <v>2</v>
      </c>
      <c r="AL188" t="s">
        <v>82</v>
      </c>
      <c r="AM188">
        <v>2</v>
      </c>
      <c r="AN188" t="s">
        <v>82</v>
      </c>
      <c r="AU188">
        <v>1.7222222222222221</v>
      </c>
      <c r="AV188" t="s">
        <v>1299</v>
      </c>
    </row>
    <row r="189" spans="1:53" x14ac:dyDescent="0.3">
      <c r="A189" t="s">
        <v>213</v>
      </c>
      <c r="C189" t="s">
        <v>1275</v>
      </c>
      <c r="D189" t="s">
        <v>81</v>
      </c>
      <c r="E189">
        <v>50000000</v>
      </c>
      <c r="H189">
        <v>1.8</v>
      </c>
      <c r="I189" t="s">
        <v>215</v>
      </c>
      <c r="J189">
        <v>1.1612879999999999E-3</v>
      </c>
      <c r="K189" t="s">
        <v>57</v>
      </c>
      <c r="O189">
        <v>120</v>
      </c>
      <c r="P189" t="s">
        <v>1303</v>
      </c>
      <c r="T189">
        <v>20</v>
      </c>
      <c r="V189">
        <v>50</v>
      </c>
      <c r="W189" t="s">
        <v>229</v>
      </c>
      <c r="X189" t="s">
        <v>218</v>
      </c>
      <c r="Y189">
        <v>10080</v>
      </c>
      <c r="AB189">
        <v>0.24</v>
      </c>
      <c r="AC189" t="s">
        <v>85</v>
      </c>
      <c r="AD189" t="s">
        <v>240</v>
      </c>
      <c r="AE189" t="s">
        <v>138</v>
      </c>
      <c r="AI189">
        <v>5</v>
      </c>
      <c r="AJ189" t="s">
        <v>201</v>
      </c>
      <c r="AK189">
        <v>1</v>
      </c>
      <c r="AL189" t="s">
        <v>82</v>
      </c>
      <c r="AM189">
        <v>1</v>
      </c>
      <c r="AN189" t="s">
        <v>82</v>
      </c>
      <c r="AU189">
        <v>0.86111111111111116</v>
      </c>
      <c r="AV189" t="s">
        <v>1299</v>
      </c>
    </row>
    <row r="190" spans="1:53" x14ac:dyDescent="0.3">
      <c r="A190" t="s">
        <v>118</v>
      </c>
      <c r="C190" t="s">
        <v>1275</v>
      </c>
      <c r="D190" t="s">
        <v>81</v>
      </c>
      <c r="E190">
        <v>50000000</v>
      </c>
      <c r="H190">
        <v>2.54</v>
      </c>
      <c r="I190" t="s">
        <v>56</v>
      </c>
      <c r="J190">
        <v>2.5399999999999999E-4</v>
      </c>
      <c r="K190" t="s">
        <v>57</v>
      </c>
      <c r="M190" t="s">
        <v>81</v>
      </c>
      <c r="O190">
        <v>6350</v>
      </c>
      <c r="P190" t="s">
        <v>121</v>
      </c>
      <c r="S190" t="s">
        <v>122</v>
      </c>
      <c r="T190">
        <v>22</v>
      </c>
      <c r="V190">
        <v>50</v>
      </c>
      <c r="W190" t="s">
        <v>1305</v>
      </c>
      <c r="X190" t="s">
        <v>124</v>
      </c>
      <c r="Y190">
        <v>30</v>
      </c>
      <c r="AB190">
        <v>4.4800000000000004</v>
      </c>
      <c r="AC190" t="s">
        <v>125</v>
      </c>
      <c r="AE190" t="s">
        <v>127</v>
      </c>
      <c r="AI190">
        <v>5</v>
      </c>
      <c r="AK190">
        <v>0.2</v>
      </c>
      <c r="AL190" t="s">
        <v>82</v>
      </c>
      <c r="AM190">
        <v>0.2</v>
      </c>
      <c r="AN190" t="s">
        <v>82</v>
      </c>
      <c r="AT190" t="s">
        <v>75</v>
      </c>
      <c r="AU190">
        <v>0.78740157480314965</v>
      </c>
      <c r="AV190" t="s">
        <v>115</v>
      </c>
    </row>
    <row r="191" spans="1:53" x14ac:dyDescent="0.3">
      <c r="A191" t="s">
        <v>118</v>
      </c>
      <c r="C191" t="s">
        <v>1275</v>
      </c>
      <c r="D191" t="s">
        <v>81</v>
      </c>
      <c r="E191">
        <v>50000000</v>
      </c>
      <c r="H191">
        <v>2.54</v>
      </c>
      <c r="I191" t="s">
        <v>56</v>
      </c>
      <c r="J191">
        <v>2.5399999999999999E-4</v>
      </c>
      <c r="K191" t="s">
        <v>57</v>
      </c>
      <c r="M191" t="s">
        <v>81</v>
      </c>
      <c r="O191">
        <v>6350</v>
      </c>
      <c r="P191" t="s">
        <v>121</v>
      </c>
      <c r="S191" t="s">
        <v>122</v>
      </c>
      <c r="T191">
        <v>22</v>
      </c>
      <c r="V191">
        <v>50</v>
      </c>
      <c r="W191" t="s">
        <v>1305</v>
      </c>
      <c r="X191" t="s">
        <v>124</v>
      </c>
      <c r="Y191">
        <v>30</v>
      </c>
      <c r="AB191">
        <v>4</v>
      </c>
      <c r="AC191" t="s">
        <v>125</v>
      </c>
      <c r="AE191" t="s">
        <v>127</v>
      </c>
      <c r="AI191">
        <v>5</v>
      </c>
      <c r="AK191">
        <v>0.2</v>
      </c>
      <c r="AL191" t="s">
        <v>82</v>
      </c>
      <c r="AM191">
        <v>0.2</v>
      </c>
      <c r="AN191" t="s">
        <v>82</v>
      </c>
      <c r="AT191" t="s">
        <v>75</v>
      </c>
      <c r="AU191">
        <v>0.78740157480314965</v>
      </c>
      <c r="AV191" t="s">
        <v>115</v>
      </c>
    </row>
    <row r="192" spans="1:53" x14ac:dyDescent="0.3">
      <c r="A192" t="s">
        <v>118</v>
      </c>
      <c r="C192" t="s">
        <v>1275</v>
      </c>
      <c r="D192" t="s">
        <v>81</v>
      </c>
      <c r="E192">
        <v>50000000</v>
      </c>
      <c r="H192">
        <v>2.54</v>
      </c>
      <c r="I192" t="s">
        <v>56</v>
      </c>
      <c r="J192">
        <v>2.5399999999999999E-4</v>
      </c>
      <c r="K192" t="s">
        <v>57</v>
      </c>
      <c r="M192" t="s">
        <v>81</v>
      </c>
      <c r="O192">
        <v>6350</v>
      </c>
      <c r="P192" t="s">
        <v>121</v>
      </c>
      <c r="S192" t="s">
        <v>122</v>
      </c>
      <c r="T192">
        <v>22</v>
      </c>
      <c r="V192">
        <v>50</v>
      </c>
      <c r="W192" t="s">
        <v>1305</v>
      </c>
      <c r="X192" t="s">
        <v>124</v>
      </c>
      <c r="Y192">
        <v>30</v>
      </c>
      <c r="AB192">
        <v>4.0199999999999898</v>
      </c>
      <c r="AC192" t="s">
        <v>125</v>
      </c>
      <c r="AE192" t="s">
        <v>127</v>
      </c>
      <c r="AI192">
        <v>5</v>
      </c>
      <c r="AK192">
        <v>0.2</v>
      </c>
      <c r="AL192" t="s">
        <v>82</v>
      </c>
      <c r="AM192">
        <v>0.2</v>
      </c>
      <c r="AN192" t="s">
        <v>82</v>
      </c>
      <c r="AT192" t="s">
        <v>75</v>
      </c>
      <c r="AU192">
        <v>0.78740157480314965</v>
      </c>
      <c r="AV192" t="s">
        <v>115</v>
      </c>
    </row>
    <row r="193" spans="1:53" x14ac:dyDescent="0.3">
      <c r="A193" t="s">
        <v>118</v>
      </c>
      <c r="C193" t="s">
        <v>1275</v>
      </c>
      <c r="D193" t="s">
        <v>81</v>
      </c>
      <c r="E193">
        <v>50000000</v>
      </c>
      <c r="H193">
        <v>2.54</v>
      </c>
      <c r="I193" t="s">
        <v>56</v>
      </c>
      <c r="J193">
        <v>2.5399999999999999E-4</v>
      </c>
      <c r="K193" t="s">
        <v>57</v>
      </c>
      <c r="M193" t="s">
        <v>81</v>
      </c>
      <c r="O193">
        <v>6350</v>
      </c>
      <c r="P193" t="s">
        <v>121</v>
      </c>
      <c r="S193" t="s">
        <v>122</v>
      </c>
      <c r="T193">
        <v>22</v>
      </c>
      <c r="V193">
        <v>50</v>
      </c>
      <c r="W193" t="s">
        <v>1305</v>
      </c>
      <c r="X193" t="s">
        <v>124</v>
      </c>
      <c r="Y193">
        <v>30</v>
      </c>
      <c r="AB193">
        <v>3.19</v>
      </c>
      <c r="AC193" t="s">
        <v>125</v>
      </c>
      <c r="AE193" t="s">
        <v>127</v>
      </c>
      <c r="AI193">
        <v>5</v>
      </c>
      <c r="AK193">
        <v>0.2</v>
      </c>
      <c r="AL193" t="s">
        <v>82</v>
      </c>
      <c r="AM193">
        <v>0.2</v>
      </c>
      <c r="AN193" t="s">
        <v>82</v>
      </c>
      <c r="AT193" t="s">
        <v>75</v>
      </c>
      <c r="AU193">
        <v>0.78740157480314965</v>
      </c>
      <c r="AV193" t="s">
        <v>115</v>
      </c>
    </row>
    <row r="194" spans="1:53" x14ac:dyDescent="0.3">
      <c r="A194" t="s">
        <v>118</v>
      </c>
      <c r="C194" t="s">
        <v>1275</v>
      </c>
      <c r="D194" t="s">
        <v>81</v>
      </c>
      <c r="E194">
        <v>50000000</v>
      </c>
      <c r="H194">
        <v>2.54</v>
      </c>
      <c r="I194" t="s">
        <v>56</v>
      </c>
      <c r="J194">
        <v>2.5399999999999999E-4</v>
      </c>
      <c r="K194" t="s">
        <v>57</v>
      </c>
      <c r="M194" t="s">
        <v>81</v>
      </c>
      <c r="O194">
        <v>6350</v>
      </c>
      <c r="P194" t="s">
        <v>121</v>
      </c>
      <c r="S194" t="s">
        <v>122</v>
      </c>
      <c r="T194">
        <v>22</v>
      </c>
      <c r="V194">
        <v>50</v>
      </c>
      <c r="W194" t="s">
        <v>1305</v>
      </c>
      <c r="X194" t="s">
        <v>124</v>
      </c>
      <c r="Y194">
        <v>30</v>
      </c>
      <c r="AB194">
        <v>2.65</v>
      </c>
      <c r="AC194" t="s">
        <v>125</v>
      </c>
      <c r="AE194" t="s">
        <v>127</v>
      </c>
      <c r="AI194">
        <v>5</v>
      </c>
      <c r="AK194">
        <v>0.2</v>
      </c>
      <c r="AL194" t="s">
        <v>82</v>
      </c>
      <c r="AM194">
        <v>0.2</v>
      </c>
      <c r="AN194" t="s">
        <v>82</v>
      </c>
      <c r="AT194" t="s">
        <v>75</v>
      </c>
      <c r="AU194">
        <v>0.78740157480314965</v>
      </c>
      <c r="AV194" t="s">
        <v>115</v>
      </c>
    </row>
    <row r="195" spans="1:53" x14ac:dyDescent="0.3">
      <c r="A195" t="s">
        <v>118</v>
      </c>
      <c r="C195" t="s">
        <v>1275</v>
      </c>
      <c r="D195" t="s">
        <v>81</v>
      </c>
      <c r="E195">
        <v>50000000</v>
      </c>
      <c r="H195">
        <v>2.54</v>
      </c>
      <c r="I195" t="s">
        <v>56</v>
      </c>
      <c r="J195">
        <v>2.5399999999999999E-4</v>
      </c>
      <c r="K195" t="s">
        <v>57</v>
      </c>
      <c r="M195" t="s">
        <v>81</v>
      </c>
      <c r="O195">
        <v>6350</v>
      </c>
      <c r="P195" t="s">
        <v>121</v>
      </c>
      <c r="S195" t="s">
        <v>122</v>
      </c>
      <c r="T195">
        <v>22</v>
      </c>
      <c r="V195">
        <v>50</v>
      </c>
      <c r="W195" t="s">
        <v>1305</v>
      </c>
      <c r="X195" t="s">
        <v>124</v>
      </c>
      <c r="Y195">
        <v>30</v>
      </c>
      <c r="AB195">
        <v>2.65</v>
      </c>
      <c r="AC195" t="s">
        <v>125</v>
      </c>
      <c r="AE195" t="s">
        <v>127</v>
      </c>
      <c r="AI195">
        <v>5</v>
      </c>
      <c r="AK195">
        <v>0.2</v>
      </c>
      <c r="AL195" t="s">
        <v>82</v>
      </c>
      <c r="AM195">
        <v>0.2</v>
      </c>
      <c r="AN195" t="s">
        <v>82</v>
      </c>
      <c r="AT195" t="s">
        <v>75</v>
      </c>
      <c r="AU195">
        <v>0.78740157480314965</v>
      </c>
      <c r="AV195" t="s">
        <v>115</v>
      </c>
    </row>
    <row r="196" spans="1:53" x14ac:dyDescent="0.3">
      <c r="A196" t="s">
        <v>118</v>
      </c>
      <c r="C196" t="s">
        <v>1275</v>
      </c>
      <c r="D196" t="s">
        <v>81</v>
      </c>
      <c r="E196">
        <v>50000000</v>
      </c>
      <c r="M196" t="s">
        <v>81</v>
      </c>
      <c r="O196">
        <v>6350</v>
      </c>
      <c r="P196" t="s">
        <v>121</v>
      </c>
      <c r="S196" t="s">
        <v>122</v>
      </c>
      <c r="T196">
        <v>22</v>
      </c>
      <c r="V196">
        <v>50</v>
      </c>
      <c r="W196" t="s">
        <v>1306</v>
      </c>
      <c r="X196" t="s">
        <v>124</v>
      </c>
      <c r="Y196">
        <v>30</v>
      </c>
      <c r="AB196">
        <v>5.0199999999999898</v>
      </c>
      <c r="AC196" t="s">
        <v>125</v>
      </c>
      <c r="AE196" t="s">
        <v>127</v>
      </c>
      <c r="AI196">
        <v>5</v>
      </c>
      <c r="AK196">
        <v>0.2</v>
      </c>
      <c r="AL196" t="s">
        <v>82</v>
      </c>
      <c r="AM196">
        <v>0.2</v>
      </c>
      <c r="AN196" t="s">
        <v>82</v>
      </c>
      <c r="AV196" t="s">
        <v>129</v>
      </c>
    </row>
    <row r="197" spans="1:53" x14ac:dyDescent="0.3">
      <c r="A197" t="s">
        <v>118</v>
      </c>
      <c r="C197" t="s">
        <v>1275</v>
      </c>
      <c r="D197" t="s">
        <v>81</v>
      </c>
      <c r="E197">
        <v>50000000</v>
      </c>
      <c r="M197" t="s">
        <v>81</v>
      </c>
      <c r="O197">
        <v>6350</v>
      </c>
      <c r="P197" t="s">
        <v>121</v>
      </c>
      <c r="S197" t="s">
        <v>122</v>
      </c>
      <c r="T197">
        <v>22</v>
      </c>
      <c r="V197">
        <v>50</v>
      </c>
      <c r="W197" t="s">
        <v>1306</v>
      </c>
      <c r="X197" t="s">
        <v>124</v>
      </c>
      <c r="Y197">
        <v>30</v>
      </c>
      <c r="AB197">
        <v>5.14</v>
      </c>
      <c r="AC197" t="s">
        <v>125</v>
      </c>
      <c r="AE197" t="s">
        <v>127</v>
      </c>
      <c r="AI197">
        <v>5</v>
      </c>
      <c r="AK197">
        <v>0.2</v>
      </c>
      <c r="AL197" t="s">
        <v>82</v>
      </c>
      <c r="AM197">
        <v>0.2</v>
      </c>
      <c r="AN197" t="s">
        <v>82</v>
      </c>
      <c r="AV197" t="s">
        <v>129</v>
      </c>
    </row>
    <row r="198" spans="1:53" x14ac:dyDescent="0.3">
      <c r="A198" t="s">
        <v>118</v>
      </c>
      <c r="C198" t="s">
        <v>1275</v>
      </c>
      <c r="D198" t="s">
        <v>81</v>
      </c>
      <c r="E198">
        <v>50000000</v>
      </c>
      <c r="M198" t="s">
        <v>81</v>
      </c>
      <c r="O198">
        <v>6350</v>
      </c>
      <c r="P198" t="s">
        <v>121</v>
      </c>
      <c r="S198" t="s">
        <v>122</v>
      </c>
      <c r="T198">
        <v>22</v>
      </c>
      <c r="V198">
        <v>50</v>
      </c>
      <c r="W198" t="s">
        <v>1306</v>
      </c>
      <c r="X198" t="s">
        <v>124</v>
      </c>
      <c r="Y198">
        <v>30</v>
      </c>
      <c r="AB198">
        <v>5.22</v>
      </c>
      <c r="AC198" t="s">
        <v>125</v>
      </c>
      <c r="AE198" t="s">
        <v>127</v>
      </c>
      <c r="AI198">
        <v>5</v>
      </c>
      <c r="AK198">
        <v>0.2</v>
      </c>
      <c r="AL198" t="s">
        <v>82</v>
      </c>
      <c r="AM198">
        <v>0.2</v>
      </c>
      <c r="AN198" t="s">
        <v>82</v>
      </c>
      <c r="AV198" t="s">
        <v>129</v>
      </c>
    </row>
    <row r="199" spans="1:53" x14ac:dyDescent="0.3">
      <c r="A199" t="s">
        <v>118</v>
      </c>
      <c r="C199" t="s">
        <v>1275</v>
      </c>
      <c r="D199" t="s">
        <v>81</v>
      </c>
      <c r="E199">
        <v>50000000</v>
      </c>
      <c r="M199" t="s">
        <v>81</v>
      </c>
      <c r="O199">
        <v>6350</v>
      </c>
      <c r="P199" t="s">
        <v>121</v>
      </c>
      <c r="S199" t="s">
        <v>122</v>
      </c>
      <c r="T199">
        <v>22</v>
      </c>
      <c r="V199">
        <v>50</v>
      </c>
      <c r="W199" t="s">
        <v>1306</v>
      </c>
      <c r="X199" t="s">
        <v>124</v>
      </c>
      <c r="Y199">
        <v>30</v>
      </c>
      <c r="AB199">
        <v>4.43</v>
      </c>
      <c r="AC199" t="s">
        <v>125</v>
      </c>
      <c r="AE199" t="s">
        <v>127</v>
      </c>
      <c r="AI199">
        <v>5</v>
      </c>
      <c r="AK199">
        <v>0.2</v>
      </c>
      <c r="AL199" t="s">
        <v>82</v>
      </c>
      <c r="AM199">
        <v>0.2</v>
      </c>
      <c r="AN199" t="s">
        <v>82</v>
      </c>
      <c r="AV199" t="s">
        <v>129</v>
      </c>
    </row>
    <row r="200" spans="1:53" x14ac:dyDescent="0.3">
      <c r="A200" t="s">
        <v>118</v>
      </c>
      <c r="C200" t="s">
        <v>1275</v>
      </c>
      <c r="D200" t="s">
        <v>81</v>
      </c>
      <c r="E200">
        <v>50000000</v>
      </c>
      <c r="M200" t="s">
        <v>81</v>
      </c>
      <c r="O200">
        <v>6350</v>
      </c>
      <c r="P200" t="s">
        <v>121</v>
      </c>
      <c r="S200" t="s">
        <v>122</v>
      </c>
      <c r="T200">
        <v>22</v>
      </c>
      <c r="V200">
        <v>50</v>
      </c>
      <c r="W200" t="s">
        <v>1306</v>
      </c>
      <c r="X200" t="s">
        <v>124</v>
      </c>
      <c r="Y200">
        <v>30</v>
      </c>
      <c r="AB200">
        <v>4.71</v>
      </c>
      <c r="AC200" t="s">
        <v>125</v>
      </c>
      <c r="AE200" t="s">
        <v>127</v>
      </c>
      <c r="AI200">
        <v>5</v>
      </c>
      <c r="AK200">
        <v>0.2</v>
      </c>
      <c r="AL200" t="s">
        <v>82</v>
      </c>
      <c r="AM200">
        <v>0.2</v>
      </c>
      <c r="AN200" t="s">
        <v>82</v>
      </c>
      <c r="AV200" t="s">
        <v>129</v>
      </c>
    </row>
    <row r="201" spans="1:53" x14ac:dyDescent="0.3">
      <c r="A201" t="s">
        <v>118</v>
      </c>
      <c r="C201" t="s">
        <v>1275</v>
      </c>
      <c r="D201" t="s">
        <v>81</v>
      </c>
      <c r="E201">
        <v>50000000</v>
      </c>
      <c r="L201" t="s">
        <v>1021</v>
      </c>
      <c r="M201" t="s">
        <v>81</v>
      </c>
      <c r="O201">
        <v>6350</v>
      </c>
      <c r="P201" t="s">
        <v>121</v>
      </c>
      <c r="S201" t="s">
        <v>122</v>
      </c>
      <c r="T201">
        <v>22</v>
      </c>
      <c r="V201">
        <v>50</v>
      </c>
      <c r="W201" t="s">
        <v>123</v>
      </c>
      <c r="X201" t="s">
        <v>124</v>
      </c>
      <c r="Y201">
        <v>30</v>
      </c>
      <c r="AB201">
        <v>5.69</v>
      </c>
      <c r="AC201" t="s">
        <v>125</v>
      </c>
      <c r="AD201" t="s">
        <v>484</v>
      </c>
      <c r="AE201" t="s">
        <v>127</v>
      </c>
      <c r="AH201">
        <v>7.23</v>
      </c>
      <c r="AI201">
        <v>3</v>
      </c>
      <c r="AK201">
        <v>85.8333333333333</v>
      </c>
      <c r="AL201" t="s">
        <v>82</v>
      </c>
      <c r="AM201">
        <v>85.8333333333333</v>
      </c>
      <c r="AN201" t="s">
        <v>82</v>
      </c>
      <c r="AR201">
        <v>3</v>
      </c>
      <c r="AT201" t="s">
        <v>79</v>
      </c>
      <c r="AV201" t="s">
        <v>129</v>
      </c>
      <c r="AZ201">
        <v>3</v>
      </c>
      <c r="BA201">
        <v>7.23</v>
      </c>
    </row>
    <row r="202" spans="1:53" x14ac:dyDescent="0.3">
      <c r="A202" t="s">
        <v>118</v>
      </c>
      <c r="C202" t="s">
        <v>1275</v>
      </c>
      <c r="D202" t="s">
        <v>81</v>
      </c>
      <c r="E202">
        <v>50000000</v>
      </c>
      <c r="H202">
        <v>1267</v>
      </c>
      <c r="I202" t="s">
        <v>56</v>
      </c>
      <c r="J202">
        <v>0.12670000000000001</v>
      </c>
      <c r="K202" t="s">
        <v>57</v>
      </c>
      <c r="L202" t="s">
        <v>1021</v>
      </c>
      <c r="M202" t="s">
        <v>81</v>
      </c>
      <c r="O202">
        <v>6350</v>
      </c>
      <c r="P202" t="s">
        <v>121</v>
      </c>
      <c r="S202" t="s">
        <v>122</v>
      </c>
      <c r="T202">
        <v>22</v>
      </c>
      <c r="V202">
        <v>50</v>
      </c>
      <c r="W202" t="s">
        <v>76</v>
      </c>
      <c r="X202" t="s">
        <v>124</v>
      </c>
      <c r="Y202">
        <v>30</v>
      </c>
      <c r="AB202">
        <v>6.4</v>
      </c>
      <c r="AC202" t="s">
        <v>125</v>
      </c>
      <c r="AD202" t="s">
        <v>1307</v>
      </c>
      <c r="AE202" t="s">
        <v>127</v>
      </c>
      <c r="AH202">
        <v>7</v>
      </c>
      <c r="AI202">
        <v>3</v>
      </c>
      <c r="AK202">
        <v>85.8333333333333</v>
      </c>
      <c r="AL202" t="s">
        <v>82</v>
      </c>
      <c r="AM202">
        <v>85.8333333333333</v>
      </c>
      <c r="AN202" t="s">
        <v>82</v>
      </c>
      <c r="AR202">
        <v>2</v>
      </c>
      <c r="AT202" t="s">
        <v>77</v>
      </c>
      <c r="AU202">
        <v>0.6774533017626938</v>
      </c>
      <c r="AV202" t="s">
        <v>115</v>
      </c>
      <c r="AZ202">
        <v>2</v>
      </c>
      <c r="BA202">
        <v>7</v>
      </c>
    </row>
    <row r="203" spans="1:53" x14ac:dyDescent="0.3">
      <c r="A203" t="s">
        <v>118</v>
      </c>
      <c r="C203" t="s">
        <v>1275</v>
      </c>
      <c r="D203" t="s">
        <v>81</v>
      </c>
      <c r="E203">
        <v>50000000</v>
      </c>
      <c r="H203">
        <v>1267</v>
      </c>
      <c r="I203" t="s">
        <v>56</v>
      </c>
      <c r="J203">
        <v>0.12670000000000001</v>
      </c>
      <c r="K203" t="s">
        <v>57</v>
      </c>
      <c r="L203" t="s">
        <v>1021</v>
      </c>
      <c r="M203" t="s">
        <v>81</v>
      </c>
      <c r="O203">
        <v>6350</v>
      </c>
      <c r="P203" t="s">
        <v>121</v>
      </c>
      <c r="S203" t="s">
        <v>122</v>
      </c>
      <c r="T203">
        <v>22</v>
      </c>
      <c r="V203">
        <v>50</v>
      </c>
      <c r="W203" t="s">
        <v>1308</v>
      </c>
      <c r="X203" t="s">
        <v>124</v>
      </c>
      <c r="Y203">
        <v>30</v>
      </c>
      <c r="AB203">
        <v>2.87</v>
      </c>
      <c r="AC203" t="s">
        <v>125</v>
      </c>
      <c r="AD203" t="s">
        <v>1309</v>
      </c>
      <c r="AE203" t="s">
        <v>127</v>
      </c>
      <c r="AH203">
        <v>6.27</v>
      </c>
      <c r="AI203">
        <v>3</v>
      </c>
      <c r="AK203">
        <v>86.6666666666666</v>
      </c>
      <c r="AL203" t="s">
        <v>82</v>
      </c>
      <c r="AM203">
        <v>86.6666666666666</v>
      </c>
      <c r="AN203" t="s">
        <v>82</v>
      </c>
      <c r="AT203" t="s">
        <v>212</v>
      </c>
      <c r="AU203">
        <v>0.68403051828466133</v>
      </c>
      <c r="AV203" t="s">
        <v>115</v>
      </c>
      <c r="BA203">
        <v>6.27</v>
      </c>
    </row>
    <row r="204" spans="1:53" x14ac:dyDescent="0.3">
      <c r="A204" t="s">
        <v>118</v>
      </c>
      <c r="C204" t="s">
        <v>1275</v>
      </c>
      <c r="D204" t="s">
        <v>81</v>
      </c>
      <c r="E204">
        <v>50000000</v>
      </c>
      <c r="L204" t="s">
        <v>1310</v>
      </c>
      <c r="M204" t="s">
        <v>81</v>
      </c>
      <c r="O204">
        <v>6350</v>
      </c>
      <c r="P204" t="s">
        <v>121</v>
      </c>
      <c r="S204" t="s">
        <v>122</v>
      </c>
      <c r="T204">
        <v>22</v>
      </c>
      <c r="V204">
        <v>50</v>
      </c>
      <c r="W204" t="s">
        <v>123</v>
      </c>
      <c r="X204" t="s">
        <v>124</v>
      </c>
      <c r="Y204">
        <v>30</v>
      </c>
      <c r="AB204">
        <v>7.04</v>
      </c>
      <c r="AC204" t="s">
        <v>125</v>
      </c>
      <c r="AD204" t="s">
        <v>1127</v>
      </c>
      <c r="AE204" t="s">
        <v>127</v>
      </c>
      <c r="AH204">
        <v>7.3</v>
      </c>
      <c r="AI204">
        <v>3</v>
      </c>
      <c r="AK204">
        <v>111.666666666666</v>
      </c>
      <c r="AL204" t="s">
        <v>82</v>
      </c>
      <c r="AM204">
        <v>111.666666666666</v>
      </c>
      <c r="AN204" t="s">
        <v>82</v>
      </c>
      <c r="AR204">
        <v>1</v>
      </c>
      <c r="AT204" t="s">
        <v>79</v>
      </c>
      <c r="AV204" t="s">
        <v>129</v>
      </c>
      <c r="AZ204">
        <v>1</v>
      </c>
      <c r="BA204">
        <v>7.3</v>
      </c>
    </row>
    <row r="205" spans="1:53" x14ac:dyDescent="0.3">
      <c r="A205" t="s">
        <v>118</v>
      </c>
      <c r="C205" t="s">
        <v>1275</v>
      </c>
      <c r="D205" t="s">
        <v>81</v>
      </c>
      <c r="E205">
        <v>50000000</v>
      </c>
      <c r="H205">
        <v>1267</v>
      </c>
      <c r="I205" t="s">
        <v>56</v>
      </c>
      <c r="J205">
        <v>0.12670000000000001</v>
      </c>
      <c r="K205" t="s">
        <v>57</v>
      </c>
      <c r="L205" t="s">
        <v>1311</v>
      </c>
      <c r="M205" t="s">
        <v>81</v>
      </c>
      <c r="O205">
        <v>6350</v>
      </c>
      <c r="P205" t="s">
        <v>121</v>
      </c>
      <c r="S205" t="s">
        <v>122</v>
      </c>
      <c r="T205">
        <v>22</v>
      </c>
      <c r="V205">
        <v>50</v>
      </c>
      <c r="W205" t="s">
        <v>76</v>
      </c>
      <c r="X205" t="s">
        <v>124</v>
      </c>
      <c r="Y205">
        <v>30</v>
      </c>
      <c r="AB205">
        <v>6.48</v>
      </c>
      <c r="AC205" t="s">
        <v>125</v>
      </c>
      <c r="AD205" t="s">
        <v>131</v>
      </c>
      <c r="AE205" t="s">
        <v>127</v>
      </c>
      <c r="AH205">
        <v>6.89</v>
      </c>
      <c r="AI205">
        <v>3</v>
      </c>
      <c r="AK205">
        <v>111.666666666666</v>
      </c>
      <c r="AL205" t="s">
        <v>82</v>
      </c>
      <c r="AM205">
        <v>111.666666666666</v>
      </c>
      <c r="AN205" t="s">
        <v>82</v>
      </c>
      <c r="AR205">
        <v>1</v>
      </c>
      <c r="AT205" t="s">
        <v>77</v>
      </c>
      <c r="AU205">
        <v>0.88134701394369397</v>
      </c>
      <c r="AV205" t="s">
        <v>115</v>
      </c>
      <c r="AZ205">
        <v>1</v>
      </c>
      <c r="BA205">
        <v>6.89</v>
      </c>
    </row>
    <row r="206" spans="1:53" x14ac:dyDescent="0.3">
      <c r="A206" t="s">
        <v>118</v>
      </c>
      <c r="C206" t="s">
        <v>1275</v>
      </c>
      <c r="D206" t="s">
        <v>81</v>
      </c>
      <c r="E206">
        <v>50000000</v>
      </c>
      <c r="H206">
        <v>1267</v>
      </c>
      <c r="I206" t="s">
        <v>56</v>
      </c>
      <c r="J206">
        <v>0.12670000000000001</v>
      </c>
      <c r="K206" t="s">
        <v>57</v>
      </c>
      <c r="L206" t="s">
        <v>1312</v>
      </c>
      <c r="M206" t="s">
        <v>81</v>
      </c>
      <c r="O206">
        <v>6350</v>
      </c>
      <c r="P206" t="s">
        <v>121</v>
      </c>
      <c r="S206" t="s">
        <v>122</v>
      </c>
      <c r="T206">
        <v>22</v>
      </c>
      <c r="V206">
        <v>50</v>
      </c>
      <c r="W206" t="s">
        <v>1308</v>
      </c>
      <c r="X206" t="s">
        <v>124</v>
      </c>
      <c r="Y206">
        <v>30</v>
      </c>
      <c r="AB206">
        <v>3.71</v>
      </c>
      <c r="AC206" t="s">
        <v>125</v>
      </c>
      <c r="AD206" t="s">
        <v>1313</v>
      </c>
      <c r="AE206" t="s">
        <v>127</v>
      </c>
      <c r="AH206">
        <v>6.57</v>
      </c>
      <c r="AI206">
        <v>3</v>
      </c>
      <c r="AK206">
        <v>113.333333333333</v>
      </c>
      <c r="AL206" t="s">
        <v>82</v>
      </c>
      <c r="AM206">
        <v>113.333333333333</v>
      </c>
      <c r="AN206" t="s">
        <v>82</v>
      </c>
      <c r="AT206" t="s">
        <v>212</v>
      </c>
      <c r="AU206">
        <v>0.89450144698763212</v>
      </c>
      <c r="AV206" t="s">
        <v>115</v>
      </c>
      <c r="BA206">
        <v>6.57</v>
      </c>
    </row>
    <row r="207" spans="1:53" x14ac:dyDescent="0.3">
      <c r="A207" t="s">
        <v>118</v>
      </c>
      <c r="C207" t="s">
        <v>1275</v>
      </c>
      <c r="D207" t="s">
        <v>81</v>
      </c>
      <c r="E207">
        <v>50000000</v>
      </c>
      <c r="H207">
        <v>1267</v>
      </c>
      <c r="I207" t="s">
        <v>56</v>
      </c>
      <c r="J207">
        <v>0.12670000000000001</v>
      </c>
      <c r="K207" t="s">
        <v>57</v>
      </c>
      <c r="L207" t="s">
        <v>1313</v>
      </c>
      <c r="M207" t="s">
        <v>81</v>
      </c>
      <c r="O207">
        <v>6350</v>
      </c>
      <c r="P207" t="s">
        <v>121</v>
      </c>
      <c r="S207" t="s">
        <v>122</v>
      </c>
      <c r="T207">
        <v>22</v>
      </c>
      <c r="V207">
        <v>50</v>
      </c>
      <c r="W207" t="s">
        <v>1308</v>
      </c>
      <c r="X207" t="s">
        <v>124</v>
      </c>
      <c r="Y207">
        <v>30</v>
      </c>
      <c r="AB207">
        <v>3.32</v>
      </c>
      <c r="AC207" t="s">
        <v>125</v>
      </c>
      <c r="AD207" t="s">
        <v>1314</v>
      </c>
      <c r="AE207" t="s">
        <v>127</v>
      </c>
      <c r="AH207">
        <v>6.35</v>
      </c>
      <c r="AI207">
        <v>3</v>
      </c>
      <c r="AK207">
        <v>171.666666666666</v>
      </c>
      <c r="AL207" t="s">
        <v>82</v>
      </c>
      <c r="AM207">
        <v>171.666666666666</v>
      </c>
      <c r="AN207" t="s">
        <v>82</v>
      </c>
      <c r="AQ207" t="s">
        <v>128</v>
      </c>
      <c r="AT207" t="s">
        <v>212</v>
      </c>
      <c r="AU207">
        <v>1.3549066035253829</v>
      </c>
      <c r="AV207" t="s">
        <v>115</v>
      </c>
      <c r="BA207">
        <v>6.35</v>
      </c>
    </row>
    <row r="208" spans="1:53" x14ac:dyDescent="0.3">
      <c r="A208" t="s">
        <v>118</v>
      </c>
      <c r="C208" t="s">
        <v>1275</v>
      </c>
      <c r="D208" t="s">
        <v>81</v>
      </c>
      <c r="E208">
        <v>50000000</v>
      </c>
      <c r="H208">
        <v>1267</v>
      </c>
      <c r="I208" t="s">
        <v>56</v>
      </c>
      <c r="J208">
        <v>0.12670000000000001</v>
      </c>
      <c r="K208" t="s">
        <v>57</v>
      </c>
      <c r="L208" t="s">
        <v>1315</v>
      </c>
      <c r="M208" t="s">
        <v>81</v>
      </c>
      <c r="O208">
        <v>6350</v>
      </c>
      <c r="P208" t="s">
        <v>121</v>
      </c>
      <c r="S208" t="s">
        <v>122</v>
      </c>
      <c r="T208">
        <v>22</v>
      </c>
      <c r="V208">
        <v>50</v>
      </c>
      <c r="W208" t="s">
        <v>1308</v>
      </c>
      <c r="X208" t="s">
        <v>124</v>
      </c>
      <c r="Y208">
        <v>30</v>
      </c>
      <c r="AB208">
        <v>3.09</v>
      </c>
      <c r="AC208" t="s">
        <v>125</v>
      </c>
      <c r="AD208" t="s">
        <v>1316</v>
      </c>
      <c r="AE208" t="s">
        <v>127</v>
      </c>
      <c r="AH208">
        <v>6.35</v>
      </c>
      <c r="AI208">
        <v>3</v>
      </c>
      <c r="AK208">
        <v>353.33333333333297</v>
      </c>
      <c r="AL208" t="s">
        <v>82</v>
      </c>
      <c r="AM208">
        <v>353.33333333333297</v>
      </c>
      <c r="AN208" t="s">
        <v>82</v>
      </c>
      <c r="AT208" t="s">
        <v>212</v>
      </c>
      <c r="AU208">
        <v>2.7887398053143881</v>
      </c>
      <c r="AV208" t="s">
        <v>115</v>
      </c>
      <c r="BA208">
        <v>6.35</v>
      </c>
    </row>
    <row r="209" spans="1:53" x14ac:dyDescent="0.3">
      <c r="A209" t="s">
        <v>118</v>
      </c>
      <c r="C209" t="s">
        <v>1275</v>
      </c>
      <c r="D209" t="s">
        <v>81</v>
      </c>
      <c r="E209">
        <v>50000000</v>
      </c>
      <c r="H209">
        <v>1267</v>
      </c>
      <c r="I209" t="s">
        <v>56</v>
      </c>
      <c r="J209">
        <v>0.12670000000000001</v>
      </c>
      <c r="K209" t="s">
        <v>57</v>
      </c>
      <c r="L209" t="s">
        <v>1317</v>
      </c>
      <c r="M209" t="s">
        <v>81</v>
      </c>
      <c r="O209">
        <v>6350</v>
      </c>
      <c r="P209" t="s">
        <v>121</v>
      </c>
      <c r="S209" t="s">
        <v>122</v>
      </c>
      <c r="T209">
        <v>22</v>
      </c>
      <c r="V209">
        <v>50</v>
      </c>
      <c r="W209" t="s">
        <v>1308</v>
      </c>
      <c r="X209" t="s">
        <v>124</v>
      </c>
      <c r="Y209">
        <v>30</v>
      </c>
      <c r="AB209">
        <v>3.28</v>
      </c>
      <c r="AC209" t="s">
        <v>125</v>
      </c>
      <c r="AD209" t="s">
        <v>1125</v>
      </c>
      <c r="AE209" t="s">
        <v>127</v>
      </c>
      <c r="AH209">
        <v>6.35</v>
      </c>
      <c r="AI209">
        <v>3</v>
      </c>
      <c r="AK209">
        <v>85.8333333333333</v>
      </c>
      <c r="AL209" t="s">
        <v>82</v>
      </c>
      <c r="AM209">
        <v>85.8333333333333</v>
      </c>
      <c r="AN209" t="s">
        <v>82</v>
      </c>
      <c r="AT209" t="s">
        <v>212</v>
      </c>
      <c r="AU209">
        <v>0.6774533017626938</v>
      </c>
      <c r="AV209" t="s">
        <v>115</v>
      </c>
      <c r="BA209">
        <v>6.35</v>
      </c>
    </row>
    <row r="210" spans="1:53" x14ac:dyDescent="0.3">
      <c r="A210" t="s">
        <v>118</v>
      </c>
      <c r="C210" t="s">
        <v>1275</v>
      </c>
      <c r="D210" t="s">
        <v>81</v>
      </c>
      <c r="E210">
        <v>50000000</v>
      </c>
      <c r="L210" t="s">
        <v>120</v>
      </c>
      <c r="M210" t="s">
        <v>81</v>
      </c>
      <c r="O210">
        <v>6350</v>
      </c>
      <c r="P210" t="s">
        <v>121</v>
      </c>
      <c r="S210" t="s">
        <v>122</v>
      </c>
      <c r="T210">
        <v>22</v>
      </c>
      <c r="V210">
        <v>50</v>
      </c>
      <c r="W210" t="s">
        <v>123</v>
      </c>
      <c r="X210" t="s">
        <v>124</v>
      </c>
      <c r="Y210">
        <v>30</v>
      </c>
      <c r="AA210" t="s">
        <v>184</v>
      </c>
      <c r="AB210">
        <v>5.84</v>
      </c>
      <c r="AC210" t="s">
        <v>125</v>
      </c>
      <c r="AD210" t="s">
        <v>194</v>
      </c>
      <c r="AH210">
        <v>5.64</v>
      </c>
      <c r="AI210">
        <v>3</v>
      </c>
      <c r="AK210">
        <v>83.3333333333333</v>
      </c>
      <c r="AL210" t="s">
        <v>82</v>
      </c>
      <c r="AM210">
        <v>83.3333333333333</v>
      </c>
      <c r="AN210" t="s">
        <v>82</v>
      </c>
      <c r="AQ210" t="s">
        <v>128</v>
      </c>
      <c r="AT210" t="s">
        <v>79</v>
      </c>
      <c r="AV210" t="s">
        <v>129</v>
      </c>
      <c r="AZ210">
        <v>0</v>
      </c>
      <c r="BA210">
        <v>5.64</v>
      </c>
    </row>
    <row r="211" spans="1:53" x14ac:dyDescent="0.3">
      <c r="A211" t="s">
        <v>118</v>
      </c>
      <c r="C211" t="s">
        <v>1275</v>
      </c>
      <c r="D211" t="s">
        <v>81</v>
      </c>
      <c r="E211">
        <v>50000000</v>
      </c>
      <c r="H211">
        <v>1267</v>
      </c>
      <c r="I211" t="s">
        <v>56</v>
      </c>
      <c r="J211">
        <v>0.12670000000000001</v>
      </c>
      <c r="K211" t="s">
        <v>57</v>
      </c>
      <c r="L211" t="s">
        <v>120</v>
      </c>
      <c r="M211" t="s">
        <v>81</v>
      </c>
      <c r="O211">
        <v>6350</v>
      </c>
      <c r="P211" t="s">
        <v>121</v>
      </c>
      <c r="S211" t="s">
        <v>122</v>
      </c>
      <c r="T211">
        <v>22</v>
      </c>
      <c r="V211">
        <v>50</v>
      </c>
      <c r="W211" t="s">
        <v>76</v>
      </c>
      <c r="X211" t="s">
        <v>124</v>
      </c>
      <c r="Y211">
        <v>30</v>
      </c>
      <c r="AA211" t="s">
        <v>184</v>
      </c>
      <c r="AB211">
        <v>4.93</v>
      </c>
      <c r="AC211" t="s">
        <v>125</v>
      </c>
      <c r="AD211" t="s">
        <v>194</v>
      </c>
      <c r="AH211">
        <v>4.78</v>
      </c>
      <c r="AI211">
        <v>3</v>
      </c>
      <c r="AK211">
        <v>83.3333333333333</v>
      </c>
      <c r="AL211" t="s">
        <v>82</v>
      </c>
      <c r="AM211">
        <v>83.3333333333333</v>
      </c>
      <c r="AN211" t="s">
        <v>82</v>
      </c>
      <c r="AQ211" t="s">
        <v>128</v>
      </c>
      <c r="AT211" t="s">
        <v>77</v>
      </c>
      <c r="AU211">
        <v>0.65772165219679002</v>
      </c>
      <c r="AV211" t="s">
        <v>115</v>
      </c>
      <c r="AZ211">
        <v>0</v>
      </c>
      <c r="BA211">
        <v>4.78</v>
      </c>
    </row>
    <row r="212" spans="1:53" x14ac:dyDescent="0.3">
      <c r="A212" t="s">
        <v>118</v>
      </c>
      <c r="C212" t="s">
        <v>1275</v>
      </c>
      <c r="D212" t="s">
        <v>81</v>
      </c>
      <c r="E212">
        <v>50000000</v>
      </c>
      <c r="H212">
        <v>1267</v>
      </c>
      <c r="I212" t="s">
        <v>56</v>
      </c>
      <c r="J212">
        <v>0.12670000000000001</v>
      </c>
      <c r="K212" t="s">
        <v>57</v>
      </c>
      <c r="L212" t="s">
        <v>120</v>
      </c>
      <c r="M212" t="s">
        <v>81</v>
      </c>
      <c r="O212">
        <v>6350</v>
      </c>
      <c r="P212" t="s">
        <v>121</v>
      </c>
      <c r="S212" t="s">
        <v>122</v>
      </c>
      <c r="T212">
        <v>22</v>
      </c>
      <c r="V212">
        <v>50</v>
      </c>
      <c r="W212" t="s">
        <v>1308</v>
      </c>
      <c r="X212" t="s">
        <v>124</v>
      </c>
      <c r="Y212">
        <v>30</v>
      </c>
      <c r="AB212">
        <v>3.51</v>
      </c>
      <c r="AC212" t="s">
        <v>125</v>
      </c>
      <c r="AD212" t="s">
        <v>505</v>
      </c>
      <c r="AE212" t="s">
        <v>127</v>
      </c>
      <c r="AH212">
        <v>4.62</v>
      </c>
      <c r="AI212">
        <v>3</v>
      </c>
      <c r="AK212">
        <v>83.3333333333333</v>
      </c>
      <c r="AL212" t="s">
        <v>82</v>
      </c>
      <c r="AM212">
        <v>83.3333333333333</v>
      </c>
      <c r="AN212" t="s">
        <v>82</v>
      </c>
      <c r="AQ212" t="s">
        <v>128</v>
      </c>
      <c r="AT212" t="s">
        <v>212</v>
      </c>
      <c r="AU212">
        <v>0.65772165219679002</v>
      </c>
      <c r="AV212" t="s">
        <v>115</v>
      </c>
      <c r="BA212">
        <v>4.62</v>
      </c>
    </row>
    <row r="213" spans="1:53" x14ac:dyDescent="0.3">
      <c r="A213" t="s">
        <v>118</v>
      </c>
      <c r="C213" t="s">
        <v>1275</v>
      </c>
      <c r="D213" t="s">
        <v>81</v>
      </c>
      <c r="E213">
        <v>50000000</v>
      </c>
      <c r="H213">
        <v>1267</v>
      </c>
      <c r="I213" t="s">
        <v>56</v>
      </c>
      <c r="J213">
        <v>0.12670000000000001</v>
      </c>
      <c r="K213" t="s">
        <v>57</v>
      </c>
      <c r="L213" t="s">
        <v>120</v>
      </c>
      <c r="M213" t="s">
        <v>81</v>
      </c>
      <c r="O213">
        <v>6350</v>
      </c>
      <c r="P213" t="s">
        <v>121</v>
      </c>
      <c r="S213" t="s">
        <v>122</v>
      </c>
      <c r="T213">
        <v>22</v>
      </c>
      <c r="V213">
        <v>50</v>
      </c>
      <c r="W213" t="s">
        <v>1308</v>
      </c>
      <c r="X213" t="s">
        <v>124</v>
      </c>
      <c r="Y213">
        <v>30</v>
      </c>
      <c r="AB213">
        <v>1.0900000000000001</v>
      </c>
      <c r="AC213" t="s">
        <v>125</v>
      </c>
      <c r="AD213" t="s">
        <v>194</v>
      </c>
      <c r="AE213" t="s">
        <v>127</v>
      </c>
      <c r="AH213">
        <v>2.44</v>
      </c>
      <c r="AI213">
        <v>3</v>
      </c>
      <c r="AK213">
        <v>183.333333333333</v>
      </c>
      <c r="AL213" t="s">
        <v>82</v>
      </c>
      <c r="AM213">
        <v>183.333333333333</v>
      </c>
      <c r="AN213" t="s">
        <v>82</v>
      </c>
      <c r="AQ213" t="s">
        <v>128</v>
      </c>
      <c r="AT213" t="s">
        <v>212</v>
      </c>
      <c r="AU213">
        <v>1.446987634832936</v>
      </c>
      <c r="AV213" t="s">
        <v>115</v>
      </c>
      <c r="BA213">
        <v>2.44</v>
      </c>
    </row>
    <row r="214" spans="1:53" x14ac:dyDescent="0.3">
      <c r="A214" t="s">
        <v>118</v>
      </c>
      <c r="C214" t="s">
        <v>1275</v>
      </c>
      <c r="D214" t="s">
        <v>81</v>
      </c>
      <c r="E214">
        <v>50000000</v>
      </c>
      <c r="H214">
        <v>1267</v>
      </c>
      <c r="I214" t="s">
        <v>56</v>
      </c>
      <c r="J214">
        <v>0.12670000000000001</v>
      </c>
      <c r="K214" t="s">
        <v>57</v>
      </c>
      <c r="L214" t="s">
        <v>120</v>
      </c>
      <c r="M214" t="s">
        <v>81</v>
      </c>
      <c r="O214">
        <v>6350</v>
      </c>
      <c r="P214" t="s">
        <v>121</v>
      </c>
      <c r="S214" t="s">
        <v>122</v>
      </c>
      <c r="T214">
        <v>22</v>
      </c>
      <c r="V214">
        <v>50</v>
      </c>
      <c r="W214" t="s">
        <v>1308</v>
      </c>
      <c r="X214" t="s">
        <v>124</v>
      </c>
      <c r="Y214">
        <v>30</v>
      </c>
      <c r="AB214">
        <v>0.13</v>
      </c>
      <c r="AC214" t="s">
        <v>125</v>
      </c>
      <c r="AD214" t="s">
        <v>194</v>
      </c>
      <c r="AE214" t="s">
        <v>127</v>
      </c>
      <c r="AH214">
        <v>2.12</v>
      </c>
      <c r="AI214">
        <v>3</v>
      </c>
      <c r="AK214">
        <v>183.333333333333</v>
      </c>
      <c r="AL214" t="s">
        <v>82</v>
      </c>
      <c r="AM214">
        <v>183.333333333333</v>
      </c>
      <c r="AN214" t="s">
        <v>82</v>
      </c>
      <c r="AQ214" t="s">
        <v>128</v>
      </c>
      <c r="AT214" t="s">
        <v>212</v>
      </c>
      <c r="AU214">
        <v>1.446987634832936</v>
      </c>
      <c r="AV214" t="s">
        <v>115</v>
      </c>
      <c r="BA214">
        <v>2.12</v>
      </c>
    </row>
    <row r="215" spans="1:53" x14ac:dyDescent="0.3">
      <c r="A215" t="s">
        <v>118</v>
      </c>
      <c r="C215" t="s">
        <v>1275</v>
      </c>
      <c r="D215" t="s">
        <v>81</v>
      </c>
      <c r="E215">
        <v>50000000</v>
      </c>
      <c r="H215">
        <v>1267</v>
      </c>
      <c r="I215" t="s">
        <v>56</v>
      </c>
      <c r="J215">
        <v>0.12670000000000001</v>
      </c>
      <c r="K215" t="s">
        <v>57</v>
      </c>
      <c r="L215" t="s">
        <v>120</v>
      </c>
      <c r="M215" t="s">
        <v>81</v>
      </c>
      <c r="O215">
        <v>6350</v>
      </c>
      <c r="P215" t="s">
        <v>121</v>
      </c>
      <c r="S215" t="s">
        <v>122</v>
      </c>
      <c r="T215">
        <v>22</v>
      </c>
      <c r="V215">
        <v>50</v>
      </c>
      <c r="W215" t="s">
        <v>1308</v>
      </c>
      <c r="X215" t="s">
        <v>124</v>
      </c>
      <c r="Y215">
        <v>30</v>
      </c>
      <c r="AB215">
        <v>0.28000000000000003</v>
      </c>
      <c r="AC215" t="s">
        <v>125</v>
      </c>
      <c r="AD215" t="s">
        <v>194</v>
      </c>
      <c r="AE215" t="s">
        <v>127</v>
      </c>
      <c r="AH215">
        <v>2.12</v>
      </c>
      <c r="AI215">
        <v>3</v>
      </c>
      <c r="AK215">
        <v>366.666666666666</v>
      </c>
      <c r="AL215" t="s">
        <v>82</v>
      </c>
      <c r="AM215">
        <v>366.666666666666</v>
      </c>
      <c r="AN215" t="s">
        <v>82</v>
      </c>
      <c r="AQ215" t="s">
        <v>128</v>
      </c>
      <c r="AT215" t="s">
        <v>212</v>
      </c>
      <c r="AU215">
        <v>2.893975269665872</v>
      </c>
      <c r="AV215" t="s">
        <v>115</v>
      </c>
      <c r="BA215">
        <v>2.12</v>
      </c>
    </row>
    <row r="216" spans="1:53" x14ac:dyDescent="0.3">
      <c r="A216" t="s">
        <v>118</v>
      </c>
      <c r="C216" t="s">
        <v>1275</v>
      </c>
      <c r="D216" t="s">
        <v>81</v>
      </c>
      <c r="E216">
        <v>50000000</v>
      </c>
      <c r="H216">
        <v>1267</v>
      </c>
      <c r="I216" t="s">
        <v>56</v>
      </c>
      <c r="J216">
        <v>0.12670000000000001</v>
      </c>
      <c r="K216" t="s">
        <v>57</v>
      </c>
      <c r="L216" t="s">
        <v>120</v>
      </c>
      <c r="M216" t="s">
        <v>81</v>
      </c>
      <c r="O216">
        <v>6350</v>
      </c>
      <c r="P216" t="s">
        <v>121</v>
      </c>
      <c r="S216" t="s">
        <v>122</v>
      </c>
      <c r="T216">
        <v>22</v>
      </c>
      <c r="V216">
        <v>50</v>
      </c>
      <c r="W216" t="s">
        <v>1308</v>
      </c>
      <c r="X216" t="s">
        <v>124</v>
      </c>
      <c r="Y216">
        <v>30</v>
      </c>
      <c r="AB216">
        <v>0.62</v>
      </c>
      <c r="AC216" t="s">
        <v>125</v>
      </c>
      <c r="AD216" t="s">
        <v>194</v>
      </c>
      <c r="AE216" t="s">
        <v>127</v>
      </c>
      <c r="AH216">
        <v>2.12</v>
      </c>
      <c r="AI216">
        <v>3</v>
      </c>
      <c r="AK216">
        <v>333.33333333333297</v>
      </c>
      <c r="AL216" t="s">
        <v>82</v>
      </c>
      <c r="AM216">
        <v>333.33333333333297</v>
      </c>
      <c r="AN216" t="s">
        <v>82</v>
      </c>
      <c r="AQ216" t="s">
        <v>128</v>
      </c>
      <c r="AT216" t="s">
        <v>212</v>
      </c>
      <c r="AU216">
        <v>2.6308866087871592</v>
      </c>
      <c r="AV216" t="s">
        <v>115</v>
      </c>
      <c r="BA216">
        <v>2.12</v>
      </c>
    </row>
    <row r="217" spans="1:53" x14ac:dyDescent="0.3">
      <c r="A217" t="s">
        <v>118</v>
      </c>
      <c r="C217" t="s">
        <v>1275</v>
      </c>
      <c r="D217" t="s">
        <v>81</v>
      </c>
      <c r="E217">
        <v>50000000</v>
      </c>
      <c r="H217">
        <v>1267</v>
      </c>
      <c r="I217" t="s">
        <v>56</v>
      </c>
      <c r="J217">
        <v>0.12670000000000001</v>
      </c>
      <c r="K217" t="s">
        <v>57</v>
      </c>
      <c r="L217" t="s">
        <v>120</v>
      </c>
      <c r="M217" t="s">
        <v>81</v>
      </c>
      <c r="O217">
        <v>6350</v>
      </c>
      <c r="P217" t="s">
        <v>121</v>
      </c>
      <c r="S217" t="s">
        <v>122</v>
      </c>
      <c r="T217">
        <v>22</v>
      </c>
      <c r="V217">
        <v>50</v>
      </c>
      <c r="W217" t="s">
        <v>76</v>
      </c>
      <c r="X217" t="s">
        <v>124</v>
      </c>
      <c r="Y217">
        <v>30</v>
      </c>
      <c r="AB217">
        <v>5.65</v>
      </c>
      <c r="AC217" t="s">
        <v>125</v>
      </c>
      <c r="AD217" t="s">
        <v>332</v>
      </c>
      <c r="AE217" t="s">
        <v>127</v>
      </c>
      <c r="AH217">
        <v>5.88</v>
      </c>
      <c r="AI217">
        <v>3</v>
      </c>
      <c r="AK217">
        <v>166.666666666666</v>
      </c>
      <c r="AL217" t="s">
        <v>82</v>
      </c>
      <c r="AM217">
        <v>166.666666666666</v>
      </c>
      <c r="AN217" t="s">
        <v>82</v>
      </c>
      <c r="AQ217" t="s">
        <v>128</v>
      </c>
      <c r="AR217">
        <v>3</v>
      </c>
      <c r="AT217" t="s">
        <v>77</v>
      </c>
      <c r="AU217">
        <v>1.3154433043935749</v>
      </c>
      <c r="AV217" t="s">
        <v>115</v>
      </c>
      <c r="AZ217">
        <v>3</v>
      </c>
      <c r="BA217">
        <v>5.88</v>
      </c>
    </row>
    <row r="218" spans="1:53" x14ac:dyDescent="0.3">
      <c r="A218" t="s">
        <v>118</v>
      </c>
      <c r="C218" t="s">
        <v>1275</v>
      </c>
      <c r="D218" t="s">
        <v>81</v>
      </c>
      <c r="E218">
        <v>50000000</v>
      </c>
      <c r="H218">
        <v>1267</v>
      </c>
      <c r="I218" t="s">
        <v>56</v>
      </c>
      <c r="J218">
        <v>0.12670000000000001</v>
      </c>
      <c r="K218" t="s">
        <v>57</v>
      </c>
      <c r="L218" t="s">
        <v>120</v>
      </c>
      <c r="M218" t="s">
        <v>81</v>
      </c>
      <c r="O218">
        <v>6350</v>
      </c>
      <c r="P218" t="s">
        <v>121</v>
      </c>
      <c r="S218" t="s">
        <v>122</v>
      </c>
      <c r="T218">
        <v>22</v>
      </c>
      <c r="V218">
        <v>50</v>
      </c>
      <c r="W218" t="s">
        <v>1308</v>
      </c>
      <c r="X218" t="s">
        <v>124</v>
      </c>
      <c r="Y218">
        <v>30</v>
      </c>
      <c r="AB218">
        <v>3.34</v>
      </c>
      <c r="AC218" t="s">
        <v>125</v>
      </c>
      <c r="AD218" t="s">
        <v>1127</v>
      </c>
      <c r="AE218" t="s">
        <v>127</v>
      </c>
      <c r="AH218">
        <v>6.4</v>
      </c>
      <c r="AI218">
        <v>3</v>
      </c>
      <c r="AK218">
        <v>166.666666666666</v>
      </c>
      <c r="AL218" t="s">
        <v>82</v>
      </c>
      <c r="AM218">
        <v>166.666666666666</v>
      </c>
      <c r="AN218" t="s">
        <v>82</v>
      </c>
      <c r="AQ218" t="s">
        <v>128</v>
      </c>
      <c r="AT218" t="s">
        <v>212</v>
      </c>
      <c r="AU218">
        <v>1.3154433043935749</v>
      </c>
      <c r="AV218" t="s">
        <v>115</v>
      </c>
      <c r="BA218">
        <v>6.4</v>
      </c>
    </row>
    <row r="219" spans="1:53" x14ac:dyDescent="0.3">
      <c r="A219" t="s">
        <v>118</v>
      </c>
      <c r="B219" t="s">
        <v>1318</v>
      </c>
      <c r="C219" t="s">
        <v>1275</v>
      </c>
      <c r="D219" t="s">
        <v>81</v>
      </c>
      <c r="E219">
        <v>50000000</v>
      </c>
      <c r="H219">
        <v>1267</v>
      </c>
      <c r="I219" t="s">
        <v>56</v>
      </c>
      <c r="J219">
        <v>0.12670000000000001</v>
      </c>
      <c r="K219" t="s">
        <v>57</v>
      </c>
      <c r="L219" t="s">
        <v>120</v>
      </c>
      <c r="M219" t="s">
        <v>81</v>
      </c>
      <c r="O219">
        <v>6350</v>
      </c>
      <c r="P219" t="s">
        <v>121</v>
      </c>
      <c r="S219" t="s">
        <v>122</v>
      </c>
      <c r="T219">
        <v>22</v>
      </c>
      <c r="V219">
        <v>50</v>
      </c>
      <c r="W219" t="s">
        <v>1319</v>
      </c>
      <c r="X219" t="s">
        <v>124</v>
      </c>
      <c r="Y219">
        <v>30</v>
      </c>
      <c r="AB219">
        <v>6.03</v>
      </c>
      <c r="AC219" t="s">
        <v>125</v>
      </c>
      <c r="AD219" t="s">
        <v>1320</v>
      </c>
      <c r="AE219" t="s">
        <v>127</v>
      </c>
      <c r="AH219">
        <v>5.98</v>
      </c>
      <c r="AI219">
        <v>3</v>
      </c>
      <c r="AK219">
        <v>166.666666666666</v>
      </c>
      <c r="AL219" t="s">
        <v>82</v>
      </c>
      <c r="AM219">
        <v>166.666666666666</v>
      </c>
      <c r="AN219" t="s">
        <v>82</v>
      </c>
      <c r="AQ219" t="s">
        <v>128</v>
      </c>
      <c r="AU219">
        <v>1.3154433043935749</v>
      </c>
      <c r="AV219" t="s">
        <v>115</v>
      </c>
      <c r="BA219">
        <v>5.98</v>
      </c>
    </row>
    <row r="220" spans="1:53" x14ac:dyDescent="0.3">
      <c r="A220" t="s">
        <v>118</v>
      </c>
      <c r="B220" t="s">
        <v>1318</v>
      </c>
      <c r="C220" t="s">
        <v>1275</v>
      </c>
      <c r="D220" t="s">
        <v>81</v>
      </c>
      <c r="E220">
        <v>50000000</v>
      </c>
      <c r="H220">
        <v>1267</v>
      </c>
      <c r="I220" t="s">
        <v>56</v>
      </c>
      <c r="J220">
        <v>0.12670000000000001</v>
      </c>
      <c r="K220" t="s">
        <v>57</v>
      </c>
      <c r="L220" t="s">
        <v>120</v>
      </c>
      <c r="M220" t="s">
        <v>81</v>
      </c>
      <c r="O220">
        <v>6350</v>
      </c>
      <c r="P220" t="s">
        <v>121</v>
      </c>
      <c r="S220" t="s">
        <v>122</v>
      </c>
      <c r="T220">
        <v>22</v>
      </c>
      <c r="V220">
        <v>50</v>
      </c>
      <c r="W220" t="s">
        <v>1321</v>
      </c>
      <c r="X220" t="s">
        <v>124</v>
      </c>
      <c r="Y220">
        <v>30</v>
      </c>
      <c r="AB220">
        <v>3.65</v>
      </c>
      <c r="AC220" t="s">
        <v>125</v>
      </c>
      <c r="AD220" t="s">
        <v>1322</v>
      </c>
      <c r="AE220" t="s">
        <v>127</v>
      </c>
      <c r="AH220">
        <v>6.14</v>
      </c>
      <c r="AI220">
        <v>3</v>
      </c>
      <c r="AK220">
        <v>166.666666666666</v>
      </c>
      <c r="AL220" t="s">
        <v>82</v>
      </c>
      <c r="AM220">
        <v>166.666666666666</v>
      </c>
      <c r="AN220" t="s">
        <v>82</v>
      </c>
      <c r="AQ220" t="s">
        <v>128</v>
      </c>
      <c r="AU220">
        <v>1.3154433043935749</v>
      </c>
      <c r="AV220" t="s">
        <v>115</v>
      </c>
      <c r="BA220">
        <v>6.14</v>
      </c>
    </row>
    <row r="221" spans="1:53" x14ac:dyDescent="0.3">
      <c r="A221" t="s">
        <v>118</v>
      </c>
      <c r="C221" t="s">
        <v>1275</v>
      </c>
      <c r="D221" t="s">
        <v>81</v>
      </c>
      <c r="E221">
        <v>50000000</v>
      </c>
      <c r="H221">
        <v>1267</v>
      </c>
      <c r="I221" t="s">
        <v>56</v>
      </c>
      <c r="J221">
        <v>0.12670000000000001</v>
      </c>
      <c r="K221" t="s">
        <v>57</v>
      </c>
      <c r="L221" t="s">
        <v>120</v>
      </c>
      <c r="M221" t="s">
        <v>81</v>
      </c>
      <c r="O221">
        <v>6350</v>
      </c>
      <c r="P221" t="s">
        <v>121</v>
      </c>
      <c r="S221" t="s">
        <v>122</v>
      </c>
      <c r="T221">
        <v>22</v>
      </c>
      <c r="V221">
        <v>50</v>
      </c>
      <c r="W221" t="s">
        <v>1308</v>
      </c>
      <c r="X221" t="s">
        <v>124</v>
      </c>
      <c r="Y221">
        <v>30</v>
      </c>
      <c r="AB221">
        <v>3.84</v>
      </c>
      <c r="AC221" t="s">
        <v>125</v>
      </c>
      <c r="AD221" t="s">
        <v>1323</v>
      </c>
      <c r="AE221" t="s">
        <v>127</v>
      </c>
      <c r="AH221">
        <v>5.81</v>
      </c>
      <c r="AI221">
        <v>3</v>
      </c>
      <c r="AK221">
        <v>216.666666666666</v>
      </c>
      <c r="AL221" t="s">
        <v>82</v>
      </c>
      <c r="AM221">
        <v>216.666666666666</v>
      </c>
      <c r="AN221" t="s">
        <v>82</v>
      </c>
      <c r="AQ221" t="s">
        <v>128</v>
      </c>
      <c r="AT221" t="s">
        <v>212</v>
      </c>
      <c r="AU221">
        <v>1.71007629571165</v>
      </c>
      <c r="AV221" t="s">
        <v>115</v>
      </c>
      <c r="BA221">
        <v>5.81</v>
      </c>
    </row>
    <row r="222" spans="1:53" x14ac:dyDescent="0.3">
      <c r="A222" t="s">
        <v>118</v>
      </c>
      <c r="C222" t="s">
        <v>1275</v>
      </c>
      <c r="D222" t="s">
        <v>81</v>
      </c>
      <c r="E222">
        <v>50000000</v>
      </c>
      <c r="H222">
        <v>1267</v>
      </c>
      <c r="I222" t="s">
        <v>56</v>
      </c>
      <c r="J222">
        <v>0.12670000000000001</v>
      </c>
      <c r="K222" t="s">
        <v>57</v>
      </c>
      <c r="L222" t="s">
        <v>120</v>
      </c>
      <c r="M222" t="s">
        <v>81</v>
      </c>
      <c r="O222">
        <v>6350</v>
      </c>
      <c r="P222" t="s">
        <v>121</v>
      </c>
      <c r="S222" t="s">
        <v>122</v>
      </c>
      <c r="T222">
        <v>22</v>
      </c>
      <c r="V222">
        <v>50</v>
      </c>
      <c r="W222" t="s">
        <v>76</v>
      </c>
      <c r="X222" t="s">
        <v>124</v>
      </c>
      <c r="Y222">
        <v>30</v>
      </c>
      <c r="AB222">
        <v>5.38</v>
      </c>
      <c r="AC222" t="s">
        <v>125</v>
      </c>
      <c r="AD222" t="s">
        <v>1324</v>
      </c>
      <c r="AE222" t="s">
        <v>127</v>
      </c>
      <c r="AH222">
        <v>5.37</v>
      </c>
      <c r="AI222">
        <v>3</v>
      </c>
      <c r="AK222">
        <v>216.666666666666</v>
      </c>
      <c r="AL222" t="s">
        <v>82</v>
      </c>
      <c r="AM222">
        <v>216.666666666666</v>
      </c>
      <c r="AN222" t="s">
        <v>82</v>
      </c>
      <c r="AQ222" t="s">
        <v>128</v>
      </c>
      <c r="AT222" t="s">
        <v>77</v>
      </c>
      <c r="AU222">
        <v>1.71007629571165</v>
      </c>
      <c r="AV222" t="s">
        <v>115</v>
      </c>
      <c r="BA222">
        <v>5.37</v>
      </c>
    </row>
    <row r="223" spans="1:53" x14ac:dyDescent="0.3">
      <c r="A223" t="s">
        <v>118</v>
      </c>
      <c r="B223" t="s">
        <v>1318</v>
      </c>
      <c r="C223" t="s">
        <v>1275</v>
      </c>
      <c r="D223" t="s">
        <v>81</v>
      </c>
      <c r="E223">
        <v>50000000</v>
      </c>
      <c r="H223">
        <v>1267</v>
      </c>
      <c r="I223" t="s">
        <v>56</v>
      </c>
      <c r="J223">
        <v>0.12670000000000001</v>
      </c>
      <c r="K223" t="s">
        <v>57</v>
      </c>
      <c r="L223" t="s">
        <v>120</v>
      </c>
      <c r="M223" t="s">
        <v>81</v>
      </c>
      <c r="O223">
        <v>6350</v>
      </c>
      <c r="P223" t="s">
        <v>121</v>
      </c>
      <c r="S223" t="s">
        <v>122</v>
      </c>
      <c r="T223">
        <v>22</v>
      </c>
      <c r="V223">
        <v>50</v>
      </c>
      <c r="W223" t="s">
        <v>1321</v>
      </c>
      <c r="X223" t="s">
        <v>124</v>
      </c>
      <c r="Y223">
        <v>30</v>
      </c>
      <c r="AB223">
        <v>4.1900000000000004</v>
      </c>
      <c r="AC223" t="s">
        <v>125</v>
      </c>
      <c r="AD223" t="s">
        <v>1325</v>
      </c>
      <c r="AE223" t="s">
        <v>127</v>
      </c>
      <c r="AH223">
        <v>5.71</v>
      </c>
      <c r="AI223">
        <v>3</v>
      </c>
      <c r="AK223">
        <v>216.666666666666</v>
      </c>
      <c r="AL223" t="s">
        <v>82</v>
      </c>
      <c r="AM223">
        <v>216.666666666666</v>
      </c>
      <c r="AN223" t="s">
        <v>82</v>
      </c>
      <c r="AQ223" t="s">
        <v>128</v>
      </c>
      <c r="AU223">
        <v>1.71007629571165</v>
      </c>
      <c r="AV223" t="s">
        <v>115</v>
      </c>
      <c r="BA223">
        <v>5.71</v>
      </c>
    </row>
    <row r="224" spans="1:53" x14ac:dyDescent="0.3">
      <c r="A224" t="s">
        <v>118</v>
      </c>
      <c r="B224" t="s">
        <v>1318</v>
      </c>
      <c r="C224" t="s">
        <v>1275</v>
      </c>
      <c r="D224" t="s">
        <v>81</v>
      </c>
      <c r="E224">
        <v>50000000</v>
      </c>
      <c r="H224">
        <v>1267</v>
      </c>
      <c r="I224" t="s">
        <v>56</v>
      </c>
      <c r="J224">
        <v>0.12670000000000001</v>
      </c>
      <c r="K224" t="s">
        <v>57</v>
      </c>
      <c r="L224" t="s">
        <v>120</v>
      </c>
      <c r="M224" t="s">
        <v>81</v>
      </c>
      <c r="O224">
        <v>6350</v>
      </c>
      <c r="P224" t="s">
        <v>121</v>
      </c>
      <c r="S224" t="s">
        <v>122</v>
      </c>
      <c r="T224">
        <v>22</v>
      </c>
      <c r="V224">
        <v>50</v>
      </c>
      <c r="W224" t="s">
        <v>1319</v>
      </c>
      <c r="X224" t="s">
        <v>124</v>
      </c>
      <c r="Y224">
        <v>30</v>
      </c>
      <c r="AB224">
        <v>4.3499999999999899</v>
      </c>
      <c r="AC224" t="s">
        <v>125</v>
      </c>
      <c r="AD224" t="s">
        <v>1125</v>
      </c>
      <c r="AE224" t="s">
        <v>127</v>
      </c>
      <c r="AH224">
        <v>5.45</v>
      </c>
      <c r="AI224">
        <v>3</v>
      </c>
      <c r="AK224">
        <v>216.666666666666</v>
      </c>
      <c r="AL224" t="s">
        <v>82</v>
      </c>
      <c r="AM224">
        <v>216.666666666666</v>
      </c>
      <c r="AN224" t="s">
        <v>82</v>
      </c>
      <c r="AQ224" t="s">
        <v>128</v>
      </c>
      <c r="AU224">
        <v>1.71007629571165</v>
      </c>
      <c r="AV224" t="s">
        <v>115</v>
      </c>
      <c r="BA224">
        <v>5.45</v>
      </c>
    </row>
    <row r="225" spans="1:53" x14ac:dyDescent="0.3">
      <c r="A225" t="s">
        <v>118</v>
      </c>
      <c r="C225" t="s">
        <v>1275</v>
      </c>
      <c r="D225" t="s">
        <v>81</v>
      </c>
      <c r="E225">
        <v>50000000</v>
      </c>
      <c r="H225">
        <v>1267</v>
      </c>
      <c r="I225" t="s">
        <v>56</v>
      </c>
      <c r="J225">
        <v>0.12670000000000001</v>
      </c>
      <c r="K225" t="s">
        <v>57</v>
      </c>
      <c r="L225" t="s">
        <v>120</v>
      </c>
      <c r="M225" t="s">
        <v>81</v>
      </c>
      <c r="O225">
        <v>6350</v>
      </c>
      <c r="P225" t="s">
        <v>121</v>
      </c>
      <c r="S225" t="s">
        <v>122</v>
      </c>
      <c r="T225">
        <v>22</v>
      </c>
      <c r="V225">
        <v>50</v>
      </c>
      <c r="W225" t="s">
        <v>1308</v>
      </c>
      <c r="X225" t="s">
        <v>124</v>
      </c>
      <c r="Y225">
        <v>30</v>
      </c>
      <c r="AB225">
        <v>3.33</v>
      </c>
      <c r="AC225" t="s">
        <v>125</v>
      </c>
      <c r="AD225" t="s">
        <v>1128</v>
      </c>
      <c r="AE225" t="s">
        <v>127</v>
      </c>
      <c r="AH225">
        <v>5.44</v>
      </c>
      <c r="AI225">
        <v>3</v>
      </c>
      <c r="AK225">
        <v>216.666666666666</v>
      </c>
      <c r="AL225" t="s">
        <v>82</v>
      </c>
      <c r="AM225">
        <v>216.666666666666</v>
      </c>
      <c r="AN225" t="s">
        <v>82</v>
      </c>
      <c r="AQ225" t="s">
        <v>128</v>
      </c>
      <c r="AT225" t="s">
        <v>212</v>
      </c>
      <c r="AU225">
        <v>1.71007629571165</v>
      </c>
      <c r="AV225" t="s">
        <v>115</v>
      </c>
      <c r="BA225">
        <v>5.44</v>
      </c>
    </row>
    <row r="226" spans="1:53" x14ac:dyDescent="0.3">
      <c r="A226" t="s">
        <v>118</v>
      </c>
      <c r="C226" t="s">
        <v>1275</v>
      </c>
      <c r="D226" t="s">
        <v>81</v>
      </c>
      <c r="E226">
        <v>50000000</v>
      </c>
      <c r="H226">
        <v>1267</v>
      </c>
      <c r="I226" t="s">
        <v>56</v>
      </c>
      <c r="J226">
        <v>0.12670000000000001</v>
      </c>
      <c r="K226" t="s">
        <v>57</v>
      </c>
      <c r="L226" t="s">
        <v>120</v>
      </c>
      <c r="M226" t="s">
        <v>81</v>
      </c>
      <c r="O226">
        <v>6350</v>
      </c>
      <c r="P226" t="s">
        <v>121</v>
      </c>
      <c r="S226" t="s">
        <v>122</v>
      </c>
      <c r="T226">
        <v>22</v>
      </c>
      <c r="V226">
        <v>50</v>
      </c>
      <c r="W226" t="s">
        <v>76</v>
      </c>
      <c r="X226" t="s">
        <v>124</v>
      </c>
      <c r="Y226">
        <v>30</v>
      </c>
      <c r="AB226">
        <v>6.34</v>
      </c>
      <c r="AC226" t="s">
        <v>125</v>
      </c>
      <c r="AD226" t="s">
        <v>410</v>
      </c>
      <c r="AE226" t="s">
        <v>127</v>
      </c>
      <c r="AH226">
        <v>6.29</v>
      </c>
      <c r="AI226">
        <v>3</v>
      </c>
      <c r="AK226">
        <v>216.666666666666</v>
      </c>
      <c r="AL226" t="s">
        <v>82</v>
      </c>
      <c r="AM226">
        <v>216.666666666666</v>
      </c>
      <c r="AN226" t="s">
        <v>82</v>
      </c>
      <c r="AQ226" t="s">
        <v>128</v>
      </c>
      <c r="AT226" t="s">
        <v>77</v>
      </c>
      <c r="AU226">
        <v>1.71007629571165</v>
      </c>
      <c r="AV226" t="s">
        <v>115</v>
      </c>
      <c r="BA226">
        <v>6.29</v>
      </c>
    </row>
    <row r="227" spans="1:53" x14ac:dyDescent="0.3">
      <c r="A227" t="s">
        <v>118</v>
      </c>
      <c r="B227" t="s">
        <v>1318</v>
      </c>
      <c r="C227" t="s">
        <v>1275</v>
      </c>
      <c r="D227" t="s">
        <v>81</v>
      </c>
      <c r="E227">
        <v>50000000</v>
      </c>
      <c r="H227">
        <v>1267</v>
      </c>
      <c r="I227" t="s">
        <v>56</v>
      </c>
      <c r="J227">
        <v>0.12670000000000001</v>
      </c>
      <c r="K227" t="s">
        <v>57</v>
      </c>
      <c r="L227" t="s">
        <v>120</v>
      </c>
      <c r="M227" t="s">
        <v>81</v>
      </c>
      <c r="O227">
        <v>6350</v>
      </c>
      <c r="P227" t="s">
        <v>121</v>
      </c>
      <c r="S227" t="s">
        <v>122</v>
      </c>
      <c r="T227">
        <v>22</v>
      </c>
      <c r="V227">
        <v>50</v>
      </c>
      <c r="W227" t="s">
        <v>1321</v>
      </c>
      <c r="X227" t="s">
        <v>124</v>
      </c>
      <c r="Y227">
        <v>30</v>
      </c>
      <c r="AB227">
        <v>4.2</v>
      </c>
      <c r="AC227" t="s">
        <v>125</v>
      </c>
      <c r="AD227" t="s">
        <v>1326</v>
      </c>
      <c r="AE227" t="s">
        <v>127</v>
      </c>
      <c r="AH227">
        <v>5.75</v>
      </c>
      <c r="AI227">
        <v>3</v>
      </c>
      <c r="AK227">
        <v>216.666666666666</v>
      </c>
      <c r="AL227" t="s">
        <v>82</v>
      </c>
      <c r="AM227">
        <v>216.666666666666</v>
      </c>
      <c r="AN227" t="s">
        <v>82</v>
      </c>
      <c r="AQ227" t="s">
        <v>128</v>
      </c>
      <c r="AU227">
        <v>1.71007629571165</v>
      </c>
      <c r="AV227" t="s">
        <v>115</v>
      </c>
      <c r="BA227">
        <v>5.75</v>
      </c>
    </row>
    <row r="228" spans="1:53" x14ac:dyDescent="0.3">
      <c r="A228" t="s">
        <v>118</v>
      </c>
      <c r="B228" t="s">
        <v>1318</v>
      </c>
      <c r="C228" t="s">
        <v>1275</v>
      </c>
      <c r="D228" t="s">
        <v>81</v>
      </c>
      <c r="E228">
        <v>50000000</v>
      </c>
      <c r="H228">
        <v>1267</v>
      </c>
      <c r="I228" t="s">
        <v>56</v>
      </c>
      <c r="J228">
        <v>0.12670000000000001</v>
      </c>
      <c r="K228" t="s">
        <v>57</v>
      </c>
      <c r="L228" t="s">
        <v>120</v>
      </c>
      <c r="M228" t="s">
        <v>81</v>
      </c>
      <c r="O228">
        <v>6350</v>
      </c>
      <c r="P228" t="s">
        <v>121</v>
      </c>
      <c r="S228" t="s">
        <v>122</v>
      </c>
      <c r="T228">
        <v>22</v>
      </c>
      <c r="V228">
        <v>50</v>
      </c>
      <c r="W228" t="s">
        <v>1319</v>
      </c>
      <c r="X228" t="s">
        <v>124</v>
      </c>
      <c r="Y228">
        <v>30</v>
      </c>
      <c r="AB228">
        <v>6.66</v>
      </c>
      <c r="AC228" t="s">
        <v>125</v>
      </c>
      <c r="AD228" t="s">
        <v>194</v>
      </c>
      <c r="AE228" t="s">
        <v>127</v>
      </c>
      <c r="AH228">
        <v>6.49</v>
      </c>
      <c r="AI228">
        <v>3</v>
      </c>
      <c r="AK228">
        <v>216.666666666666</v>
      </c>
      <c r="AL228" t="s">
        <v>82</v>
      </c>
      <c r="AM228">
        <v>216.666666666666</v>
      </c>
      <c r="AN228" t="s">
        <v>82</v>
      </c>
      <c r="AQ228" t="s">
        <v>128</v>
      </c>
      <c r="AU228">
        <v>1.71007629571165</v>
      </c>
      <c r="AV228" t="s">
        <v>115</v>
      </c>
      <c r="BA228">
        <v>6.49</v>
      </c>
    </row>
    <row r="229" spans="1:53" x14ac:dyDescent="0.3">
      <c r="A229" t="s">
        <v>118</v>
      </c>
      <c r="C229" t="s">
        <v>1275</v>
      </c>
      <c r="D229" t="s">
        <v>81</v>
      </c>
      <c r="E229">
        <v>50000000</v>
      </c>
      <c r="H229">
        <v>1267</v>
      </c>
      <c r="I229" t="s">
        <v>56</v>
      </c>
      <c r="J229">
        <v>0.12670000000000001</v>
      </c>
      <c r="K229" t="s">
        <v>57</v>
      </c>
      <c r="L229" t="s">
        <v>120</v>
      </c>
      <c r="M229" t="s">
        <v>81</v>
      </c>
      <c r="O229">
        <v>6350</v>
      </c>
      <c r="P229" t="s">
        <v>121</v>
      </c>
      <c r="S229" t="s">
        <v>122</v>
      </c>
      <c r="T229">
        <v>22</v>
      </c>
      <c r="V229">
        <v>50</v>
      </c>
      <c r="W229" t="s">
        <v>1308</v>
      </c>
      <c r="X229" t="s">
        <v>124</v>
      </c>
      <c r="Y229">
        <v>30</v>
      </c>
      <c r="AB229">
        <v>3.29</v>
      </c>
      <c r="AC229" t="s">
        <v>125</v>
      </c>
      <c r="AD229" t="s">
        <v>1327</v>
      </c>
      <c r="AE229" t="s">
        <v>127</v>
      </c>
      <c r="AH229">
        <v>5.44</v>
      </c>
      <c r="AI229">
        <v>3</v>
      </c>
      <c r="AK229">
        <v>216.666666666666</v>
      </c>
      <c r="AL229" t="s">
        <v>82</v>
      </c>
      <c r="AM229">
        <v>216.666666666666</v>
      </c>
      <c r="AN229" t="s">
        <v>82</v>
      </c>
      <c r="AQ229" t="s">
        <v>128</v>
      </c>
      <c r="AT229" t="s">
        <v>212</v>
      </c>
      <c r="AU229">
        <v>1.71007629571165</v>
      </c>
      <c r="AV229" t="s">
        <v>115</v>
      </c>
      <c r="BA229">
        <v>5.44</v>
      </c>
    </row>
    <row r="230" spans="1:53" x14ac:dyDescent="0.3">
      <c r="A230" t="s">
        <v>118</v>
      </c>
      <c r="C230" t="s">
        <v>1275</v>
      </c>
      <c r="D230" t="s">
        <v>81</v>
      </c>
      <c r="E230">
        <v>50000000</v>
      </c>
      <c r="H230">
        <v>1267</v>
      </c>
      <c r="I230" t="s">
        <v>56</v>
      </c>
      <c r="J230">
        <v>0.12670000000000001</v>
      </c>
      <c r="K230" t="s">
        <v>57</v>
      </c>
      <c r="L230" t="s">
        <v>120</v>
      </c>
      <c r="M230" t="s">
        <v>81</v>
      </c>
      <c r="O230">
        <v>6350</v>
      </c>
      <c r="P230" t="s">
        <v>121</v>
      </c>
      <c r="S230" t="s">
        <v>122</v>
      </c>
      <c r="T230">
        <v>22</v>
      </c>
      <c r="V230">
        <v>50</v>
      </c>
      <c r="W230" t="s">
        <v>76</v>
      </c>
      <c r="X230" t="s">
        <v>124</v>
      </c>
      <c r="Y230">
        <v>30</v>
      </c>
      <c r="AB230">
        <v>5.97</v>
      </c>
      <c r="AC230" t="s">
        <v>125</v>
      </c>
      <c r="AD230" t="s">
        <v>1328</v>
      </c>
      <c r="AE230" t="s">
        <v>127</v>
      </c>
      <c r="AH230">
        <v>6.29</v>
      </c>
      <c r="AI230">
        <v>3</v>
      </c>
      <c r="AK230">
        <v>216.666666666666</v>
      </c>
      <c r="AL230" t="s">
        <v>82</v>
      </c>
      <c r="AM230">
        <v>216.666666666666</v>
      </c>
      <c r="AN230" t="s">
        <v>82</v>
      </c>
      <c r="AQ230" t="s">
        <v>128</v>
      </c>
      <c r="AT230" t="s">
        <v>77</v>
      </c>
      <c r="AU230">
        <v>1.71007629571165</v>
      </c>
      <c r="AV230" t="s">
        <v>115</v>
      </c>
      <c r="BA230">
        <v>6.29</v>
      </c>
    </row>
    <row r="231" spans="1:53" x14ac:dyDescent="0.3">
      <c r="A231" t="s">
        <v>118</v>
      </c>
      <c r="B231" t="s">
        <v>1318</v>
      </c>
      <c r="C231" t="s">
        <v>1275</v>
      </c>
      <c r="D231" t="s">
        <v>81</v>
      </c>
      <c r="E231">
        <v>50000000</v>
      </c>
      <c r="H231">
        <v>1267</v>
      </c>
      <c r="I231" t="s">
        <v>56</v>
      </c>
      <c r="J231">
        <v>0.12670000000000001</v>
      </c>
      <c r="K231" t="s">
        <v>57</v>
      </c>
      <c r="L231" t="s">
        <v>120</v>
      </c>
      <c r="M231" t="s">
        <v>81</v>
      </c>
      <c r="O231">
        <v>6350</v>
      </c>
      <c r="P231" t="s">
        <v>121</v>
      </c>
      <c r="S231" t="s">
        <v>122</v>
      </c>
      <c r="T231">
        <v>22</v>
      </c>
      <c r="V231">
        <v>50</v>
      </c>
      <c r="W231" t="s">
        <v>1321</v>
      </c>
      <c r="X231" t="s">
        <v>124</v>
      </c>
      <c r="Y231">
        <v>30</v>
      </c>
      <c r="AB231">
        <v>4.45</v>
      </c>
      <c r="AC231" t="s">
        <v>125</v>
      </c>
      <c r="AD231" t="s">
        <v>1329</v>
      </c>
      <c r="AE231" t="s">
        <v>127</v>
      </c>
      <c r="AH231">
        <v>5.75</v>
      </c>
      <c r="AI231">
        <v>3</v>
      </c>
      <c r="AK231">
        <v>216.666666666666</v>
      </c>
      <c r="AL231" t="s">
        <v>82</v>
      </c>
      <c r="AM231">
        <v>216.666666666666</v>
      </c>
      <c r="AN231" t="s">
        <v>82</v>
      </c>
      <c r="AQ231" t="s">
        <v>128</v>
      </c>
      <c r="AU231">
        <v>1.71007629571165</v>
      </c>
      <c r="AV231" t="s">
        <v>115</v>
      </c>
      <c r="BA231">
        <v>5.75</v>
      </c>
    </row>
    <row r="232" spans="1:53" x14ac:dyDescent="0.3">
      <c r="A232" t="s">
        <v>118</v>
      </c>
      <c r="B232" t="s">
        <v>1318</v>
      </c>
      <c r="C232" t="s">
        <v>1275</v>
      </c>
      <c r="D232" t="s">
        <v>81</v>
      </c>
      <c r="E232">
        <v>50000000</v>
      </c>
      <c r="H232">
        <v>1267</v>
      </c>
      <c r="I232" t="s">
        <v>56</v>
      </c>
      <c r="J232">
        <v>0.12670000000000001</v>
      </c>
      <c r="K232" t="s">
        <v>57</v>
      </c>
      <c r="L232" t="s">
        <v>120</v>
      </c>
      <c r="M232" t="s">
        <v>81</v>
      </c>
      <c r="O232">
        <v>6350</v>
      </c>
      <c r="P232" t="s">
        <v>121</v>
      </c>
      <c r="S232" t="s">
        <v>122</v>
      </c>
      <c r="T232">
        <v>22</v>
      </c>
      <c r="V232">
        <v>50</v>
      </c>
      <c r="W232" t="s">
        <v>1319</v>
      </c>
      <c r="X232" t="s">
        <v>124</v>
      </c>
      <c r="Y232">
        <v>30</v>
      </c>
      <c r="AB232">
        <v>6.66</v>
      </c>
      <c r="AC232" t="s">
        <v>125</v>
      </c>
      <c r="AD232" t="s">
        <v>1330</v>
      </c>
      <c r="AE232" t="s">
        <v>127</v>
      </c>
      <c r="AH232">
        <v>6.49</v>
      </c>
      <c r="AI232">
        <v>3</v>
      </c>
      <c r="AK232">
        <v>216.666666666666</v>
      </c>
      <c r="AL232" t="s">
        <v>82</v>
      </c>
      <c r="AM232">
        <v>216.666666666666</v>
      </c>
      <c r="AN232" t="s">
        <v>82</v>
      </c>
      <c r="AQ232" t="s">
        <v>128</v>
      </c>
      <c r="AU232">
        <v>1.71007629571165</v>
      </c>
      <c r="AV232" t="s">
        <v>115</v>
      </c>
      <c r="BA232">
        <v>6.49</v>
      </c>
    </row>
    <row r="233" spans="1:53" x14ac:dyDescent="0.3">
      <c r="A233" t="s">
        <v>1248</v>
      </c>
      <c r="C233" t="s">
        <v>1275</v>
      </c>
      <c r="D233" t="s">
        <v>81</v>
      </c>
      <c r="E233">
        <v>50000000</v>
      </c>
      <c r="H233">
        <v>9.6199999999999992</v>
      </c>
      <c r="I233" t="s">
        <v>56</v>
      </c>
      <c r="J233">
        <v>9.6199999999999996E-4</v>
      </c>
      <c r="K233" t="s">
        <v>57</v>
      </c>
      <c r="L233" t="s">
        <v>112</v>
      </c>
      <c r="O233">
        <v>6200</v>
      </c>
      <c r="P233" t="s">
        <v>121</v>
      </c>
      <c r="T233">
        <v>22.5</v>
      </c>
      <c r="V233">
        <v>50</v>
      </c>
      <c r="W233" t="s">
        <v>217</v>
      </c>
      <c r="X233" t="s">
        <v>114</v>
      </c>
      <c r="Y233">
        <v>60</v>
      </c>
      <c r="AB233">
        <v>0.03</v>
      </c>
      <c r="AC233" t="s">
        <v>85</v>
      </c>
      <c r="AD233" t="s">
        <v>103</v>
      </c>
      <c r="AE233" t="s">
        <v>138</v>
      </c>
      <c r="AI233">
        <v>5</v>
      </c>
      <c r="AK233">
        <v>2.6</v>
      </c>
      <c r="AL233" t="s">
        <v>82</v>
      </c>
      <c r="AM233">
        <v>2.6</v>
      </c>
      <c r="AN233" t="s">
        <v>82</v>
      </c>
      <c r="AT233" t="s">
        <v>221</v>
      </c>
      <c r="AU233">
        <v>2.7027027027027022</v>
      </c>
      <c r="AV233" t="s">
        <v>115</v>
      </c>
    </row>
    <row r="234" spans="1:53" x14ac:dyDescent="0.3">
      <c r="A234" t="s">
        <v>1248</v>
      </c>
      <c r="C234" t="s">
        <v>1275</v>
      </c>
      <c r="D234" t="s">
        <v>81</v>
      </c>
      <c r="E234">
        <v>50000000</v>
      </c>
      <c r="H234">
        <v>9.6199999999999992</v>
      </c>
      <c r="I234" t="s">
        <v>56</v>
      </c>
      <c r="J234">
        <v>9.6199999999999996E-4</v>
      </c>
      <c r="K234" t="s">
        <v>57</v>
      </c>
      <c r="L234" t="s">
        <v>112</v>
      </c>
      <c r="O234">
        <v>6200</v>
      </c>
      <c r="P234" t="s">
        <v>121</v>
      </c>
      <c r="T234">
        <v>22.5</v>
      </c>
      <c r="V234">
        <v>50</v>
      </c>
      <c r="W234" t="s">
        <v>217</v>
      </c>
      <c r="X234" t="s">
        <v>114</v>
      </c>
      <c r="Y234">
        <v>120</v>
      </c>
      <c r="AB234">
        <v>0.94</v>
      </c>
      <c r="AC234" t="s">
        <v>85</v>
      </c>
      <c r="AD234" t="s">
        <v>314</v>
      </c>
      <c r="AE234" t="s">
        <v>138</v>
      </c>
      <c r="AI234">
        <v>5</v>
      </c>
      <c r="AK234">
        <v>3.55</v>
      </c>
      <c r="AL234" t="s">
        <v>82</v>
      </c>
      <c r="AM234">
        <v>3.55</v>
      </c>
      <c r="AN234" t="s">
        <v>82</v>
      </c>
      <c r="AT234" t="s">
        <v>221</v>
      </c>
      <c r="AU234">
        <v>3.69022869022869</v>
      </c>
      <c r="AV234" t="s">
        <v>115</v>
      </c>
    </row>
    <row r="235" spans="1:53" x14ac:dyDescent="0.3">
      <c r="A235" t="s">
        <v>1248</v>
      </c>
      <c r="C235" t="s">
        <v>1275</v>
      </c>
      <c r="D235" t="s">
        <v>81</v>
      </c>
      <c r="E235">
        <v>50000000</v>
      </c>
      <c r="H235">
        <v>9.6199999999999992</v>
      </c>
      <c r="I235" t="s">
        <v>56</v>
      </c>
      <c r="J235">
        <v>9.6199999999999996E-4</v>
      </c>
      <c r="K235" t="s">
        <v>57</v>
      </c>
      <c r="L235" t="s">
        <v>112</v>
      </c>
      <c r="O235">
        <v>2.09</v>
      </c>
      <c r="P235" t="s">
        <v>59</v>
      </c>
      <c r="T235">
        <v>22.5</v>
      </c>
      <c r="V235">
        <v>50</v>
      </c>
      <c r="W235" t="s">
        <v>217</v>
      </c>
      <c r="X235" t="s">
        <v>114</v>
      </c>
      <c r="Y235">
        <v>60</v>
      </c>
      <c r="AB235">
        <v>0.57999999999999896</v>
      </c>
      <c r="AC235" t="s">
        <v>85</v>
      </c>
      <c r="AD235" t="s">
        <v>228</v>
      </c>
      <c r="AE235" t="s">
        <v>138</v>
      </c>
      <c r="AI235">
        <v>5</v>
      </c>
      <c r="AK235">
        <v>4</v>
      </c>
      <c r="AL235" t="s">
        <v>82</v>
      </c>
      <c r="AM235">
        <v>4</v>
      </c>
      <c r="AN235" t="s">
        <v>82</v>
      </c>
      <c r="AT235" t="s">
        <v>221</v>
      </c>
      <c r="AU235">
        <v>4.1580041580041582</v>
      </c>
      <c r="AV235" t="s">
        <v>115</v>
      </c>
    </row>
    <row r="236" spans="1:53" x14ac:dyDescent="0.3">
      <c r="A236" t="s">
        <v>1248</v>
      </c>
      <c r="C236" t="s">
        <v>1275</v>
      </c>
      <c r="D236" t="s">
        <v>81</v>
      </c>
      <c r="E236">
        <v>50000000</v>
      </c>
      <c r="H236">
        <v>9.6199999999999992</v>
      </c>
      <c r="I236" t="s">
        <v>56</v>
      </c>
      <c r="J236">
        <v>9.6199999999999996E-4</v>
      </c>
      <c r="K236" t="s">
        <v>57</v>
      </c>
      <c r="L236" t="s">
        <v>112</v>
      </c>
      <c r="O236">
        <v>2.09</v>
      </c>
      <c r="P236" t="s">
        <v>59</v>
      </c>
      <c r="T236">
        <v>22.5</v>
      </c>
      <c r="V236">
        <v>50</v>
      </c>
      <c r="W236" t="s">
        <v>217</v>
      </c>
      <c r="X236" t="s">
        <v>114</v>
      </c>
      <c r="Y236">
        <v>120</v>
      </c>
      <c r="AB236">
        <v>1.04</v>
      </c>
      <c r="AC236" t="s">
        <v>85</v>
      </c>
      <c r="AD236" t="s">
        <v>314</v>
      </c>
      <c r="AE236" t="s">
        <v>138</v>
      </c>
      <c r="AI236">
        <v>5</v>
      </c>
      <c r="AK236">
        <v>7.07</v>
      </c>
      <c r="AL236" t="s">
        <v>82</v>
      </c>
      <c r="AM236">
        <v>7.07</v>
      </c>
      <c r="AN236" t="s">
        <v>82</v>
      </c>
      <c r="AT236" t="s">
        <v>221</v>
      </c>
      <c r="AU236">
        <v>7.3492723492723506</v>
      </c>
      <c r="AV236" t="s">
        <v>115</v>
      </c>
    </row>
    <row r="237" spans="1:53" x14ac:dyDescent="0.3">
      <c r="A237" t="s">
        <v>1248</v>
      </c>
      <c r="C237" t="s">
        <v>1275</v>
      </c>
      <c r="D237" t="s">
        <v>81</v>
      </c>
      <c r="E237">
        <v>50000000</v>
      </c>
      <c r="H237">
        <v>9.6199999999999992</v>
      </c>
      <c r="I237" t="s">
        <v>56</v>
      </c>
      <c r="J237">
        <v>9.6199999999999996E-4</v>
      </c>
      <c r="K237" t="s">
        <v>57</v>
      </c>
      <c r="L237" t="s">
        <v>112</v>
      </c>
      <c r="O237">
        <v>120</v>
      </c>
      <c r="P237" t="s">
        <v>1303</v>
      </c>
      <c r="T237">
        <v>22.5</v>
      </c>
      <c r="V237">
        <v>50</v>
      </c>
      <c r="W237" t="s">
        <v>217</v>
      </c>
      <c r="X237" t="s">
        <v>114</v>
      </c>
      <c r="Y237">
        <v>1440</v>
      </c>
      <c r="AB237">
        <v>1.65</v>
      </c>
      <c r="AC237" t="s">
        <v>85</v>
      </c>
      <c r="AD237" t="s">
        <v>490</v>
      </c>
      <c r="AE237" t="s">
        <v>138</v>
      </c>
      <c r="AI237">
        <v>5</v>
      </c>
      <c r="AK237">
        <v>12</v>
      </c>
      <c r="AL237" t="s">
        <v>82</v>
      </c>
      <c r="AM237">
        <v>12</v>
      </c>
      <c r="AN237" t="s">
        <v>82</v>
      </c>
      <c r="AT237" t="s">
        <v>221</v>
      </c>
      <c r="AU237">
        <v>12.474012474012479</v>
      </c>
      <c r="AV237" t="s">
        <v>115</v>
      </c>
    </row>
    <row r="238" spans="1:53" x14ac:dyDescent="0.3">
      <c r="A238" t="s">
        <v>1248</v>
      </c>
      <c r="C238" t="s">
        <v>1275</v>
      </c>
      <c r="D238" t="s">
        <v>81</v>
      </c>
      <c r="E238">
        <v>50000000</v>
      </c>
      <c r="H238">
        <v>9.6199999999999992</v>
      </c>
      <c r="I238" t="s">
        <v>56</v>
      </c>
      <c r="J238">
        <v>9.6199999999999996E-4</v>
      </c>
      <c r="K238" t="s">
        <v>57</v>
      </c>
      <c r="L238" t="s">
        <v>112</v>
      </c>
      <c r="O238">
        <v>120</v>
      </c>
      <c r="P238" t="s">
        <v>1303</v>
      </c>
      <c r="T238">
        <v>22.5</v>
      </c>
      <c r="V238">
        <v>50</v>
      </c>
      <c r="W238" t="s">
        <v>217</v>
      </c>
      <c r="X238" t="s">
        <v>114</v>
      </c>
      <c r="Y238">
        <v>2880</v>
      </c>
      <c r="AB238">
        <v>3.5</v>
      </c>
      <c r="AC238" t="s">
        <v>85</v>
      </c>
      <c r="AD238" t="s">
        <v>325</v>
      </c>
      <c r="AE238" t="s">
        <v>138</v>
      </c>
      <c r="AI238">
        <v>5</v>
      </c>
      <c r="AK238">
        <v>12</v>
      </c>
      <c r="AL238" t="s">
        <v>82</v>
      </c>
      <c r="AM238">
        <v>12</v>
      </c>
      <c r="AN238" t="s">
        <v>82</v>
      </c>
      <c r="AT238" t="s">
        <v>221</v>
      </c>
      <c r="AU238">
        <v>12.474012474012479</v>
      </c>
      <c r="AV238" t="s">
        <v>115</v>
      </c>
    </row>
    <row r="239" spans="1:53" x14ac:dyDescent="0.3">
      <c r="A239" t="s">
        <v>1331</v>
      </c>
      <c r="C239" t="s">
        <v>1275</v>
      </c>
      <c r="D239" t="s">
        <v>81</v>
      </c>
      <c r="E239">
        <v>50000000</v>
      </c>
      <c r="H239">
        <v>196</v>
      </c>
      <c r="I239" t="s">
        <v>215</v>
      </c>
      <c r="J239">
        <v>0.12645136000000001</v>
      </c>
      <c r="K239" t="s">
        <v>57</v>
      </c>
      <c r="L239" t="s">
        <v>1332</v>
      </c>
      <c r="M239" t="s">
        <v>81</v>
      </c>
      <c r="N239" t="s">
        <v>1333</v>
      </c>
      <c r="O239">
        <v>6500</v>
      </c>
      <c r="P239" t="s">
        <v>121</v>
      </c>
      <c r="T239">
        <v>25</v>
      </c>
      <c r="V239">
        <v>50</v>
      </c>
      <c r="W239" t="s">
        <v>1217</v>
      </c>
      <c r="X239" t="s">
        <v>1334</v>
      </c>
      <c r="Y239">
        <v>30</v>
      </c>
      <c r="AA239" t="s">
        <v>184</v>
      </c>
      <c r="AB239">
        <v>6.54</v>
      </c>
      <c r="AC239" t="s">
        <v>1212</v>
      </c>
      <c r="AD239" t="s">
        <v>939</v>
      </c>
      <c r="AH239">
        <v>6.34</v>
      </c>
      <c r="AI239">
        <v>6</v>
      </c>
      <c r="AK239">
        <v>0.34</v>
      </c>
      <c r="AL239" t="s">
        <v>1167</v>
      </c>
      <c r="AM239">
        <v>340</v>
      </c>
      <c r="AN239" t="s">
        <v>82</v>
      </c>
      <c r="AQ239" t="s">
        <v>128</v>
      </c>
      <c r="AS239" t="s">
        <v>1213</v>
      </c>
      <c r="AT239" t="s">
        <v>77</v>
      </c>
      <c r="AU239">
        <v>2.6887755102040818</v>
      </c>
      <c r="AV239" t="s">
        <v>1335</v>
      </c>
      <c r="AZ239">
        <v>0</v>
      </c>
      <c r="BA239">
        <v>6.34</v>
      </c>
    </row>
    <row r="240" spans="1:53" x14ac:dyDescent="0.3">
      <c r="A240" t="s">
        <v>1331</v>
      </c>
      <c r="C240" t="s">
        <v>1275</v>
      </c>
      <c r="D240" t="s">
        <v>81</v>
      </c>
      <c r="E240">
        <v>50000000</v>
      </c>
      <c r="H240">
        <v>196</v>
      </c>
      <c r="I240" t="s">
        <v>215</v>
      </c>
      <c r="J240">
        <v>0.12645136000000001</v>
      </c>
      <c r="K240" t="s">
        <v>57</v>
      </c>
      <c r="L240" t="s">
        <v>1336</v>
      </c>
      <c r="M240" t="s">
        <v>81</v>
      </c>
      <c r="N240" t="s">
        <v>1333</v>
      </c>
      <c r="O240">
        <v>6500</v>
      </c>
      <c r="P240" t="s">
        <v>121</v>
      </c>
      <c r="T240">
        <v>25</v>
      </c>
      <c r="V240">
        <v>50</v>
      </c>
      <c r="W240" t="s">
        <v>1337</v>
      </c>
      <c r="X240" t="s">
        <v>1334</v>
      </c>
      <c r="Y240">
        <v>30</v>
      </c>
      <c r="AA240" t="s">
        <v>184</v>
      </c>
      <c r="AB240">
        <v>6.77</v>
      </c>
      <c r="AC240" t="s">
        <v>1212</v>
      </c>
      <c r="AD240" t="s">
        <v>511</v>
      </c>
      <c r="AH240">
        <v>6.62</v>
      </c>
      <c r="AI240">
        <v>6</v>
      </c>
      <c r="AK240">
        <v>0.34</v>
      </c>
      <c r="AL240" t="s">
        <v>1167</v>
      </c>
      <c r="AM240">
        <v>340</v>
      </c>
      <c r="AN240" t="s">
        <v>82</v>
      </c>
      <c r="AQ240" t="s">
        <v>128</v>
      </c>
      <c r="AS240" t="s">
        <v>1213</v>
      </c>
      <c r="AT240" t="s">
        <v>458</v>
      </c>
      <c r="AU240">
        <v>2.6887755102040818</v>
      </c>
      <c r="AV240" t="s">
        <v>1335</v>
      </c>
      <c r="AZ240">
        <v>0</v>
      </c>
      <c r="BA240">
        <v>6.62</v>
      </c>
    </row>
    <row r="241" spans="1:53" x14ac:dyDescent="0.3">
      <c r="A241" t="s">
        <v>1331</v>
      </c>
      <c r="C241" t="s">
        <v>1275</v>
      </c>
      <c r="D241" t="s">
        <v>81</v>
      </c>
      <c r="E241">
        <v>50000000</v>
      </c>
      <c r="H241">
        <v>196</v>
      </c>
      <c r="I241" t="s">
        <v>215</v>
      </c>
      <c r="J241">
        <v>0.12645136000000001</v>
      </c>
      <c r="K241" t="s">
        <v>57</v>
      </c>
      <c r="L241" t="s">
        <v>1338</v>
      </c>
      <c r="M241" t="s">
        <v>81</v>
      </c>
      <c r="N241" t="s">
        <v>1333</v>
      </c>
      <c r="O241">
        <v>6500</v>
      </c>
      <c r="P241" t="s">
        <v>121</v>
      </c>
      <c r="T241">
        <v>25</v>
      </c>
      <c r="V241">
        <v>50</v>
      </c>
      <c r="W241" t="s">
        <v>1217</v>
      </c>
      <c r="X241" t="s">
        <v>1334</v>
      </c>
      <c r="Y241">
        <v>30</v>
      </c>
      <c r="AA241" t="s">
        <v>184</v>
      </c>
      <c r="AB241">
        <v>6.6</v>
      </c>
      <c r="AC241" t="s">
        <v>1212</v>
      </c>
      <c r="AD241" t="s">
        <v>511</v>
      </c>
      <c r="AH241">
        <v>6.46</v>
      </c>
      <c r="AI241">
        <v>6</v>
      </c>
      <c r="AK241">
        <v>1.8499999999999901</v>
      </c>
      <c r="AL241" t="s">
        <v>1167</v>
      </c>
      <c r="AM241">
        <v>1849.99999999999</v>
      </c>
      <c r="AN241" t="s">
        <v>82</v>
      </c>
      <c r="AS241" t="s">
        <v>1213</v>
      </c>
      <c r="AT241" t="s">
        <v>77</v>
      </c>
      <c r="AU241">
        <v>14.630102040816251</v>
      </c>
      <c r="AV241" t="s">
        <v>1335</v>
      </c>
      <c r="AZ241">
        <v>0</v>
      </c>
      <c r="BA241">
        <v>6.46</v>
      </c>
    </row>
    <row r="242" spans="1:53" x14ac:dyDescent="0.3">
      <c r="A242" t="s">
        <v>1331</v>
      </c>
      <c r="C242" t="s">
        <v>1275</v>
      </c>
      <c r="D242" t="s">
        <v>81</v>
      </c>
      <c r="E242">
        <v>50000000</v>
      </c>
      <c r="H242">
        <v>196</v>
      </c>
      <c r="I242" t="s">
        <v>215</v>
      </c>
      <c r="J242">
        <v>0.12645136000000001</v>
      </c>
      <c r="K242" t="s">
        <v>57</v>
      </c>
      <c r="L242" t="s">
        <v>1339</v>
      </c>
      <c r="M242" t="s">
        <v>81</v>
      </c>
      <c r="N242" t="s">
        <v>1333</v>
      </c>
      <c r="O242">
        <v>6500</v>
      </c>
      <c r="P242" t="s">
        <v>121</v>
      </c>
      <c r="T242">
        <v>25</v>
      </c>
      <c r="V242">
        <v>50</v>
      </c>
      <c r="W242" t="s">
        <v>1337</v>
      </c>
      <c r="X242" t="s">
        <v>1334</v>
      </c>
      <c r="Y242">
        <v>30</v>
      </c>
      <c r="AA242" t="s">
        <v>184</v>
      </c>
      <c r="AB242">
        <v>6.74</v>
      </c>
      <c r="AC242" t="s">
        <v>1212</v>
      </c>
      <c r="AD242" t="s">
        <v>235</v>
      </c>
      <c r="AH242">
        <v>6.55</v>
      </c>
      <c r="AI242">
        <v>6</v>
      </c>
      <c r="AK242">
        <v>1.8499999999999901</v>
      </c>
      <c r="AL242" t="s">
        <v>1167</v>
      </c>
      <c r="AM242">
        <v>1849.99999999999</v>
      </c>
      <c r="AN242" t="s">
        <v>82</v>
      </c>
      <c r="AQ242" t="s">
        <v>128</v>
      </c>
      <c r="AS242" t="s">
        <v>1213</v>
      </c>
      <c r="AT242" t="s">
        <v>458</v>
      </c>
      <c r="AU242">
        <v>14.630102040816251</v>
      </c>
      <c r="AV242" t="s">
        <v>1335</v>
      </c>
      <c r="AZ242">
        <v>0</v>
      </c>
      <c r="BA242">
        <v>6.55</v>
      </c>
    </row>
    <row r="243" spans="1:53" x14ac:dyDescent="0.3">
      <c r="A243" t="s">
        <v>1331</v>
      </c>
      <c r="C243" t="s">
        <v>1275</v>
      </c>
      <c r="D243" t="s">
        <v>81</v>
      </c>
      <c r="E243">
        <v>50000000</v>
      </c>
      <c r="H243">
        <v>196</v>
      </c>
      <c r="I243" t="s">
        <v>215</v>
      </c>
      <c r="J243">
        <v>0.12645136000000001</v>
      </c>
      <c r="K243" t="s">
        <v>57</v>
      </c>
      <c r="L243" t="s">
        <v>1340</v>
      </c>
      <c r="M243" t="s">
        <v>81</v>
      </c>
      <c r="O243">
        <v>0.08</v>
      </c>
      <c r="P243" t="s">
        <v>59</v>
      </c>
      <c r="T243">
        <v>25</v>
      </c>
      <c r="V243">
        <v>50</v>
      </c>
      <c r="W243" t="s">
        <v>1217</v>
      </c>
      <c r="X243" t="s">
        <v>1334</v>
      </c>
      <c r="Y243">
        <v>15</v>
      </c>
      <c r="AB243">
        <v>1.63</v>
      </c>
      <c r="AC243" t="s">
        <v>1212</v>
      </c>
      <c r="AD243" t="s">
        <v>228</v>
      </c>
      <c r="AE243" t="s">
        <v>63</v>
      </c>
      <c r="AH243">
        <v>6.38</v>
      </c>
      <c r="AI243">
        <v>6</v>
      </c>
      <c r="AK243">
        <v>0.34</v>
      </c>
      <c r="AL243" t="s">
        <v>1167</v>
      </c>
      <c r="AM243">
        <v>340</v>
      </c>
      <c r="AN243" t="s">
        <v>82</v>
      </c>
      <c r="AS243" t="s">
        <v>1213</v>
      </c>
      <c r="AT243" t="s">
        <v>77</v>
      </c>
      <c r="AU243">
        <v>2.6887755102040818</v>
      </c>
      <c r="AV243" t="s">
        <v>1335</v>
      </c>
      <c r="BA243">
        <v>6.38</v>
      </c>
    </row>
    <row r="244" spans="1:53" x14ac:dyDescent="0.3">
      <c r="A244" t="s">
        <v>1331</v>
      </c>
      <c r="C244" t="s">
        <v>1275</v>
      </c>
      <c r="D244" t="s">
        <v>81</v>
      </c>
      <c r="E244">
        <v>50000000</v>
      </c>
      <c r="H244">
        <v>196</v>
      </c>
      <c r="I244" t="s">
        <v>215</v>
      </c>
      <c r="J244">
        <v>0.12645136000000001</v>
      </c>
      <c r="K244" t="s">
        <v>57</v>
      </c>
      <c r="L244" t="s">
        <v>1341</v>
      </c>
      <c r="M244" t="s">
        <v>81</v>
      </c>
      <c r="O244">
        <v>0.08</v>
      </c>
      <c r="P244" t="s">
        <v>59</v>
      </c>
      <c r="T244">
        <v>25</v>
      </c>
      <c r="V244">
        <v>50</v>
      </c>
      <c r="W244" t="s">
        <v>1337</v>
      </c>
      <c r="X244" t="s">
        <v>1334</v>
      </c>
      <c r="Y244">
        <v>15</v>
      </c>
      <c r="AA244" t="s">
        <v>184</v>
      </c>
      <c r="AB244">
        <v>6.8</v>
      </c>
      <c r="AC244" t="s">
        <v>1212</v>
      </c>
      <c r="AD244" t="s">
        <v>235</v>
      </c>
      <c r="AH244">
        <v>6.65</v>
      </c>
      <c r="AI244">
        <v>6</v>
      </c>
      <c r="AK244">
        <v>0.34</v>
      </c>
      <c r="AL244" t="s">
        <v>1167</v>
      </c>
      <c r="AM244">
        <v>340</v>
      </c>
      <c r="AN244" t="s">
        <v>82</v>
      </c>
      <c r="AS244" t="s">
        <v>1213</v>
      </c>
      <c r="AT244" t="s">
        <v>458</v>
      </c>
      <c r="AU244">
        <v>2.6887755102040818</v>
      </c>
      <c r="AV244" t="s">
        <v>1335</v>
      </c>
      <c r="AZ244">
        <v>0</v>
      </c>
      <c r="BA244">
        <v>6.65</v>
      </c>
    </row>
    <row r="245" spans="1:53" x14ac:dyDescent="0.3">
      <c r="A245" t="s">
        <v>1331</v>
      </c>
      <c r="C245" t="s">
        <v>1275</v>
      </c>
      <c r="D245" t="s">
        <v>81</v>
      </c>
      <c r="E245">
        <v>50000000</v>
      </c>
      <c r="H245">
        <v>196</v>
      </c>
      <c r="I245" t="s">
        <v>215</v>
      </c>
      <c r="J245">
        <v>0.12645136000000001</v>
      </c>
      <c r="K245" t="s">
        <v>57</v>
      </c>
      <c r="L245" t="s">
        <v>1342</v>
      </c>
      <c r="M245" t="s">
        <v>81</v>
      </c>
      <c r="O245">
        <v>0.08</v>
      </c>
      <c r="P245" t="s">
        <v>59</v>
      </c>
      <c r="T245">
        <v>25</v>
      </c>
      <c r="V245">
        <v>50</v>
      </c>
      <c r="W245" t="s">
        <v>1217</v>
      </c>
      <c r="X245" t="s">
        <v>1334</v>
      </c>
      <c r="Y245">
        <v>30</v>
      </c>
      <c r="AB245">
        <v>2.8</v>
      </c>
      <c r="AC245" t="s">
        <v>1212</v>
      </c>
      <c r="AD245" t="s">
        <v>638</v>
      </c>
      <c r="AE245" t="s">
        <v>63</v>
      </c>
      <c r="AH245">
        <v>6.4</v>
      </c>
      <c r="AI245">
        <v>6</v>
      </c>
      <c r="AK245">
        <v>1.42</v>
      </c>
      <c r="AL245" t="s">
        <v>1167</v>
      </c>
      <c r="AM245">
        <v>1420</v>
      </c>
      <c r="AN245" t="s">
        <v>82</v>
      </c>
      <c r="AQ245" t="s">
        <v>128</v>
      </c>
      <c r="AS245" t="s">
        <v>1213</v>
      </c>
      <c r="AT245" t="s">
        <v>77</v>
      </c>
      <c r="AU245">
        <v>11.22959183673469</v>
      </c>
      <c r="AV245" t="s">
        <v>1335</v>
      </c>
      <c r="BA245">
        <v>6.4</v>
      </c>
    </row>
    <row r="246" spans="1:53" x14ac:dyDescent="0.3">
      <c r="A246" t="s">
        <v>1331</v>
      </c>
      <c r="C246" t="s">
        <v>1275</v>
      </c>
      <c r="D246" t="s">
        <v>81</v>
      </c>
      <c r="E246">
        <v>50000000</v>
      </c>
      <c r="H246">
        <v>196</v>
      </c>
      <c r="I246" t="s">
        <v>215</v>
      </c>
      <c r="J246">
        <v>0.12645136000000001</v>
      </c>
      <c r="K246" t="s">
        <v>57</v>
      </c>
      <c r="L246" t="s">
        <v>1343</v>
      </c>
      <c r="M246" t="s">
        <v>81</v>
      </c>
      <c r="O246">
        <v>0.08</v>
      </c>
      <c r="P246" t="s">
        <v>59</v>
      </c>
      <c r="T246">
        <v>25</v>
      </c>
      <c r="V246">
        <v>50</v>
      </c>
      <c r="W246" t="s">
        <v>1337</v>
      </c>
      <c r="X246" t="s">
        <v>1334</v>
      </c>
      <c r="Y246">
        <v>34</v>
      </c>
      <c r="AA246" t="s">
        <v>184</v>
      </c>
      <c r="AB246">
        <v>6.99</v>
      </c>
      <c r="AC246" t="s">
        <v>1212</v>
      </c>
      <c r="AD246" t="s">
        <v>939</v>
      </c>
      <c r="AH246">
        <v>6.79</v>
      </c>
      <c r="AI246">
        <v>6</v>
      </c>
      <c r="AK246">
        <v>0.71</v>
      </c>
      <c r="AL246" t="s">
        <v>1167</v>
      </c>
      <c r="AM246">
        <v>710</v>
      </c>
      <c r="AN246" t="s">
        <v>82</v>
      </c>
      <c r="AQ246" t="s">
        <v>128</v>
      </c>
      <c r="AS246" t="s">
        <v>1213</v>
      </c>
      <c r="AT246" t="s">
        <v>458</v>
      </c>
      <c r="AU246">
        <v>5.6147959183673466</v>
      </c>
      <c r="AV246" t="s">
        <v>1335</v>
      </c>
      <c r="AZ246">
        <v>0</v>
      </c>
      <c r="BA246">
        <v>6.79</v>
      </c>
    </row>
    <row r="247" spans="1:53" x14ac:dyDescent="0.3">
      <c r="A247" t="s">
        <v>1331</v>
      </c>
      <c r="C247" t="s">
        <v>1275</v>
      </c>
      <c r="D247" t="s">
        <v>81</v>
      </c>
      <c r="E247">
        <v>50000000</v>
      </c>
      <c r="H247">
        <v>196</v>
      </c>
      <c r="I247" t="s">
        <v>215</v>
      </c>
      <c r="J247">
        <v>0.12645136000000001</v>
      </c>
      <c r="K247" t="s">
        <v>57</v>
      </c>
      <c r="L247" t="s">
        <v>1344</v>
      </c>
      <c r="M247" t="s">
        <v>81</v>
      </c>
      <c r="N247" t="s">
        <v>1333</v>
      </c>
      <c r="O247">
        <v>6500</v>
      </c>
      <c r="P247" t="s">
        <v>121</v>
      </c>
      <c r="T247">
        <v>25</v>
      </c>
      <c r="V247">
        <v>50</v>
      </c>
      <c r="W247" t="s">
        <v>1217</v>
      </c>
      <c r="X247" t="s">
        <v>1334</v>
      </c>
      <c r="Y247">
        <v>15</v>
      </c>
      <c r="AA247" t="s">
        <v>184</v>
      </c>
      <c r="AB247">
        <v>6.3</v>
      </c>
      <c r="AC247" t="s">
        <v>1212</v>
      </c>
      <c r="AD247" t="s">
        <v>248</v>
      </c>
      <c r="AH247">
        <v>6.14</v>
      </c>
      <c r="AI247">
        <v>6</v>
      </c>
      <c r="AK247">
        <v>5.6666666666666601E-2</v>
      </c>
      <c r="AL247" t="s">
        <v>1167</v>
      </c>
      <c r="AM247">
        <v>56.6666666666666</v>
      </c>
      <c r="AN247" t="s">
        <v>82</v>
      </c>
      <c r="AQ247" t="s">
        <v>128</v>
      </c>
      <c r="AS247" t="s">
        <v>1213</v>
      </c>
      <c r="AT247" t="s">
        <v>77</v>
      </c>
      <c r="AU247">
        <v>0.4481292517006798</v>
      </c>
      <c r="AV247" t="s">
        <v>1335</v>
      </c>
      <c r="AZ247">
        <v>0</v>
      </c>
      <c r="BA247">
        <v>6.14</v>
      </c>
    </row>
    <row r="248" spans="1:53" x14ac:dyDescent="0.3">
      <c r="A248" t="s">
        <v>1331</v>
      </c>
      <c r="C248" t="s">
        <v>1275</v>
      </c>
      <c r="D248" t="s">
        <v>81</v>
      </c>
      <c r="E248">
        <v>50000000</v>
      </c>
      <c r="H248">
        <v>196</v>
      </c>
      <c r="I248" t="s">
        <v>215</v>
      </c>
      <c r="J248">
        <v>0.12645136000000001</v>
      </c>
      <c r="K248" t="s">
        <v>57</v>
      </c>
      <c r="L248" t="s">
        <v>1345</v>
      </c>
      <c r="M248" t="s">
        <v>81</v>
      </c>
      <c r="N248" t="s">
        <v>1333</v>
      </c>
      <c r="O248">
        <v>6500</v>
      </c>
      <c r="P248" t="s">
        <v>121</v>
      </c>
      <c r="T248">
        <v>25</v>
      </c>
      <c r="V248">
        <v>50</v>
      </c>
      <c r="W248" t="s">
        <v>1337</v>
      </c>
      <c r="X248" t="s">
        <v>1334</v>
      </c>
      <c r="Y248">
        <v>23</v>
      </c>
      <c r="Z248">
        <v>4</v>
      </c>
      <c r="AB248">
        <v>4.04</v>
      </c>
      <c r="AC248" t="s">
        <v>1212</v>
      </c>
      <c r="AD248" t="s">
        <v>656</v>
      </c>
      <c r="AE248" t="s">
        <v>63</v>
      </c>
      <c r="AH248">
        <v>6.25</v>
      </c>
      <c r="AI248">
        <v>6</v>
      </c>
      <c r="AK248">
        <v>5.6666666666666601E-2</v>
      </c>
      <c r="AL248" t="s">
        <v>1167</v>
      </c>
      <c r="AM248">
        <v>56.6666666666666</v>
      </c>
      <c r="AN248" t="s">
        <v>82</v>
      </c>
      <c r="AQ248" t="s">
        <v>128</v>
      </c>
      <c r="AS248" t="s">
        <v>1213</v>
      </c>
      <c r="AT248" t="s">
        <v>458</v>
      </c>
      <c r="AU248">
        <v>0.4481292517006798</v>
      </c>
      <c r="AV248" t="s">
        <v>1335</v>
      </c>
      <c r="BA248">
        <v>6.25</v>
      </c>
    </row>
    <row r="249" spans="1:53" x14ac:dyDescent="0.3">
      <c r="A249" t="s">
        <v>1331</v>
      </c>
      <c r="C249" t="s">
        <v>1275</v>
      </c>
      <c r="D249" t="s">
        <v>81</v>
      </c>
      <c r="E249">
        <v>50000000</v>
      </c>
      <c r="H249">
        <v>1600</v>
      </c>
      <c r="I249" t="s">
        <v>215</v>
      </c>
      <c r="J249">
        <v>1.0322560000000001</v>
      </c>
      <c r="K249" t="s">
        <v>57</v>
      </c>
      <c r="L249" t="s">
        <v>1346</v>
      </c>
      <c r="M249" t="s">
        <v>81</v>
      </c>
      <c r="N249" t="s">
        <v>1333</v>
      </c>
      <c r="O249">
        <v>6500</v>
      </c>
      <c r="P249" t="s">
        <v>121</v>
      </c>
      <c r="T249">
        <v>25</v>
      </c>
      <c r="V249">
        <v>50</v>
      </c>
      <c r="W249" t="s">
        <v>1217</v>
      </c>
      <c r="X249" t="s">
        <v>1334</v>
      </c>
      <c r="Y249">
        <v>30</v>
      </c>
      <c r="Z249">
        <v>8</v>
      </c>
      <c r="AA249" t="s">
        <v>184</v>
      </c>
      <c r="AB249">
        <v>6.4</v>
      </c>
      <c r="AC249" t="s">
        <v>1212</v>
      </c>
      <c r="AD249" t="s">
        <v>98</v>
      </c>
      <c r="AH249">
        <v>6.22</v>
      </c>
      <c r="AI249">
        <v>2</v>
      </c>
      <c r="AK249">
        <v>1.02</v>
      </c>
      <c r="AL249" t="s">
        <v>1167</v>
      </c>
      <c r="AM249">
        <v>1020</v>
      </c>
      <c r="AN249" t="s">
        <v>82</v>
      </c>
      <c r="AS249" t="s">
        <v>1213</v>
      </c>
      <c r="AT249" t="s">
        <v>77</v>
      </c>
      <c r="AU249">
        <v>0.98812500000000003</v>
      </c>
      <c r="AV249" t="s">
        <v>1335</v>
      </c>
      <c r="AZ249">
        <v>0</v>
      </c>
      <c r="BA249">
        <v>6.22</v>
      </c>
    </row>
    <row r="250" spans="1:53" x14ac:dyDescent="0.3">
      <c r="A250" t="s">
        <v>1331</v>
      </c>
      <c r="C250" t="s">
        <v>1275</v>
      </c>
      <c r="D250" t="s">
        <v>81</v>
      </c>
      <c r="E250">
        <v>50000000</v>
      </c>
      <c r="H250">
        <v>1600</v>
      </c>
      <c r="I250" t="s">
        <v>215</v>
      </c>
      <c r="J250">
        <v>1.0322560000000001</v>
      </c>
      <c r="K250" t="s">
        <v>57</v>
      </c>
      <c r="L250" t="s">
        <v>1347</v>
      </c>
      <c r="M250" t="s">
        <v>81</v>
      </c>
      <c r="N250" t="s">
        <v>1333</v>
      </c>
      <c r="O250">
        <v>6500</v>
      </c>
      <c r="P250" t="s">
        <v>121</v>
      </c>
      <c r="T250">
        <v>25</v>
      </c>
      <c r="V250">
        <v>50</v>
      </c>
      <c r="W250" t="s">
        <v>1337</v>
      </c>
      <c r="X250" t="s">
        <v>1334</v>
      </c>
      <c r="Y250">
        <v>30</v>
      </c>
      <c r="Z250">
        <v>2</v>
      </c>
      <c r="AB250">
        <v>5.65</v>
      </c>
      <c r="AC250" t="s">
        <v>1212</v>
      </c>
      <c r="AD250" t="s">
        <v>98</v>
      </c>
      <c r="AE250" t="s">
        <v>63</v>
      </c>
      <c r="AH250">
        <v>6.4550000000000001</v>
      </c>
      <c r="AI250">
        <v>2</v>
      </c>
      <c r="AK250">
        <v>1.02</v>
      </c>
      <c r="AL250" t="s">
        <v>1167</v>
      </c>
      <c r="AM250">
        <v>1020</v>
      </c>
      <c r="AN250" t="s">
        <v>82</v>
      </c>
      <c r="AS250" t="s">
        <v>1213</v>
      </c>
      <c r="AT250" t="s">
        <v>458</v>
      </c>
      <c r="AU250">
        <v>0.98812500000000003</v>
      </c>
      <c r="AV250" t="s">
        <v>1335</v>
      </c>
      <c r="BA250">
        <v>6.4550000000000001</v>
      </c>
    </row>
    <row r="251" spans="1:53" x14ac:dyDescent="0.3">
      <c r="A251" t="s">
        <v>1331</v>
      </c>
      <c r="C251" t="s">
        <v>1275</v>
      </c>
      <c r="D251" t="s">
        <v>81</v>
      </c>
      <c r="E251">
        <v>50000000</v>
      </c>
      <c r="H251">
        <v>1600</v>
      </c>
      <c r="I251" t="s">
        <v>215</v>
      </c>
      <c r="J251">
        <v>1.0322560000000001</v>
      </c>
      <c r="K251" t="s">
        <v>57</v>
      </c>
      <c r="L251" t="s">
        <v>1348</v>
      </c>
      <c r="M251" t="s">
        <v>81</v>
      </c>
      <c r="N251" t="s">
        <v>1333</v>
      </c>
      <c r="O251">
        <v>6500</v>
      </c>
      <c r="P251" t="s">
        <v>121</v>
      </c>
      <c r="T251">
        <v>25</v>
      </c>
      <c r="V251">
        <v>50</v>
      </c>
      <c r="W251" t="s">
        <v>1217</v>
      </c>
      <c r="X251" t="s">
        <v>1334</v>
      </c>
      <c r="Y251">
        <v>30</v>
      </c>
      <c r="Z251">
        <v>4</v>
      </c>
      <c r="AB251">
        <v>6.1</v>
      </c>
      <c r="AC251" t="s">
        <v>1212</v>
      </c>
      <c r="AD251" t="s">
        <v>585</v>
      </c>
      <c r="AE251" t="s">
        <v>63</v>
      </c>
      <c r="AH251">
        <v>6.7349999999999897</v>
      </c>
      <c r="AI251">
        <v>2</v>
      </c>
      <c r="AK251">
        <v>1.02</v>
      </c>
      <c r="AL251" t="s">
        <v>1167</v>
      </c>
      <c r="AM251">
        <v>1020</v>
      </c>
      <c r="AN251" t="s">
        <v>82</v>
      </c>
      <c r="AQ251" t="s">
        <v>128</v>
      </c>
      <c r="AR251">
        <v>2</v>
      </c>
      <c r="AT251" t="s">
        <v>77</v>
      </c>
      <c r="AU251">
        <v>0.98812500000000003</v>
      </c>
      <c r="AV251" t="s">
        <v>1335</v>
      </c>
      <c r="AZ251">
        <v>2</v>
      </c>
      <c r="BA251">
        <v>6.7349999999999897</v>
      </c>
    </row>
    <row r="252" spans="1:53" x14ac:dyDescent="0.3">
      <c r="A252" t="s">
        <v>1331</v>
      </c>
      <c r="C252" t="s">
        <v>1275</v>
      </c>
      <c r="D252" t="s">
        <v>81</v>
      </c>
      <c r="E252">
        <v>50000000</v>
      </c>
      <c r="H252">
        <v>1600</v>
      </c>
      <c r="I252" t="s">
        <v>215</v>
      </c>
      <c r="J252">
        <v>1.0322560000000001</v>
      </c>
      <c r="K252" t="s">
        <v>57</v>
      </c>
      <c r="L252" t="s">
        <v>1349</v>
      </c>
      <c r="M252" t="s">
        <v>81</v>
      </c>
      <c r="N252" t="s">
        <v>1333</v>
      </c>
      <c r="O252">
        <v>6500</v>
      </c>
      <c r="P252" t="s">
        <v>121</v>
      </c>
      <c r="T252">
        <v>25</v>
      </c>
      <c r="V252">
        <v>50</v>
      </c>
      <c r="W252" t="s">
        <v>1337</v>
      </c>
      <c r="X252" t="s">
        <v>1334</v>
      </c>
      <c r="Y252">
        <v>30</v>
      </c>
      <c r="Z252">
        <v>6</v>
      </c>
      <c r="AB252">
        <v>5.6</v>
      </c>
      <c r="AC252" t="s">
        <v>1212</v>
      </c>
      <c r="AD252" t="s">
        <v>585</v>
      </c>
      <c r="AE252" t="s">
        <v>63</v>
      </c>
      <c r="AH252">
        <v>6.46</v>
      </c>
      <c r="AI252">
        <v>2</v>
      </c>
      <c r="AK252">
        <v>1.02</v>
      </c>
      <c r="AL252" t="s">
        <v>1167</v>
      </c>
      <c r="AM252">
        <v>1020</v>
      </c>
      <c r="AN252" t="s">
        <v>82</v>
      </c>
      <c r="AQ252" t="s">
        <v>128</v>
      </c>
      <c r="AT252" t="s">
        <v>458</v>
      </c>
      <c r="AU252">
        <v>0.98812500000000003</v>
      </c>
      <c r="AV252" t="s">
        <v>1335</v>
      </c>
      <c r="BA252">
        <v>6.46</v>
      </c>
    </row>
    <row r="253" spans="1:53" x14ac:dyDescent="0.3">
      <c r="A253" t="s">
        <v>1350</v>
      </c>
      <c r="C253" t="s">
        <v>1275</v>
      </c>
      <c r="D253" t="s">
        <v>81</v>
      </c>
      <c r="E253">
        <v>50000000</v>
      </c>
      <c r="H253">
        <v>14.25</v>
      </c>
      <c r="I253" t="s">
        <v>56</v>
      </c>
      <c r="J253">
        <v>1.4250000000000001E-3</v>
      </c>
      <c r="K253" t="s">
        <v>57</v>
      </c>
      <c r="L253" t="s">
        <v>112</v>
      </c>
      <c r="N253" t="s">
        <v>314</v>
      </c>
      <c r="O253">
        <v>3000</v>
      </c>
      <c r="P253" t="s">
        <v>121</v>
      </c>
      <c r="S253">
        <v>2</v>
      </c>
      <c r="T253">
        <v>22</v>
      </c>
      <c r="V253">
        <v>50</v>
      </c>
      <c r="W253" t="s">
        <v>547</v>
      </c>
      <c r="X253" t="s">
        <v>135</v>
      </c>
      <c r="Y253">
        <v>60</v>
      </c>
      <c r="Z253">
        <v>12</v>
      </c>
      <c r="AB253">
        <v>0.57999999999999896</v>
      </c>
      <c r="AC253" t="s">
        <v>85</v>
      </c>
      <c r="AD253" t="s">
        <v>242</v>
      </c>
      <c r="AE253" t="s">
        <v>138</v>
      </c>
      <c r="AI253">
        <v>5</v>
      </c>
      <c r="AJ253" t="s">
        <v>201</v>
      </c>
      <c r="AK253">
        <v>0.24</v>
      </c>
      <c r="AL253" t="s">
        <v>409</v>
      </c>
      <c r="AT253" t="s">
        <v>73</v>
      </c>
      <c r="AU253">
        <v>0.16842105263157889</v>
      </c>
      <c r="AV253" t="s">
        <v>1250</v>
      </c>
    </row>
    <row r="254" spans="1:53" x14ac:dyDescent="0.3">
      <c r="A254" t="s">
        <v>1350</v>
      </c>
      <c r="C254" t="s">
        <v>1275</v>
      </c>
      <c r="D254" t="s">
        <v>81</v>
      </c>
      <c r="E254">
        <v>50000000</v>
      </c>
      <c r="H254">
        <v>14.25</v>
      </c>
      <c r="I254" t="s">
        <v>56</v>
      </c>
      <c r="J254">
        <v>1.4250000000000001E-3</v>
      </c>
      <c r="K254" t="s">
        <v>57</v>
      </c>
      <c r="L254" t="s">
        <v>112</v>
      </c>
      <c r="N254" t="s">
        <v>314</v>
      </c>
      <c r="O254">
        <v>3000</v>
      </c>
      <c r="P254" t="s">
        <v>121</v>
      </c>
      <c r="S254">
        <v>2</v>
      </c>
      <c r="T254">
        <v>22</v>
      </c>
      <c r="V254">
        <v>50</v>
      </c>
      <c r="W254" t="s">
        <v>463</v>
      </c>
      <c r="X254" t="s">
        <v>135</v>
      </c>
      <c r="Y254">
        <v>60</v>
      </c>
      <c r="Z254">
        <v>6</v>
      </c>
      <c r="AB254">
        <v>5.95</v>
      </c>
      <c r="AC254" t="s">
        <v>85</v>
      </c>
      <c r="AD254" t="s">
        <v>1351</v>
      </c>
      <c r="AE254" t="s">
        <v>138</v>
      </c>
      <c r="AI254">
        <v>5</v>
      </c>
      <c r="AJ254" t="s">
        <v>201</v>
      </c>
      <c r="AK254">
        <v>0.22</v>
      </c>
      <c r="AL254" t="s">
        <v>409</v>
      </c>
      <c r="AT254" t="s">
        <v>360</v>
      </c>
      <c r="AU254">
        <v>0.15438596491228071</v>
      </c>
      <c r="AV254" t="s">
        <v>1250</v>
      </c>
    </row>
    <row r="255" spans="1:53" x14ac:dyDescent="0.3">
      <c r="A255" t="s">
        <v>1350</v>
      </c>
      <c r="C255" t="s">
        <v>1275</v>
      </c>
      <c r="D255" t="s">
        <v>81</v>
      </c>
      <c r="E255">
        <v>50000000</v>
      </c>
      <c r="H255">
        <v>14.25</v>
      </c>
      <c r="I255" t="s">
        <v>56</v>
      </c>
      <c r="J255">
        <v>1.4250000000000001E-3</v>
      </c>
      <c r="K255" t="s">
        <v>57</v>
      </c>
      <c r="L255" t="s">
        <v>112</v>
      </c>
      <c r="N255" t="s">
        <v>314</v>
      </c>
      <c r="O255">
        <v>3000</v>
      </c>
      <c r="P255" t="s">
        <v>121</v>
      </c>
      <c r="S255">
        <v>2</v>
      </c>
      <c r="T255">
        <v>22</v>
      </c>
      <c r="V255">
        <v>50</v>
      </c>
      <c r="W255" t="s">
        <v>469</v>
      </c>
      <c r="X255" t="s">
        <v>135</v>
      </c>
      <c r="Y255">
        <v>60</v>
      </c>
      <c r="Z255">
        <v>6</v>
      </c>
      <c r="AB255">
        <v>4.58</v>
      </c>
      <c r="AC255" t="s">
        <v>85</v>
      </c>
      <c r="AD255" t="s">
        <v>248</v>
      </c>
      <c r="AE255" t="s">
        <v>138</v>
      </c>
      <c r="AI255">
        <v>5</v>
      </c>
      <c r="AJ255" t="s">
        <v>201</v>
      </c>
      <c r="AK255">
        <v>0.2</v>
      </c>
      <c r="AL255" t="s">
        <v>409</v>
      </c>
      <c r="AT255" t="s">
        <v>65</v>
      </c>
      <c r="AU255">
        <v>0.14035087719298239</v>
      </c>
      <c r="AV255" t="s">
        <v>1250</v>
      </c>
    </row>
    <row r="256" spans="1:53" x14ac:dyDescent="0.3">
      <c r="A256" t="s">
        <v>1350</v>
      </c>
      <c r="C256" t="s">
        <v>1275</v>
      </c>
      <c r="D256" t="s">
        <v>81</v>
      </c>
      <c r="E256">
        <v>50000000</v>
      </c>
      <c r="H256">
        <v>14.25</v>
      </c>
      <c r="I256" t="s">
        <v>56</v>
      </c>
      <c r="J256">
        <v>1.4250000000000001E-3</v>
      </c>
      <c r="K256" t="s">
        <v>57</v>
      </c>
      <c r="L256" t="s">
        <v>112</v>
      </c>
      <c r="N256" t="s">
        <v>314</v>
      </c>
      <c r="O256">
        <v>3000</v>
      </c>
      <c r="P256" t="s">
        <v>121</v>
      </c>
      <c r="S256">
        <v>2</v>
      </c>
      <c r="T256">
        <v>22</v>
      </c>
      <c r="V256">
        <v>50</v>
      </c>
      <c r="W256" t="s">
        <v>1352</v>
      </c>
      <c r="X256" t="s">
        <v>135</v>
      </c>
      <c r="Y256">
        <v>60</v>
      </c>
      <c r="AB256">
        <v>2.57</v>
      </c>
      <c r="AC256" t="s">
        <v>85</v>
      </c>
      <c r="AD256" t="s">
        <v>239</v>
      </c>
      <c r="AE256" t="s">
        <v>138</v>
      </c>
      <c r="AI256">
        <v>5</v>
      </c>
      <c r="AJ256" t="s">
        <v>201</v>
      </c>
      <c r="AK256">
        <v>0.13</v>
      </c>
      <c r="AL256" t="s">
        <v>409</v>
      </c>
      <c r="AT256" t="s">
        <v>79</v>
      </c>
      <c r="AU256">
        <v>9.1228070175438603E-2</v>
      </c>
      <c r="AV256" t="s">
        <v>1250</v>
      </c>
    </row>
    <row r="257" spans="1:53" x14ac:dyDescent="0.3">
      <c r="A257" t="s">
        <v>1350</v>
      </c>
      <c r="C257" t="s">
        <v>1275</v>
      </c>
      <c r="D257" t="s">
        <v>81</v>
      </c>
      <c r="E257">
        <v>50000000</v>
      </c>
      <c r="H257">
        <v>14.25</v>
      </c>
      <c r="I257" t="s">
        <v>56</v>
      </c>
      <c r="J257">
        <v>1.4250000000000001E-3</v>
      </c>
      <c r="K257" t="s">
        <v>57</v>
      </c>
      <c r="L257" t="s">
        <v>112</v>
      </c>
      <c r="N257" t="s">
        <v>314</v>
      </c>
      <c r="O257">
        <v>3000</v>
      </c>
      <c r="P257" t="s">
        <v>121</v>
      </c>
      <c r="S257">
        <v>2</v>
      </c>
      <c r="T257">
        <v>22</v>
      </c>
      <c r="V257">
        <v>50</v>
      </c>
      <c r="W257" t="s">
        <v>540</v>
      </c>
      <c r="X257" t="s">
        <v>135</v>
      </c>
      <c r="Y257">
        <v>60</v>
      </c>
      <c r="AB257">
        <v>2.13</v>
      </c>
      <c r="AC257" t="s">
        <v>85</v>
      </c>
      <c r="AD257" t="s">
        <v>92</v>
      </c>
      <c r="AE257" t="s">
        <v>138</v>
      </c>
      <c r="AI257">
        <v>5</v>
      </c>
      <c r="AJ257" t="s">
        <v>201</v>
      </c>
      <c r="AK257">
        <v>0.25</v>
      </c>
      <c r="AL257" t="s">
        <v>409</v>
      </c>
      <c r="AT257" t="s">
        <v>212</v>
      </c>
      <c r="AU257">
        <v>0.17543859649122809</v>
      </c>
      <c r="AV257" t="s">
        <v>1250</v>
      </c>
    </row>
    <row r="258" spans="1:53" x14ac:dyDescent="0.3">
      <c r="A258" t="s">
        <v>1350</v>
      </c>
      <c r="C258" t="s">
        <v>1275</v>
      </c>
      <c r="D258" t="s">
        <v>81</v>
      </c>
      <c r="E258">
        <v>50000000</v>
      </c>
      <c r="H258">
        <v>14.25</v>
      </c>
      <c r="I258" t="s">
        <v>56</v>
      </c>
      <c r="J258">
        <v>1.4250000000000001E-3</v>
      </c>
      <c r="K258" t="s">
        <v>57</v>
      </c>
      <c r="L258" t="s">
        <v>112</v>
      </c>
      <c r="N258" t="s">
        <v>314</v>
      </c>
      <c r="O258">
        <v>3000</v>
      </c>
      <c r="P258" t="s">
        <v>121</v>
      </c>
      <c r="S258">
        <v>2</v>
      </c>
      <c r="T258">
        <v>22</v>
      </c>
      <c r="V258">
        <v>50</v>
      </c>
      <c r="W258" t="s">
        <v>147</v>
      </c>
      <c r="X258" t="s">
        <v>135</v>
      </c>
      <c r="Y258">
        <v>60</v>
      </c>
      <c r="AB258">
        <v>4.55</v>
      </c>
      <c r="AC258" t="s">
        <v>85</v>
      </c>
      <c r="AD258" t="s">
        <v>490</v>
      </c>
      <c r="AE258" t="s">
        <v>138</v>
      </c>
      <c r="AI258">
        <v>5</v>
      </c>
      <c r="AJ258" t="s">
        <v>201</v>
      </c>
      <c r="AK258">
        <v>0.25</v>
      </c>
      <c r="AL258" t="s">
        <v>409</v>
      </c>
      <c r="AT258" t="s">
        <v>150</v>
      </c>
      <c r="AU258">
        <v>0.17543859649122809</v>
      </c>
      <c r="AV258" t="s">
        <v>1250</v>
      </c>
    </row>
    <row r="259" spans="1:53" x14ac:dyDescent="0.3">
      <c r="A259" t="s">
        <v>1350</v>
      </c>
      <c r="C259" t="s">
        <v>1275</v>
      </c>
      <c r="D259" t="s">
        <v>81</v>
      </c>
      <c r="E259">
        <v>50000000</v>
      </c>
      <c r="H259">
        <v>14.25</v>
      </c>
      <c r="I259" t="s">
        <v>56</v>
      </c>
      <c r="J259">
        <v>1.4250000000000001E-3</v>
      </c>
      <c r="K259" t="s">
        <v>57</v>
      </c>
      <c r="L259" t="s">
        <v>112</v>
      </c>
      <c r="N259" t="s">
        <v>314</v>
      </c>
      <c r="O259">
        <v>3000</v>
      </c>
      <c r="P259" t="s">
        <v>121</v>
      </c>
      <c r="S259">
        <v>2</v>
      </c>
      <c r="T259">
        <v>22</v>
      </c>
      <c r="V259">
        <v>50</v>
      </c>
      <c r="W259" t="s">
        <v>547</v>
      </c>
      <c r="X259" t="s">
        <v>135</v>
      </c>
      <c r="Y259">
        <v>60</v>
      </c>
      <c r="AB259">
        <v>0.73</v>
      </c>
      <c r="AC259" t="s">
        <v>85</v>
      </c>
      <c r="AD259" t="s">
        <v>365</v>
      </c>
      <c r="AE259" t="s">
        <v>138</v>
      </c>
      <c r="AI259">
        <v>5</v>
      </c>
      <c r="AJ259" t="s">
        <v>201</v>
      </c>
      <c r="AK259">
        <v>0.24</v>
      </c>
      <c r="AL259" t="s">
        <v>409</v>
      </c>
      <c r="AT259" t="s">
        <v>73</v>
      </c>
      <c r="AU259">
        <v>0.16842105263157889</v>
      </c>
      <c r="AV259" t="s">
        <v>1250</v>
      </c>
    </row>
    <row r="260" spans="1:53" x14ac:dyDescent="0.3">
      <c r="A260" t="s">
        <v>1350</v>
      </c>
      <c r="C260" t="s">
        <v>1275</v>
      </c>
      <c r="D260" t="s">
        <v>81</v>
      </c>
      <c r="E260">
        <v>50000000</v>
      </c>
      <c r="H260">
        <v>14.25</v>
      </c>
      <c r="I260" t="s">
        <v>56</v>
      </c>
      <c r="J260">
        <v>1.4250000000000001E-3</v>
      </c>
      <c r="K260" t="s">
        <v>57</v>
      </c>
      <c r="L260" t="s">
        <v>112</v>
      </c>
      <c r="N260" t="s">
        <v>314</v>
      </c>
      <c r="O260">
        <v>3000</v>
      </c>
      <c r="P260" t="s">
        <v>121</v>
      </c>
      <c r="S260">
        <v>2</v>
      </c>
      <c r="T260">
        <v>22</v>
      </c>
      <c r="V260">
        <v>50</v>
      </c>
      <c r="W260" t="s">
        <v>463</v>
      </c>
      <c r="X260" t="s">
        <v>135</v>
      </c>
      <c r="Y260">
        <v>60</v>
      </c>
      <c r="AB260">
        <v>5.95</v>
      </c>
      <c r="AC260" t="s">
        <v>85</v>
      </c>
      <c r="AD260" t="s">
        <v>363</v>
      </c>
      <c r="AE260" t="s">
        <v>138</v>
      </c>
      <c r="AI260">
        <v>5</v>
      </c>
      <c r="AJ260" t="s">
        <v>201</v>
      </c>
      <c r="AK260">
        <v>0.22</v>
      </c>
      <c r="AL260" t="s">
        <v>409</v>
      </c>
      <c r="AT260" t="s">
        <v>360</v>
      </c>
      <c r="AU260">
        <v>0.15438596491228071</v>
      </c>
      <c r="AV260" t="s">
        <v>1250</v>
      </c>
    </row>
    <row r="261" spans="1:53" x14ac:dyDescent="0.3">
      <c r="A261" t="s">
        <v>1350</v>
      </c>
      <c r="C261" t="s">
        <v>1275</v>
      </c>
      <c r="D261" t="s">
        <v>81</v>
      </c>
      <c r="E261">
        <v>50000000</v>
      </c>
      <c r="H261">
        <v>14.25</v>
      </c>
      <c r="I261" t="s">
        <v>56</v>
      </c>
      <c r="J261">
        <v>1.4250000000000001E-3</v>
      </c>
      <c r="K261" t="s">
        <v>57</v>
      </c>
      <c r="L261" t="s">
        <v>112</v>
      </c>
      <c r="N261" t="s">
        <v>314</v>
      </c>
      <c r="O261">
        <v>3000</v>
      </c>
      <c r="P261" t="s">
        <v>121</v>
      </c>
      <c r="S261">
        <v>2</v>
      </c>
      <c r="T261">
        <v>22</v>
      </c>
      <c r="V261">
        <v>50</v>
      </c>
      <c r="W261" t="s">
        <v>469</v>
      </c>
      <c r="X261" t="s">
        <v>135</v>
      </c>
      <c r="Y261">
        <v>60</v>
      </c>
      <c r="Z261">
        <v>2</v>
      </c>
      <c r="AA261" t="s">
        <v>94</v>
      </c>
      <c r="AB261">
        <v>7.71</v>
      </c>
      <c r="AC261" t="s">
        <v>85</v>
      </c>
      <c r="AD261" t="s">
        <v>365</v>
      </c>
      <c r="AE261" t="s">
        <v>138</v>
      </c>
      <c r="AI261">
        <v>5</v>
      </c>
      <c r="AJ261" t="s">
        <v>201</v>
      </c>
      <c r="AK261">
        <v>0.2</v>
      </c>
      <c r="AL261" t="s">
        <v>409</v>
      </c>
      <c r="AT261" t="s">
        <v>65</v>
      </c>
      <c r="AU261">
        <v>0.14035087719298239</v>
      </c>
      <c r="AV261" t="s">
        <v>1250</v>
      </c>
      <c r="AZ261">
        <v>0</v>
      </c>
      <c r="BA261">
        <v>7.71</v>
      </c>
    </row>
    <row r="262" spans="1:53" x14ac:dyDescent="0.3">
      <c r="A262" t="s">
        <v>1350</v>
      </c>
      <c r="C262" t="s">
        <v>1275</v>
      </c>
      <c r="D262" t="s">
        <v>81</v>
      </c>
      <c r="E262">
        <v>50000000</v>
      </c>
      <c r="H262">
        <v>14.25</v>
      </c>
      <c r="I262" t="s">
        <v>56</v>
      </c>
      <c r="J262">
        <v>1.4250000000000001E-3</v>
      </c>
      <c r="K262" t="s">
        <v>57</v>
      </c>
      <c r="L262" t="s">
        <v>112</v>
      </c>
      <c r="N262" t="s">
        <v>314</v>
      </c>
      <c r="O262">
        <v>3000</v>
      </c>
      <c r="P262" t="s">
        <v>121</v>
      </c>
      <c r="S262">
        <v>2</v>
      </c>
      <c r="T262">
        <v>22</v>
      </c>
      <c r="V262">
        <v>50</v>
      </c>
      <c r="W262" t="s">
        <v>1352</v>
      </c>
      <c r="X262" t="s">
        <v>135</v>
      </c>
      <c r="Y262">
        <v>60</v>
      </c>
      <c r="Z262">
        <v>2</v>
      </c>
      <c r="AB262">
        <v>1.71</v>
      </c>
      <c r="AC262" t="s">
        <v>85</v>
      </c>
      <c r="AD262" t="s">
        <v>488</v>
      </c>
      <c r="AE262" t="s">
        <v>138</v>
      </c>
      <c r="AI262">
        <v>5</v>
      </c>
      <c r="AJ262" t="s">
        <v>201</v>
      </c>
      <c r="AK262">
        <v>0.13</v>
      </c>
      <c r="AL262" t="s">
        <v>409</v>
      </c>
      <c r="AT262" t="s">
        <v>79</v>
      </c>
      <c r="AU262">
        <v>9.1228070175438603E-2</v>
      </c>
      <c r="AV262" t="s">
        <v>1250</v>
      </c>
    </row>
    <row r="263" spans="1:53" x14ac:dyDescent="0.3">
      <c r="A263" t="s">
        <v>1350</v>
      </c>
      <c r="C263" t="s">
        <v>1275</v>
      </c>
      <c r="D263" t="s">
        <v>81</v>
      </c>
      <c r="E263">
        <v>50000000</v>
      </c>
      <c r="H263">
        <v>14.25</v>
      </c>
      <c r="I263" t="s">
        <v>56</v>
      </c>
      <c r="J263">
        <v>1.4250000000000001E-3</v>
      </c>
      <c r="K263" t="s">
        <v>57</v>
      </c>
      <c r="L263" t="s">
        <v>112</v>
      </c>
      <c r="N263" t="s">
        <v>314</v>
      </c>
      <c r="O263">
        <v>3000</v>
      </c>
      <c r="P263" t="s">
        <v>121</v>
      </c>
      <c r="S263">
        <v>2</v>
      </c>
      <c r="T263">
        <v>22</v>
      </c>
      <c r="V263">
        <v>50</v>
      </c>
      <c r="W263" t="s">
        <v>540</v>
      </c>
      <c r="X263" t="s">
        <v>135</v>
      </c>
      <c r="Y263">
        <v>60</v>
      </c>
      <c r="Z263">
        <v>2</v>
      </c>
      <c r="AB263">
        <v>0.3</v>
      </c>
      <c r="AC263" t="s">
        <v>85</v>
      </c>
      <c r="AD263" t="s">
        <v>490</v>
      </c>
      <c r="AE263" t="s">
        <v>138</v>
      </c>
      <c r="AI263">
        <v>5</v>
      </c>
      <c r="AJ263" t="s">
        <v>201</v>
      </c>
      <c r="AK263">
        <v>0.25</v>
      </c>
      <c r="AL263" t="s">
        <v>409</v>
      </c>
      <c r="AT263" t="s">
        <v>212</v>
      </c>
      <c r="AU263">
        <v>0.17543859649122809</v>
      </c>
      <c r="AV263" t="s">
        <v>1250</v>
      </c>
    </row>
    <row r="264" spans="1:53" x14ac:dyDescent="0.3">
      <c r="A264" t="s">
        <v>1350</v>
      </c>
      <c r="C264" t="s">
        <v>1275</v>
      </c>
      <c r="D264" t="s">
        <v>81</v>
      </c>
      <c r="E264">
        <v>50000000</v>
      </c>
      <c r="H264">
        <v>14.25</v>
      </c>
      <c r="I264" t="s">
        <v>56</v>
      </c>
      <c r="J264">
        <v>1.4250000000000001E-3</v>
      </c>
      <c r="K264" t="s">
        <v>57</v>
      </c>
      <c r="L264" t="s">
        <v>112</v>
      </c>
      <c r="N264" t="s">
        <v>314</v>
      </c>
      <c r="O264">
        <v>3000</v>
      </c>
      <c r="P264" t="s">
        <v>121</v>
      </c>
      <c r="S264">
        <v>2</v>
      </c>
      <c r="T264">
        <v>22</v>
      </c>
      <c r="V264">
        <v>50</v>
      </c>
      <c r="W264" t="s">
        <v>147</v>
      </c>
      <c r="X264" t="s">
        <v>135</v>
      </c>
      <c r="Y264">
        <v>60</v>
      </c>
      <c r="Z264">
        <v>2</v>
      </c>
      <c r="AB264">
        <v>6.14</v>
      </c>
      <c r="AC264" t="s">
        <v>85</v>
      </c>
      <c r="AD264" t="s">
        <v>1351</v>
      </c>
      <c r="AE264" t="s">
        <v>138</v>
      </c>
      <c r="AI264">
        <v>5</v>
      </c>
      <c r="AJ264" t="s">
        <v>201</v>
      </c>
      <c r="AK264">
        <v>0.25</v>
      </c>
      <c r="AL264" t="s">
        <v>409</v>
      </c>
      <c r="AT264" t="s">
        <v>150</v>
      </c>
      <c r="AU264">
        <v>0.17543859649122809</v>
      </c>
      <c r="AV264" t="s">
        <v>1250</v>
      </c>
    </row>
    <row r="265" spans="1:53" x14ac:dyDescent="0.3">
      <c r="A265" t="s">
        <v>1350</v>
      </c>
      <c r="C265" t="s">
        <v>1275</v>
      </c>
      <c r="D265" t="s">
        <v>81</v>
      </c>
      <c r="E265">
        <v>50000000</v>
      </c>
      <c r="H265">
        <v>14.25</v>
      </c>
      <c r="I265" t="s">
        <v>56</v>
      </c>
      <c r="J265">
        <v>1.4250000000000001E-3</v>
      </c>
      <c r="K265" t="s">
        <v>57</v>
      </c>
      <c r="L265" t="s">
        <v>112</v>
      </c>
      <c r="N265" t="s">
        <v>314</v>
      </c>
      <c r="O265">
        <v>3000</v>
      </c>
      <c r="P265" t="s">
        <v>121</v>
      </c>
      <c r="S265">
        <v>2</v>
      </c>
      <c r="T265">
        <v>22</v>
      </c>
      <c r="V265">
        <v>50</v>
      </c>
      <c r="W265" t="s">
        <v>547</v>
      </c>
      <c r="X265" t="s">
        <v>135</v>
      </c>
      <c r="Y265">
        <v>60</v>
      </c>
      <c r="Z265">
        <v>2</v>
      </c>
      <c r="AB265">
        <v>0.26</v>
      </c>
      <c r="AC265" t="s">
        <v>85</v>
      </c>
      <c r="AD265" t="s">
        <v>237</v>
      </c>
      <c r="AE265" t="s">
        <v>138</v>
      </c>
      <c r="AI265">
        <v>5</v>
      </c>
      <c r="AJ265" t="s">
        <v>201</v>
      </c>
      <c r="AK265">
        <v>0.28000000000000003</v>
      </c>
      <c r="AL265" t="s">
        <v>409</v>
      </c>
      <c r="AT265" t="s">
        <v>73</v>
      </c>
      <c r="AU265">
        <v>0.19649122807017541</v>
      </c>
      <c r="AV265" t="s">
        <v>1250</v>
      </c>
    </row>
    <row r="266" spans="1:53" x14ac:dyDescent="0.3">
      <c r="A266" t="s">
        <v>1350</v>
      </c>
      <c r="C266" t="s">
        <v>1275</v>
      </c>
      <c r="D266" t="s">
        <v>81</v>
      </c>
      <c r="E266">
        <v>50000000</v>
      </c>
      <c r="H266">
        <v>14.25</v>
      </c>
      <c r="I266" t="s">
        <v>56</v>
      </c>
      <c r="J266">
        <v>1.4250000000000001E-3</v>
      </c>
      <c r="K266" t="s">
        <v>57</v>
      </c>
      <c r="L266" t="s">
        <v>112</v>
      </c>
      <c r="N266" t="s">
        <v>314</v>
      </c>
      <c r="O266">
        <v>3000</v>
      </c>
      <c r="P266" t="s">
        <v>121</v>
      </c>
      <c r="S266">
        <v>2</v>
      </c>
      <c r="T266">
        <v>22</v>
      </c>
      <c r="V266">
        <v>50</v>
      </c>
      <c r="W266" t="s">
        <v>463</v>
      </c>
      <c r="X266" t="s">
        <v>135</v>
      </c>
      <c r="Y266">
        <v>60</v>
      </c>
      <c r="Z266">
        <v>2</v>
      </c>
      <c r="AA266" t="s">
        <v>94</v>
      </c>
      <c r="AB266">
        <v>7.55</v>
      </c>
      <c r="AC266" t="s">
        <v>85</v>
      </c>
      <c r="AD266" t="s">
        <v>553</v>
      </c>
      <c r="AE266" t="s">
        <v>138</v>
      </c>
      <c r="AI266">
        <v>5</v>
      </c>
      <c r="AJ266" t="s">
        <v>201</v>
      </c>
      <c r="AK266">
        <v>0.16</v>
      </c>
      <c r="AL266" t="s">
        <v>409</v>
      </c>
      <c r="AT266" t="s">
        <v>360</v>
      </c>
      <c r="AU266">
        <v>0.11228070175438599</v>
      </c>
      <c r="AV266" t="s">
        <v>1250</v>
      </c>
      <c r="AZ266">
        <v>0</v>
      </c>
      <c r="BA266">
        <v>7.55</v>
      </c>
    </row>
    <row r="267" spans="1:53" x14ac:dyDescent="0.3">
      <c r="A267" t="s">
        <v>1350</v>
      </c>
      <c r="C267" t="s">
        <v>1275</v>
      </c>
      <c r="D267" t="s">
        <v>81</v>
      </c>
      <c r="E267">
        <v>50000000</v>
      </c>
      <c r="H267">
        <v>14.25</v>
      </c>
      <c r="I267" t="s">
        <v>56</v>
      </c>
      <c r="J267">
        <v>1.4250000000000001E-3</v>
      </c>
      <c r="K267" t="s">
        <v>57</v>
      </c>
      <c r="L267" t="s">
        <v>112</v>
      </c>
      <c r="N267" t="s">
        <v>314</v>
      </c>
      <c r="O267">
        <v>3000</v>
      </c>
      <c r="P267" t="s">
        <v>121</v>
      </c>
      <c r="S267">
        <v>2</v>
      </c>
      <c r="T267">
        <v>22</v>
      </c>
      <c r="V267">
        <v>50</v>
      </c>
      <c r="W267" t="s">
        <v>469</v>
      </c>
      <c r="X267" t="s">
        <v>135</v>
      </c>
      <c r="Y267">
        <v>60</v>
      </c>
      <c r="Z267">
        <v>2</v>
      </c>
      <c r="AB267">
        <v>7.46</v>
      </c>
      <c r="AC267" t="s">
        <v>85</v>
      </c>
      <c r="AD267" t="s">
        <v>427</v>
      </c>
      <c r="AE267" t="s">
        <v>138</v>
      </c>
      <c r="AI267">
        <v>5</v>
      </c>
      <c r="AJ267" t="s">
        <v>201</v>
      </c>
      <c r="AK267">
        <v>0.21</v>
      </c>
      <c r="AL267" t="s">
        <v>409</v>
      </c>
      <c r="AT267" t="s">
        <v>65</v>
      </c>
      <c r="AU267">
        <v>0.14736842105263159</v>
      </c>
      <c r="AV267" t="s">
        <v>1250</v>
      </c>
    </row>
    <row r="268" spans="1:53" x14ac:dyDescent="0.3">
      <c r="A268" t="s">
        <v>1350</v>
      </c>
      <c r="C268" t="s">
        <v>1275</v>
      </c>
      <c r="D268" t="s">
        <v>81</v>
      </c>
      <c r="E268">
        <v>50000000</v>
      </c>
      <c r="H268">
        <v>14.25</v>
      </c>
      <c r="I268" t="s">
        <v>56</v>
      </c>
      <c r="J268">
        <v>1.4250000000000001E-3</v>
      </c>
      <c r="K268" t="s">
        <v>57</v>
      </c>
      <c r="L268" t="s">
        <v>112</v>
      </c>
      <c r="N268" t="s">
        <v>314</v>
      </c>
      <c r="O268">
        <v>3000</v>
      </c>
      <c r="P268" t="s">
        <v>121</v>
      </c>
      <c r="S268">
        <v>2</v>
      </c>
      <c r="T268">
        <v>22</v>
      </c>
      <c r="V268">
        <v>50</v>
      </c>
      <c r="W268" t="s">
        <v>1352</v>
      </c>
      <c r="X268" t="s">
        <v>135</v>
      </c>
      <c r="Y268">
        <v>60</v>
      </c>
      <c r="Z268">
        <v>1</v>
      </c>
      <c r="AB268">
        <v>2.1800000000000002</v>
      </c>
      <c r="AC268" t="s">
        <v>85</v>
      </c>
      <c r="AD268" t="s">
        <v>106</v>
      </c>
      <c r="AE268" t="s">
        <v>138</v>
      </c>
      <c r="AI268">
        <v>5</v>
      </c>
      <c r="AJ268" t="s">
        <v>201</v>
      </c>
      <c r="AK268">
        <v>0.17</v>
      </c>
      <c r="AL268" t="s">
        <v>409</v>
      </c>
      <c r="AT268" t="s">
        <v>79</v>
      </c>
      <c r="AU268">
        <v>0.1192982456140351</v>
      </c>
      <c r="AV268" t="s">
        <v>1250</v>
      </c>
    </row>
    <row r="269" spans="1:53" x14ac:dyDescent="0.3">
      <c r="A269" t="s">
        <v>1350</v>
      </c>
      <c r="C269" t="s">
        <v>1275</v>
      </c>
      <c r="D269" t="s">
        <v>81</v>
      </c>
      <c r="E269">
        <v>50000000</v>
      </c>
      <c r="H269">
        <v>14.25</v>
      </c>
      <c r="I269" t="s">
        <v>56</v>
      </c>
      <c r="J269">
        <v>1.4250000000000001E-3</v>
      </c>
      <c r="K269" t="s">
        <v>57</v>
      </c>
      <c r="L269" t="s">
        <v>112</v>
      </c>
      <c r="N269" t="s">
        <v>314</v>
      </c>
      <c r="O269">
        <v>3000</v>
      </c>
      <c r="P269" t="s">
        <v>121</v>
      </c>
      <c r="S269">
        <v>2</v>
      </c>
      <c r="T269">
        <v>22</v>
      </c>
      <c r="V269">
        <v>50</v>
      </c>
      <c r="W269" t="s">
        <v>540</v>
      </c>
      <c r="X269" t="s">
        <v>135</v>
      </c>
      <c r="Y269">
        <v>60</v>
      </c>
      <c r="Z269">
        <v>1</v>
      </c>
      <c r="AB269">
        <v>0.68</v>
      </c>
      <c r="AC269" t="s">
        <v>85</v>
      </c>
      <c r="AD269" t="s">
        <v>228</v>
      </c>
      <c r="AE269" t="s">
        <v>138</v>
      </c>
      <c r="AI269">
        <v>5</v>
      </c>
      <c r="AJ269" t="s">
        <v>201</v>
      </c>
      <c r="AK269">
        <v>0.28000000000000003</v>
      </c>
      <c r="AL269" t="s">
        <v>409</v>
      </c>
      <c r="AT269" t="s">
        <v>212</v>
      </c>
      <c r="AU269">
        <v>0.19649122807017541</v>
      </c>
      <c r="AV269" t="s">
        <v>1250</v>
      </c>
    </row>
    <row r="270" spans="1:53" x14ac:dyDescent="0.3">
      <c r="A270" t="s">
        <v>1350</v>
      </c>
      <c r="C270" t="s">
        <v>1275</v>
      </c>
      <c r="D270" t="s">
        <v>81</v>
      </c>
      <c r="E270">
        <v>50000000</v>
      </c>
      <c r="H270">
        <v>14.25</v>
      </c>
      <c r="I270" t="s">
        <v>56</v>
      </c>
      <c r="J270">
        <v>1.4250000000000001E-3</v>
      </c>
      <c r="K270" t="s">
        <v>57</v>
      </c>
      <c r="L270" t="s">
        <v>112</v>
      </c>
      <c r="N270" t="s">
        <v>314</v>
      </c>
      <c r="O270">
        <v>3000</v>
      </c>
      <c r="P270" t="s">
        <v>121</v>
      </c>
      <c r="S270">
        <v>2</v>
      </c>
      <c r="T270">
        <v>22</v>
      </c>
      <c r="V270">
        <v>50</v>
      </c>
      <c r="W270" t="s">
        <v>147</v>
      </c>
      <c r="X270" t="s">
        <v>135</v>
      </c>
      <c r="Y270">
        <v>60</v>
      </c>
      <c r="Z270">
        <v>1</v>
      </c>
      <c r="AA270" t="s">
        <v>94</v>
      </c>
      <c r="AB270">
        <v>7.83</v>
      </c>
      <c r="AC270" t="s">
        <v>85</v>
      </c>
      <c r="AD270" t="s">
        <v>365</v>
      </c>
      <c r="AE270" t="s">
        <v>138</v>
      </c>
      <c r="AI270">
        <v>5</v>
      </c>
      <c r="AJ270" t="s">
        <v>201</v>
      </c>
      <c r="AK270">
        <v>0.15</v>
      </c>
      <c r="AL270" t="s">
        <v>409</v>
      </c>
      <c r="AT270" t="s">
        <v>150</v>
      </c>
      <c r="AU270">
        <v>0.10526315789473679</v>
      </c>
      <c r="AV270" t="s">
        <v>1250</v>
      </c>
      <c r="AZ270">
        <v>0</v>
      </c>
      <c r="BA270">
        <v>7.83</v>
      </c>
    </row>
    <row r="271" spans="1:53" x14ac:dyDescent="0.3">
      <c r="A271" t="s">
        <v>1350</v>
      </c>
      <c r="C271" t="s">
        <v>1275</v>
      </c>
      <c r="D271" t="s">
        <v>81</v>
      </c>
      <c r="E271">
        <v>50000000</v>
      </c>
      <c r="H271">
        <v>14.25</v>
      </c>
      <c r="I271" t="s">
        <v>56</v>
      </c>
      <c r="J271">
        <v>1.4250000000000001E-3</v>
      </c>
      <c r="K271" t="s">
        <v>57</v>
      </c>
      <c r="L271" t="s">
        <v>112</v>
      </c>
      <c r="N271" t="s">
        <v>314</v>
      </c>
      <c r="O271">
        <v>3000</v>
      </c>
      <c r="P271" t="s">
        <v>121</v>
      </c>
      <c r="S271">
        <v>2</v>
      </c>
      <c r="T271">
        <v>22</v>
      </c>
      <c r="V271">
        <v>50</v>
      </c>
      <c r="W271" t="s">
        <v>547</v>
      </c>
      <c r="X271" t="s">
        <v>135</v>
      </c>
      <c r="Y271">
        <v>60</v>
      </c>
      <c r="Z271">
        <v>2</v>
      </c>
      <c r="AB271">
        <v>0.21</v>
      </c>
      <c r="AC271" t="s">
        <v>85</v>
      </c>
      <c r="AD271" t="s">
        <v>418</v>
      </c>
      <c r="AE271" t="s">
        <v>138</v>
      </c>
      <c r="AI271">
        <v>5</v>
      </c>
      <c r="AJ271" t="s">
        <v>201</v>
      </c>
      <c r="AK271">
        <v>0.28000000000000003</v>
      </c>
      <c r="AL271" t="s">
        <v>409</v>
      </c>
      <c r="AT271" t="s">
        <v>73</v>
      </c>
      <c r="AU271">
        <v>0.19649122807017541</v>
      </c>
      <c r="AV271" t="s">
        <v>1250</v>
      </c>
    </row>
    <row r="272" spans="1:53" x14ac:dyDescent="0.3">
      <c r="A272" t="s">
        <v>1350</v>
      </c>
      <c r="C272" t="s">
        <v>1275</v>
      </c>
      <c r="D272" t="s">
        <v>81</v>
      </c>
      <c r="E272">
        <v>50000000</v>
      </c>
      <c r="H272">
        <v>14.25</v>
      </c>
      <c r="I272" t="s">
        <v>56</v>
      </c>
      <c r="J272">
        <v>1.4250000000000001E-3</v>
      </c>
      <c r="K272" t="s">
        <v>57</v>
      </c>
      <c r="L272" t="s">
        <v>112</v>
      </c>
      <c r="N272" t="s">
        <v>314</v>
      </c>
      <c r="O272">
        <v>3000</v>
      </c>
      <c r="P272" t="s">
        <v>121</v>
      </c>
      <c r="S272">
        <v>2</v>
      </c>
      <c r="T272">
        <v>22</v>
      </c>
      <c r="V272">
        <v>50</v>
      </c>
      <c r="W272" t="s">
        <v>463</v>
      </c>
      <c r="X272" t="s">
        <v>135</v>
      </c>
      <c r="Y272">
        <v>60</v>
      </c>
      <c r="Z272">
        <v>2</v>
      </c>
      <c r="AA272" t="s">
        <v>94</v>
      </c>
      <c r="AB272">
        <v>7.57</v>
      </c>
      <c r="AC272" t="s">
        <v>85</v>
      </c>
      <c r="AD272" t="s">
        <v>418</v>
      </c>
      <c r="AE272" t="s">
        <v>138</v>
      </c>
      <c r="AI272">
        <v>5</v>
      </c>
      <c r="AJ272" t="s">
        <v>201</v>
      </c>
      <c r="AK272">
        <v>0.16</v>
      </c>
      <c r="AL272" t="s">
        <v>409</v>
      </c>
      <c r="AT272" t="s">
        <v>360</v>
      </c>
      <c r="AU272">
        <v>0.11228070175438599</v>
      </c>
      <c r="AV272" t="s">
        <v>1250</v>
      </c>
      <c r="AZ272">
        <v>0</v>
      </c>
      <c r="BA272">
        <v>7.57</v>
      </c>
    </row>
    <row r="273" spans="1:53" x14ac:dyDescent="0.3">
      <c r="A273" t="s">
        <v>1350</v>
      </c>
      <c r="C273" t="s">
        <v>1275</v>
      </c>
      <c r="D273" t="s">
        <v>81</v>
      </c>
      <c r="E273">
        <v>50000000</v>
      </c>
      <c r="H273">
        <v>14.25</v>
      </c>
      <c r="I273" t="s">
        <v>56</v>
      </c>
      <c r="J273">
        <v>1.4250000000000001E-3</v>
      </c>
      <c r="K273" t="s">
        <v>57</v>
      </c>
      <c r="L273" t="s">
        <v>112</v>
      </c>
      <c r="N273" t="s">
        <v>314</v>
      </c>
      <c r="O273">
        <v>3000</v>
      </c>
      <c r="P273" t="s">
        <v>121</v>
      </c>
      <c r="S273">
        <v>2</v>
      </c>
      <c r="T273">
        <v>22</v>
      </c>
      <c r="V273">
        <v>50</v>
      </c>
      <c r="W273" t="s">
        <v>469</v>
      </c>
      <c r="X273" t="s">
        <v>135</v>
      </c>
      <c r="Y273">
        <v>60</v>
      </c>
      <c r="Z273">
        <v>2</v>
      </c>
      <c r="AA273" t="s">
        <v>94</v>
      </c>
      <c r="AB273">
        <v>7.79</v>
      </c>
      <c r="AC273" t="s">
        <v>85</v>
      </c>
      <c r="AD273" t="s">
        <v>227</v>
      </c>
      <c r="AE273" t="s">
        <v>138</v>
      </c>
      <c r="AI273">
        <v>5</v>
      </c>
      <c r="AJ273" t="s">
        <v>201</v>
      </c>
      <c r="AK273">
        <v>0.21</v>
      </c>
      <c r="AL273" t="s">
        <v>409</v>
      </c>
      <c r="AT273" t="s">
        <v>65</v>
      </c>
      <c r="AU273">
        <v>0.14736842105263159</v>
      </c>
      <c r="AV273" t="s">
        <v>1250</v>
      </c>
      <c r="AZ273">
        <v>0</v>
      </c>
      <c r="BA273">
        <v>7.79</v>
      </c>
    </row>
    <row r="274" spans="1:53" x14ac:dyDescent="0.3">
      <c r="A274" t="s">
        <v>1350</v>
      </c>
      <c r="C274" t="s">
        <v>1275</v>
      </c>
      <c r="D274" t="s">
        <v>81</v>
      </c>
      <c r="E274">
        <v>50000000</v>
      </c>
      <c r="H274">
        <v>14.25</v>
      </c>
      <c r="I274" t="s">
        <v>56</v>
      </c>
      <c r="J274">
        <v>1.4250000000000001E-3</v>
      </c>
      <c r="K274" t="s">
        <v>57</v>
      </c>
      <c r="L274" t="s">
        <v>112</v>
      </c>
      <c r="N274" t="s">
        <v>314</v>
      </c>
      <c r="O274">
        <v>3000</v>
      </c>
      <c r="P274" t="s">
        <v>121</v>
      </c>
      <c r="S274">
        <v>2</v>
      </c>
      <c r="T274">
        <v>22</v>
      </c>
      <c r="V274">
        <v>50</v>
      </c>
      <c r="W274" t="s">
        <v>1352</v>
      </c>
      <c r="X274" t="s">
        <v>135</v>
      </c>
      <c r="Y274">
        <v>60</v>
      </c>
      <c r="Z274">
        <v>2</v>
      </c>
      <c r="AB274">
        <v>2.50999999999999</v>
      </c>
      <c r="AC274" t="s">
        <v>85</v>
      </c>
      <c r="AD274" t="s">
        <v>437</v>
      </c>
      <c r="AE274" t="s">
        <v>138</v>
      </c>
      <c r="AI274">
        <v>5</v>
      </c>
      <c r="AJ274" t="s">
        <v>201</v>
      </c>
      <c r="AK274">
        <v>0.17</v>
      </c>
      <c r="AL274" t="s">
        <v>409</v>
      </c>
      <c r="AT274" t="s">
        <v>79</v>
      </c>
      <c r="AU274">
        <v>0.1192982456140351</v>
      </c>
      <c r="AV274" t="s">
        <v>1250</v>
      </c>
    </row>
    <row r="275" spans="1:53" x14ac:dyDescent="0.3">
      <c r="A275" t="s">
        <v>1350</v>
      </c>
      <c r="C275" t="s">
        <v>1275</v>
      </c>
      <c r="D275" t="s">
        <v>81</v>
      </c>
      <c r="E275">
        <v>50000000</v>
      </c>
      <c r="H275">
        <v>14.25</v>
      </c>
      <c r="I275" t="s">
        <v>56</v>
      </c>
      <c r="J275">
        <v>1.4250000000000001E-3</v>
      </c>
      <c r="K275" t="s">
        <v>57</v>
      </c>
      <c r="L275" t="s">
        <v>112</v>
      </c>
      <c r="N275" t="s">
        <v>314</v>
      </c>
      <c r="O275">
        <v>3000</v>
      </c>
      <c r="P275" t="s">
        <v>121</v>
      </c>
      <c r="S275">
        <v>2</v>
      </c>
      <c r="T275">
        <v>22</v>
      </c>
      <c r="V275">
        <v>50</v>
      </c>
      <c r="W275" t="s">
        <v>540</v>
      </c>
      <c r="X275" t="s">
        <v>135</v>
      </c>
      <c r="Y275">
        <v>60</v>
      </c>
      <c r="AB275">
        <v>0.47</v>
      </c>
      <c r="AC275" t="s">
        <v>85</v>
      </c>
      <c r="AD275" t="s">
        <v>231</v>
      </c>
      <c r="AE275" t="s">
        <v>138</v>
      </c>
      <c r="AI275">
        <v>5</v>
      </c>
      <c r="AJ275" t="s">
        <v>201</v>
      </c>
      <c r="AK275">
        <v>0.28000000000000003</v>
      </c>
      <c r="AL275" t="s">
        <v>409</v>
      </c>
      <c r="AT275" t="s">
        <v>212</v>
      </c>
      <c r="AU275">
        <v>0.19649122807017541</v>
      </c>
      <c r="AV275" t="s">
        <v>1250</v>
      </c>
    </row>
    <row r="276" spans="1:53" x14ac:dyDescent="0.3">
      <c r="A276" t="s">
        <v>1350</v>
      </c>
      <c r="C276" t="s">
        <v>1275</v>
      </c>
      <c r="D276" t="s">
        <v>81</v>
      </c>
      <c r="E276">
        <v>50000000</v>
      </c>
      <c r="H276">
        <v>14.25</v>
      </c>
      <c r="I276" t="s">
        <v>56</v>
      </c>
      <c r="J276">
        <v>1.4250000000000001E-3</v>
      </c>
      <c r="K276" t="s">
        <v>57</v>
      </c>
      <c r="L276" t="s">
        <v>112</v>
      </c>
      <c r="N276" t="s">
        <v>314</v>
      </c>
      <c r="O276">
        <v>3000</v>
      </c>
      <c r="P276" t="s">
        <v>121</v>
      </c>
      <c r="S276">
        <v>2</v>
      </c>
      <c r="T276">
        <v>22</v>
      </c>
      <c r="V276">
        <v>50</v>
      </c>
      <c r="W276" t="s">
        <v>147</v>
      </c>
      <c r="X276" t="s">
        <v>135</v>
      </c>
      <c r="Y276">
        <v>60</v>
      </c>
      <c r="AA276" t="s">
        <v>94</v>
      </c>
      <c r="AB276">
        <v>7.75</v>
      </c>
      <c r="AC276" t="s">
        <v>85</v>
      </c>
      <c r="AD276" t="s">
        <v>227</v>
      </c>
      <c r="AE276" t="s">
        <v>138</v>
      </c>
      <c r="AI276">
        <v>5</v>
      </c>
      <c r="AJ276" t="s">
        <v>201</v>
      </c>
      <c r="AK276">
        <v>0.15</v>
      </c>
      <c r="AL276" t="s">
        <v>409</v>
      </c>
      <c r="AT276" t="s">
        <v>150</v>
      </c>
      <c r="AU276">
        <v>0.10526315789473679</v>
      </c>
      <c r="AV276" t="s">
        <v>1250</v>
      </c>
      <c r="AZ276">
        <v>0</v>
      </c>
      <c r="BA276">
        <v>7.75</v>
      </c>
    </row>
    <row r="277" spans="1:53" x14ac:dyDescent="0.3">
      <c r="A277" t="s">
        <v>1350</v>
      </c>
      <c r="C277" t="s">
        <v>1275</v>
      </c>
      <c r="D277" t="s">
        <v>81</v>
      </c>
      <c r="E277">
        <v>50000000</v>
      </c>
      <c r="H277">
        <v>14.25</v>
      </c>
      <c r="I277" t="s">
        <v>56</v>
      </c>
      <c r="J277">
        <v>1.4250000000000001E-3</v>
      </c>
      <c r="K277" t="s">
        <v>57</v>
      </c>
      <c r="L277" t="s">
        <v>112</v>
      </c>
      <c r="N277" t="s">
        <v>314</v>
      </c>
      <c r="O277">
        <v>3000</v>
      </c>
      <c r="P277" t="s">
        <v>121</v>
      </c>
      <c r="S277">
        <v>2</v>
      </c>
      <c r="T277">
        <v>22</v>
      </c>
      <c r="V277">
        <v>50</v>
      </c>
      <c r="W277" t="s">
        <v>547</v>
      </c>
      <c r="X277" t="s">
        <v>135</v>
      </c>
      <c r="Y277">
        <v>60</v>
      </c>
      <c r="AB277">
        <v>0.31</v>
      </c>
      <c r="AC277" t="s">
        <v>85</v>
      </c>
      <c r="AD277" t="s">
        <v>418</v>
      </c>
      <c r="AE277" t="s">
        <v>138</v>
      </c>
      <c r="AI277">
        <v>5</v>
      </c>
      <c r="AJ277" t="s">
        <v>201</v>
      </c>
      <c r="AK277">
        <v>0.22</v>
      </c>
      <c r="AL277" t="s">
        <v>409</v>
      </c>
      <c r="AT277" t="s">
        <v>73</v>
      </c>
      <c r="AU277">
        <v>0.15438596491228071</v>
      </c>
      <c r="AV277" t="s">
        <v>1250</v>
      </c>
    </row>
    <row r="278" spans="1:53" x14ac:dyDescent="0.3">
      <c r="A278" t="s">
        <v>1350</v>
      </c>
      <c r="C278" t="s">
        <v>1275</v>
      </c>
      <c r="D278" t="s">
        <v>81</v>
      </c>
      <c r="E278">
        <v>50000000</v>
      </c>
      <c r="H278">
        <v>14.25</v>
      </c>
      <c r="I278" t="s">
        <v>56</v>
      </c>
      <c r="J278">
        <v>1.4250000000000001E-3</v>
      </c>
      <c r="K278" t="s">
        <v>57</v>
      </c>
      <c r="L278" t="s">
        <v>112</v>
      </c>
      <c r="N278" t="s">
        <v>314</v>
      </c>
      <c r="O278">
        <v>3000</v>
      </c>
      <c r="P278" t="s">
        <v>121</v>
      </c>
      <c r="S278">
        <v>2</v>
      </c>
      <c r="T278">
        <v>22</v>
      </c>
      <c r="V278">
        <v>50</v>
      </c>
      <c r="W278" t="s">
        <v>463</v>
      </c>
      <c r="X278" t="s">
        <v>135</v>
      </c>
      <c r="Y278">
        <v>60</v>
      </c>
      <c r="AA278" t="s">
        <v>94</v>
      </c>
      <c r="AB278">
        <v>7.28</v>
      </c>
      <c r="AC278" t="s">
        <v>85</v>
      </c>
      <c r="AD278" t="s">
        <v>100</v>
      </c>
      <c r="AE278" t="s">
        <v>138</v>
      </c>
      <c r="AI278">
        <v>5</v>
      </c>
      <c r="AJ278" t="s">
        <v>201</v>
      </c>
      <c r="AK278">
        <v>0.16</v>
      </c>
      <c r="AL278" t="s">
        <v>409</v>
      </c>
      <c r="AT278" t="s">
        <v>360</v>
      </c>
      <c r="AU278">
        <v>0.11228070175438599</v>
      </c>
      <c r="AV278" t="s">
        <v>1250</v>
      </c>
      <c r="AZ278">
        <v>0</v>
      </c>
      <c r="BA278">
        <v>7.28</v>
      </c>
    </row>
    <row r="279" spans="1:53" x14ac:dyDescent="0.3">
      <c r="A279" t="s">
        <v>1350</v>
      </c>
      <c r="C279" t="s">
        <v>1275</v>
      </c>
      <c r="D279" t="s">
        <v>81</v>
      </c>
      <c r="E279">
        <v>50000000</v>
      </c>
      <c r="H279">
        <v>14.25</v>
      </c>
      <c r="I279" t="s">
        <v>56</v>
      </c>
      <c r="J279">
        <v>1.4250000000000001E-3</v>
      </c>
      <c r="K279" t="s">
        <v>57</v>
      </c>
      <c r="L279" t="s">
        <v>112</v>
      </c>
      <c r="N279" t="s">
        <v>314</v>
      </c>
      <c r="O279">
        <v>3000</v>
      </c>
      <c r="P279" t="s">
        <v>121</v>
      </c>
      <c r="S279">
        <v>2</v>
      </c>
      <c r="T279">
        <v>22</v>
      </c>
      <c r="V279">
        <v>50</v>
      </c>
      <c r="W279" t="s">
        <v>469</v>
      </c>
      <c r="X279" t="s">
        <v>135</v>
      </c>
      <c r="Y279">
        <v>60</v>
      </c>
      <c r="AB279">
        <v>7.61</v>
      </c>
      <c r="AC279" t="s">
        <v>85</v>
      </c>
      <c r="AD279" t="s">
        <v>328</v>
      </c>
      <c r="AE279" t="s">
        <v>138</v>
      </c>
      <c r="AI279">
        <v>5</v>
      </c>
      <c r="AJ279" t="s">
        <v>201</v>
      </c>
      <c r="AK279">
        <v>0.18</v>
      </c>
      <c r="AL279" t="s">
        <v>409</v>
      </c>
      <c r="AT279" t="s">
        <v>65</v>
      </c>
      <c r="AU279">
        <v>0.12631578947368419</v>
      </c>
      <c r="AV279" t="s">
        <v>1250</v>
      </c>
    </row>
    <row r="280" spans="1:53" x14ac:dyDescent="0.3">
      <c r="A280" t="s">
        <v>1350</v>
      </c>
      <c r="C280" t="s">
        <v>1275</v>
      </c>
      <c r="D280" t="s">
        <v>81</v>
      </c>
      <c r="E280">
        <v>50000000</v>
      </c>
      <c r="H280">
        <v>14.25</v>
      </c>
      <c r="I280" t="s">
        <v>56</v>
      </c>
      <c r="J280">
        <v>1.4250000000000001E-3</v>
      </c>
      <c r="K280" t="s">
        <v>57</v>
      </c>
      <c r="L280" t="s">
        <v>112</v>
      </c>
      <c r="N280" t="s">
        <v>314</v>
      </c>
      <c r="O280">
        <v>3000</v>
      </c>
      <c r="P280" t="s">
        <v>121</v>
      </c>
      <c r="S280">
        <v>2</v>
      </c>
      <c r="T280">
        <v>22</v>
      </c>
      <c r="V280">
        <v>50</v>
      </c>
      <c r="W280" t="s">
        <v>1352</v>
      </c>
      <c r="X280" t="s">
        <v>135</v>
      </c>
      <c r="Y280">
        <v>60</v>
      </c>
      <c r="AB280">
        <v>2.62</v>
      </c>
      <c r="AC280" t="s">
        <v>85</v>
      </c>
      <c r="AD280" t="s">
        <v>666</v>
      </c>
      <c r="AE280" t="s">
        <v>138</v>
      </c>
      <c r="AI280">
        <v>5</v>
      </c>
      <c r="AJ280" t="s">
        <v>201</v>
      </c>
      <c r="AK280">
        <v>0.18</v>
      </c>
      <c r="AL280" t="s">
        <v>409</v>
      </c>
      <c r="AT280" t="s">
        <v>79</v>
      </c>
      <c r="AU280">
        <v>0.12631578947368419</v>
      </c>
      <c r="AV280" t="s">
        <v>1250</v>
      </c>
    </row>
    <row r="281" spans="1:53" x14ac:dyDescent="0.3">
      <c r="A281" t="s">
        <v>1350</v>
      </c>
      <c r="C281" t="s">
        <v>1275</v>
      </c>
      <c r="D281" t="s">
        <v>81</v>
      </c>
      <c r="E281">
        <v>50000000</v>
      </c>
      <c r="H281">
        <v>14.25</v>
      </c>
      <c r="I281" t="s">
        <v>56</v>
      </c>
      <c r="J281">
        <v>1.4250000000000001E-3</v>
      </c>
      <c r="K281" t="s">
        <v>57</v>
      </c>
      <c r="L281" t="s">
        <v>112</v>
      </c>
      <c r="N281" t="s">
        <v>314</v>
      </c>
      <c r="O281">
        <v>3000</v>
      </c>
      <c r="P281" t="s">
        <v>121</v>
      </c>
      <c r="S281">
        <v>2</v>
      </c>
      <c r="T281">
        <v>22</v>
      </c>
      <c r="V281">
        <v>50</v>
      </c>
      <c r="W281" t="s">
        <v>540</v>
      </c>
      <c r="X281" t="s">
        <v>135</v>
      </c>
      <c r="Y281">
        <v>60</v>
      </c>
      <c r="AB281">
        <v>1.02</v>
      </c>
      <c r="AC281" t="s">
        <v>85</v>
      </c>
      <c r="AD281" t="s">
        <v>553</v>
      </c>
      <c r="AE281" t="s">
        <v>138</v>
      </c>
      <c r="AI281">
        <v>5</v>
      </c>
      <c r="AJ281" t="s">
        <v>201</v>
      </c>
      <c r="AK281">
        <v>0.28000000000000003</v>
      </c>
      <c r="AL281" t="s">
        <v>409</v>
      </c>
      <c r="AT281" t="s">
        <v>212</v>
      </c>
      <c r="AU281">
        <v>0.19649122807017541</v>
      </c>
      <c r="AV281" t="s">
        <v>1250</v>
      </c>
    </row>
    <row r="282" spans="1:53" x14ac:dyDescent="0.3">
      <c r="A282" t="s">
        <v>1350</v>
      </c>
      <c r="C282" t="s">
        <v>1275</v>
      </c>
      <c r="D282" t="s">
        <v>81</v>
      </c>
      <c r="E282">
        <v>50000000</v>
      </c>
      <c r="H282">
        <v>14.25</v>
      </c>
      <c r="I282" t="s">
        <v>56</v>
      </c>
      <c r="J282">
        <v>1.4250000000000001E-3</v>
      </c>
      <c r="K282" t="s">
        <v>57</v>
      </c>
      <c r="L282" t="s">
        <v>112</v>
      </c>
      <c r="N282" t="s">
        <v>314</v>
      </c>
      <c r="O282">
        <v>3000</v>
      </c>
      <c r="P282" t="s">
        <v>121</v>
      </c>
      <c r="S282">
        <v>2</v>
      </c>
      <c r="T282">
        <v>22</v>
      </c>
      <c r="V282">
        <v>50</v>
      </c>
      <c r="W282" t="s">
        <v>147</v>
      </c>
      <c r="X282" t="s">
        <v>135</v>
      </c>
      <c r="Y282">
        <v>60</v>
      </c>
      <c r="AA282" t="s">
        <v>94</v>
      </c>
      <c r="AB282">
        <v>7.93</v>
      </c>
      <c r="AC282" t="s">
        <v>85</v>
      </c>
      <c r="AD282" t="s">
        <v>227</v>
      </c>
      <c r="AE282" t="s">
        <v>138</v>
      </c>
      <c r="AI282">
        <v>5</v>
      </c>
      <c r="AJ282" t="s">
        <v>201</v>
      </c>
      <c r="AK282">
        <v>0.28999999999999898</v>
      </c>
      <c r="AL282" t="s">
        <v>409</v>
      </c>
      <c r="AT282" t="s">
        <v>150</v>
      </c>
      <c r="AU282">
        <v>0.20350877192982381</v>
      </c>
      <c r="AV282" t="s">
        <v>1250</v>
      </c>
      <c r="AZ282">
        <v>0</v>
      </c>
      <c r="BA282">
        <v>7.93</v>
      </c>
    </row>
    <row r="283" spans="1:53" x14ac:dyDescent="0.3">
      <c r="A283" t="s">
        <v>1350</v>
      </c>
      <c r="C283" t="s">
        <v>1275</v>
      </c>
      <c r="D283" t="s">
        <v>81</v>
      </c>
      <c r="E283">
        <v>50000000</v>
      </c>
      <c r="H283">
        <v>14.25</v>
      </c>
      <c r="I283" t="s">
        <v>56</v>
      </c>
      <c r="J283">
        <v>1.4250000000000001E-3</v>
      </c>
      <c r="K283" t="s">
        <v>57</v>
      </c>
      <c r="L283" t="s">
        <v>112</v>
      </c>
      <c r="N283" t="s">
        <v>314</v>
      </c>
      <c r="O283">
        <v>3000</v>
      </c>
      <c r="P283" t="s">
        <v>121</v>
      </c>
      <c r="S283">
        <v>2</v>
      </c>
      <c r="T283">
        <v>22</v>
      </c>
      <c r="V283">
        <v>50</v>
      </c>
      <c r="W283" t="s">
        <v>547</v>
      </c>
      <c r="X283" t="s">
        <v>135</v>
      </c>
      <c r="Y283">
        <v>60</v>
      </c>
      <c r="AB283">
        <v>0.61</v>
      </c>
      <c r="AC283" t="s">
        <v>85</v>
      </c>
      <c r="AD283" t="s">
        <v>511</v>
      </c>
      <c r="AE283" t="s">
        <v>138</v>
      </c>
      <c r="AI283">
        <v>5</v>
      </c>
      <c r="AJ283" t="s">
        <v>201</v>
      </c>
      <c r="AK283">
        <v>0.22</v>
      </c>
      <c r="AL283" t="s">
        <v>409</v>
      </c>
      <c r="AT283" t="s">
        <v>73</v>
      </c>
      <c r="AU283">
        <v>0.15438596491228071</v>
      </c>
      <c r="AV283" t="s">
        <v>1250</v>
      </c>
    </row>
    <row r="284" spans="1:53" x14ac:dyDescent="0.3">
      <c r="A284" t="s">
        <v>1350</v>
      </c>
      <c r="C284" t="s">
        <v>1275</v>
      </c>
      <c r="D284" t="s">
        <v>81</v>
      </c>
      <c r="E284">
        <v>50000000</v>
      </c>
      <c r="H284">
        <v>14.25</v>
      </c>
      <c r="I284" t="s">
        <v>56</v>
      </c>
      <c r="J284">
        <v>1.4250000000000001E-3</v>
      </c>
      <c r="K284" t="s">
        <v>57</v>
      </c>
      <c r="L284" t="s">
        <v>112</v>
      </c>
      <c r="N284" t="s">
        <v>314</v>
      </c>
      <c r="O284">
        <v>3000</v>
      </c>
      <c r="P284" t="s">
        <v>121</v>
      </c>
      <c r="S284">
        <v>2</v>
      </c>
      <c r="T284">
        <v>22</v>
      </c>
      <c r="V284">
        <v>50</v>
      </c>
      <c r="W284" t="s">
        <v>463</v>
      </c>
      <c r="X284" t="s">
        <v>135</v>
      </c>
      <c r="Y284">
        <v>60</v>
      </c>
      <c r="AA284" t="s">
        <v>94</v>
      </c>
      <c r="AB284">
        <v>6.91</v>
      </c>
      <c r="AC284" t="s">
        <v>85</v>
      </c>
      <c r="AD284" t="s">
        <v>487</v>
      </c>
      <c r="AE284" t="s">
        <v>138</v>
      </c>
      <c r="AI284">
        <v>5</v>
      </c>
      <c r="AJ284" t="s">
        <v>201</v>
      </c>
      <c r="AK284">
        <v>0.16</v>
      </c>
      <c r="AL284" t="s">
        <v>409</v>
      </c>
      <c r="AT284" t="s">
        <v>360</v>
      </c>
      <c r="AU284">
        <v>0.11228070175438599</v>
      </c>
      <c r="AV284" t="s">
        <v>1250</v>
      </c>
      <c r="AZ284">
        <v>0</v>
      </c>
      <c r="BA284">
        <v>6.91</v>
      </c>
    </row>
    <row r="285" spans="1:53" x14ac:dyDescent="0.3">
      <c r="A285" t="s">
        <v>1350</v>
      </c>
      <c r="C285" t="s">
        <v>1275</v>
      </c>
      <c r="D285" t="s">
        <v>81</v>
      </c>
      <c r="E285">
        <v>50000000</v>
      </c>
      <c r="H285">
        <v>14.25</v>
      </c>
      <c r="I285" t="s">
        <v>56</v>
      </c>
      <c r="J285">
        <v>1.4250000000000001E-3</v>
      </c>
      <c r="K285" t="s">
        <v>57</v>
      </c>
      <c r="L285" t="s">
        <v>112</v>
      </c>
      <c r="N285" t="s">
        <v>314</v>
      </c>
      <c r="O285">
        <v>3000</v>
      </c>
      <c r="P285" t="s">
        <v>121</v>
      </c>
      <c r="S285">
        <v>2</v>
      </c>
      <c r="T285">
        <v>22</v>
      </c>
      <c r="V285">
        <v>50</v>
      </c>
      <c r="W285" t="s">
        <v>469</v>
      </c>
      <c r="X285" t="s">
        <v>135</v>
      </c>
      <c r="Y285">
        <v>60</v>
      </c>
      <c r="AA285" t="s">
        <v>94</v>
      </c>
      <c r="AB285">
        <v>7.98</v>
      </c>
      <c r="AC285" t="s">
        <v>85</v>
      </c>
      <c r="AD285" t="s">
        <v>236</v>
      </c>
      <c r="AE285" t="s">
        <v>138</v>
      </c>
      <c r="AI285">
        <v>5</v>
      </c>
      <c r="AJ285" t="s">
        <v>201</v>
      </c>
      <c r="AK285">
        <v>0.18</v>
      </c>
      <c r="AL285" t="s">
        <v>409</v>
      </c>
      <c r="AT285" t="s">
        <v>65</v>
      </c>
      <c r="AU285">
        <v>0.12631578947368419</v>
      </c>
      <c r="AV285" t="s">
        <v>1250</v>
      </c>
      <c r="AZ285">
        <v>0</v>
      </c>
      <c r="BA285">
        <v>7.98</v>
      </c>
    </row>
    <row r="286" spans="1:53" x14ac:dyDescent="0.3">
      <c r="A286" t="s">
        <v>1350</v>
      </c>
      <c r="C286" t="s">
        <v>1275</v>
      </c>
      <c r="D286" t="s">
        <v>81</v>
      </c>
      <c r="E286">
        <v>50000000</v>
      </c>
      <c r="H286">
        <v>14.25</v>
      </c>
      <c r="I286" t="s">
        <v>56</v>
      </c>
      <c r="J286">
        <v>1.4250000000000001E-3</v>
      </c>
      <c r="K286" t="s">
        <v>57</v>
      </c>
      <c r="L286" t="s">
        <v>112</v>
      </c>
      <c r="N286" t="s">
        <v>314</v>
      </c>
      <c r="O286">
        <v>3000</v>
      </c>
      <c r="P286" t="s">
        <v>121</v>
      </c>
      <c r="S286">
        <v>2</v>
      </c>
      <c r="T286">
        <v>22</v>
      </c>
      <c r="V286">
        <v>50</v>
      </c>
      <c r="W286" t="s">
        <v>1352</v>
      </c>
      <c r="X286" t="s">
        <v>135</v>
      </c>
      <c r="Y286">
        <v>60</v>
      </c>
      <c r="AB286">
        <v>3.01</v>
      </c>
      <c r="AC286" t="s">
        <v>85</v>
      </c>
      <c r="AD286" t="s">
        <v>237</v>
      </c>
      <c r="AE286" t="s">
        <v>138</v>
      </c>
      <c r="AI286">
        <v>5</v>
      </c>
      <c r="AJ286" t="s">
        <v>201</v>
      </c>
      <c r="AK286">
        <v>0.18</v>
      </c>
      <c r="AL286" t="s">
        <v>409</v>
      </c>
      <c r="AT286" t="s">
        <v>79</v>
      </c>
      <c r="AU286">
        <v>0.12631578947368419</v>
      </c>
      <c r="AV286" t="s">
        <v>1250</v>
      </c>
    </row>
    <row r="287" spans="1:53" x14ac:dyDescent="0.3">
      <c r="A287" t="s">
        <v>1350</v>
      </c>
      <c r="C287" t="s">
        <v>1275</v>
      </c>
      <c r="D287" t="s">
        <v>81</v>
      </c>
      <c r="E287">
        <v>50000000</v>
      </c>
      <c r="H287">
        <v>14.25</v>
      </c>
      <c r="I287" t="s">
        <v>56</v>
      </c>
      <c r="J287">
        <v>1.4250000000000001E-3</v>
      </c>
      <c r="K287" t="s">
        <v>57</v>
      </c>
      <c r="L287" t="s">
        <v>112</v>
      </c>
      <c r="N287" t="s">
        <v>314</v>
      </c>
      <c r="O287">
        <v>3000</v>
      </c>
      <c r="P287" t="s">
        <v>121</v>
      </c>
      <c r="S287">
        <v>2</v>
      </c>
      <c r="T287">
        <v>22</v>
      </c>
      <c r="V287">
        <v>50</v>
      </c>
      <c r="W287" t="s">
        <v>540</v>
      </c>
      <c r="X287" t="s">
        <v>135</v>
      </c>
      <c r="Y287">
        <v>60</v>
      </c>
      <c r="AB287">
        <v>0.67</v>
      </c>
      <c r="AC287" t="s">
        <v>85</v>
      </c>
      <c r="AD287" t="s">
        <v>437</v>
      </c>
      <c r="AE287" t="s">
        <v>138</v>
      </c>
      <c r="AI287">
        <v>5</v>
      </c>
      <c r="AJ287" t="s">
        <v>201</v>
      </c>
      <c r="AK287">
        <v>0.28000000000000003</v>
      </c>
      <c r="AL287" t="s">
        <v>409</v>
      </c>
      <c r="AT287" t="s">
        <v>212</v>
      </c>
      <c r="AU287">
        <v>0.19649122807017541</v>
      </c>
      <c r="AV287" t="s">
        <v>1250</v>
      </c>
    </row>
    <row r="288" spans="1:53" x14ac:dyDescent="0.3">
      <c r="A288" t="s">
        <v>1350</v>
      </c>
      <c r="C288" t="s">
        <v>1275</v>
      </c>
      <c r="D288" t="s">
        <v>81</v>
      </c>
      <c r="E288">
        <v>50000000</v>
      </c>
      <c r="H288">
        <v>14.25</v>
      </c>
      <c r="I288" t="s">
        <v>56</v>
      </c>
      <c r="J288">
        <v>1.4250000000000001E-3</v>
      </c>
      <c r="K288" t="s">
        <v>57</v>
      </c>
      <c r="L288" t="s">
        <v>112</v>
      </c>
      <c r="N288" t="s">
        <v>314</v>
      </c>
      <c r="O288">
        <v>3000</v>
      </c>
      <c r="P288" t="s">
        <v>121</v>
      </c>
      <c r="S288">
        <v>2</v>
      </c>
      <c r="T288">
        <v>22</v>
      </c>
      <c r="V288">
        <v>50</v>
      </c>
      <c r="W288" t="s">
        <v>147</v>
      </c>
      <c r="X288" t="s">
        <v>135</v>
      </c>
      <c r="Y288">
        <v>60</v>
      </c>
      <c r="AA288" t="s">
        <v>94</v>
      </c>
      <c r="AB288">
        <v>7.85</v>
      </c>
      <c r="AC288" t="s">
        <v>85</v>
      </c>
      <c r="AD288" t="s">
        <v>240</v>
      </c>
      <c r="AE288" t="s">
        <v>138</v>
      </c>
      <c r="AI288">
        <v>5</v>
      </c>
      <c r="AJ288" t="s">
        <v>201</v>
      </c>
      <c r="AK288">
        <v>0.28999999999999898</v>
      </c>
      <c r="AL288" t="s">
        <v>409</v>
      </c>
      <c r="AT288" t="s">
        <v>150</v>
      </c>
      <c r="AU288">
        <v>0.20350877192982381</v>
      </c>
      <c r="AV288" t="s">
        <v>1250</v>
      </c>
      <c r="AZ288">
        <v>0</v>
      </c>
      <c r="BA288">
        <v>7.85</v>
      </c>
    </row>
    <row r="289" spans="1:53" x14ac:dyDescent="0.3">
      <c r="A289" t="s">
        <v>1350</v>
      </c>
      <c r="C289" t="s">
        <v>1275</v>
      </c>
      <c r="D289" t="s">
        <v>81</v>
      </c>
      <c r="E289">
        <v>50000000</v>
      </c>
      <c r="H289">
        <v>14.25</v>
      </c>
      <c r="I289" t="s">
        <v>56</v>
      </c>
      <c r="J289">
        <v>1.4250000000000001E-3</v>
      </c>
      <c r="K289" t="s">
        <v>57</v>
      </c>
      <c r="L289" t="s">
        <v>112</v>
      </c>
      <c r="N289" t="s">
        <v>314</v>
      </c>
      <c r="O289">
        <v>3500</v>
      </c>
      <c r="P289" t="s">
        <v>121</v>
      </c>
      <c r="S289">
        <v>2</v>
      </c>
      <c r="T289">
        <v>22</v>
      </c>
      <c r="V289">
        <v>50</v>
      </c>
      <c r="W289" t="s">
        <v>547</v>
      </c>
      <c r="X289" t="s">
        <v>135</v>
      </c>
      <c r="Y289">
        <v>60</v>
      </c>
      <c r="AB289">
        <v>0.3</v>
      </c>
      <c r="AC289" t="s">
        <v>85</v>
      </c>
      <c r="AD289" t="s">
        <v>237</v>
      </c>
      <c r="AE289" t="s">
        <v>138</v>
      </c>
      <c r="AI289">
        <v>5</v>
      </c>
      <c r="AJ289" t="s">
        <v>201</v>
      </c>
      <c r="AK289">
        <v>0.25</v>
      </c>
      <c r="AL289" t="s">
        <v>409</v>
      </c>
      <c r="AT289" t="s">
        <v>73</v>
      </c>
      <c r="AU289">
        <v>0.17543859649122809</v>
      </c>
      <c r="AV289" t="s">
        <v>1250</v>
      </c>
    </row>
    <row r="290" spans="1:53" x14ac:dyDescent="0.3">
      <c r="A290" t="s">
        <v>1350</v>
      </c>
      <c r="C290" t="s">
        <v>1275</v>
      </c>
      <c r="D290" t="s">
        <v>81</v>
      </c>
      <c r="E290">
        <v>50000000</v>
      </c>
      <c r="H290">
        <v>14.25</v>
      </c>
      <c r="I290" t="s">
        <v>56</v>
      </c>
      <c r="J290">
        <v>1.4250000000000001E-3</v>
      </c>
      <c r="K290" t="s">
        <v>57</v>
      </c>
      <c r="L290" t="s">
        <v>112</v>
      </c>
      <c r="N290" t="s">
        <v>314</v>
      </c>
      <c r="O290">
        <v>3500</v>
      </c>
      <c r="P290" t="s">
        <v>121</v>
      </c>
      <c r="S290">
        <v>2</v>
      </c>
      <c r="T290">
        <v>22</v>
      </c>
      <c r="V290">
        <v>50</v>
      </c>
      <c r="W290" t="s">
        <v>463</v>
      </c>
      <c r="X290" t="s">
        <v>135</v>
      </c>
      <c r="Y290">
        <v>60</v>
      </c>
      <c r="AB290">
        <v>4.88</v>
      </c>
      <c r="AC290" t="s">
        <v>85</v>
      </c>
      <c r="AD290" t="s">
        <v>1353</v>
      </c>
      <c r="AE290" t="s">
        <v>138</v>
      </c>
      <c r="AI290">
        <v>5</v>
      </c>
      <c r="AJ290" t="s">
        <v>201</v>
      </c>
      <c r="AK290">
        <v>0.18</v>
      </c>
      <c r="AL290" t="s">
        <v>409</v>
      </c>
      <c r="AT290" t="s">
        <v>360</v>
      </c>
      <c r="AU290">
        <v>0.12631578947368419</v>
      </c>
      <c r="AV290" t="s">
        <v>1250</v>
      </c>
    </row>
    <row r="291" spans="1:53" x14ac:dyDescent="0.3">
      <c r="A291" t="s">
        <v>1350</v>
      </c>
      <c r="C291" t="s">
        <v>1275</v>
      </c>
      <c r="D291" t="s">
        <v>81</v>
      </c>
      <c r="E291">
        <v>50000000</v>
      </c>
      <c r="H291">
        <v>14.25</v>
      </c>
      <c r="I291" t="s">
        <v>56</v>
      </c>
      <c r="J291">
        <v>1.4250000000000001E-3</v>
      </c>
      <c r="K291" t="s">
        <v>57</v>
      </c>
      <c r="L291" t="s">
        <v>112</v>
      </c>
      <c r="N291" t="s">
        <v>314</v>
      </c>
      <c r="O291">
        <v>3500</v>
      </c>
      <c r="P291" t="s">
        <v>121</v>
      </c>
      <c r="S291">
        <v>2</v>
      </c>
      <c r="T291">
        <v>22</v>
      </c>
      <c r="V291">
        <v>50</v>
      </c>
      <c r="W291" t="s">
        <v>469</v>
      </c>
      <c r="X291" t="s">
        <v>135</v>
      </c>
      <c r="Y291">
        <v>60</v>
      </c>
      <c r="AB291">
        <v>7.6</v>
      </c>
      <c r="AC291" t="s">
        <v>85</v>
      </c>
      <c r="AD291" t="s">
        <v>328</v>
      </c>
      <c r="AE291" t="s">
        <v>138</v>
      </c>
      <c r="AI291">
        <v>5</v>
      </c>
      <c r="AJ291" t="s">
        <v>201</v>
      </c>
      <c r="AK291">
        <v>0.3</v>
      </c>
      <c r="AL291" t="s">
        <v>409</v>
      </c>
      <c r="AT291" t="s">
        <v>65</v>
      </c>
      <c r="AU291">
        <v>0.2105263157894737</v>
      </c>
      <c r="AV291" t="s">
        <v>1250</v>
      </c>
    </row>
    <row r="292" spans="1:53" x14ac:dyDescent="0.3">
      <c r="A292" t="s">
        <v>1350</v>
      </c>
      <c r="C292" t="s">
        <v>1275</v>
      </c>
      <c r="D292" t="s">
        <v>81</v>
      </c>
      <c r="E292">
        <v>50000000</v>
      </c>
      <c r="H292">
        <v>14.25</v>
      </c>
      <c r="I292" t="s">
        <v>56</v>
      </c>
      <c r="J292">
        <v>1.4250000000000001E-3</v>
      </c>
      <c r="K292" t="s">
        <v>57</v>
      </c>
      <c r="L292" t="s">
        <v>112</v>
      </c>
      <c r="N292" t="s">
        <v>314</v>
      </c>
      <c r="O292">
        <v>3500</v>
      </c>
      <c r="P292" t="s">
        <v>121</v>
      </c>
      <c r="S292">
        <v>2</v>
      </c>
      <c r="T292">
        <v>22</v>
      </c>
      <c r="V292">
        <v>50</v>
      </c>
      <c r="W292" t="s">
        <v>1352</v>
      </c>
      <c r="X292" t="s">
        <v>135</v>
      </c>
      <c r="Y292">
        <v>60</v>
      </c>
      <c r="AB292">
        <v>2.4300000000000002</v>
      </c>
      <c r="AC292" t="s">
        <v>85</v>
      </c>
      <c r="AD292" t="s">
        <v>241</v>
      </c>
      <c r="AE292" t="s">
        <v>138</v>
      </c>
      <c r="AI292">
        <v>5</v>
      </c>
      <c r="AJ292" t="s">
        <v>201</v>
      </c>
      <c r="AK292">
        <v>0.32</v>
      </c>
      <c r="AL292" t="s">
        <v>409</v>
      </c>
      <c r="AT292" t="s">
        <v>79</v>
      </c>
      <c r="AU292">
        <v>0.22456140350877199</v>
      </c>
      <c r="AV292" t="s">
        <v>1250</v>
      </c>
    </row>
    <row r="293" spans="1:53" x14ac:dyDescent="0.3">
      <c r="A293" t="s">
        <v>1350</v>
      </c>
      <c r="C293" t="s">
        <v>1275</v>
      </c>
      <c r="D293" t="s">
        <v>81</v>
      </c>
      <c r="E293">
        <v>50000000</v>
      </c>
      <c r="H293">
        <v>14.25</v>
      </c>
      <c r="I293" t="s">
        <v>56</v>
      </c>
      <c r="J293">
        <v>1.4250000000000001E-3</v>
      </c>
      <c r="K293" t="s">
        <v>57</v>
      </c>
      <c r="L293" t="s">
        <v>112</v>
      </c>
      <c r="N293" t="s">
        <v>314</v>
      </c>
      <c r="O293">
        <v>3500</v>
      </c>
      <c r="P293" t="s">
        <v>121</v>
      </c>
      <c r="S293">
        <v>2</v>
      </c>
      <c r="T293">
        <v>22</v>
      </c>
      <c r="V293">
        <v>50</v>
      </c>
      <c r="W293" t="s">
        <v>540</v>
      </c>
      <c r="X293" t="s">
        <v>135</v>
      </c>
      <c r="Y293">
        <v>60</v>
      </c>
      <c r="AB293">
        <v>0.81</v>
      </c>
      <c r="AC293" t="s">
        <v>85</v>
      </c>
      <c r="AD293" t="s">
        <v>103</v>
      </c>
      <c r="AE293" t="s">
        <v>138</v>
      </c>
      <c r="AI293">
        <v>5</v>
      </c>
      <c r="AJ293" t="s">
        <v>201</v>
      </c>
      <c r="AK293">
        <v>0.32</v>
      </c>
      <c r="AL293" t="s">
        <v>409</v>
      </c>
      <c r="AT293" t="s">
        <v>212</v>
      </c>
      <c r="AU293">
        <v>0.22456140350877199</v>
      </c>
      <c r="AV293" t="s">
        <v>1250</v>
      </c>
    </row>
    <row r="294" spans="1:53" x14ac:dyDescent="0.3">
      <c r="A294" t="s">
        <v>1350</v>
      </c>
      <c r="C294" t="s">
        <v>1275</v>
      </c>
      <c r="D294" t="s">
        <v>81</v>
      </c>
      <c r="E294">
        <v>50000000</v>
      </c>
      <c r="H294">
        <v>14.25</v>
      </c>
      <c r="I294" t="s">
        <v>56</v>
      </c>
      <c r="J294">
        <v>1.4250000000000001E-3</v>
      </c>
      <c r="K294" t="s">
        <v>57</v>
      </c>
      <c r="L294" t="s">
        <v>112</v>
      </c>
      <c r="N294" t="s">
        <v>314</v>
      </c>
      <c r="O294">
        <v>3500</v>
      </c>
      <c r="P294" t="s">
        <v>121</v>
      </c>
      <c r="S294">
        <v>2</v>
      </c>
      <c r="T294">
        <v>22</v>
      </c>
      <c r="V294">
        <v>50</v>
      </c>
      <c r="W294" t="s">
        <v>147</v>
      </c>
      <c r="X294" t="s">
        <v>135</v>
      </c>
      <c r="Y294">
        <v>60</v>
      </c>
      <c r="AA294" t="s">
        <v>94</v>
      </c>
      <c r="AB294">
        <v>7.62</v>
      </c>
      <c r="AC294" t="s">
        <v>85</v>
      </c>
      <c r="AD294" t="s">
        <v>328</v>
      </c>
      <c r="AE294" t="s">
        <v>138</v>
      </c>
      <c r="AI294">
        <v>5</v>
      </c>
      <c r="AJ294" t="s">
        <v>201</v>
      </c>
      <c r="AK294">
        <v>0.32</v>
      </c>
      <c r="AL294" t="s">
        <v>409</v>
      </c>
      <c r="AT294" t="s">
        <v>150</v>
      </c>
      <c r="AU294">
        <v>0.22456140350877199</v>
      </c>
      <c r="AV294" t="s">
        <v>1250</v>
      </c>
      <c r="AZ294">
        <v>0</v>
      </c>
      <c r="BA294">
        <v>7.62</v>
      </c>
    </row>
    <row r="295" spans="1:53" x14ac:dyDescent="0.3">
      <c r="A295" t="s">
        <v>1350</v>
      </c>
      <c r="C295" t="s">
        <v>1275</v>
      </c>
      <c r="D295" t="s">
        <v>81</v>
      </c>
      <c r="E295">
        <v>50000000</v>
      </c>
      <c r="H295">
        <v>14.25</v>
      </c>
      <c r="I295" t="s">
        <v>56</v>
      </c>
      <c r="J295">
        <v>1.4250000000000001E-3</v>
      </c>
      <c r="K295" t="s">
        <v>57</v>
      </c>
      <c r="L295" t="s">
        <v>112</v>
      </c>
      <c r="N295" t="s">
        <v>314</v>
      </c>
      <c r="O295">
        <v>3500</v>
      </c>
      <c r="P295" t="s">
        <v>121</v>
      </c>
      <c r="S295">
        <v>2</v>
      </c>
      <c r="T295">
        <v>22</v>
      </c>
      <c r="V295">
        <v>50</v>
      </c>
      <c r="W295" t="s">
        <v>547</v>
      </c>
      <c r="X295" t="s">
        <v>135</v>
      </c>
      <c r="Y295">
        <v>60</v>
      </c>
      <c r="AB295">
        <v>0.65</v>
      </c>
      <c r="AC295" t="s">
        <v>85</v>
      </c>
      <c r="AD295" t="s">
        <v>248</v>
      </c>
      <c r="AE295" t="s">
        <v>138</v>
      </c>
      <c r="AI295">
        <v>5</v>
      </c>
      <c r="AJ295" t="s">
        <v>201</v>
      </c>
      <c r="AK295">
        <v>0.25</v>
      </c>
      <c r="AL295" t="s">
        <v>409</v>
      </c>
      <c r="AT295" t="s">
        <v>73</v>
      </c>
      <c r="AU295">
        <v>0.17543859649122809</v>
      </c>
      <c r="AV295" t="s">
        <v>1250</v>
      </c>
    </row>
    <row r="296" spans="1:53" x14ac:dyDescent="0.3">
      <c r="A296" t="s">
        <v>1350</v>
      </c>
      <c r="C296" t="s">
        <v>1275</v>
      </c>
      <c r="D296" t="s">
        <v>81</v>
      </c>
      <c r="E296">
        <v>50000000</v>
      </c>
      <c r="H296">
        <v>14.25</v>
      </c>
      <c r="I296" t="s">
        <v>56</v>
      </c>
      <c r="J296">
        <v>1.4250000000000001E-3</v>
      </c>
      <c r="K296" t="s">
        <v>57</v>
      </c>
      <c r="L296" t="s">
        <v>112</v>
      </c>
      <c r="N296" t="s">
        <v>314</v>
      </c>
      <c r="O296">
        <v>3500</v>
      </c>
      <c r="P296" t="s">
        <v>121</v>
      </c>
      <c r="S296">
        <v>2</v>
      </c>
      <c r="T296">
        <v>22</v>
      </c>
      <c r="V296">
        <v>50</v>
      </c>
      <c r="W296" t="s">
        <v>463</v>
      </c>
      <c r="X296" t="s">
        <v>135</v>
      </c>
      <c r="Y296">
        <v>60</v>
      </c>
      <c r="AB296">
        <v>6.12</v>
      </c>
      <c r="AC296" t="s">
        <v>85</v>
      </c>
      <c r="AD296" t="s">
        <v>440</v>
      </c>
      <c r="AE296" t="s">
        <v>138</v>
      </c>
      <c r="AI296">
        <v>5</v>
      </c>
      <c r="AJ296" t="s">
        <v>201</v>
      </c>
      <c r="AK296">
        <v>0.18</v>
      </c>
      <c r="AL296" t="s">
        <v>409</v>
      </c>
      <c r="AT296" t="s">
        <v>360</v>
      </c>
      <c r="AU296">
        <v>0.12631578947368419</v>
      </c>
      <c r="AV296" t="s">
        <v>1250</v>
      </c>
    </row>
    <row r="297" spans="1:53" x14ac:dyDescent="0.3">
      <c r="A297" t="s">
        <v>1350</v>
      </c>
      <c r="C297" t="s">
        <v>1275</v>
      </c>
      <c r="D297" t="s">
        <v>81</v>
      </c>
      <c r="E297">
        <v>50000000</v>
      </c>
      <c r="H297">
        <v>14.25</v>
      </c>
      <c r="I297" t="s">
        <v>56</v>
      </c>
      <c r="J297">
        <v>1.4250000000000001E-3</v>
      </c>
      <c r="K297" t="s">
        <v>57</v>
      </c>
      <c r="L297" t="s">
        <v>112</v>
      </c>
      <c r="N297" t="s">
        <v>314</v>
      </c>
      <c r="O297">
        <v>3500</v>
      </c>
      <c r="P297" t="s">
        <v>121</v>
      </c>
      <c r="S297">
        <v>2</v>
      </c>
      <c r="T297">
        <v>22</v>
      </c>
      <c r="V297">
        <v>50</v>
      </c>
      <c r="W297" t="s">
        <v>469</v>
      </c>
      <c r="X297" t="s">
        <v>135</v>
      </c>
      <c r="Y297">
        <v>60</v>
      </c>
      <c r="AB297">
        <v>7.06</v>
      </c>
      <c r="AC297" t="s">
        <v>85</v>
      </c>
      <c r="AD297" t="s">
        <v>96</v>
      </c>
      <c r="AE297" t="s">
        <v>138</v>
      </c>
      <c r="AI297">
        <v>5</v>
      </c>
      <c r="AJ297" t="s">
        <v>201</v>
      </c>
      <c r="AK297">
        <v>0.3</v>
      </c>
      <c r="AL297" t="s">
        <v>409</v>
      </c>
      <c r="AT297" t="s">
        <v>65</v>
      </c>
      <c r="AU297">
        <v>0.2105263157894737</v>
      </c>
      <c r="AV297" t="s">
        <v>1250</v>
      </c>
    </row>
    <row r="298" spans="1:53" x14ac:dyDescent="0.3">
      <c r="A298" t="s">
        <v>1350</v>
      </c>
      <c r="C298" t="s">
        <v>1275</v>
      </c>
      <c r="D298" t="s">
        <v>81</v>
      </c>
      <c r="E298">
        <v>50000000</v>
      </c>
      <c r="H298">
        <v>14.25</v>
      </c>
      <c r="I298" t="s">
        <v>56</v>
      </c>
      <c r="J298">
        <v>1.4250000000000001E-3</v>
      </c>
      <c r="K298" t="s">
        <v>57</v>
      </c>
      <c r="L298" t="s">
        <v>112</v>
      </c>
      <c r="N298" t="s">
        <v>314</v>
      </c>
      <c r="O298">
        <v>3500</v>
      </c>
      <c r="P298" t="s">
        <v>121</v>
      </c>
      <c r="S298">
        <v>2</v>
      </c>
      <c r="T298">
        <v>22</v>
      </c>
      <c r="V298">
        <v>50</v>
      </c>
      <c r="W298" t="s">
        <v>1352</v>
      </c>
      <c r="X298" t="s">
        <v>135</v>
      </c>
      <c r="Y298">
        <v>60</v>
      </c>
      <c r="AB298">
        <v>2.56</v>
      </c>
      <c r="AC298" t="s">
        <v>85</v>
      </c>
      <c r="AD298" t="s">
        <v>234</v>
      </c>
      <c r="AE298" t="s">
        <v>138</v>
      </c>
      <c r="AI298">
        <v>5</v>
      </c>
      <c r="AJ298" t="s">
        <v>201</v>
      </c>
      <c r="AK298">
        <v>0.32</v>
      </c>
      <c r="AL298" t="s">
        <v>409</v>
      </c>
      <c r="AT298" t="s">
        <v>79</v>
      </c>
      <c r="AU298">
        <v>0.22456140350877199</v>
      </c>
      <c r="AV298" t="s">
        <v>1250</v>
      </c>
    </row>
    <row r="299" spans="1:53" x14ac:dyDescent="0.3">
      <c r="A299" t="s">
        <v>1350</v>
      </c>
      <c r="C299" t="s">
        <v>1275</v>
      </c>
      <c r="D299" t="s">
        <v>81</v>
      </c>
      <c r="E299">
        <v>50000000</v>
      </c>
      <c r="H299">
        <v>14.25</v>
      </c>
      <c r="I299" t="s">
        <v>56</v>
      </c>
      <c r="J299">
        <v>1.4250000000000001E-3</v>
      </c>
      <c r="K299" t="s">
        <v>57</v>
      </c>
      <c r="L299" t="s">
        <v>112</v>
      </c>
      <c r="N299" t="s">
        <v>314</v>
      </c>
      <c r="O299">
        <v>3500</v>
      </c>
      <c r="P299" t="s">
        <v>121</v>
      </c>
      <c r="S299">
        <v>2</v>
      </c>
      <c r="T299">
        <v>22</v>
      </c>
      <c r="V299">
        <v>50</v>
      </c>
      <c r="W299" t="s">
        <v>540</v>
      </c>
      <c r="X299" t="s">
        <v>135</v>
      </c>
      <c r="Y299">
        <v>60</v>
      </c>
      <c r="AB299">
        <v>0.54</v>
      </c>
      <c r="AC299" t="s">
        <v>85</v>
      </c>
      <c r="AD299" t="s">
        <v>423</v>
      </c>
      <c r="AE299" t="s">
        <v>138</v>
      </c>
      <c r="AI299">
        <v>5</v>
      </c>
      <c r="AJ299" t="s">
        <v>201</v>
      </c>
      <c r="AK299">
        <v>0.32</v>
      </c>
      <c r="AL299" t="s">
        <v>409</v>
      </c>
      <c r="AT299" t="s">
        <v>212</v>
      </c>
      <c r="AU299">
        <v>0.22456140350877199</v>
      </c>
      <c r="AV299" t="s">
        <v>1250</v>
      </c>
    </row>
    <row r="300" spans="1:53" x14ac:dyDescent="0.3">
      <c r="A300" t="s">
        <v>1350</v>
      </c>
      <c r="C300" t="s">
        <v>1275</v>
      </c>
      <c r="D300" t="s">
        <v>81</v>
      </c>
      <c r="E300">
        <v>50000000</v>
      </c>
      <c r="H300">
        <v>14.25</v>
      </c>
      <c r="I300" t="s">
        <v>56</v>
      </c>
      <c r="J300">
        <v>1.4250000000000001E-3</v>
      </c>
      <c r="K300" t="s">
        <v>57</v>
      </c>
      <c r="L300" t="s">
        <v>112</v>
      </c>
      <c r="N300" t="s">
        <v>314</v>
      </c>
      <c r="O300">
        <v>3500</v>
      </c>
      <c r="P300" t="s">
        <v>121</v>
      </c>
      <c r="S300">
        <v>2</v>
      </c>
      <c r="T300">
        <v>22</v>
      </c>
      <c r="V300">
        <v>50</v>
      </c>
      <c r="W300" t="s">
        <v>147</v>
      </c>
      <c r="X300" t="s">
        <v>135</v>
      </c>
      <c r="Y300">
        <v>60</v>
      </c>
      <c r="AA300" t="s">
        <v>94</v>
      </c>
      <c r="AB300">
        <v>7.71</v>
      </c>
      <c r="AC300" t="s">
        <v>85</v>
      </c>
      <c r="AD300" t="s">
        <v>228</v>
      </c>
      <c r="AE300" t="s">
        <v>138</v>
      </c>
      <c r="AI300">
        <v>5</v>
      </c>
      <c r="AJ300" t="s">
        <v>201</v>
      </c>
      <c r="AK300">
        <v>0.32</v>
      </c>
      <c r="AL300" t="s">
        <v>409</v>
      </c>
      <c r="AT300" t="s">
        <v>150</v>
      </c>
      <c r="AU300">
        <v>0.22456140350877199</v>
      </c>
      <c r="AV300" t="s">
        <v>1250</v>
      </c>
      <c r="AZ300">
        <v>0</v>
      </c>
      <c r="BA300">
        <v>7.71</v>
      </c>
    </row>
    <row r="301" spans="1:53" x14ac:dyDescent="0.3">
      <c r="A301" t="s">
        <v>1350</v>
      </c>
      <c r="C301" t="s">
        <v>1275</v>
      </c>
      <c r="D301" t="s">
        <v>81</v>
      </c>
      <c r="E301">
        <v>50000000</v>
      </c>
      <c r="H301">
        <v>14.25</v>
      </c>
      <c r="I301" t="s">
        <v>56</v>
      </c>
      <c r="J301">
        <v>1.4250000000000001E-3</v>
      </c>
      <c r="K301" t="s">
        <v>57</v>
      </c>
      <c r="L301" t="s">
        <v>112</v>
      </c>
      <c r="N301" t="s">
        <v>314</v>
      </c>
      <c r="O301">
        <v>3500</v>
      </c>
      <c r="P301" t="s">
        <v>121</v>
      </c>
      <c r="S301">
        <v>2</v>
      </c>
      <c r="T301">
        <v>22</v>
      </c>
      <c r="V301">
        <v>50</v>
      </c>
      <c r="W301" t="s">
        <v>547</v>
      </c>
      <c r="X301" t="s">
        <v>135</v>
      </c>
      <c r="Y301">
        <v>120</v>
      </c>
      <c r="AB301">
        <v>0.6</v>
      </c>
      <c r="AC301" t="s">
        <v>85</v>
      </c>
      <c r="AD301" t="s">
        <v>239</v>
      </c>
      <c r="AE301" t="s">
        <v>138</v>
      </c>
      <c r="AI301">
        <v>5</v>
      </c>
      <c r="AJ301" t="s">
        <v>201</v>
      </c>
      <c r="AK301">
        <v>0.75</v>
      </c>
      <c r="AL301" t="s">
        <v>409</v>
      </c>
      <c r="AT301" t="s">
        <v>73</v>
      </c>
      <c r="AU301">
        <v>0.52631578947368418</v>
      </c>
      <c r="AV301" t="s">
        <v>1250</v>
      </c>
    </row>
    <row r="302" spans="1:53" x14ac:dyDescent="0.3">
      <c r="A302" t="s">
        <v>1350</v>
      </c>
      <c r="C302" t="s">
        <v>1275</v>
      </c>
      <c r="D302" t="s">
        <v>81</v>
      </c>
      <c r="E302">
        <v>50000000</v>
      </c>
      <c r="H302">
        <v>14.25</v>
      </c>
      <c r="I302" t="s">
        <v>56</v>
      </c>
      <c r="J302">
        <v>1.4250000000000001E-3</v>
      </c>
      <c r="K302" t="s">
        <v>57</v>
      </c>
      <c r="L302" t="s">
        <v>112</v>
      </c>
      <c r="N302" t="s">
        <v>314</v>
      </c>
      <c r="O302">
        <v>3500</v>
      </c>
      <c r="P302" t="s">
        <v>121</v>
      </c>
      <c r="S302">
        <v>2</v>
      </c>
      <c r="T302">
        <v>22</v>
      </c>
      <c r="V302">
        <v>50</v>
      </c>
      <c r="W302" t="s">
        <v>463</v>
      </c>
      <c r="X302" t="s">
        <v>135</v>
      </c>
      <c r="Y302">
        <v>120</v>
      </c>
      <c r="AA302" t="s">
        <v>94</v>
      </c>
      <c r="AB302">
        <v>7.5</v>
      </c>
      <c r="AC302" t="s">
        <v>85</v>
      </c>
      <c r="AD302" t="s">
        <v>553</v>
      </c>
      <c r="AE302" t="s">
        <v>138</v>
      </c>
      <c r="AI302">
        <v>5</v>
      </c>
      <c r="AJ302" t="s">
        <v>201</v>
      </c>
      <c r="AK302">
        <v>0.56000000000000005</v>
      </c>
      <c r="AL302" t="s">
        <v>409</v>
      </c>
      <c r="AT302" t="s">
        <v>360</v>
      </c>
      <c r="AU302">
        <v>0.39298245614035088</v>
      </c>
      <c r="AV302" t="s">
        <v>1250</v>
      </c>
      <c r="AZ302">
        <v>0</v>
      </c>
      <c r="BA302">
        <v>7.5</v>
      </c>
    </row>
    <row r="303" spans="1:53" x14ac:dyDescent="0.3">
      <c r="A303" t="s">
        <v>1350</v>
      </c>
      <c r="C303" t="s">
        <v>1275</v>
      </c>
      <c r="D303" t="s">
        <v>81</v>
      </c>
      <c r="E303">
        <v>50000000</v>
      </c>
      <c r="H303">
        <v>14.25</v>
      </c>
      <c r="I303" t="s">
        <v>56</v>
      </c>
      <c r="J303">
        <v>1.4250000000000001E-3</v>
      </c>
      <c r="K303" t="s">
        <v>57</v>
      </c>
      <c r="L303" t="s">
        <v>112</v>
      </c>
      <c r="N303" t="s">
        <v>314</v>
      </c>
      <c r="O303">
        <v>3500</v>
      </c>
      <c r="P303" t="s">
        <v>121</v>
      </c>
      <c r="S303">
        <v>2</v>
      </c>
      <c r="T303">
        <v>22</v>
      </c>
      <c r="V303">
        <v>50</v>
      </c>
      <c r="W303" t="s">
        <v>469</v>
      </c>
      <c r="X303" t="s">
        <v>135</v>
      </c>
      <c r="Y303">
        <v>120</v>
      </c>
      <c r="AA303" t="s">
        <v>94</v>
      </c>
      <c r="AB303">
        <v>7.81</v>
      </c>
      <c r="AC303" t="s">
        <v>85</v>
      </c>
      <c r="AD303" t="s">
        <v>227</v>
      </c>
      <c r="AE303" t="s">
        <v>138</v>
      </c>
      <c r="AI303">
        <v>5</v>
      </c>
      <c r="AJ303" t="s">
        <v>201</v>
      </c>
      <c r="AK303">
        <v>0.43</v>
      </c>
      <c r="AL303" t="s">
        <v>409</v>
      </c>
      <c r="AT303" t="s">
        <v>65</v>
      </c>
      <c r="AU303">
        <v>0.30175438596491228</v>
      </c>
      <c r="AV303" t="s">
        <v>1250</v>
      </c>
      <c r="AZ303">
        <v>0</v>
      </c>
      <c r="BA303">
        <v>7.81</v>
      </c>
    </row>
    <row r="304" spans="1:53" x14ac:dyDescent="0.3">
      <c r="A304" t="s">
        <v>1350</v>
      </c>
      <c r="C304" t="s">
        <v>1275</v>
      </c>
      <c r="D304" t="s">
        <v>81</v>
      </c>
      <c r="E304">
        <v>50000000</v>
      </c>
      <c r="H304">
        <v>14.25</v>
      </c>
      <c r="I304" t="s">
        <v>56</v>
      </c>
      <c r="J304">
        <v>1.4250000000000001E-3</v>
      </c>
      <c r="K304" t="s">
        <v>57</v>
      </c>
      <c r="L304" t="s">
        <v>112</v>
      </c>
      <c r="N304" t="s">
        <v>314</v>
      </c>
      <c r="O304">
        <v>3500</v>
      </c>
      <c r="P304" t="s">
        <v>121</v>
      </c>
      <c r="S304">
        <v>2</v>
      </c>
      <c r="T304">
        <v>22</v>
      </c>
      <c r="V304">
        <v>50</v>
      </c>
      <c r="W304" t="s">
        <v>1352</v>
      </c>
      <c r="X304" t="s">
        <v>135</v>
      </c>
      <c r="Y304">
        <v>120</v>
      </c>
      <c r="AB304">
        <v>2.37</v>
      </c>
      <c r="AC304" t="s">
        <v>85</v>
      </c>
      <c r="AD304" t="s">
        <v>324</v>
      </c>
      <c r="AE304" t="s">
        <v>138</v>
      </c>
      <c r="AI304">
        <v>5</v>
      </c>
      <c r="AJ304" t="s">
        <v>201</v>
      </c>
      <c r="AK304">
        <v>0.42</v>
      </c>
      <c r="AL304" t="s">
        <v>409</v>
      </c>
      <c r="AT304" t="s">
        <v>79</v>
      </c>
      <c r="AU304">
        <v>0.29473684210526307</v>
      </c>
      <c r="AV304" t="s">
        <v>1250</v>
      </c>
    </row>
    <row r="305" spans="1:53" x14ac:dyDescent="0.3">
      <c r="A305" t="s">
        <v>1350</v>
      </c>
      <c r="C305" t="s">
        <v>1275</v>
      </c>
      <c r="D305" t="s">
        <v>81</v>
      </c>
      <c r="E305">
        <v>50000000</v>
      </c>
      <c r="H305">
        <v>14.25</v>
      </c>
      <c r="I305" t="s">
        <v>56</v>
      </c>
      <c r="J305">
        <v>1.4250000000000001E-3</v>
      </c>
      <c r="K305" t="s">
        <v>57</v>
      </c>
      <c r="L305" t="s">
        <v>112</v>
      </c>
      <c r="N305" t="s">
        <v>314</v>
      </c>
      <c r="O305">
        <v>3500</v>
      </c>
      <c r="P305" t="s">
        <v>121</v>
      </c>
      <c r="S305">
        <v>2</v>
      </c>
      <c r="T305">
        <v>22</v>
      </c>
      <c r="V305">
        <v>50</v>
      </c>
      <c r="W305" t="s">
        <v>540</v>
      </c>
      <c r="X305" t="s">
        <v>135</v>
      </c>
      <c r="Y305">
        <v>120</v>
      </c>
      <c r="AB305">
        <v>0.89</v>
      </c>
      <c r="AC305" t="s">
        <v>85</v>
      </c>
      <c r="AD305" t="s">
        <v>632</v>
      </c>
      <c r="AE305" t="s">
        <v>138</v>
      </c>
      <c r="AI305">
        <v>5</v>
      </c>
      <c r="AJ305" t="s">
        <v>201</v>
      </c>
      <c r="AK305">
        <v>0.65</v>
      </c>
      <c r="AL305" t="s">
        <v>409</v>
      </c>
      <c r="AT305" t="s">
        <v>212</v>
      </c>
      <c r="AU305">
        <v>0.45614035087719301</v>
      </c>
      <c r="AV305" t="s">
        <v>1250</v>
      </c>
    </row>
    <row r="306" spans="1:53" x14ac:dyDescent="0.3">
      <c r="A306" t="s">
        <v>1350</v>
      </c>
      <c r="C306" t="s">
        <v>1275</v>
      </c>
      <c r="D306" t="s">
        <v>81</v>
      </c>
      <c r="E306">
        <v>50000000</v>
      </c>
      <c r="H306">
        <v>14.25</v>
      </c>
      <c r="I306" t="s">
        <v>56</v>
      </c>
      <c r="J306">
        <v>1.4250000000000001E-3</v>
      </c>
      <c r="K306" t="s">
        <v>57</v>
      </c>
      <c r="L306" t="s">
        <v>112</v>
      </c>
      <c r="N306" t="s">
        <v>314</v>
      </c>
      <c r="O306">
        <v>3500</v>
      </c>
      <c r="P306" t="s">
        <v>121</v>
      </c>
      <c r="S306">
        <v>2</v>
      </c>
      <c r="T306">
        <v>22</v>
      </c>
      <c r="V306">
        <v>50</v>
      </c>
      <c r="W306" t="s">
        <v>147</v>
      </c>
      <c r="X306" t="s">
        <v>135</v>
      </c>
      <c r="Y306">
        <v>120</v>
      </c>
      <c r="AA306" t="s">
        <v>94</v>
      </c>
      <c r="AB306">
        <v>7.87</v>
      </c>
      <c r="AC306" t="s">
        <v>85</v>
      </c>
      <c r="AD306" t="s">
        <v>235</v>
      </c>
      <c r="AE306" t="s">
        <v>138</v>
      </c>
      <c r="AI306">
        <v>5</v>
      </c>
      <c r="AJ306" t="s">
        <v>201</v>
      </c>
      <c r="AK306">
        <v>0.57999999999999896</v>
      </c>
      <c r="AL306" t="s">
        <v>409</v>
      </c>
      <c r="AT306" t="s">
        <v>150</v>
      </c>
      <c r="AU306">
        <v>0.40701754385964839</v>
      </c>
      <c r="AV306" t="s">
        <v>1250</v>
      </c>
      <c r="AZ306">
        <v>0</v>
      </c>
      <c r="BA306">
        <v>7.87</v>
      </c>
    </row>
    <row r="307" spans="1:53" x14ac:dyDescent="0.3">
      <c r="A307" t="s">
        <v>1350</v>
      </c>
      <c r="C307" t="s">
        <v>1275</v>
      </c>
      <c r="D307" t="s">
        <v>81</v>
      </c>
      <c r="E307">
        <v>50000000</v>
      </c>
      <c r="H307">
        <v>14.25</v>
      </c>
      <c r="I307" t="s">
        <v>56</v>
      </c>
      <c r="J307">
        <v>1.4250000000000001E-3</v>
      </c>
      <c r="K307" t="s">
        <v>57</v>
      </c>
      <c r="L307" t="s">
        <v>112</v>
      </c>
      <c r="N307" t="s">
        <v>314</v>
      </c>
      <c r="O307">
        <v>3500</v>
      </c>
      <c r="P307" t="s">
        <v>121</v>
      </c>
      <c r="S307">
        <v>2</v>
      </c>
      <c r="T307">
        <v>22</v>
      </c>
      <c r="V307">
        <v>50</v>
      </c>
      <c r="W307" t="s">
        <v>547</v>
      </c>
      <c r="X307" t="s">
        <v>135</v>
      </c>
      <c r="Y307">
        <v>120</v>
      </c>
      <c r="AB307">
        <v>0.97</v>
      </c>
      <c r="AC307" t="s">
        <v>85</v>
      </c>
      <c r="AD307" t="s">
        <v>231</v>
      </c>
      <c r="AE307" t="s">
        <v>138</v>
      </c>
      <c r="AI307">
        <v>5</v>
      </c>
      <c r="AJ307" t="s">
        <v>201</v>
      </c>
      <c r="AK307">
        <v>0.75</v>
      </c>
      <c r="AL307" t="s">
        <v>409</v>
      </c>
      <c r="AT307" t="s">
        <v>73</v>
      </c>
      <c r="AU307">
        <v>0.52631578947368418</v>
      </c>
      <c r="AV307" t="s">
        <v>1250</v>
      </c>
    </row>
    <row r="308" spans="1:53" x14ac:dyDescent="0.3">
      <c r="A308" t="s">
        <v>1350</v>
      </c>
      <c r="C308" t="s">
        <v>1275</v>
      </c>
      <c r="D308" t="s">
        <v>81</v>
      </c>
      <c r="E308">
        <v>50000000</v>
      </c>
      <c r="H308">
        <v>14.25</v>
      </c>
      <c r="I308" t="s">
        <v>56</v>
      </c>
      <c r="J308">
        <v>1.4250000000000001E-3</v>
      </c>
      <c r="K308" t="s">
        <v>57</v>
      </c>
      <c r="L308" t="s">
        <v>112</v>
      </c>
      <c r="N308" t="s">
        <v>314</v>
      </c>
      <c r="O308">
        <v>3500</v>
      </c>
      <c r="P308" t="s">
        <v>121</v>
      </c>
      <c r="S308">
        <v>2</v>
      </c>
      <c r="T308">
        <v>22</v>
      </c>
      <c r="V308">
        <v>50</v>
      </c>
      <c r="W308" t="s">
        <v>463</v>
      </c>
      <c r="X308" t="s">
        <v>135</v>
      </c>
      <c r="Y308">
        <v>120</v>
      </c>
      <c r="AA308" t="s">
        <v>94</v>
      </c>
      <c r="AB308">
        <v>7.62</v>
      </c>
      <c r="AC308" t="s">
        <v>85</v>
      </c>
      <c r="AD308" t="s">
        <v>235</v>
      </c>
      <c r="AE308" t="s">
        <v>138</v>
      </c>
      <c r="AI308">
        <v>5</v>
      </c>
      <c r="AJ308" t="s">
        <v>201</v>
      </c>
      <c r="AK308">
        <v>0.56000000000000005</v>
      </c>
      <c r="AL308" t="s">
        <v>409</v>
      </c>
      <c r="AT308" t="s">
        <v>360</v>
      </c>
      <c r="AU308">
        <v>0.39298245614035088</v>
      </c>
      <c r="AV308" t="s">
        <v>1250</v>
      </c>
      <c r="AZ308">
        <v>0</v>
      </c>
      <c r="BA308">
        <v>7.62</v>
      </c>
    </row>
    <row r="309" spans="1:53" x14ac:dyDescent="0.3">
      <c r="A309" t="s">
        <v>1350</v>
      </c>
      <c r="C309" t="s">
        <v>1275</v>
      </c>
      <c r="D309" t="s">
        <v>81</v>
      </c>
      <c r="E309">
        <v>50000000</v>
      </c>
      <c r="H309">
        <v>14.25</v>
      </c>
      <c r="I309" t="s">
        <v>56</v>
      </c>
      <c r="J309">
        <v>1.4250000000000001E-3</v>
      </c>
      <c r="K309" t="s">
        <v>57</v>
      </c>
      <c r="L309" t="s">
        <v>112</v>
      </c>
      <c r="N309" t="s">
        <v>314</v>
      </c>
      <c r="O309">
        <v>3500</v>
      </c>
      <c r="P309" t="s">
        <v>121</v>
      </c>
      <c r="S309">
        <v>2</v>
      </c>
      <c r="T309">
        <v>22</v>
      </c>
      <c r="V309">
        <v>50</v>
      </c>
      <c r="W309" t="s">
        <v>469</v>
      </c>
      <c r="X309" t="s">
        <v>135</v>
      </c>
      <c r="Y309">
        <v>120</v>
      </c>
      <c r="AA309" t="s">
        <v>94</v>
      </c>
      <c r="AB309">
        <v>7.6</v>
      </c>
      <c r="AC309" t="s">
        <v>85</v>
      </c>
      <c r="AD309" t="s">
        <v>236</v>
      </c>
      <c r="AE309" t="s">
        <v>138</v>
      </c>
      <c r="AI309">
        <v>5</v>
      </c>
      <c r="AJ309" t="s">
        <v>201</v>
      </c>
      <c r="AK309">
        <v>0.43</v>
      </c>
      <c r="AL309" t="s">
        <v>409</v>
      </c>
      <c r="AT309" t="s">
        <v>65</v>
      </c>
      <c r="AU309">
        <v>0.30175438596491228</v>
      </c>
      <c r="AV309" t="s">
        <v>1250</v>
      </c>
      <c r="AZ309">
        <v>0</v>
      </c>
      <c r="BA309">
        <v>7.6</v>
      </c>
    </row>
    <row r="310" spans="1:53" x14ac:dyDescent="0.3">
      <c r="A310" t="s">
        <v>1350</v>
      </c>
      <c r="C310" t="s">
        <v>1275</v>
      </c>
      <c r="D310" t="s">
        <v>81</v>
      </c>
      <c r="E310">
        <v>50000000</v>
      </c>
      <c r="H310">
        <v>14.25</v>
      </c>
      <c r="I310" t="s">
        <v>56</v>
      </c>
      <c r="J310">
        <v>1.4250000000000001E-3</v>
      </c>
      <c r="K310" t="s">
        <v>57</v>
      </c>
      <c r="L310" t="s">
        <v>112</v>
      </c>
      <c r="N310" t="s">
        <v>314</v>
      </c>
      <c r="O310">
        <v>3500</v>
      </c>
      <c r="P310" t="s">
        <v>121</v>
      </c>
      <c r="S310">
        <v>2</v>
      </c>
      <c r="T310">
        <v>22</v>
      </c>
      <c r="V310">
        <v>50</v>
      </c>
      <c r="W310" t="s">
        <v>1352</v>
      </c>
      <c r="X310" t="s">
        <v>135</v>
      </c>
      <c r="Y310">
        <v>120</v>
      </c>
      <c r="AB310">
        <v>2.44</v>
      </c>
      <c r="AC310" t="s">
        <v>85</v>
      </c>
      <c r="AD310" t="s">
        <v>638</v>
      </c>
      <c r="AE310" t="s">
        <v>138</v>
      </c>
      <c r="AI310">
        <v>5</v>
      </c>
      <c r="AJ310" t="s">
        <v>201</v>
      </c>
      <c r="AK310">
        <v>0.42</v>
      </c>
      <c r="AL310" t="s">
        <v>409</v>
      </c>
      <c r="AT310" t="s">
        <v>79</v>
      </c>
      <c r="AU310">
        <v>0.29473684210526307</v>
      </c>
      <c r="AV310" t="s">
        <v>1250</v>
      </c>
    </row>
    <row r="311" spans="1:53" x14ac:dyDescent="0.3">
      <c r="A311" t="s">
        <v>1350</v>
      </c>
      <c r="C311" t="s">
        <v>1275</v>
      </c>
      <c r="D311" t="s">
        <v>81</v>
      </c>
      <c r="E311">
        <v>50000000</v>
      </c>
      <c r="H311">
        <v>14.25</v>
      </c>
      <c r="I311" t="s">
        <v>56</v>
      </c>
      <c r="J311">
        <v>1.4250000000000001E-3</v>
      </c>
      <c r="K311" t="s">
        <v>57</v>
      </c>
      <c r="L311" t="s">
        <v>112</v>
      </c>
      <c r="N311" t="s">
        <v>314</v>
      </c>
      <c r="O311">
        <v>3500</v>
      </c>
      <c r="P311" t="s">
        <v>121</v>
      </c>
      <c r="S311">
        <v>2</v>
      </c>
      <c r="T311">
        <v>22</v>
      </c>
      <c r="V311">
        <v>50</v>
      </c>
      <c r="W311" t="s">
        <v>540</v>
      </c>
      <c r="X311" t="s">
        <v>135</v>
      </c>
      <c r="Y311">
        <v>120</v>
      </c>
      <c r="AB311">
        <v>0.76</v>
      </c>
      <c r="AC311" t="s">
        <v>85</v>
      </c>
      <c r="AD311" t="s">
        <v>98</v>
      </c>
      <c r="AE311" t="s">
        <v>138</v>
      </c>
      <c r="AI311">
        <v>5</v>
      </c>
      <c r="AJ311" t="s">
        <v>201</v>
      </c>
      <c r="AK311">
        <v>0.65</v>
      </c>
      <c r="AL311" t="s">
        <v>409</v>
      </c>
      <c r="AT311" t="s">
        <v>212</v>
      </c>
      <c r="AU311">
        <v>0.45614035087719301</v>
      </c>
      <c r="AV311" t="s">
        <v>1250</v>
      </c>
    </row>
    <row r="312" spans="1:53" x14ac:dyDescent="0.3">
      <c r="A312" t="s">
        <v>1350</v>
      </c>
      <c r="C312" t="s">
        <v>1275</v>
      </c>
      <c r="D312" t="s">
        <v>81</v>
      </c>
      <c r="E312">
        <v>50000000</v>
      </c>
      <c r="H312">
        <v>14.25</v>
      </c>
      <c r="I312" t="s">
        <v>56</v>
      </c>
      <c r="J312">
        <v>1.4250000000000001E-3</v>
      </c>
      <c r="K312" t="s">
        <v>57</v>
      </c>
      <c r="L312" t="s">
        <v>112</v>
      </c>
      <c r="N312" t="s">
        <v>314</v>
      </c>
      <c r="O312">
        <v>3500</v>
      </c>
      <c r="P312" t="s">
        <v>121</v>
      </c>
      <c r="S312">
        <v>2</v>
      </c>
      <c r="T312">
        <v>22</v>
      </c>
      <c r="V312">
        <v>50</v>
      </c>
      <c r="W312" t="s">
        <v>147</v>
      </c>
      <c r="X312" t="s">
        <v>135</v>
      </c>
      <c r="Y312">
        <v>120</v>
      </c>
      <c r="AA312" t="s">
        <v>94</v>
      </c>
      <c r="AB312">
        <v>7.66</v>
      </c>
      <c r="AC312" t="s">
        <v>85</v>
      </c>
      <c r="AD312" t="s">
        <v>237</v>
      </c>
      <c r="AE312" t="s">
        <v>138</v>
      </c>
      <c r="AI312">
        <v>5</v>
      </c>
      <c r="AJ312" t="s">
        <v>201</v>
      </c>
      <c r="AK312">
        <v>0.57999999999999896</v>
      </c>
      <c r="AL312" t="s">
        <v>409</v>
      </c>
      <c r="AT312" t="s">
        <v>150</v>
      </c>
      <c r="AU312">
        <v>0.40701754385964839</v>
      </c>
      <c r="AV312" t="s">
        <v>1250</v>
      </c>
      <c r="AZ312">
        <v>0</v>
      </c>
      <c r="BA312">
        <v>7.66</v>
      </c>
    </row>
    <row r="313" spans="1:53" x14ac:dyDescent="0.3">
      <c r="A313" t="s">
        <v>1350</v>
      </c>
      <c r="C313" t="s">
        <v>1275</v>
      </c>
      <c r="D313" t="s">
        <v>81</v>
      </c>
      <c r="E313">
        <v>50000000</v>
      </c>
      <c r="H313">
        <v>14.25</v>
      </c>
      <c r="I313" t="s">
        <v>56</v>
      </c>
      <c r="J313">
        <v>1.4250000000000001E-3</v>
      </c>
      <c r="K313" t="s">
        <v>57</v>
      </c>
      <c r="L313" t="s">
        <v>112</v>
      </c>
      <c r="N313" t="s">
        <v>314</v>
      </c>
      <c r="O313">
        <v>3500</v>
      </c>
      <c r="P313" t="s">
        <v>121</v>
      </c>
      <c r="S313">
        <v>2</v>
      </c>
      <c r="T313">
        <v>22</v>
      </c>
      <c r="V313">
        <v>50</v>
      </c>
      <c r="W313" t="s">
        <v>547</v>
      </c>
      <c r="X313" t="s">
        <v>135</v>
      </c>
      <c r="Y313">
        <v>120</v>
      </c>
      <c r="AB313">
        <v>0.45</v>
      </c>
      <c r="AC313" t="s">
        <v>85</v>
      </c>
      <c r="AD313" t="s">
        <v>238</v>
      </c>
      <c r="AE313" t="s">
        <v>138</v>
      </c>
      <c r="AI313">
        <v>5</v>
      </c>
      <c r="AJ313" t="s">
        <v>201</v>
      </c>
      <c r="AK313">
        <v>0.75</v>
      </c>
      <c r="AL313" t="s">
        <v>409</v>
      </c>
      <c r="AT313" t="s">
        <v>73</v>
      </c>
      <c r="AU313">
        <v>0.52631578947368418</v>
      </c>
      <c r="AV313" t="s">
        <v>1250</v>
      </c>
    </row>
    <row r="314" spans="1:53" x14ac:dyDescent="0.3">
      <c r="A314" t="s">
        <v>1350</v>
      </c>
      <c r="C314" t="s">
        <v>1275</v>
      </c>
      <c r="D314" t="s">
        <v>81</v>
      </c>
      <c r="E314">
        <v>50000000</v>
      </c>
      <c r="H314">
        <v>14.25</v>
      </c>
      <c r="I314" t="s">
        <v>56</v>
      </c>
      <c r="J314">
        <v>1.4250000000000001E-3</v>
      </c>
      <c r="K314" t="s">
        <v>57</v>
      </c>
      <c r="L314" t="s">
        <v>112</v>
      </c>
      <c r="N314" t="s">
        <v>314</v>
      </c>
      <c r="O314">
        <v>3500</v>
      </c>
      <c r="P314" t="s">
        <v>121</v>
      </c>
      <c r="S314">
        <v>2</v>
      </c>
      <c r="T314">
        <v>22</v>
      </c>
      <c r="V314">
        <v>50</v>
      </c>
      <c r="W314" t="s">
        <v>463</v>
      </c>
      <c r="X314" t="s">
        <v>135</v>
      </c>
      <c r="Y314">
        <v>120</v>
      </c>
      <c r="AA314" t="s">
        <v>94</v>
      </c>
      <c r="AB314">
        <v>7.6</v>
      </c>
      <c r="AC314" t="s">
        <v>85</v>
      </c>
      <c r="AD314" t="s">
        <v>236</v>
      </c>
      <c r="AE314" t="s">
        <v>138</v>
      </c>
      <c r="AI314">
        <v>5</v>
      </c>
      <c r="AJ314" t="s">
        <v>201</v>
      </c>
      <c r="AK314">
        <v>0.56000000000000005</v>
      </c>
      <c r="AL314" t="s">
        <v>409</v>
      </c>
      <c r="AT314" t="s">
        <v>360</v>
      </c>
      <c r="AU314">
        <v>0.39298245614035088</v>
      </c>
      <c r="AV314" t="s">
        <v>1250</v>
      </c>
      <c r="AZ314">
        <v>0</v>
      </c>
      <c r="BA314">
        <v>7.6</v>
      </c>
    </row>
    <row r="315" spans="1:53" x14ac:dyDescent="0.3">
      <c r="A315" t="s">
        <v>1350</v>
      </c>
      <c r="C315" t="s">
        <v>1275</v>
      </c>
      <c r="D315" t="s">
        <v>81</v>
      </c>
      <c r="E315">
        <v>50000000</v>
      </c>
      <c r="H315">
        <v>14.25</v>
      </c>
      <c r="I315" t="s">
        <v>56</v>
      </c>
      <c r="J315">
        <v>1.4250000000000001E-3</v>
      </c>
      <c r="K315" t="s">
        <v>57</v>
      </c>
      <c r="L315" t="s">
        <v>112</v>
      </c>
      <c r="N315" t="s">
        <v>314</v>
      </c>
      <c r="O315">
        <v>3500</v>
      </c>
      <c r="P315" t="s">
        <v>121</v>
      </c>
      <c r="S315">
        <v>2</v>
      </c>
      <c r="T315">
        <v>22</v>
      </c>
      <c r="V315">
        <v>50</v>
      </c>
      <c r="W315" t="s">
        <v>469</v>
      </c>
      <c r="X315" t="s">
        <v>135</v>
      </c>
      <c r="Y315">
        <v>120</v>
      </c>
      <c r="AA315" t="s">
        <v>94</v>
      </c>
      <c r="AB315">
        <v>7.68</v>
      </c>
      <c r="AC315" t="s">
        <v>85</v>
      </c>
      <c r="AD315" t="s">
        <v>314</v>
      </c>
      <c r="AE315" t="s">
        <v>138</v>
      </c>
      <c r="AI315">
        <v>5</v>
      </c>
      <c r="AJ315" t="s">
        <v>201</v>
      </c>
      <c r="AK315">
        <v>0.43</v>
      </c>
      <c r="AL315" t="s">
        <v>409</v>
      </c>
      <c r="AT315" t="s">
        <v>65</v>
      </c>
      <c r="AU315">
        <v>0.30175438596491228</v>
      </c>
      <c r="AV315" t="s">
        <v>1250</v>
      </c>
      <c r="AZ315">
        <v>0</v>
      </c>
      <c r="BA315">
        <v>7.68</v>
      </c>
    </row>
    <row r="316" spans="1:53" x14ac:dyDescent="0.3">
      <c r="A316" t="s">
        <v>1350</v>
      </c>
      <c r="C316" t="s">
        <v>1275</v>
      </c>
      <c r="D316" t="s">
        <v>81</v>
      </c>
      <c r="E316">
        <v>50000000</v>
      </c>
      <c r="H316">
        <v>14.25</v>
      </c>
      <c r="I316" t="s">
        <v>56</v>
      </c>
      <c r="J316">
        <v>1.4250000000000001E-3</v>
      </c>
      <c r="K316" t="s">
        <v>57</v>
      </c>
      <c r="L316" t="s">
        <v>112</v>
      </c>
      <c r="N316" t="s">
        <v>314</v>
      </c>
      <c r="O316">
        <v>3500</v>
      </c>
      <c r="P316" t="s">
        <v>121</v>
      </c>
      <c r="S316">
        <v>2</v>
      </c>
      <c r="T316">
        <v>22</v>
      </c>
      <c r="V316">
        <v>50</v>
      </c>
      <c r="W316" t="s">
        <v>1352</v>
      </c>
      <c r="X316" t="s">
        <v>135</v>
      </c>
      <c r="Y316">
        <v>120</v>
      </c>
      <c r="AB316">
        <v>3.47</v>
      </c>
      <c r="AC316" t="s">
        <v>85</v>
      </c>
      <c r="AD316" t="s">
        <v>92</v>
      </c>
      <c r="AE316" t="s">
        <v>138</v>
      </c>
      <c r="AI316">
        <v>5</v>
      </c>
      <c r="AJ316" t="s">
        <v>201</v>
      </c>
      <c r="AK316">
        <v>0.42</v>
      </c>
      <c r="AL316" t="s">
        <v>409</v>
      </c>
      <c r="AT316" t="s">
        <v>79</v>
      </c>
      <c r="AU316">
        <v>0.29473684210526307</v>
      </c>
      <c r="AV316" t="s">
        <v>1250</v>
      </c>
    </row>
    <row r="317" spans="1:53" x14ac:dyDescent="0.3">
      <c r="A317" t="s">
        <v>1350</v>
      </c>
      <c r="C317" t="s">
        <v>1275</v>
      </c>
      <c r="D317" t="s">
        <v>81</v>
      </c>
      <c r="E317">
        <v>50000000</v>
      </c>
      <c r="H317">
        <v>14.25</v>
      </c>
      <c r="I317" t="s">
        <v>56</v>
      </c>
      <c r="J317">
        <v>1.4250000000000001E-3</v>
      </c>
      <c r="K317" t="s">
        <v>57</v>
      </c>
      <c r="L317" t="s">
        <v>112</v>
      </c>
      <c r="N317" t="s">
        <v>314</v>
      </c>
      <c r="O317">
        <v>3500</v>
      </c>
      <c r="P317" t="s">
        <v>121</v>
      </c>
      <c r="S317">
        <v>2</v>
      </c>
      <c r="T317">
        <v>22</v>
      </c>
      <c r="V317">
        <v>50</v>
      </c>
      <c r="W317" t="s">
        <v>540</v>
      </c>
      <c r="X317" t="s">
        <v>135</v>
      </c>
      <c r="Y317">
        <v>120</v>
      </c>
      <c r="AB317">
        <v>0.97</v>
      </c>
      <c r="AC317" t="s">
        <v>85</v>
      </c>
      <c r="AD317" t="s">
        <v>225</v>
      </c>
      <c r="AE317" t="s">
        <v>138</v>
      </c>
      <c r="AI317">
        <v>5</v>
      </c>
      <c r="AJ317" t="s">
        <v>201</v>
      </c>
      <c r="AK317">
        <v>0.65</v>
      </c>
      <c r="AL317" t="s">
        <v>409</v>
      </c>
      <c r="AT317" t="s">
        <v>212</v>
      </c>
      <c r="AU317">
        <v>0.45614035087719301</v>
      </c>
      <c r="AV317" t="s">
        <v>1250</v>
      </c>
    </row>
    <row r="318" spans="1:53" x14ac:dyDescent="0.3">
      <c r="A318" t="s">
        <v>1350</v>
      </c>
      <c r="C318" t="s">
        <v>1275</v>
      </c>
      <c r="D318" t="s">
        <v>81</v>
      </c>
      <c r="E318">
        <v>50000000</v>
      </c>
      <c r="H318">
        <v>14.25</v>
      </c>
      <c r="I318" t="s">
        <v>56</v>
      </c>
      <c r="J318">
        <v>1.4250000000000001E-3</v>
      </c>
      <c r="K318" t="s">
        <v>57</v>
      </c>
      <c r="L318" t="s">
        <v>112</v>
      </c>
      <c r="N318" t="s">
        <v>314</v>
      </c>
      <c r="O318">
        <v>3500</v>
      </c>
      <c r="P318" t="s">
        <v>121</v>
      </c>
      <c r="S318">
        <v>2</v>
      </c>
      <c r="T318">
        <v>22</v>
      </c>
      <c r="V318">
        <v>50</v>
      </c>
      <c r="W318" t="s">
        <v>147</v>
      </c>
      <c r="X318" t="s">
        <v>135</v>
      </c>
      <c r="Y318">
        <v>120</v>
      </c>
      <c r="AA318" t="s">
        <v>94</v>
      </c>
      <c r="AB318">
        <v>7.73</v>
      </c>
      <c r="AC318" t="s">
        <v>85</v>
      </c>
      <c r="AD318" t="s">
        <v>511</v>
      </c>
      <c r="AE318" t="s">
        <v>138</v>
      </c>
      <c r="AI318">
        <v>5</v>
      </c>
      <c r="AJ318" t="s">
        <v>201</v>
      </c>
      <c r="AK318">
        <v>0.57999999999999896</v>
      </c>
      <c r="AL318" t="s">
        <v>409</v>
      </c>
      <c r="AT318" t="s">
        <v>150</v>
      </c>
      <c r="AU318">
        <v>0.40701754385964839</v>
      </c>
      <c r="AV318" t="s">
        <v>1250</v>
      </c>
      <c r="AZ318">
        <v>0</v>
      </c>
      <c r="BA318">
        <v>7.73</v>
      </c>
    </row>
    <row r="319" spans="1:53" x14ac:dyDescent="0.3">
      <c r="A319" t="s">
        <v>1350</v>
      </c>
      <c r="C319" t="s">
        <v>1275</v>
      </c>
      <c r="D319" t="s">
        <v>81</v>
      </c>
      <c r="E319">
        <v>50000000</v>
      </c>
      <c r="H319">
        <v>14.25</v>
      </c>
      <c r="I319" t="s">
        <v>56</v>
      </c>
      <c r="J319">
        <v>1.4250000000000001E-3</v>
      </c>
      <c r="K319" t="s">
        <v>57</v>
      </c>
      <c r="L319" t="s">
        <v>112</v>
      </c>
      <c r="N319" t="s">
        <v>314</v>
      </c>
      <c r="O319">
        <v>3500</v>
      </c>
      <c r="P319" t="s">
        <v>121</v>
      </c>
      <c r="S319">
        <v>2</v>
      </c>
      <c r="T319">
        <v>22</v>
      </c>
      <c r="V319">
        <v>50</v>
      </c>
      <c r="W319" t="s">
        <v>547</v>
      </c>
      <c r="X319" t="s">
        <v>135</v>
      </c>
      <c r="Y319">
        <v>120</v>
      </c>
      <c r="AB319">
        <v>0.84</v>
      </c>
      <c r="AC319" t="s">
        <v>85</v>
      </c>
      <c r="AD319" t="s">
        <v>231</v>
      </c>
      <c r="AE319" t="s">
        <v>138</v>
      </c>
      <c r="AI319">
        <v>5</v>
      </c>
      <c r="AJ319" t="s">
        <v>201</v>
      </c>
      <c r="AK319">
        <v>0.75</v>
      </c>
      <c r="AL319" t="s">
        <v>409</v>
      </c>
      <c r="AT319" t="s">
        <v>73</v>
      </c>
      <c r="AU319">
        <v>0.52631578947368418</v>
      </c>
      <c r="AV319" t="s">
        <v>1250</v>
      </c>
    </row>
    <row r="320" spans="1:53" x14ac:dyDescent="0.3">
      <c r="A320" t="s">
        <v>1350</v>
      </c>
      <c r="C320" t="s">
        <v>1275</v>
      </c>
      <c r="D320" t="s">
        <v>81</v>
      </c>
      <c r="E320">
        <v>50000000</v>
      </c>
      <c r="H320">
        <v>14.25</v>
      </c>
      <c r="I320" t="s">
        <v>56</v>
      </c>
      <c r="J320">
        <v>1.4250000000000001E-3</v>
      </c>
      <c r="K320" t="s">
        <v>57</v>
      </c>
      <c r="L320" t="s">
        <v>112</v>
      </c>
      <c r="N320" t="s">
        <v>314</v>
      </c>
      <c r="O320">
        <v>3500</v>
      </c>
      <c r="P320" t="s">
        <v>121</v>
      </c>
      <c r="S320">
        <v>2</v>
      </c>
      <c r="T320">
        <v>22</v>
      </c>
      <c r="V320">
        <v>50</v>
      </c>
      <c r="W320" t="s">
        <v>463</v>
      </c>
      <c r="X320" t="s">
        <v>135</v>
      </c>
      <c r="Y320">
        <v>120</v>
      </c>
      <c r="AA320" t="s">
        <v>94</v>
      </c>
      <c r="AB320">
        <v>7.54</v>
      </c>
      <c r="AC320" t="s">
        <v>85</v>
      </c>
      <c r="AD320" t="s">
        <v>365</v>
      </c>
      <c r="AE320" t="s">
        <v>138</v>
      </c>
      <c r="AI320">
        <v>5</v>
      </c>
      <c r="AJ320" t="s">
        <v>201</v>
      </c>
      <c r="AK320">
        <v>0.56000000000000005</v>
      </c>
      <c r="AL320" t="s">
        <v>409</v>
      </c>
      <c r="AT320" t="s">
        <v>360</v>
      </c>
      <c r="AU320">
        <v>0.39298245614035088</v>
      </c>
      <c r="AV320" t="s">
        <v>1250</v>
      </c>
      <c r="AZ320">
        <v>0</v>
      </c>
      <c r="BA320">
        <v>7.54</v>
      </c>
    </row>
    <row r="321" spans="1:53" x14ac:dyDescent="0.3">
      <c r="A321" t="s">
        <v>1350</v>
      </c>
      <c r="C321" t="s">
        <v>1275</v>
      </c>
      <c r="D321" t="s">
        <v>81</v>
      </c>
      <c r="E321">
        <v>50000000</v>
      </c>
      <c r="H321">
        <v>14.25</v>
      </c>
      <c r="I321" t="s">
        <v>56</v>
      </c>
      <c r="J321">
        <v>1.4250000000000001E-3</v>
      </c>
      <c r="K321" t="s">
        <v>57</v>
      </c>
      <c r="L321" t="s">
        <v>112</v>
      </c>
      <c r="N321" t="s">
        <v>314</v>
      </c>
      <c r="O321">
        <v>3500</v>
      </c>
      <c r="P321" t="s">
        <v>121</v>
      </c>
      <c r="S321">
        <v>2</v>
      </c>
      <c r="T321">
        <v>22</v>
      </c>
      <c r="V321">
        <v>50</v>
      </c>
      <c r="W321" t="s">
        <v>469</v>
      </c>
      <c r="X321" t="s">
        <v>135</v>
      </c>
      <c r="Y321">
        <v>120</v>
      </c>
      <c r="AA321" t="s">
        <v>94</v>
      </c>
      <c r="AB321">
        <v>7.6</v>
      </c>
      <c r="AC321" t="s">
        <v>85</v>
      </c>
      <c r="AD321" t="s">
        <v>227</v>
      </c>
      <c r="AE321" t="s">
        <v>138</v>
      </c>
      <c r="AI321">
        <v>5</v>
      </c>
      <c r="AJ321" t="s">
        <v>201</v>
      </c>
      <c r="AK321">
        <v>0.43</v>
      </c>
      <c r="AL321" t="s">
        <v>409</v>
      </c>
      <c r="AT321" t="s">
        <v>65</v>
      </c>
      <c r="AU321">
        <v>0.30175438596491228</v>
      </c>
      <c r="AV321" t="s">
        <v>1250</v>
      </c>
      <c r="AZ321">
        <v>0</v>
      </c>
      <c r="BA321">
        <v>7.6</v>
      </c>
    </row>
    <row r="322" spans="1:53" x14ac:dyDescent="0.3">
      <c r="A322" t="s">
        <v>1350</v>
      </c>
      <c r="C322" t="s">
        <v>1275</v>
      </c>
      <c r="D322" t="s">
        <v>81</v>
      </c>
      <c r="E322">
        <v>50000000</v>
      </c>
      <c r="H322">
        <v>14.25</v>
      </c>
      <c r="I322" t="s">
        <v>56</v>
      </c>
      <c r="J322">
        <v>1.4250000000000001E-3</v>
      </c>
      <c r="K322" t="s">
        <v>57</v>
      </c>
      <c r="L322" t="s">
        <v>112</v>
      </c>
      <c r="N322" t="s">
        <v>314</v>
      </c>
      <c r="O322">
        <v>3500</v>
      </c>
      <c r="P322" t="s">
        <v>121</v>
      </c>
      <c r="S322">
        <v>2</v>
      </c>
      <c r="T322">
        <v>22</v>
      </c>
      <c r="V322">
        <v>50</v>
      </c>
      <c r="W322" t="s">
        <v>1352</v>
      </c>
      <c r="X322" t="s">
        <v>135</v>
      </c>
      <c r="Y322">
        <v>120</v>
      </c>
      <c r="AB322">
        <v>3.45</v>
      </c>
      <c r="AC322" t="s">
        <v>85</v>
      </c>
      <c r="AD322" t="s">
        <v>666</v>
      </c>
      <c r="AE322" t="s">
        <v>138</v>
      </c>
      <c r="AI322">
        <v>5</v>
      </c>
      <c r="AJ322" t="s">
        <v>201</v>
      </c>
      <c r="AK322">
        <v>0.42</v>
      </c>
      <c r="AL322" t="s">
        <v>409</v>
      </c>
      <c r="AT322" t="s">
        <v>79</v>
      </c>
      <c r="AU322">
        <v>0.29473684210526307</v>
      </c>
      <c r="AV322" t="s">
        <v>1250</v>
      </c>
    </row>
    <row r="323" spans="1:53" x14ac:dyDescent="0.3">
      <c r="A323" t="s">
        <v>1350</v>
      </c>
      <c r="C323" t="s">
        <v>1275</v>
      </c>
      <c r="D323" t="s">
        <v>81</v>
      </c>
      <c r="E323">
        <v>50000000</v>
      </c>
      <c r="H323">
        <v>14.25</v>
      </c>
      <c r="I323" t="s">
        <v>56</v>
      </c>
      <c r="J323">
        <v>1.4250000000000001E-3</v>
      </c>
      <c r="K323" t="s">
        <v>57</v>
      </c>
      <c r="L323" t="s">
        <v>112</v>
      </c>
      <c r="N323" t="s">
        <v>314</v>
      </c>
      <c r="O323">
        <v>3500</v>
      </c>
      <c r="P323" t="s">
        <v>121</v>
      </c>
      <c r="S323">
        <v>2</v>
      </c>
      <c r="T323">
        <v>22</v>
      </c>
      <c r="V323">
        <v>50</v>
      </c>
      <c r="W323" t="s">
        <v>540</v>
      </c>
      <c r="X323" t="s">
        <v>135</v>
      </c>
      <c r="Y323">
        <v>120</v>
      </c>
      <c r="AB323">
        <v>0.67</v>
      </c>
      <c r="AC323" t="s">
        <v>85</v>
      </c>
      <c r="AD323" t="s">
        <v>436</v>
      </c>
      <c r="AE323" t="s">
        <v>138</v>
      </c>
      <c r="AI323">
        <v>5</v>
      </c>
      <c r="AJ323" t="s">
        <v>201</v>
      </c>
      <c r="AK323">
        <v>0.65</v>
      </c>
      <c r="AL323" t="s">
        <v>409</v>
      </c>
      <c r="AT323" t="s">
        <v>212</v>
      </c>
      <c r="AU323">
        <v>0.45614035087719301</v>
      </c>
      <c r="AV323" t="s">
        <v>1250</v>
      </c>
    </row>
    <row r="324" spans="1:53" x14ac:dyDescent="0.3">
      <c r="A324" t="s">
        <v>1350</v>
      </c>
      <c r="C324" t="s">
        <v>1275</v>
      </c>
      <c r="D324" t="s">
        <v>81</v>
      </c>
      <c r="E324">
        <v>50000000</v>
      </c>
      <c r="H324">
        <v>14.25</v>
      </c>
      <c r="I324" t="s">
        <v>56</v>
      </c>
      <c r="J324">
        <v>1.4250000000000001E-3</v>
      </c>
      <c r="K324" t="s">
        <v>57</v>
      </c>
      <c r="L324" t="s">
        <v>112</v>
      </c>
      <c r="N324" t="s">
        <v>314</v>
      </c>
      <c r="O324">
        <v>3500</v>
      </c>
      <c r="P324" t="s">
        <v>121</v>
      </c>
      <c r="S324">
        <v>2</v>
      </c>
      <c r="T324">
        <v>22</v>
      </c>
      <c r="V324">
        <v>50</v>
      </c>
      <c r="W324" t="s">
        <v>147</v>
      </c>
      <c r="X324" t="s">
        <v>135</v>
      </c>
      <c r="Y324">
        <v>120</v>
      </c>
      <c r="AA324" t="s">
        <v>94</v>
      </c>
      <c r="AB324">
        <v>7.6</v>
      </c>
      <c r="AC324" t="s">
        <v>85</v>
      </c>
      <c r="AD324" t="s">
        <v>227</v>
      </c>
      <c r="AE324" t="s">
        <v>138</v>
      </c>
      <c r="AI324">
        <v>5</v>
      </c>
      <c r="AJ324" t="s">
        <v>201</v>
      </c>
      <c r="AK324">
        <v>0.57999999999999896</v>
      </c>
      <c r="AL324" t="s">
        <v>409</v>
      </c>
      <c r="AT324" t="s">
        <v>150</v>
      </c>
      <c r="AU324">
        <v>0.40701754385964839</v>
      </c>
      <c r="AV324" t="s">
        <v>1250</v>
      </c>
      <c r="AZ324">
        <v>0</v>
      </c>
      <c r="BA324">
        <v>7.6</v>
      </c>
    </row>
    <row r="325" spans="1:53" x14ac:dyDescent="0.3">
      <c r="A325" t="s">
        <v>1354</v>
      </c>
      <c r="C325" t="s">
        <v>1275</v>
      </c>
      <c r="D325" t="s">
        <v>81</v>
      </c>
      <c r="E325">
        <v>50000000</v>
      </c>
      <c r="H325">
        <v>14.25</v>
      </c>
      <c r="I325" t="s">
        <v>56</v>
      </c>
      <c r="J325">
        <v>1.4250000000000001E-3</v>
      </c>
      <c r="K325" t="s">
        <v>57</v>
      </c>
      <c r="L325" t="s">
        <v>112</v>
      </c>
      <c r="N325" t="s">
        <v>314</v>
      </c>
      <c r="O325">
        <v>3000</v>
      </c>
      <c r="P325" t="s">
        <v>277</v>
      </c>
      <c r="S325">
        <v>2</v>
      </c>
      <c r="T325">
        <v>22</v>
      </c>
      <c r="V325">
        <v>50</v>
      </c>
      <c r="W325" t="s">
        <v>620</v>
      </c>
      <c r="X325" t="s">
        <v>1284</v>
      </c>
      <c r="Y325">
        <v>60</v>
      </c>
      <c r="AB325">
        <v>7.08</v>
      </c>
      <c r="AC325" t="s">
        <v>85</v>
      </c>
      <c r="AD325" t="s">
        <v>1355</v>
      </c>
      <c r="AE325" t="s">
        <v>138</v>
      </c>
      <c r="AI325">
        <v>5</v>
      </c>
      <c r="AJ325" t="s">
        <v>201</v>
      </c>
      <c r="AK325">
        <v>0.38</v>
      </c>
      <c r="AL325" t="s">
        <v>409</v>
      </c>
      <c r="AT325" t="s">
        <v>65</v>
      </c>
      <c r="AU325">
        <v>0.26666666666666672</v>
      </c>
      <c r="AV325" t="s">
        <v>1250</v>
      </c>
    </row>
    <row r="326" spans="1:53" x14ac:dyDescent="0.3">
      <c r="A326" t="s">
        <v>1354</v>
      </c>
      <c r="C326" t="s">
        <v>1275</v>
      </c>
      <c r="D326" t="s">
        <v>81</v>
      </c>
      <c r="E326">
        <v>50000000</v>
      </c>
      <c r="H326">
        <v>14.25</v>
      </c>
      <c r="I326" t="s">
        <v>56</v>
      </c>
      <c r="J326">
        <v>1.4250000000000001E-3</v>
      </c>
      <c r="K326" t="s">
        <v>57</v>
      </c>
      <c r="L326" t="s">
        <v>112</v>
      </c>
      <c r="N326" t="s">
        <v>314</v>
      </c>
      <c r="O326">
        <v>3000</v>
      </c>
      <c r="P326" t="s">
        <v>277</v>
      </c>
      <c r="S326">
        <v>2</v>
      </c>
      <c r="T326">
        <v>22</v>
      </c>
      <c r="V326">
        <v>50</v>
      </c>
      <c r="W326" t="s">
        <v>620</v>
      </c>
      <c r="X326" t="s">
        <v>1284</v>
      </c>
      <c r="Y326">
        <v>60</v>
      </c>
      <c r="AA326" t="s">
        <v>94</v>
      </c>
      <c r="AB326">
        <v>7.89</v>
      </c>
      <c r="AC326" t="s">
        <v>85</v>
      </c>
      <c r="AD326" t="s">
        <v>232</v>
      </c>
      <c r="AE326" t="s">
        <v>138</v>
      </c>
      <c r="AI326">
        <v>5</v>
      </c>
      <c r="AJ326" t="s">
        <v>201</v>
      </c>
      <c r="AK326">
        <v>0.52</v>
      </c>
      <c r="AL326" t="s">
        <v>409</v>
      </c>
      <c r="AT326" t="s">
        <v>65</v>
      </c>
      <c r="AU326">
        <v>0.36491228070175441</v>
      </c>
      <c r="AV326" t="s">
        <v>1250</v>
      </c>
      <c r="AZ326">
        <v>0</v>
      </c>
      <c r="BA326">
        <v>7.89</v>
      </c>
    </row>
    <row r="327" spans="1:53" x14ac:dyDescent="0.3">
      <c r="A327" t="s">
        <v>1354</v>
      </c>
      <c r="C327" t="s">
        <v>1275</v>
      </c>
      <c r="D327" t="s">
        <v>81</v>
      </c>
      <c r="E327">
        <v>50000000</v>
      </c>
      <c r="H327">
        <v>14.25</v>
      </c>
      <c r="I327" t="s">
        <v>56</v>
      </c>
      <c r="J327">
        <v>1.4250000000000001E-3</v>
      </c>
      <c r="K327" t="s">
        <v>57</v>
      </c>
      <c r="L327" t="s">
        <v>112</v>
      </c>
      <c r="N327" t="s">
        <v>314</v>
      </c>
      <c r="O327">
        <v>1500</v>
      </c>
      <c r="P327" t="s">
        <v>277</v>
      </c>
      <c r="S327">
        <v>2</v>
      </c>
      <c r="T327">
        <v>22</v>
      </c>
      <c r="V327">
        <v>50</v>
      </c>
      <c r="W327" t="s">
        <v>620</v>
      </c>
      <c r="X327" t="s">
        <v>1284</v>
      </c>
      <c r="Y327">
        <v>60</v>
      </c>
      <c r="AB327">
        <v>5.99</v>
      </c>
      <c r="AC327" t="s">
        <v>85</v>
      </c>
      <c r="AD327" t="s">
        <v>648</v>
      </c>
      <c r="AE327" t="s">
        <v>138</v>
      </c>
      <c r="AI327">
        <v>5</v>
      </c>
      <c r="AJ327" t="s">
        <v>201</v>
      </c>
      <c r="AK327">
        <v>0.61</v>
      </c>
      <c r="AL327" t="s">
        <v>409</v>
      </c>
      <c r="AT327" t="s">
        <v>65</v>
      </c>
      <c r="AU327">
        <v>0.42807017543859649</v>
      </c>
      <c r="AV327" t="s">
        <v>1250</v>
      </c>
    </row>
    <row r="328" spans="1:53" x14ac:dyDescent="0.3">
      <c r="A328" t="s">
        <v>1354</v>
      </c>
      <c r="C328" t="s">
        <v>1275</v>
      </c>
      <c r="D328" t="s">
        <v>81</v>
      </c>
      <c r="E328">
        <v>50000000</v>
      </c>
      <c r="H328">
        <v>14.25</v>
      </c>
      <c r="I328" t="s">
        <v>56</v>
      </c>
      <c r="J328">
        <v>1.4250000000000001E-3</v>
      </c>
      <c r="K328" t="s">
        <v>57</v>
      </c>
      <c r="L328" t="s">
        <v>112</v>
      </c>
      <c r="N328" t="s">
        <v>314</v>
      </c>
      <c r="O328">
        <v>2000</v>
      </c>
      <c r="P328" t="s">
        <v>277</v>
      </c>
      <c r="S328">
        <v>2</v>
      </c>
      <c r="T328">
        <v>22</v>
      </c>
      <c r="V328">
        <v>50</v>
      </c>
      <c r="W328" t="s">
        <v>620</v>
      </c>
      <c r="X328" t="s">
        <v>1284</v>
      </c>
      <c r="Y328">
        <v>60</v>
      </c>
      <c r="AB328">
        <v>7.12</v>
      </c>
      <c r="AC328" t="s">
        <v>85</v>
      </c>
      <c r="AD328" t="s">
        <v>336</v>
      </c>
      <c r="AE328" t="s">
        <v>138</v>
      </c>
      <c r="AI328">
        <v>5</v>
      </c>
      <c r="AJ328" t="s">
        <v>201</v>
      </c>
      <c r="AK328">
        <v>0.61</v>
      </c>
      <c r="AL328" t="s">
        <v>409</v>
      </c>
      <c r="AT328" t="s">
        <v>65</v>
      </c>
      <c r="AU328">
        <v>0.42807017543859649</v>
      </c>
      <c r="AV328" t="s">
        <v>1250</v>
      </c>
    </row>
    <row r="329" spans="1:53" x14ac:dyDescent="0.3">
      <c r="A329" t="s">
        <v>1354</v>
      </c>
      <c r="C329" t="s">
        <v>1275</v>
      </c>
      <c r="D329" t="s">
        <v>81</v>
      </c>
      <c r="E329">
        <v>50000000</v>
      </c>
      <c r="H329">
        <v>14.25</v>
      </c>
      <c r="I329" t="s">
        <v>56</v>
      </c>
      <c r="J329">
        <v>1.4250000000000001E-3</v>
      </c>
      <c r="K329" t="s">
        <v>57</v>
      </c>
      <c r="L329" t="s">
        <v>112</v>
      </c>
      <c r="N329" t="s">
        <v>314</v>
      </c>
      <c r="O329">
        <v>3000</v>
      </c>
      <c r="P329" t="s">
        <v>277</v>
      </c>
      <c r="S329">
        <v>2</v>
      </c>
      <c r="T329">
        <v>22</v>
      </c>
      <c r="V329">
        <v>50</v>
      </c>
      <c r="W329" t="s">
        <v>620</v>
      </c>
      <c r="X329" t="s">
        <v>1284</v>
      </c>
      <c r="Y329">
        <v>60</v>
      </c>
      <c r="AB329">
        <v>7.13</v>
      </c>
      <c r="AC329" t="s">
        <v>85</v>
      </c>
      <c r="AD329" t="s">
        <v>100</v>
      </c>
      <c r="AE329" t="s">
        <v>138</v>
      </c>
      <c r="AI329">
        <v>5</v>
      </c>
      <c r="AJ329" t="s">
        <v>201</v>
      </c>
      <c r="AK329">
        <v>0.38</v>
      </c>
      <c r="AL329" t="s">
        <v>409</v>
      </c>
      <c r="AT329" t="s">
        <v>65</v>
      </c>
      <c r="AU329">
        <v>0.26666666666666672</v>
      </c>
      <c r="AV329" t="s">
        <v>1250</v>
      </c>
    </row>
    <row r="330" spans="1:53" x14ac:dyDescent="0.3">
      <c r="A330" t="s">
        <v>1354</v>
      </c>
      <c r="C330" t="s">
        <v>1275</v>
      </c>
      <c r="D330" t="s">
        <v>81</v>
      </c>
      <c r="E330">
        <v>50000000</v>
      </c>
      <c r="H330">
        <v>14.25</v>
      </c>
      <c r="I330" t="s">
        <v>56</v>
      </c>
      <c r="J330">
        <v>1.4250000000000001E-3</v>
      </c>
      <c r="K330" t="s">
        <v>57</v>
      </c>
      <c r="L330" t="s">
        <v>112</v>
      </c>
      <c r="N330" t="s">
        <v>314</v>
      </c>
      <c r="O330">
        <v>3000</v>
      </c>
      <c r="P330" t="s">
        <v>277</v>
      </c>
      <c r="S330">
        <v>2</v>
      </c>
      <c r="T330">
        <v>22</v>
      </c>
      <c r="V330">
        <v>50</v>
      </c>
      <c r="W330" t="s">
        <v>620</v>
      </c>
      <c r="X330" t="s">
        <v>1284</v>
      </c>
      <c r="Y330">
        <v>60</v>
      </c>
      <c r="AA330" t="s">
        <v>94</v>
      </c>
      <c r="AB330">
        <v>7.7</v>
      </c>
      <c r="AC330" t="s">
        <v>85</v>
      </c>
      <c r="AD330" t="s">
        <v>365</v>
      </c>
      <c r="AE330" t="s">
        <v>138</v>
      </c>
      <c r="AI330">
        <v>5</v>
      </c>
      <c r="AJ330" t="s">
        <v>201</v>
      </c>
      <c r="AK330">
        <v>0.52</v>
      </c>
      <c r="AL330" t="s">
        <v>409</v>
      </c>
      <c r="AT330" t="s">
        <v>65</v>
      </c>
      <c r="AU330">
        <v>0.36491228070175441</v>
      </c>
      <c r="AV330" t="s">
        <v>1250</v>
      </c>
      <c r="AZ330">
        <v>0</v>
      </c>
      <c r="BA330">
        <v>7.7</v>
      </c>
    </row>
    <row r="331" spans="1:53" x14ac:dyDescent="0.3">
      <c r="A331" t="s">
        <v>1354</v>
      </c>
      <c r="C331" t="s">
        <v>1275</v>
      </c>
      <c r="D331" t="s">
        <v>81</v>
      </c>
      <c r="E331">
        <v>50000000</v>
      </c>
      <c r="H331">
        <v>14.25</v>
      </c>
      <c r="I331" t="s">
        <v>56</v>
      </c>
      <c r="J331">
        <v>1.4250000000000001E-3</v>
      </c>
      <c r="K331" t="s">
        <v>57</v>
      </c>
      <c r="L331" t="s">
        <v>112</v>
      </c>
      <c r="N331" t="s">
        <v>314</v>
      </c>
      <c r="O331">
        <v>1500</v>
      </c>
      <c r="P331" t="s">
        <v>277</v>
      </c>
      <c r="S331">
        <v>2</v>
      </c>
      <c r="T331">
        <v>22</v>
      </c>
      <c r="V331">
        <v>50</v>
      </c>
      <c r="W331" t="s">
        <v>620</v>
      </c>
      <c r="X331" t="s">
        <v>1284</v>
      </c>
      <c r="Y331">
        <v>60</v>
      </c>
      <c r="AB331">
        <v>0.76</v>
      </c>
      <c r="AC331" t="s">
        <v>85</v>
      </c>
      <c r="AD331" t="s">
        <v>490</v>
      </c>
      <c r="AE331" t="s">
        <v>138</v>
      </c>
      <c r="AI331">
        <v>5</v>
      </c>
      <c r="AJ331" t="s">
        <v>201</v>
      </c>
      <c r="AK331">
        <v>0.61</v>
      </c>
      <c r="AL331" t="s">
        <v>409</v>
      </c>
      <c r="AT331" t="s">
        <v>65</v>
      </c>
      <c r="AU331">
        <v>0.42807017543859649</v>
      </c>
      <c r="AV331" t="s">
        <v>1250</v>
      </c>
    </row>
    <row r="332" spans="1:53" x14ac:dyDescent="0.3">
      <c r="A332" t="s">
        <v>1354</v>
      </c>
      <c r="C332" t="s">
        <v>1275</v>
      </c>
      <c r="D332" t="s">
        <v>81</v>
      </c>
      <c r="E332">
        <v>50000000</v>
      </c>
      <c r="H332">
        <v>14.25</v>
      </c>
      <c r="I332" t="s">
        <v>56</v>
      </c>
      <c r="J332">
        <v>1.4250000000000001E-3</v>
      </c>
      <c r="K332" t="s">
        <v>57</v>
      </c>
      <c r="L332" t="s">
        <v>112</v>
      </c>
      <c r="N332" t="s">
        <v>314</v>
      </c>
      <c r="O332">
        <v>2000</v>
      </c>
      <c r="P332" t="s">
        <v>277</v>
      </c>
      <c r="S332">
        <v>2</v>
      </c>
      <c r="T332">
        <v>22</v>
      </c>
      <c r="V332">
        <v>50</v>
      </c>
      <c r="W332" t="s">
        <v>620</v>
      </c>
      <c r="X332" t="s">
        <v>1284</v>
      </c>
      <c r="Y332">
        <v>60</v>
      </c>
      <c r="AB332">
        <v>1.91</v>
      </c>
      <c r="AC332" t="s">
        <v>85</v>
      </c>
      <c r="AD332" t="s">
        <v>325</v>
      </c>
      <c r="AE332" t="s">
        <v>138</v>
      </c>
      <c r="AI332">
        <v>5</v>
      </c>
      <c r="AJ332" t="s">
        <v>201</v>
      </c>
      <c r="AK332">
        <v>0.61</v>
      </c>
      <c r="AL332" t="s">
        <v>409</v>
      </c>
      <c r="AT332" t="s">
        <v>65</v>
      </c>
      <c r="AU332">
        <v>0.42807017543859649</v>
      </c>
      <c r="AV332" t="s">
        <v>1250</v>
      </c>
    </row>
    <row r="333" spans="1:53" x14ac:dyDescent="0.3">
      <c r="A333" t="s">
        <v>1354</v>
      </c>
      <c r="C333" t="s">
        <v>1275</v>
      </c>
      <c r="D333" t="s">
        <v>81</v>
      </c>
      <c r="E333">
        <v>50000000</v>
      </c>
      <c r="H333">
        <v>3.5</v>
      </c>
      <c r="I333" t="s">
        <v>56</v>
      </c>
      <c r="J333">
        <v>3.5E-4</v>
      </c>
      <c r="K333" t="s">
        <v>57</v>
      </c>
      <c r="L333" t="s">
        <v>112</v>
      </c>
      <c r="N333" t="s">
        <v>314</v>
      </c>
      <c r="O333">
        <v>3000</v>
      </c>
      <c r="P333" t="s">
        <v>277</v>
      </c>
      <c r="S333">
        <v>2</v>
      </c>
      <c r="T333">
        <v>22</v>
      </c>
      <c r="V333">
        <v>50</v>
      </c>
      <c r="W333" t="s">
        <v>1229</v>
      </c>
      <c r="X333" t="s">
        <v>1284</v>
      </c>
      <c r="Y333">
        <v>60</v>
      </c>
      <c r="AB333">
        <v>0.24</v>
      </c>
      <c r="AC333" t="s">
        <v>85</v>
      </c>
      <c r="AD333" t="s">
        <v>237</v>
      </c>
      <c r="AE333" t="s">
        <v>138</v>
      </c>
      <c r="AI333">
        <v>5</v>
      </c>
      <c r="AJ333" t="s">
        <v>201</v>
      </c>
      <c r="AK333">
        <v>0.52</v>
      </c>
      <c r="AL333" t="s">
        <v>409</v>
      </c>
      <c r="AT333" t="s">
        <v>221</v>
      </c>
      <c r="AU333">
        <v>1.485714285714286</v>
      </c>
      <c r="AV333" t="s">
        <v>1250</v>
      </c>
    </row>
    <row r="334" spans="1:53" x14ac:dyDescent="0.3">
      <c r="A334" t="s">
        <v>1354</v>
      </c>
      <c r="C334" t="s">
        <v>1275</v>
      </c>
      <c r="D334" t="s">
        <v>81</v>
      </c>
      <c r="E334">
        <v>50000000</v>
      </c>
      <c r="H334">
        <v>14.25</v>
      </c>
      <c r="I334" t="s">
        <v>56</v>
      </c>
      <c r="J334">
        <v>1.4250000000000001E-3</v>
      </c>
      <c r="K334" t="s">
        <v>57</v>
      </c>
      <c r="L334" t="s">
        <v>112</v>
      </c>
      <c r="N334" t="s">
        <v>314</v>
      </c>
      <c r="O334">
        <v>3000</v>
      </c>
      <c r="P334" t="s">
        <v>277</v>
      </c>
      <c r="S334">
        <v>2</v>
      </c>
      <c r="T334">
        <v>22</v>
      </c>
      <c r="V334">
        <v>50</v>
      </c>
      <c r="W334" t="s">
        <v>147</v>
      </c>
      <c r="X334" t="s">
        <v>1284</v>
      </c>
      <c r="Y334">
        <v>60</v>
      </c>
      <c r="AA334" t="s">
        <v>94</v>
      </c>
      <c r="AB334">
        <v>7.86</v>
      </c>
      <c r="AC334" t="s">
        <v>85</v>
      </c>
      <c r="AD334" t="s">
        <v>365</v>
      </c>
      <c r="AE334" t="s">
        <v>138</v>
      </c>
      <c r="AI334">
        <v>5</v>
      </c>
      <c r="AJ334" t="s">
        <v>201</v>
      </c>
      <c r="AK334">
        <v>0.52</v>
      </c>
      <c r="AL334" t="s">
        <v>409</v>
      </c>
      <c r="AT334" t="s">
        <v>150</v>
      </c>
      <c r="AU334">
        <v>0.36491228070175441</v>
      </c>
      <c r="AV334" t="s">
        <v>1250</v>
      </c>
      <c r="AZ334">
        <v>0</v>
      </c>
      <c r="BA334">
        <v>7.86</v>
      </c>
    </row>
    <row r="335" spans="1:53" x14ac:dyDescent="0.3">
      <c r="A335" t="s">
        <v>1354</v>
      </c>
      <c r="C335" t="s">
        <v>1275</v>
      </c>
      <c r="D335" t="s">
        <v>81</v>
      </c>
      <c r="E335">
        <v>50000000</v>
      </c>
      <c r="H335">
        <v>14.25</v>
      </c>
      <c r="I335" t="s">
        <v>56</v>
      </c>
      <c r="J335">
        <v>1.4250000000000001E-3</v>
      </c>
      <c r="K335" t="s">
        <v>57</v>
      </c>
      <c r="L335" t="s">
        <v>112</v>
      </c>
      <c r="N335" t="s">
        <v>314</v>
      </c>
      <c r="O335">
        <v>3000</v>
      </c>
      <c r="P335" t="s">
        <v>277</v>
      </c>
      <c r="S335">
        <v>2</v>
      </c>
      <c r="T335">
        <v>22</v>
      </c>
      <c r="V335">
        <v>50</v>
      </c>
      <c r="W335" t="s">
        <v>1258</v>
      </c>
      <c r="X335" t="s">
        <v>1284</v>
      </c>
      <c r="Y335">
        <v>60</v>
      </c>
      <c r="AB335">
        <v>2.41</v>
      </c>
      <c r="AC335" t="s">
        <v>85</v>
      </c>
      <c r="AD335" t="s">
        <v>238</v>
      </c>
      <c r="AE335" t="s">
        <v>138</v>
      </c>
      <c r="AI335">
        <v>5</v>
      </c>
      <c r="AJ335" t="s">
        <v>201</v>
      </c>
      <c r="AK335">
        <v>0.52</v>
      </c>
      <c r="AL335" t="s">
        <v>409</v>
      </c>
      <c r="AT335" t="s">
        <v>75</v>
      </c>
      <c r="AU335">
        <v>0.36491228070175441</v>
      </c>
      <c r="AV335" t="s">
        <v>1250</v>
      </c>
    </row>
    <row r="336" spans="1:53" x14ac:dyDescent="0.3">
      <c r="A336" t="s">
        <v>1354</v>
      </c>
      <c r="C336" t="s">
        <v>1275</v>
      </c>
      <c r="D336" t="s">
        <v>81</v>
      </c>
      <c r="E336">
        <v>50000000</v>
      </c>
      <c r="H336">
        <v>14.25</v>
      </c>
      <c r="I336" t="s">
        <v>56</v>
      </c>
      <c r="J336">
        <v>1.4250000000000001E-3</v>
      </c>
      <c r="K336" t="s">
        <v>57</v>
      </c>
      <c r="L336" t="s">
        <v>112</v>
      </c>
      <c r="N336" t="s">
        <v>314</v>
      </c>
      <c r="O336">
        <v>3000</v>
      </c>
      <c r="P336" t="s">
        <v>277</v>
      </c>
      <c r="S336">
        <v>2</v>
      </c>
      <c r="T336">
        <v>22</v>
      </c>
      <c r="V336">
        <v>50</v>
      </c>
      <c r="W336" t="s">
        <v>547</v>
      </c>
      <c r="X336" t="s">
        <v>1284</v>
      </c>
      <c r="Y336">
        <v>60</v>
      </c>
      <c r="AB336">
        <v>3.4</v>
      </c>
      <c r="AC336" t="s">
        <v>85</v>
      </c>
      <c r="AD336" t="s">
        <v>626</v>
      </c>
      <c r="AE336" t="s">
        <v>138</v>
      </c>
      <c r="AI336">
        <v>5</v>
      </c>
      <c r="AJ336" t="s">
        <v>201</v>
      </c>
      <c r="AK336">
        <v>0.52</v>
      </c>
      <c r="AL336" t="s">
        <v>409</v>
      </c>
      <c r="AT336" t="s">
        <v>73</v>
      </c>
      <c r="AU336">
        <v>0.36491228070175441</v>
      </c>
      <c r="AV336" t="s">
        <v>1250</v>
      </c>
    </row>
    <row r="337" spans="1:53" x14ac:dyDescent="0.3">
      <c r="A337" t="s">
        <v>1354</v>
      </c>
      <c r="C337" t="s">
        <v>1275</v>
      </c>
      <c r="D337" t="s">
        <v>81</v>
      </c>
      <c r="E337">
        <v>50000000</v>
      </c>
      <c r="H337">
        <v>14.25</v>
      </c>
      <c r="I337" t="s">
        <v>56</v>
      </c>
      <c r="J337">
        <v>1.4250000000000001E-3</v>
      </c>
      <c r="K337" t="s">
        <v>57</v>
      </c>
      <c r="L337" t="s">
        <v>112</v>
      </c>
      <c r="N337" t="s">
        <v>314</v>
      </c>
      <c r="O337">
        <v>3000</v>
      </c>
      <c r="P337" t="s">
        <v>277</v>
      </c>
      <c r="S337">
        <v>2</v>
      </c>
      <c r="T337">
        <v>22</v>
      </c>
      <c r="V337">
        <v>50</v>
      </c>
      <c r="W337" t="s">
        <v>463</v>
      </c>
      <c r="X337" t="s">
        <v>1284</v>
      </c>
      <c r="Y337">
        <v>60</v>
      </c>
      <c r="AA337" t="s">
        <v>94</v>
      </c>
      <c r="AB337">
        <v>7.84</v>
      </c>
      <c r="AC337" t="s">
        <v>85</v>
      </c>
      <c r="AD337" t="s">
        <v>227</v>
      </c>
      <c r="AE337" t="s">
        <v>138</v>
      </c>
      <c r="AI337">
        <v>5</v>
      </c>
      <c r="AJ337" t="s">
        <v>201</v>
      </c>
      <c r="AK337">
        <v>0.52</v>
      </c>
      <c r="AL337" t="s">
        <v>409</v>
      </c>
      <c r="AT337" t="s">
        <v>360</v>
      </c>
      <c r="AU337">
        <v>0.36491228070175441</v>
      </c>
      <c r="AV337" t="s">
        <v>1250</v>
      </c>
      <c r="AZ337">
        <v>0</v>
      </c>
      <c r="BA337">
        <v>7.84</v>
      </c>
    </row>
    <row r="338" spans="1:53" x14ac:dyDescent="0.3">
      <c r="A338" t="s">
        <v>1354</v>
      </c>
      <c r="C338" t="s">
        <v>1275</v>
      </c>
      <c r="D338" t="s">
        <v>81</v>
      </c>
      <c r="E338">
        <v>50000000</v>
      </c>
      <c r="H338">
        <v>3.5</v>
      </c>
      <c r="I338" t="s">
        <v>56</v>
      </c>
      <c r="J338">
        <v>3.5E-4</v>
      </c>
      <c r="K338" t="s">
        <v>57</v>
      </c>
      <c r="L338" t="s">
        <v>112</v>
      </c>
      <c r="N338" t="s">
        <v>314</v>
      </c>
      <c r="O338">
        <v>3000</v>
      </c>
      <c r="P338" t="s">
        <v>277</v>
      </c>
      <c r="S338">
        <v>2</v>
      </c>
      <c r="T338">
        <v>22</v>
      </c>
      <c r="V338">
        <v>50</v>
      </c>
      <c r="W338" t="s">
        <v>1229</v>
      </c>
      <c r="X338" t="s">
        <v>1284</v>
      </c>
      <c r="Y338">
        <v>60</v>
      </c>
      <c r="AB338">
        <v>0.09</v>
      </c>
      <c r="AC338" t="s">
        <v>85</v>
      </c>
      <c r="AD338" t="s">
        <v>236</v>
      </c>
      <c r="AE338" t="s">
        <v>138</v>
      </c>
      <c r="AI338">
        <v>5</v>
      </c>
      <c r="AJ338" t="s">
        <v>201</v>
      </c>
      <c r="AK338">
        <v>0.52</v>
      </c>
      <c r="AL338" t="s">
        <v>409</v>
      </c>
      <c r="AT338" t="s">
        <v>221</v>
      </c>
      <c r="AU338">
        <v>1.485714285714286</v>
      </c>
      <c r="AV338" t="s">
        <v>1250</v>
      </c>
    </row>
    <row r="339" spans="1:53" x14ac:dyDescent="0.3">
      <c r="A339" t="s">
        <v>1354</v>
      </c>
      <c r="C339" t="s">
        <v>1275</v>
      </c>
      <c r="D339" t="s">
        <v>81</v>
      </c>
      <c r="E339">
        <v>50000000</v>
      </c>
      <c r="H339">
        <v>14.25</v>
      </c>
      <c r="I339" t="s">
        <v>56</v>
      </c>
      <c r="J339">
        <v>1.4250000000000001E-3</v>
      </c>
      <c r="K339" t="s">
        <v>57</v>
      </c>
      <c r="L339" t="s">
        <v>112</v>
      </c>
      <c r="N339" t="s">
        <v>314</v>
      </c>
      <c r="O339">
        <v>3000</v>
      </c>
      <c r="P339" t="s">
        <v>277</v>
      </c>
      <c r="S339">
        <v>2</v>
      </c>
      <c r="T339">
        <v>22</v>
      </c>
      <c r="V339">
        <v>50</v>
      </c>
      <c r="W339" t="s">
        <v>147</v>
      </c>
      <c r="X339" t="s">
        <v>1284</v>
      </c>
      <c r="Y339">
        <v>60</v>
      </c>
      <c r="AA339" t="s">
        <v>94</v>
      </c>
      <c r="AB339">
        <v>7.88</v>
      </c>
      <c r="AC339" t="s">
        <v>85</v>
      </c>
      <c r="AD339" t="s">
        <v>314</v>
      </c>
      <c r="AE339" t="s">
        <v>138</v>
      </c>
      <c r="AI339">
        <v>5</v>
      </c>
      <c r="AJ339" t="s">
        <v>201</v>
      </c>
      <c r="AK339">
        <v>0.52</v>
      </c>
      <c r="AL339" t="s">
        <v>409</v>
      </c>
      <c r="AT339" t="s">
        <v>150</v>
      </c>
      <c r="AU339">
        <v>0.36491228070175441</v>
      </c>
      <c r="AV339" t="s">
        <v>1250</v>
      </c>
      <c r="AZ339">
        <v>0</v>
      </c>
      <c r="BA339">
        <v>7.88</v>
      </c>
    </row>
    <row r="340" spans="1:53" x14ac:dyDescent="0.3">
      <c r="A340" t="s">
        <v>1354</v>
      </c>
      <c r="C340" t="s">
        <v>1275</v>
      </c>
      <c r="D340" t="s">
        <v>81</v>
      </c>
      <c r="E340">
        <v>50000000</v>
      </c>
      <c r="H340">
        <v>14.25</v>
      </c>
      <c r="I340" t="s">
        <v>56</v>
      </c>
      <c r="J340">
        <v>1.4250000000000001E-3</v>
      </c>
      <c r="K340" t="s">
        <v>57</v>
      </c>
      <c r="L340" t="s">
        <v>112</v>
      </c>
      <c r="N340" t="s">
        <v>314</v>
      </c>
      <c r="O340">
        <v>3000</v>
      </c>
      <c r="P340" t="s">
        <v>277</v>
      </c>
      <c r="S340">
        <v>2</v>
      </c>
      <c r="T340">
        <v>22</v>
      </c>
      <c r="V340">
        <v>50</v>
      </c>
      <c r="W340" t="s">
        <v>1258</v>
      </c>
      <c r="X340" t="s">
        <v>1284</v>
      </c>
      <c r="Y340">
        <v>60</v>
      </c>
      <c r="AB340">
        <v>1.43</v>
      </c>
      <c r="AC340" t="s">
        <v>85</v>
      </c>
      <c r="AD340" t="s">
        <v>427</v>
      </c>
      <c r="AE340" t="s">
        <v>138</v>
      </c>
      <c r="AI340">
        <v>5</v>
      </c>
      <c r="AJ340" t="s">
        <v>201</v>
      </c>
      <c r="AK340">
        <v>0.52</v>
      </c>
      <c r="AL340" t="s">
        <v>409</v>
      </c>
      <c r="AT340" t="s">
        <v>75</v>
      </c>
      <c r="AU340">
        <v>0.36491228070175441</v>
      </c>
      <c r="AV340" t="s">
        <v>1250</v>
      </c>
    </row>
    <row r="341" spans="1:53" x14ac:dyDescent="0.3">
      <c r="A341" t="s">
        <v>1354</v>
      </c>
      <c r="C341" t="s">
        <v>1275</v>
      </c>
      <c r="D341" t="s">
        <v>81</v>
      </c>
      <c r="E341">
        <v>50000000</v>
      </c>
      <c r="H341">
        <v>14.25</v>
      </c>
      <c r="I341" t="s">
        <v>56</v>
      </c>
      <c r="J341">
        <v>1.4250000000000001E-3</v>
      </c>
      <c r="K341" t="s">
        <v>57</v>
      </c>
      <c r="L341" t="s">
        <v>112</v>
      </c>
      <c r="N341" t="s">
        <v>314</v>
      </c>
      <c r="O341">
        <v>3000</v>
      </c>
      <c r="P341" t="s">
        <v>277</v>
      </c>
      <c r="S341">
        <v>2</v>
      </c>
      <c r="T341">
        <v>22</v>
      </c>
      <c r="V341">
        <v>50</v>
      </c>
      <c r="W341" t="s">
        <v>547</v>
      </c>
      <c r="X341" t="s">
        <v>1284</v>
      </c>
      <c r="Y341">
        <v>60</v>
      </c>
      <c r="AB341">
        <v>4.08</v>
      </c>
      <c r="AC341" t="s">
        <v>85</v>
      </c>
      <c r="AD341" t="s">
        <v>493</v>
      </c>
      <c r="AE341" t="s">
        <v>138</v>
      </c>
      <c r="AI341">
        <v>5</v>
      </c>
      <c r="AJ341" t="s">
        <v>201</v>
      </c>
      <c r="AK341">
        <v>0.52</v>
      </c>
      <c r="AL341" t="s">
        <v>409</v>
      </c>
      <c r="AT341" t="s">
        <v>73</v>
      </c>
      <c r="AU341">
        <v>0.36491228070175441</v>
      </c>
      <c r="AV341" t="s">
        <v>1250</v>
      </c>
    </row>
    <row r="342" spans="1:53" x14ac:dyDescent="0.3">
      <c r="A342" t="s">
        <v>1354</v>
      </c>
      <c r="C342" t="s">
        <v>1275</v>
      </c>
      <c r="D342" t="s">
        <v>81</v>
      </c>
      <c r="E342">
        <v>50000000</v>
      </c>
      <c r="H342">
        <v>14.25</v>
      </c>
      <c r="I342" t="s">
        <v>56</v>
      </c>
      <c r="J342">
        <v>1.4250000000000001E-3</v>
      </c>
      <c r="K342" t="s">
        <v>57</v>
      </c>
      <c r="L342" t="s">
        <v>112</v>
      </c>
      <c r="N342" t="s">
        <v>314</v>
      </c>
      <c r="O342">
        <v>3000</v>
      </c>
      <c r="P342" t="s">
        <v>277</v>
      </c>
      <c r="S342">
        <v>2</v>
      </c>
      <c r="T342">
        <v>22</v>
      </c>
      <c r="V342">
        <v>50</v>
      </c>
      <c r="W342" t="s">
        <v>463</v>
      </c>
      <c r="X342" t="s">
        <v>1284</v>
      </c>
      <c r="Y342">
        <v>60</v>
      </c>
      <c r="AB342">
        <v>5.13</v>
      </c>
      <c r="AC342" t="s">
        <v>85</v>
      </c>
      <c r="AD342" t="s">
        <v>336</v>
      </c>
      <c r="AE342" t="s">
        <v>138</v>
      </c>
      <c r="AI342">
        <v>5</v>
      </c>
      <c r="AJ342" t="s">
        <v>201</v>
      </c>
      <c r="AK342">
        <v>0.52</v>
      </c>
      <c r="AL342" t="s">
        <v>409</v>
      </c>
      <c r="AT342" t="s">
        <v>360</v>
      </c>
      <c r="AU342">
        <v>0.36491228070175441</v>
      </c>
      <c r="AV342" t="s">
        <v>1250</v>
      </c>
    </row>
    <row r="343" spans="1:53" x14ac:dyDescent="0.3">
      <c r="A343" t="s">
        <v>1354</v>
      </c>
      <c r="C343" t="s">
        <v>1275</v>
      </c>
      <c r="D343" t="s">
        <v>81</v>
      </c>
      <c r="E343">
        <v>50000000</v>
      </c>
      <c r="H343">
        <v>14.25</v>
      </c>
      <c r="I343" t="s">
        <v>56</v>
      </c>
      <c r="J343">
        <v>1.4250000000000001E-3</v>
      </c>
      <c r="K343" t="s">
        <v>57</v>
      </c>
      <c r="L343" t="s">
        <v>112</v>
      </c>
      <c r="N343" t="s">
        <v>314</v>
      </c>
      <c r="O343">
        <v>3000</v>
      </c>
      <c r="P343" t="s">
        <v>277</v>
      </c>
      <c r="S343">
        <v>2</v>
      </c>
      <c r="T343">
        <v>22</v>
      </c>
      <c r="V343">
        <v>50</v>
      </c>
      <c r="W343" t="s">
        <v>547</v>
      </c>
      <c r="X343" t="s">
        <v>1284</v>
      </c>
      <c r="Y343">
        <v>60</v>
      </c>
      <c r="AB343">
        <v>7.12</v>
      </c>
      <c r="AC343" t="s">
        <v>85</v>
      </c>
      <c r="AD343" t="s">
        <v>335</v>
      </c>
      <c r="AE343" t="s">
        <v>138</v>
      </c>
      <c r="AI343">
        <v>5</v>
      </c>
      <c r="AJ343" t="s">
        <v>201</v>
      </c>
      <c r="AK343">
        <v>0.61</v>
      </c>
      <c r="AL343" t="s">
        <v>409</v>
      </c>
      <c r="AT343" t="s">
        <v>73</v>
      </c>
      <c r="AU343">
        <v>0.42807017543859649</v>
      </c>
      <c r="AV343" t="s">
        <v>1250</v>
      </c>
    </row>
    <row r="344" spans="1:53" x14ac:dyDescent="0.3">
      <c r="A344" t="s">
        <v>1354</v>
      </c>
      <c r="C344" t="s">
        <v>1275</v>
      </c>
      <c r="D344" t="s">
        <v>81</v>
      </c>
      <c r="E344">
        <v>50000000</v>
      </c>
      <c r="H344">
        <v>14.25</v>
      </c>
      <c r="I344" t="s">
        <v>56</v>
      </c>
      <c r="J344">
        <v>1.4250000000000001E-3</v>
      </c>
      <c r="K344" t="s">
        <v>57</v>
      </c>
      <c r="L344" t="s">
        <v>112</v>
      </c>
      <c r="N344" t="s">
        <v>314</v>
      </c>
      <c r="O344">
        <v>3000</v>
      </c>
      <c r="P344" t="s">
        <v>277</v>
      </c>
      <c r="S344">
        <v>2</v>
      </c>
      <c r="T344">
        <v>22</v>
      </c>
      <c r="V344">
        <v>50</v>
      </c>
      <c r="W344" t="s">
        <v>1258</v>
      </c>
      <c r="X344" t="s">
        <v>1284</v>
      </c>
      <c r="Y344">
        <v>60</v>
      </c>
      <c r="AB344">
        <v>2.85</v>
      </c>
      <c r="AC344" t="s">
        <v>85</v>
      </c>
      <c r="AD344" t="s">
        <v>521</v>
      </c>
      <c r="AE344" t="s">
        <v>138</v>
      </c>
      <c r="AI344">
        <v>5</v>
      </c>
      <c r="AJ344" t="s">
        <v>201</v>
      </c>
      <c r="AK344">
        <v>0.61</v>
      </c>
      <c r="AL344" t="s">
        <v>409</v>
      </c>
      <c r="AT344" t="s">
        <v>75</v>
      </c>
      <c r="AU344">
        <v>0.42807017543859649</v>
      </c>
      <c r="AV344" t="s">
        <v>1250</v>
      </c>
    </row>
    <row r="345" spans="1:53" x14ac:dyDescent="0.3">
      <c r="A345" t="s">
        <v>1354</v>
      </c>
      <c r="C345" t="s">
        <v>1275</v>
      </c>
      <c r="D345" t="s">
        <v>81</v>
      </c>
      <c r="E345">
        <v>50000000</v>
      </c>
      <c r="H345">
        <v>14.25</v>
      </c>
      <c r="I345" t="s">
        <v>56</v>
      </c>
      <c r="J345">
        <v>1.4250000000000001E-3</v>
      </c>
      <c r="K345" t="s">
        <v>57</v>
      </c>
      <c r="L345" t="s">
        <v>112</v>
      </c>
      <c r="N345" t="s">
        <v>314</v>
      </c>
      <c r="O345">
        <v>3000</v>
      </c>
      <c r="P345" t="s">
        <v>277</v>
      </c>
      <c r="S345">
        <v>2</v>
      </c>
      <c r="T345">
        <v>22</v>
      </c>
      <c r="V345">
        <v>50</v>
      </c>
      <c r="W345" t="s">
        <v>359</v>
      </c>
      <c r="X345" t="s">
        <v>1284</v>
      </c>
      <c r="Y345">
        <v>60</v>
      </c>
      <c r="AB345">
        <v>7.16</v>
      </c>
      <c r="AC345" t="s">
        <v>85</v>
      </c>
      <c r="AD345" t="s">
        <v>646</v>
      </c>
      <c r="AE345" t="s">
        <v>138</v>
      </c>
      <c r="AI345">
        <v>5</v>
      </c>
      <c r="AJ345" t="s">
        <v>201</v>
      </c>
      <c r="AK345">
        <v>0.61</v>
      </c>
      <c r="AL345" t="s">
        <v>409</v>
      </c>
      <c r="AT345" t="s">
        <v>360</v>
      </c>
      <c r="AU345">
        <v>0.42807017543859649</v>
      </c>
      <c r="AV345" t="s">
        <v>1250</v>
      </c>
    </row>
    <row r="346" spans="1:53" x14ac:dyDescent="0.3">
      <c r="A346" t="s">
        <v>1354</v>
      </c>
      <c r="C346" t="s">
        <v>1275</v>
      </c>
      <c r="D346" t="s">
        <v>81</v>
      </c>
      <c r="E346">
        <v>50000000</v>
      </c>
      <c r="H346">
        <v>3</v>
      </c>
      <c r="I346" t="s">
        <v>56</v>
      </c>
      <c r="J346">
        <v>2.9999999999999997E-4</v>
      </c>
      <c r="K346" t="s">
        <v>57</v>
      </c>
      <c r="L346" t="s">
        <v>112</v>
      </c>
      <c r="N346" t="s">
        <v>314</v>
      </c>
      <c r="O346">
        <v>3000</v>
      </c>
      <c r="P346" t="s">
        <v>277</v>
      </c>
      <c r="S346">
        <v>2</v>
      </c>
      <c r="T346">
        <v>22</v>
      </c>
      <c r="V346">
        <v>50</v>
      </c>
      <c r="W346" t="s">
        <v>549</v>
      </c>
      <c r="X346" t="s">
        <v>1284</v>
      </c>
      <c r="Y346">
        <v>60</v>
      </c>
      <c r="AB346">
        <v>6.13</v>
      </c>
      <c r="AC346" t="s">
        <v>85</v>
      </c>
      <c r="AD346" t="s">
        <v>1356</v>
      </c>
      <c r="AE346" t="s">
        <v>138</v>
      </c>
      <c r="AI346">
        <v>5</v>
      </c>
      <c r="AJ346" t="s">
        <v>201</v>
      </c>
      <c r="AK346">
        <v>0.61</v>
      </c>
      <c r="AL346" t="s">
        <v>409</v>
      </c>
      <c r="AT346" t="s">
        <v>77</v>
      </c>
      <c r="AU346">
        <v>2.0333333333333332</v>
      </c>
      <c r="AV346" t="s">
        <v>1250</v>
      </c>
    </row>
    <row r="347" spans="1:53" x14ac:dyDescent="0.3">
      <c r="A347" t="s">
        <v>1354</v>
      </c>
      <c r="C347" t="s">
        <v>1275</v>
      </c>
      <c r="D347" t="s">
        <v>81</v>
      </c>
      <c r="E347">
        <v>50000000</v>
      </c>
      <c r="H347">
        <v>3.5</v>
      </c>
      <c r="I347" t="s">
        <v>56</v>
      </c>
      <c r="J347">
        <v>3.5E-4</v>
      </c>
      <c r="K347" t="s">
        <v>57</v>
      </c>
      <c r="L347" t="s">
        <v>112</v>
      </c>
      <c r="N347" t="s">
        <v>314</v>
      </c>
      <c r="O347">
        <v>3000</v>
      </c>
      <c r="P347" t="s">
        <v>277</v>
      </c>
      <c r="S347">
        <v>2</v>
      </c>
      <c r="T347">
        <v>22</v>
      </c>
      <c r="V347">
        <v>50</v>
      </c>
      <c r="W347" t="s">
        <v>229</v>
      </c>
      <c r="X347" t="s">
        <v>1284</v>
      </c>
      <c r="Y347">
        <v>60</v>
      </c>
      <c r="AB347">
        <v>0.12</v>
      </c>
      <c r="AC347" t="s">
        <v>85</v>
      </c>
      <c r="AD347" t="s">
        <v>237</v>
      </c>
      <c r="AE347" t="s">
        <v>138</v>
      </c>
      <c r="AI347">
        <v>5</v>
      </c>
      <c r="AJ347" t="s">
        <v>201</v>
      </c>
      <c r="AK347">
        <v>0.61</v>
      </c>
      <c r="AL347" t="s">
        <v>409</v>
      </c>
      <c r="AU347">
        <v>1.7428571428571431</v>
      </c>
      <c r="AV347" t="s">
        <v>1250</v>
      </c>
    </row>
    <row r="348" spans="1:53" x14ac:dyDescent="0.3">
      <c r="A348" t="s">
        <v>1354</v>
      </c>
      <c r="C348" t="s">
        <v>1275</v>
      </c>
      <c r="D348" t="s">
        <v>81</v>
      </c>
      <c r="E348">
        <v>50000000</v>
      </c>
      <c r="H348">
        <v>3.5</v>
      </c>
      <c r="I348" t="s">
        <v>56</v>
      </c>
      <c r="J348">
        <v>3.5E-4</v>
      </c>
      <c r="K348" t="s">
        <v>57</v>
      </c>
      <c r="L348" t="s">
        <v>112</v>
      </c>
      <c r="N348" t="s">
        <v>314</v>
      </c>
      <c r="O348">
        <v>3000</v>
      </c>
      <c r="P348" t="s">
        <v>277</v>
      </c>
      <c r="S348">
        <v>2</v>
      </c>
      <c r="T348">
        <v>22</v>
      </c>
      <c r="V348">
        <v>50</v>
      </c>
      <c r="W348" t="s">
        <v>1229</v>
      </c>
      <c r="X348" t="s">
        <v>1284</v>
      </c>
      <c r="Y348">
        <v>60</v>
      </c>
      <c r="AB348">
        <v>0.05</v>
      </c>
      <c r="AC348" t="s">
        <v>85</v>
      </c>
      <c r="AD348" t="s">
        <v>365</v>
      </c>
      <c r="AE348" t="s">
        <v>138</v>
      </c>
      <c r="AI348">
        <v>5</v>
      </c>
      <c r="AJ348" t="s">
        <v>201</v>
      </c>
      <c r="AK348">
        <v>0.61</v>
      </c>
      <c r="AL348" t="s">
        <v>409</v>
      </c>
      <c r="AT348" t="s">
        <v>221</v>
      </c>
      <c r="AU348">
        <v>1.7428571428571431</v>
      </c>
      <c r="AV348" t="s">
        <v>1250</v>
      </c>
    </row>
    <row r="349" spans="1:53" x14ac:dyDescent="0.3">
      <c r="A349" t="s">
        <v>1354</v>
      </c>
      <c r="C349" t="s">
        <v>1275</v>
      </c>
      <c r="D349" t="s">
        <v>81</v>
      </c>
      <c r="E349">
        <v>50000000</v>
      </c>
      <c r="H349">
        <v>14.25</v>
      </c>
      <c r="I349" t="s">
        <v>56</v>
      </c>
      <c r="J349">
        <v>1.4250000000000001E-3</v>
      </c>
      <c r="K349" t="s">
        <v>57</v>
      </c>
      <c r="L349" t="s">
        <v>112</v>
      </c>
      <c r="N349" t="s">
        <v>314</v>
      </c>
      <c r="O349">
        <v>4000</v>
      </c>
      <c r="P349" t="s">
        <v>277</v>
      </c>
      <c r="S349">
        <v>2</v>
      </c>
      <c r="T349">
        <v>22</v>
      </c>
      <c r="V349">
        <v>50</v>
      </c>
      <c r="W349" t="s">
        <v>547</v>
      </c>
      <c r="X349" t="s">
        <v>1284</v>
      </c>
      <c r="Y349">
        <v>60</v>
      </c>
      <c r="AB349">
        <v>2.82</v>
      </c>
      <c r="AC349" t="s">
        <v>85</v>
      </c>
      <c r="AD349" t="s">
        <v>243</v>
      </c>
      <c r="AE349" t="s">
        <v>138</v>
      </c>
      <c r="AI349">
        <v>5</v>
      </c>
      <c r="AJ349" t="s">
        <v>201</v>
      </c>
      <c r="AK349">
        <v>0.38</v>
      </c>
      <c r="AL349" t="s">
        <v>409</v>
      </c>
      <c r="AT349" t="s">
        <v>73</v>
      </c>
      <c r="AU349">
        <v>0.26666666666666672</v>
      </c>
      <c r="AV349" t="s">
        <v>1250</v>
      </c>
    </row>
    <row r="350" spans="1:53" x14ac:dyDescent="0.3">
      <c r="A350" t="s">
        <v>1354</v>
      </c>
      <c r="C350" t="s">
        <v>1275</v>
      </c>
      <c r="D350" t="s">
        <v>81</v>
      </c>
      <c r="E350">
        <v>50000000</v>
      </c>
      <c r="H350">
        <v>14.25</v>
      </c>
      <c r="I350" t="s">
        <v>56</v>
      </c>
      <c r="J350">
        <v>1.4250000000000001E-3</v>
      </c>
      <c r="K350" t="s">
        <v>57</v>
      </c>
      <c r="L350" t="s">
        <v>112</v>
      </c>
      <c r="N350" t="s">
        <v>314</v>
      </c>
      <c r="O350">
        <v>4000</v>
      </c>
      <c r="P350" t="s">
        <v>277</v>
      </c>
      <c r="S350">
        <v>2</v>
      </c>
      <c r="T350">
        <v>22</v>
      </c>
      <c r="V350">
        <v>50</v>
      </c>
      <c r="W350" t="s">
        <v>1258</v>
      </c>
      <c r="X350" t="s">
        <v>1284</v>
      </c>
      <c r="Y350">
        <v>60</v>
      </c>
      <c r="AB350">
        <v>1.95</v>
      </c>
      <c r="AC350" t="s">
        <v>85</v>
      </c>
      <c r="AD350" t="s">
        <v>590</v>
      </c>
      <c r="AE350" t="s">
        <v>138</v>
      </c>
      <c r="AI350">
        <v>5</v>
      </c>
      <c r="AJ350" t="s">
        <v>201</v>
      </c>
      <c r="AK350">
        <v>0.38</v>
      </c>
      <c r="AL350" t="s">
        <v>409</v>
      </c>
      <c r="AT350" t="s">
        <v>75</v>
      </c>
      <c r="AU350">
        <v>0.26666666666666672</v>
      </c>
      <c r="AV350" t="s">
        <v>1250</v>
      </c>
    </row>
    <row r="351" spans="1:53" x14ac:dyDescent="0.3">
      <c r="A351" t="s">
        <v>1354</v>
      </c>
      <c r="C351" t="s">
        <v>1275</v>
      </c>
      <c r="D351" t="s">
        <v>81</v>
      </c>
      <c r="E351">
        <v>50000000</v>
      </c>
      <c r="H351">
        <v>14.25</v>
      </c>
      <c r="I351" t="s">
        <v>56</v>
      </c>
      <c r="J351">
        <v>1.4250000000000001E-3</v>
      </c>
      <c r="K351" t="s">
        <v>57</v>
      </c>
      <c r="L351" t="s">
        <v>112</v>
      </c>
      <c r="N351" t="s">
        <v>314</v>
      </c>
      <c r="O351">
        <v>4000</v>
      </c>
      <c r="P351" t="s">
        <v>277</v>
      </c>
      <c r="S351">
        <v>2</v>
      </c>
      <c r="T351">
        <v>22</v>
      </c>
      <c r="V351">
        <v>50</v>
      </c>
      <c r="W351" t="s">
        <v>359</v>
      </c>
      <c r="X351" t="s">
        <v>1284</v>
      </c>
      <c r="Y351">
        <v>60</v>
      </c>
      <c r="AA351" t="s">
        <v>94</v>
      </c>
      <c r="AB351">
        <v>7.76</v>
      </c>
      <c r="AC351" t="s">
        <v>85</v>
      </c>
      <c r="AD351" t="s">
        <v>418</v>
      </c>
      <c r="AE351" t="s">
        <v>138</v>
      </c>
      <c r="AI351">
        <v>5</v>
      </c>
      <c r="AJ351" t="s">
        <v>201</v>
      </c>
      <c r="AK351">
        <v>0.38</v>
      </c>
      <c r="AL351" t="s">
        <v>409</v>
      </c>
      <c r="AT351" t="s">
        <v>360</v>
      </c>
      <c r="AU351">
        <v>0.26666666666666672</v>
      </c>
      <c r="AV351" t="s">
        <v>1250</v>
      </c>
      <c r="AZ351">
        <v>0</v>
      </c>
      <c r="BA351">
        <v>7.76</v>
      </c>
    </row>
    <row r="352" spans="1:53" x14ac:dyDescent="0.3">
      <c r="A352" t="s">
        <v>1354</v>
      </c>
      <c r="C352" t="s">
        <v>1275</v>
      </c>
      <c r="D352" t="s">
        <v>81</v>
      </c>
      <c r="E352">
        <v>50000000</v>
      </c>
      <c r="H352">
        <v>3</v>
      </c>
      <c r="I352" t="s">
        <v>56</v>
      </c>
      <c r="J352">
        <v>2.9999999999999997E-4</v>
      </c>
      <c r="K352" t="s">
        <v>57</v>
      </c>
      <c r="L352" t="s">
        <v>112</v>
      </c>
      <c r="N352" t="s">
        <v>314</v>
      </c>
      <c r="O352">
        <v>4000</v>
      </c>
      <c r="P352" t="s">
        <v>277</v>
      </c>
      <c r="S352">
        <v>2</v>
      </c>
      <c r="T352">
        <v>22</v>
      </c>
      <c r="V352">
        <v>50</v>
      </c>
      <c r="W352" t="s">
        <v>549</v>
      </c>
      <c r="X352" t="s">
        <v>1284</v>
      </c>
      <c r="Y352">
        <v>60</v>
      </c>
      <c r="AB352">
        <v>6.6</v>
      </c>
      <c r="AC352" t="s">
        <v>85</v>
      </c>
      <c r="AD352" t="s">
        <v>513</v>
      </c>
      <c r="AE352" t="s">
        <v>138</v>
      </c>
      <c r="AI352">
        <v>5</v>
      </c>
      <c r="AJ352" t="s">
        <v>201</v>
      </c>
      <c r="AK352">
        <v>0.38</v>
      </c>
      <c r="AL352" t="s">
        <v>409</v>
      </c>
      <c r="AT352" t="s">
        <v>77</v>
      </c>
      <c r="AU352">
        <v>1.2666666666666671</v>
      </c>
      <c r="AV352" t="s">
        <v>1250</v>
      </c>
    </row>
    <row r="353" spans="1:53" x14ac:dyDescent="0.3">
      <c r="A353" t="s">
        <v>1354</v>
      </c>
      <c r="C353" t="s">
        <v>1275</v>
      </c>
      <c r="D353" t="s">
        <v>81</v>
      </c>
      <c r="E353">
        <v>50000000</v>
      </c>
      <c r="H353">
        <v>3.5</v>
      </c>
      <c r="I353" t="s">
        <v>56</v>
      </c>
      <c r="J353">
        <v>3.5E-4</v>
      </c>
      <c r="K353" t="s">
        <v>57</v>
      </c>
      <c r="L353" t="s">
        <v>112</v>
      </c>
      <c r="N353" t="s">
        <v>314</v>
      </c>
      <c r="O353">
        <v>4000</v>
      </c>
      <c r="P353" t="s">
        <v>277</v>
      </c>
      <c r="S353">
        <v>2</v>
      </c>
      <c r="T353">
        <v>22</v>
      </c>
      <c r="V353">
        <v>50</v>
      </c>
      <c r="W353" t="s">
        <v>229</v>
      </c>
      <c r="X353" t="s">
        <v>1284</v>
      </c>
      <c r="Y353">
        <v>60</v>
      </c>
      <c r="AB353">
        <v>0.94</v>
      </c>
      <c r="AC353" t="s">
        <v>85</v>
      </c>
      <c r="AD353" t="s">
        <v>240</v>
      </c>
      <c r="AE353" t="s">
        <v>138</v>
      </c>
      <c r="AI353">
        <v>5</v>
      </c>
      <c r="AJ353" t="s">
        <v>201</v>
      </c>
      <c r="AK353">
        <v>0.38</v>
      </c>
      <c r="AL353" t="s">
        <v>409</v>
      </c>
      <c r="AU353">
        <v>1.0857142857142861</v>
      </c>
      <c r="AV353" t="s">
        <v>1250</v>
      </c>
    </row>
    <row r="354" spans="1:53" x14ac:dyDescent="0.3">
      <c r="A354" t="s">
        <v>1354</v>
      </c>
      <c r="C354" t="s">
        <v>1275</v>
      </c>
      <c r="D354" t="s">
        <v>81</v>
      </c>
      <c r="E354">
        <v>50000000</v>
      </c>
      <c r="H354">
        <v>3.5</v>
      </c>
      <c r="I354" t="s">
        <v>56</v>
      </c>
      <c r="J354">
        <v>3.5E-4</v>
      </c>
      <c r="K354" t="s">
        <v>57</v>
      </c>
      <c r="L354" t="s">
        <v>112</v>
      </c>
      <c r="N354" t="s">
        <v>314</v>
      </c>
      <c r="O354">
        <v>4000</v>
      </c>
      <c r="P354" t="s">
        <v>277</v>
      </c>
      <c r="S354">
        <v>2</v>
      </c>
      <c r="T354">
        <v>22</v>
      </c>
      <c r="V354">
        <v>50</v>
      </c>
      <c r="W354" t="s">
        <v>1229</v>
      </c>
      <c r="X354" t="s">
        <v>1284</v>
      </c>
      <c r="Y354">
        <v>60</v>
      </c>
      <c r="AB354">
        <v>0.05</v>
      </c>
      <c r="AC354" t="s">
        <v>85</v>
      </c>
      <c r="AD354" t="s">
        <v>939</v>
      </c>
      <c r="AE354" t="s">
        <v>138</v>
      </c>
      <c r="AI354">
        <v>5</v>
      </c>
      <c r="AJ354" t="s">
        <v>201</v>
      </c>
      <c r="AK354">
        <v>0.38</v>
      </c>
      <c r="AL354" t="s">
        <v>409</v>
      </c>
      <c r="AT354" t="s">
        <v>221</v>
      </c>
      <c r="AU354">
        <v>1.0857142857142861</v>
      </c>
      <c r="AV354" t="s">
        <v>1250</v>
      </c>
    </row>
    <row r="355" spans="1:53" x14ac:dyDescent="0.3">
      <c r="A355" t="s">
        <v>1354</v>
      </c>
      <c r="C355" t="s">
        <v>1275</v>
      </c>
      <c r="D355" t="s">
        <v>81</v>
      </c>
      <c r="E355">
        <v>50000000</v>
      </c>
      <c r="H355">
        <v>14.25</v>
      </c>
      <c r="I355" t="s">
        <v>56</v>
      </c>
      <c r="J355">
        <v>1.4250000000000001E-3</v>
      </c>
      <c r="K355" t="s">
        <v>57</v>
      </c>
      <c r="L355" t="s">
        <v>112</v>
      </c>
      <c r="N355" t="s">
        <v>314</v>
      </c>
      <c r="O355">
        <v>4000</v>
      </c>
      <c r="P355" t="s">
        <v>277</v>
      </c>
      <c r="S355">
        <v>2</v>
      </c>
      <c r="T355">
        <v>22</v>
      </c>
      <c r="V355">
        <v>50</v>
      </c>
      <c r="W355" t="s">
        <v>547</v>
      </c>
      <c r="X355" t="s">
        <v>1284</v>
      </c>
      <c r="Y355">
        <v>60</v>
      </c>
      <c r="AB355">
        <v>1.27</v>
      </c>
      <c r="AC355" t="s">
        <v>85</v>
      </c>
      <c r="AD355" t="s">
        <v>231</v>
      </c>
      <c r="AE355" t="s">
        <v>138</v>
      </c>
      <c r="AI355">
        <v>5</v>
      </c>
      <c r="AJ355" t="s">
        <v>201</v>
      </c>
      <c r="AK355">
        <v>0.61</v>
      </c>
      <c r="AL355" t="s">
        <v>409</v>
      </c>
      <c r="AT355" t="s">
        <v>73</v>
      </c>
      <c r="AU355">
        <v>0.42807017543859649</v>
      </c>
      <c r="AV355" t="s">
        <v>1250</v>
      </c>
    </row>
    <row r="356" spans="1:53" x14ac:dyDescent="0.3">
      <c r="A356" t="s">
        <v>1354</v>
      </c>
      <c r="C356" t="s">
        <v>1275</v>
      </c>
      <c r="D356" t="s">
        <v>81</v>
      </c>
      <c r="E356">
        <v>50000000</v>
      </c>
      <c r="H356">
        <v>14.25</v>
      </c>
      <c r="I356" t="s">
        <v>56</v>
      </c>
      <c r="J356">
        <v>1.4250000000000001E-3</v>
      </c>
      <c r="K356" t="s">
        <v>57</v>
      </c>
      <c r="L356" t="s">
        <v>112</v>
      </c>
      <c r="N356" t="s">
        <v>314</v>
      </c>
      <c r="O356">
        <v>4000</v>
      </c>
      <c r="P356" t="s">
        <v>277</v>
      </c>
      <c r="S356">
        <v>2</v>
      </c>
      <c r="T356">
        <v>22</v>
      </c>
      <c r="V356">
        <v>50</v>
      </c>
      <c r="W356" t="s">
        <v>1258</v>
      </c>
      <c r="X356" t="s">
        <v>1284</v>
      </c>
      <c r="Y356">
        <v>60</v>
      </c>
      <c r="AB356">
        <v>1.21</v>
      </c>
      <c r="AC356" t="s">
        <v>85</v>
      </c>
      <c r="AD356" t="s">
        <v>248</v>
      </c>
      <c r="AE356" t="s">
        <v>138</v>
      </c>
      <c r="AI356">
        <v>5</v>
      </c>
      <c r="AJ356" t="s">
        <v>201</v>
      </c>
      <c r="AK356">
        <v>0.61</v>
      </c>
      <c r="AL356" t="s">
        <v>409</v>
      </c>
      <c r="AT356" t="s">
        <v>75</v>
      </c>
      <c r="AU356">
        <v>0.42807017543859649</v>
      </c>
      <c r="AV356" t="s">
        <v>1250</v>
      </c>
    </row>
    <row r="357" spans="1:53" x14ac:dyDescent="0.3">
      <c r="A357" t="s">
        <v>1354</v>
      </c>
      <c r="C357" t="s">
        <v>1275</v>
      </c>
      <c r="D357" t="s">
        <v>81</v>
      </c>
      <c r="E357">
        <v>50000000</v>
      </c>
      <c r="H357">
        <v>14.25</v>
      </c>
      <c r="I357" t="s">
        <v>56</v>
      </c>
      <c r="J357">
        <v>1.4250000000000001E-3</v>
      </c>
      <c r="K357" t="s">
        <v>57</v>
      </c>
      <c r="L357" t="s">
        <v>112</v>
      </c>
      <c r="N357" t="s">
        <v>314</v>
      </c>
      <c r="O357">
        <v>4000</v>
      </c>
      <c r="P357" t="s">
        <v>277</v>
      </c>
      <c r="S357">
        <v>2</v>
      </c>
      <c r="T357">
        <v>22</v>
      </c>
      <c r="V357">
        <v>50</v>
      </c>
      <c r="W357" t="s">
        <v>359</v>
      </c>
      <c r="X357" t="s">
        <v>1284</v>
      </c>
      <c r="Y357">
        <v>60</v>
      </c>
      <c r="AA357" t="s">
        <v>94</v>
      </c>
      <c r="AB357">
        <v>7.9</v>
      </c>
      <c r="AC357" t="s">
        <v>85</v>
      </c>
      <c r="AD357" t="s">
        <v>235</v>
      </c>
      <c r="AE357" t="s">
        <v>138</v>
      </c>
      <c r="AI357">
        <v>5</v>
      </c>
      <c r="AJ357" t="s">
        <v>201</v>
      </c>
      <c r="AK357">
        <v>0.61</v>
      </c>
      <c r="AL357" t="s">
        <v>409</v>
      </c>
      <c r="AT357" t="s">
        <v>360</v>
      </c>
      <c r="AU357">
        <v>0.42807017543859649</v>
      </c>
      <c r="AV357" t="s">
        <v>1250</v>
      </c>
      <c r="AZ357">
        <v>0</v>
      </c>
      <c r="BA357">
        <v>7.9</v>
      </c>
    </row>
    <row r="358" spans="1:53" x14ac:dyDescent="0.3">
      <c r="A358" t="s">
        <v>1354</v>
      </c>
      <c r="C358" t="s">
        <v>1275</v>
      </c>
      <c r="D358" t="s">
        <v>81</v>
      </c>
      <c r="E358">
        <v>50000000</v>
      </c>
      <c r="H358">
        <v>3</v>
      </c>
      <c r="I358" t="s">
        <v>56</v>
      </c>
      <c r="J358">
        <v>2.9999999999999997E-4</v>
      </c>
      <c r="K358" t="s">
        <v>57</v>
      </c>
      <c r="L358" t="s">
        <v>112</v>
      </c>
      <c r="N358" t="s">
        <v>314</v>
      </c>
      <c r="O358">
        <v>4000</v>
      </c>
      <c r="P358" t="s">
        <v>277</v>
      </c>
      <c r="S358">
        <v>2</v>
      </c>
      <c r="T358">
        <v>22</v>
      </c>
      <c r="V358">
        <v>50</v>
      </c>
      <c r="W358" t="s">
        <v>549</v>
      </c>
      <c r="X358" t="s">
        <v>1284</v>
      </c>
      <c r="Y358">
        <v>60</v>
      </c>
      <c r="AB358">
        <v>2.61</v>
      </c>
      <c r="AC358" t="s">
        <v>85</v>
      </c>
      <c r="AD358" t="s">
        <v>507</v>
      </c>
      <c r="AE358" t="s">
        <v>138</v>
      </c>
      <c r="AI358">
        <v>5</v>
      </c>
      <c r="AJ358" t="s">
        <v>201</v>
      </c>
      <c r="AK358">
        <v>0.61</v>
      </c>
      <c r="AL358" t="s">
        <v>409</v>
      </c>
      <c r="AT358" t="s">
        <v>77</v>
      </c>
      <c r="AU358">
        <v>2.0333333333333332</v>
      </c>
      <c r="AV358" t="s">
        <v>1250</v>
      </c>
    </row>
    <row r="359" spans="1:53" x14ac:dyDescent="0.3">
      <c r="A359" t="s">
        <v>1354</v>
      </c>
      <c r="C359" t="s">
        <v>1275</v>
      </c>
      <c r="D359" t="s">
        <v>81</v>
      </c>
      <c r="E359">
        <v>50000000</v>
      </c>
      <c r="H359">
        <v>3.5</v>
      </c>
      <c r="I359" t="s">
        <v>56</v>
      </c>
      <c r="J359">
        <v>3.5E-4</v>
      </c>
      <c r="K359" t="s">
        <v>57</v>
      </c>
      <c r="L359" t="s">
        <v>112</v>
      </c>
      <c r="N359" t="s">
        <v>314</v>
      </c>
      <c r="O359">
        <v>4000</v>
      </c>
      <c r="P359" t="s">
        <v>277</v>
      </c>
      <c r="S359">
        <v>2</v>
      </c>
      <c r="T359">
        <v>22</v>
      </c>
      <c r="V359">
        <v>50</v>
      </c>
      <c r="W359" t="s">
        <v>229</v>
      </c>
      <c r="X359" t="s">
        <v>1284</v>
      </c>
      <c r="Y359">
        <v>60</v>
      </c>
      <c r="AB359">
        <v>1.46</v>
      </c>
      <c r="AC359" t="s">
        <v>85</v>
      </c>
      <c r="AD359" t="s">
        <v>237</v>
      </c>
      <c r="AE359" t="s">
        <v>138</v>
      </c>
      <c r="AI359">
        <v>5</v>
      </c>
      <c r="AJ359" t="s">
        <v>201</v>
      </c>
      <c r="AK359">
        <v>0.61</v>
      </c>
      <c r="AL359" t="s">
        <v>409</v>
      </c>
      <c r="AU359">
        <v>1.7428571428571431</v>
      </c>
      <c r="AV359" t="s">
        <v>1250</v>
      </c>
    </row>
    <row r="360" spans="1:53" x14ac:dyDescent="0.3">
      <c r="A360" t="s">
        <v>1354</v>
      </c>
      <c r="C360" t="s">
        <v>1275</v>
      </c>
      <c r="D360" t="s">
        <v>81</v>
      </c>
      <c r="E360">
        <v>50000000</v>
      </c>
      <c r="H360">
        <v>3.5</v>
      </c>
      <c r="I360" t="s">
        <v>56</v>
      </c>
      <c r="J360">
        <v>3.5E-4</v>
      </c>
      <c r="K360" t="s">
        <v>57</v>
      </c>
      <c r="L360" t="s">
        <v>112</v>
      </c>
      <c r="N360" t="s">
        <v>314</v>
      </c>
      <c r="O360">
        <v>4000</v>
      </c>
      <c r="P360" t="s">
        <v>277</v>
      </c>
      <c r="S360">
        <v>2</v>
      </c>
      <c r="T360">
        <v>22</v>
      </c>
      <c r="V360">
        <v>50</v>
      </c>
      <c r="W360" t="s">
        <v>1229</v>
      </c>
      <c r="X360" t="s">
        <v>1284</v>
      </c>
      <c r="Y360">
        <v>60</v>
      </c>
      <c r="AB360">
        <v>0.17</v>
      </c>
      <c r="AC360" t="s">
        <v>85</v>
      </c>
      <c r="AD360" t="s">
        <v>236</v>
      </c>
      <c r="AE360" t="s">
        <v>138</v>
      </c>
      <c r="AI360">
        <v>5</v>
      </c>
      <c r="AJ360" t="s">
        <v>201</v>
      </c>
      <c r="AK360">
        <v>0.61</v>
      </c>
      <c r="AL360" t="s">
        <v>409</v>
      </c>
      <c r="AT360" t="s">
        <v>221</v>
      </c>
      <c r="AU360">
        <v>1.7428571428571431</v>
      </c>
      <c r="AV360" t="s">
        <v>1250</v>
      </c>
    </row>
    <row r="361" spans="1:53" x14ac:dyDescent="0.3">
      <c r="A361" t="s">
        <v>1354</v>
      </c>
      <c r="C361" t="s">
        <v>1275</v>
      </c>
      <c r="D361" t="s">
        <v>81</v>
      </c>
      <c r="E361">
        <v>50000000</v>
      </c>
      <c r="H361">
        <v>14.25</v>
      </c>
      <c r="I361" t="s">
        <v>56</v>
      </c>
      <c r="J361">
        <v>1.4250000000000001E-3</v>
      </c>
      <c r="K361" t="s">
        <v>57</v>
      </c>
      <c r="L361" t="s">
        <v>112</v>
      </c>
      <c r="N361" t="s">
        <v>314</v>
      </c>
      <c r="O361">
        <v>3000</v>
      </c>
      <c r="P361" t="s">
        <v>277</v>
      </c>
      <c r="S361">
        <v>2</v>
      </c>
      <c r="T361">
        <v>22</v>
      </c>
      <c r="V361">
        <v>50</v>
      </c>
      <c r="W361" t="s">
        <v>547</v>
      </c>
      <c r="X361" t="s">
        <v>1284</v>
      </c>
      <c r="Y361">
        <v>120</v>
      </c>
      <c r="AB361">
        <v>2.50999999999999</v>
      </c>
      <c r="AC361" t="s">
        <v>85</v>
      </c>
      <c r="AD361" t="s">
        <v>321</v>
      </c>
      <c r="AE361" t="s">
        <v>138</v>
      </c>
      <c r="AI361">
        <v>5</v>
      </c>
      <c r="AJ361" t="s">
        <v>201</v>
      </c>
      <c r="AK361">
        <v>0.61</v>
      </c>
      <c r="AL361" t="s">
        <v>409</v>
      </c>
      <c r="AT361" t="s">
        <v>73</v>
      </c>
      <c r="AU361">
        <v>0.42807017543859649</v>
      </c>
      <c r="AV361" t="s">
        <v>1250</v>
      </c>
    </row>
    <row r="362" spans="1:53" x14ac:dyDescent="0.3">
      <c r="A362" t="s">
        <v>1354</v>
      </c>
      <c r="C362" t="s">
        <v>1275</v>
      </c>
      <c r="D362" t="s">
        <v>81</v>
      </c>
      <c r="E362">
        <v>50000000</v>
      </c>
      <c r="H362">
        <v>14.25</v>
      </c>
      <c r="I362" t="s">
        <v>56</v>
      </c>
      <c r="J362">
        <v>1.4250000000000001E-3</v>
      </c>
      <c r="K362" t="s">
        <v>57</v>
      </c>
      <c r="L362" t="s">
        <v>112</v>
      </c>
      <c r="N362" t="s">
        <v>314</v>
      </c>
      <c r="O362">
        <v>3000</v>
      </c>
      <c r="P362" t="s">
        <v>277</v>
      </c>
      <c r="S362">
        <v>2</v>
      </c>
      <c r="T362">
        <v>22</v>
      </c>
      <c r="V362">
        <v>50</v>
      </c>
      <c r="W362" t="s">
        <v>1258</v>
      </c>
      <c r="X362" t="s">
        <v>1284</v>
      </c>
      <c r="Y362">
        <v>120</v>
      </c>
      <c r="AB362">
        <v>2.06</v>
      </c>
      <c r="AC362" t="s">
        <v>85</v>
      </c>
      <c r="AD362" t="s">
        <v>436</v>
      </c>
      <c r="AE362" t="s">
        <v>138</v>
      </c>
      <c r="AI362">
        <v>5</v>
      </c>
      <c r="AJ362" t="s">
        <v>201</v>
      </c>
      <c r="AK362">
        <v>0.61</v>
      </c>
      <c r="AL362" t="s">
        <v>409</v>
      </c>
      <c r="AT362" t="s">
        <v>75</v>
      </c>
      <c r="AU362">
        <v>0.42807017543859649</v>
      </c>
      <c r="AV362" t="s">
        <v>1250</v>
      </c>
    </row>
    <row r="363" spans="1:53" x14ac:dyDescent="0.3">
      <c r="A363" t="s">
        <v>1354</v>
      </c>
      <c r="C363" t="s">
        <v>1275</v>
      </c>
      <c r="D363" t="s">
        <v>81</v>
      </c>
      <c r="E363">
        <v>50000000</v>
      </c>
      <c r="H363">
        <v>14.25</v>
      </c>
      <c r="I363" t="s">
        <v>56</v>
      </c>
      <c r="J363">
        <v>1.4250000000000001E-3</v>
      </c>
      <c r="K363" t="s">
        <v>57</v>
      </c>
      <c r="L363" t="s">
        <v>112</v>
      </c>
      <c r="N363" t="s">
        <v>314</v>
      </c>
      <c r="O363">
        <v>3000</v>
      </c>
      <c r="P363" t="s">
        <v>277</v>
      </c>
      <c r="S363">
        <v>2</v>
      </c>
      <c r="T363">
        <v>22</v>
      </c>
      <c r="V363">
        <v>50</v>
      </c>
      <c r="W363" t="s">
        <v>359</v>
      </c>
      <c r="X363" t="s">
        <v>1284</v>
      </c>
      <c r="Y363">
        <v>120</v>
      </c>
      <c r="AB363">
        <v>6.64</v>
      </c>
      <c r="AC363" t="s">
        <v>85</v>
      </c>
      <c r="AD363" t="s">
        <v>334</v>
      </c>
      <c r="AE363" t="s">
        <v>138</v>
      </c>
      <c r="AI363">
        <v>5</v>
      </c>
      <c r="AJ363" t="s">
        <v>201</v>
      </c>
      <c r="AK363">
        <v>0.61</v>
      </c>
      <c r="AL363" t="s">
        <v>409</v>
      </c>
      <c r="AT363" t="s">
        <v>360</v>
      </c>
      <c r="AU363">
        <v>0.42807017543859649</v>
      </c>
      <c r="AV363" t="s">
        <v>1250</v>
      </c>
    </row>
    <row r="364" spans="1:53" x14ac:dyDescent="0.3">
      <c r="A364" t="s">
        <v>1354</v>
      </c>
      <c r="C364" t="s">
        <v>1275</v>
      </c>
      <c r="D364" t="s">
        <v>81</v>
      </c>
      <c r="E364">
        <v>50000000</v>
      </c>
      <c r="H364">
        <v>3</v>
      </c>
      <c r="I364" t="s">
        <v>56</v>
      </c>
      <c r="J364">
        <v>2.9999999999999997E-4</v>
      </c>
      <c r="K364" t="s">
        <v>57</v>
      </c>
      <c r="L364" t="s">
        <v>112</v>
      </c>
      <c r="N364" t="s">
        <v>314</v>
      </c>
      <c r="O364">
        <v>3000</v>
      </c>
      <c r="P364" t="s">
        <v>277</v>
      </c>
      <c r="S364">
        <v>2</v>
      </c>
      <c r="T364">
        <v>22</v>
      </c>
      <c r="V364">
        <v>50</v>
      </c>
      <c r="W364" t="s">
        <v>549</v>
      </c>
      <c r="X364" t="s">
        <v>1284</v>
      </c>
      <c r="Y364">
        <v>120</v>
      </c>
      <c r="AB364">
        <v>2.2200000000000002</v>
      </c>
      <c r="AC364" t="s">
        <v>85</v>
      </c>
      <c r="AD364" t="s">
        <v>503</v>
      </c>
      <c r="AE364" t="s">
        <v>138</v>
      </c>
      <c r="AI364">
        <v>5</v>
      </c>
      <c r="AJ364" t="s">
        <v>201</v>
      </c>
      <c r="AK364">
        <v>0.61</v>
      </c>
      <c r="AL364" t="s">
        <v>409</v>
      </c>
      <c r="AT364" t="s">
        <v>77</v>
      </c>
      <c r="AU364">
        <v>2.0333333333333332</v>
      </c>
      <c r="AV364" t="s">
        <v>1250</v>
      </c>
    </row>
    <row r="365" spans="1:53" x14ac:dyDescent="0.3">
      <c r="A365" t="s">
        <v>1354</v>
      </c>
      <c r="C365" t="s">
        <v>1275</v>
      </c>
      <c r="D365" t="s">
        <v>81</v>
      </c>
      <c r="E365">
        <v>50000000</v>
      </c>
      <c r="H365">
        <v>3.5</v>
      </c>
      <c r="I365" t="s">
        <v>56</v>
      </c>
      <c r="J365">
        <v>3.5E-4</v>
      </c>
      <c r="K365" t="s">
        <v>57</v>
      </c>
      <c r="L365" t="s">
        <v>112</v>
      </c>
      <c r="N365" t="s">
        <v>314</v>
      </c>
      <c r="O365">
        <v>3000</v>
      </c>
      <c r="P365" t="s">
        <v>277</v>
      </c>
      <c r="S365">
        <v>2</v>
      </c>
      <c r="T365">
        <v>22</v>
      </c>
      <c r="V365">
        <v>50</v>
      </c>
      <c r="W365" t="s">
        <v>229</v>
      </c>
      <c r="X365" t="s">
        <v>1284</v>
      </c>
      <c r="Y365">
        <v>120</v>
      </c>
      <c r="AB365">
        <v>0.66</v>
      </c>
      <c r="AC365" t="s">
        <v>85</v>
      </c>
      <c r="AD365" t="s">
        <v>242</v>
      </c>
      <c r="AE365" t="s">
        <v>138</v>
      </c>
      <c r="AI365">
        <v>5</v>
      </c>
      <c r="AJ365" t="s">
        <v>201</v>
      </c>
      <c r="AK365">
        <v>0.61</v>
      </c>
      <c r="AL365" t="s">
        <v>409</v>
      </c>
      <c r="AU365">
        <v>1.7428571428571431</v>
      </c>
      <c r="AV365" t="s">
        <v>1250</v>
      </c>
    </row>
    <row r="366" spans="1:53" x14ac:dyDescent="0.3">
      <c r="A366" t="s">
        <v>1354</v>
      </c>
      <c r="C366" t="s">
        <v>1275</v>
      </c>
      <c r="D366" t="s">
        <v>81</v>
      </c>
      <c r="E366">
        <v>50000000</v>
      </c>
      <c r="H366">
        <v>3.5</v>
      </c>
      <c r="I366" t="s">
        <v>56</v>
      </c>
      <c r="J366">
        <v>3.5E-4</v>
      </c>
      <c r="K366" t="s">
        <v>57</v>
      </c>
      <c r="L366" t="s">
        <v>112</v>
      </c>
      <c r="N366" t="s">
        <v>314</v>
      </c>
      <c r="O366">
        <v>3000</v>
      </c>
      <c r="P366" t="s">
        <v>277</v>
      </c>
      <c r="S366">
        <v>2</v>
      </c>
      <c r="T366">
        <v>22</v>
      </c>
      <c r="V366">
        <v>50</v>
      </c>
      <c r="W366" t="s">
        <v>1229</v>
      </c>
      <c r="X366" t="s">
        <v>1284</v>
      </c>
      <c r="Y366">
        <v>120</v>
      </c>
      <c r="AB366">
        <v>0.09</v>
      </c>
      <c r="AC366" t="s">
        <v>85</v>
      </c>
      <c r="AD366" t="s">
        <v>236</v>
      </c>
      <c r="AE366" t="s">
        <v>138</v>
      </c>
      <c r="AI366">
        <v>5</v>
      </c>
      <c r="AJ366" t="s">
        <v>201</v>
      </c>
      <c r="AK366">
        <v>0.61</v>
      </c>
      <c r="AL366" t="s">
        <v>409</v>
      </c>
      <c r="AT366" t="s">
        <v>221</v>
      </c>
      <c r="AU366">
        <v>1.7428571428571431</v>
      </c>
      <c r="AV366" t="s">
        <v>1250</v>
      </c>
    </row>
    <row r="367" spans="1:53" x14ac:dyDescent="0.3">
      <c r="A367" t="s">
        <v>1354</v>
      </c>
      <c r="C367" t="s">
        <v>1275</v>
      </c>
      <c r="D367" t="s">
        <v>81</v>
      </c>
      <c r="E367">
        <v>50000000</v>
      </c>
      <c r="H367">
        <v>14.25</v>
      </c>
      <c r="I367" t="s">
        <v>56</v>
      </c>
      <c r="J367">
        <v>1.4250000000000001E-3</v>
      </c>
      <c r="K367" t="s">
        <v>57</v>
      </c>
      <c r="L367" t="s">
        <v>112</v>
      </c>
      <c r="N367" t="s">
        <v>314</v>
      </c>
      <c r="O367">
        <v>4000</v>
      </c>
      <c r="P367" t="s">
        <v>277</v>
      </c>
      <c r="S367">
        <v>2</v>
      </c>
      <c r="T367">
        <v>22</v>
      </c>
      <c r="V367">
        <v>50</v>
      </c>
      <c r="W367" t="s">
        <v>547</v>
      </c>
      <c r="X367" t="s">
        <v>1284</v>
      </c>
      <c r="Y367">
        <v>120</v>
      </c>
      <c r="Z367">
        <v>1</v>
      </c>
      <c r="AB367">
        <v>2.84</v>
      </c>
      <c r="AC367" t="s">
        <v>85</v>
      </c>
      <c r="AD367" t="s">
        <v>238</v>
      </c>
      <c r="AE367" t="s">
        <v>138</v>
      </c>
      <c r="AI367">
        <v>5</v>
      </c>
      <c r="AJ367" t="s">
        <v>201</v>
      </c>
      <c r="AK367">
        <v>0.61</v>
      </c>
      <c r="AL367" t="s">
        <v>409</v>
      </c>
      <c r="AT367" t="s">
        <v>73</v>
      </c>
      <c r="AU367">
        <v>0.42807017543859649</v>
      </c>
      <c r="AV367" t="s">
        <v>1250</v>
      </c>
    </row>
    <row r="368" spans="1:53" x14ac:dyDescent="0.3">
      <c r="A368" t="s">
        <v>1354</v>
      </c>
      <c r="C368" t="s">
        <v>1275</v>
      </c>
      <c r="D368" t="s">
        <v>81</v>
      </c>
      <c r="E368">
        <v>50000000</v>
      </c>
      <c r="H368">
        <v>14.25</v>
      </c>
      <c r="I368" t="s">
        <v>56</v>
      </c>
      <c r="J368">
        <v>1.4250000000000001E-3</v>
      </c>
      <c r="K368" t="s">
        <v>57</v>
      </c>
      <c r="L368" t="s">
        <v>112</v>
      </c>
      <c r="N368" t="s">
        <v>314</v>
      </c>
      <c r="O368">
        <v>4000</v>
      </c>
      <c r="P368" t="s">
        <v>277</v>
      </c>
      <c r="S368">
        <v>2</v>
      </c>
      <c r="T368">
        <v>22</v>
      </c>
      <c r="V368">
        <v>50</v>
      </c>
      <c r="W368" t="s">
        <v>1258</v>
      </c>
      <c r="X368" t="s">
        <v>1284</v>
      </c>
      <c r="Y368">
        <v>120</v>
      </c>
      <c r="Z368">
        <v>2</v>
      </c>
      <c r="AB368">
        <v>2.64</v>
      </c>
      <c r="AC368" t="s">
        <v>85</v>
      </c>
      <c r="AD368" t="s">
        <v>1132</v>
      </c>
      <c r="AE368" t="s">
        <v>138</v>
      </c>
      <c r="AI368">
        <v>5</v>
      </c>
      <c r="AJ368" t="s">
        <v>201</v>
      </c>
      <c r="AK368">
        <v>0.61</v>
      </c>
      <c r="AL368" t="s">
        <v>409</v>
      </c>
      <c r="AT368" t="s">
        <v>75</v>
      </c>
      <c r="AU368">
        <v>0.42807017543859649</v>
      </c>
      <c r="AV368" t="s">
        <v>1250</v>
      </c>
    </row>
    <row r="369" spans="1:53" x14ac:dyDescent="0.3">
      <c r="A369" t="s">
        <v>1354</v>
      </c>
      <c r="C369" t="s">
        <v>1275</v>
      </c>
      <c r="D369" t="s">
        <v>81</v>
      </c>
      <c r="E369">
        <v>50000000</v>
      </c>
      <c r="H369">
        <v>14.25</v>
      </c>
      <c r="I369" t="s">
        <v>56</v>
      </c>
      <c r="J369">
        <v>1.4250000000000001E-3</v>
      </c>
      <c r="K369" t="s">
        <v>57</v>
      </c>
      <c r="L369" t="s">
        <v>112</v>
      </c>
      <c r="N369" t="s">
        <v>314</v>
      </c>
      <c r="O369">
        <v>4000</v>
      </c>
      <c r="P369" t="s">
        <v>277</v>
      </c>
      <c r="S369">
        <v>2</v>
      </c>
      <c r="T369">
        <v>22</v>
      </c>
      <c r="V369">
        <v>50</v>
      </c>
      <c r="W369" t="s">
        <v>359</v>
      </c>
      <c r="X369" t="s">
        <v>1284</v>
      </c>
      <c r="Y369">
        <v>120</v>
      </c>
      <c r="Z369">
        <v>1</v>
      </c>
      <c r="AB369">
        <v>7.58</v>
      </c>
      <c r="AC369" t="s">
        <v>85</v>
      </c>
      <c r="AD369" t="s">
        <v>480</v>
      </c>
      <c r="AE369" t="s">
        <v>138</v>
      </c>
      <c r="AI369">
        <v>5</v>
      </c>
      <c r="AJ369" t="s">
        <v>201</v>
      </c>
      <c r="AK369">
        <v>0.61</v>
      </c>
      <c r="AL369" t="s">
        <v>409</v>
      </c>
      <c r="AT369" t="s">
        <v>360</v>
      </c>
      <c r="AU369">
        <v>0.42807017543859649</v>
      </c>
      <c r="AV369" t="s">
        <v>1250</v>
      </c>
    </row>
    <row r="370" spans="1:53" x14ac:dyDescent="0.3">
      <c r="A370" t="s">
        <v>1354</v>
      </c>
      <c r="C370" t="s">
        <v>1275</v>
      </c>
      <c r="D370" t="s">
        <v>81</v>
      </c>
      <c r="E370">
        <v>50000000</v>
      </c>
      <c r="H370">
        <v>3</v>
      </c>
      <c r="I370" t="s">
        <v>56</v>
      </c>
      <c r="J370">
        <v>2.9999999999999997E-4</v>
      </c>
      <c r="K370" t="s">
        <v>57</v>
      </c>
      <c r="L370" t="s">
        <v>112</v>
      </c>
      <c r="N370" t="s">
        <v>314</v>
      </c>
      <c r="O370">
        <v>4000</v>
      </c>
      <c r="P370" t="s">
        <v>277</v>
      </c>
      <c r="S370">
        <v>2</v>
      </c>
      <c r="T370">
        <v>22</v>
      </c>
      <c r="V370">
        <v>50</v>
      </c>
      <c r="W370" t="s">
        <v>549</v>
      </c>
      <c r="X370" t="s">
        <v>1284</v>
      </c>
      <c r="Y370">
        <v>120</v>
      </c>
      <c r="Z370">
        <v>1</v>
      </c>
      <c r="AB370">
        <v>2.5</v>
      </c>
      <c r="AC370" t="s">
        <v>85</v>
      </c>
      <c r="AD370" t="s">
        <v>487</v>
      </c>
      <c r="AE370" t="s">
        <v>138</v>
      </c>
      <c r="AI370">
        <v>5</v>
      </c>
      <c r="AJ370" t="s">
        <v>201</v>
      </c>
      <c r="AK370">
        <v>0.61</v>
      </c>
      <c r="AL370" t="s">
        <v>409</v>
      </c>
      <c r="AT370" t="s">
        <v>77</v>
      </c>
      <c r="AU370">
        <v>2.0333333333333332</v>
      </c>
      <c r="AV370" t="s">
        <v>1250</v>
      </c>
    </row>
    <row r="371" spans="1:53" x14ac:dyDescent="0.3">
      <c r="A371" t="s">
        <v>1354</v>
      </c>
      <c r="C371" t="s">
        <v>1275</v>
      </c>
      <c r="D371" t="s">
        <v>81</v>
      </c>
      <c r="E371">
        <v>50000000</v>
      </c>
      <c r="H371">
        <v>3.5</v>
      </c>
      <c r="I371" t="s">
        <v>56</v>
      </c>
      <c r="J371">
        <v>3.5E-4</v>
      </c>
      <c r="K371" t="s">
        <v>57</v>
      </c>
      <c r="L371" t="s">
        <v>112</v>
      </c>
      <c r="N371" t="s">
        <v>314</v>
      </c>
      <c r="O371">
        <v>4000</v>
      </c>
      <c r="P371" t="s">
        <v>277</v>
      </c>
      <c r="S371">
        <v>2</v>
      </c>
      <c r="T371">
        <v>22</v>
      </c>
      <c r="V371">
        <v>50</v>
      </c>
      <c r="W371" t="s">
        <v>229</v>
      </c>
      <c r="X371" t="s">
        <v>1284</v>
      </c>
      <c r="Y371">
        <v>120</v>
      </c>
      <c r="Z371">
        <v>1</v>
      </c>
      <c r="AB371">
        <v>1.28</v>
      </c>
      <c r="AC371" t="s">
        <v>85</v>
      </c>
      <c r="AD371" t="s">
        <v>219</v>
      </c>
      <c r="AE371" t="s">
        <v>138</v>
      </c>
      <c r="AI371">
        <v>5</v>
      </c>
      <c r="AJ371" t="s">
        <v>201</v>
      </c>
      <c r="AK371">
        <v>0.61</v>
      </c>
      <c r="AL371" t="s">
        <v>409</v>
      </c>
      <c r="AU371">
        <v>1.7428571428571431</v>
      </c>
      <c r="AV371" t="s">
        <v>1250</v>
      </c>
    </row>
    <row r="372" spans="1:53" x14ac:dyDescent="0.3">
      <c r="A372" t="s">
        <v>1354</v>
      </c>
      <c r="C372" t="s">
        <v>1275</v>
      </c>
      <c r="D372" t="s">
        <v>81</v>
      </c>
      <c r="E372">
        <v>50000000</v>
      </c>
      <c r="H372">
        <v>3.5</v>
      </c>
      <c r="I372" t="s">
        <v>56</v>
      </c>
      <c r="J372">
        <v>3.5E-4</v>
      </c>
      <c r="K372" t="s">
        <v>57</v>
      </c>
      <c r="L372" t="s">
        <v>112</v>
      </c>
      <c r="N372" t="s">
        <v>314</v>
      </c>
      <c r="O372">
        <v>4000</v>
      </c>
      <c r="P372" t="s">
        <v>277</v>
      </c>
      <c r="S372">
        <v>2</v>
      </c>
      <c r="T372">
        <v>22</v>
      </c>
      <c r="V372">
        <v>50</v>
      </c>
      <c r="W372" t="s">
        <v>1229</v>
      </c>
      <c r="X372" t="s">
        <v>1284</v>
      </c>
      <c r="Y372">
        <v>120</v>
      </c>
      <c r="Z372">
        <v>1</v>
      </c>
      <c r="AB372">
        <v>0.31</v>
      </c>
      <c r="AC372" t="s">
        <v>85</v>
      </c>
      <c r="AD372" t="s">
        <v>236</v>
      </c>
      <c r="AE372" t="s">
        <v>138</v>
      </c>
      <c r="AI372">
        <v>5</v>
      </c>
      <c r="AJ372" t="s">
        <v>201</v>
      </c>
      <c r="AK372">
        <v>0.61</v>
      </c>
      <c r="AL372" t="s">
        <v>409</v>
      </c>
      <c r="AT372" t="s">
        <v>221</v>
      </c>
      <c r="AU372">
        <v>1.7428571428571431</v>
      </c>
      <c r="AV372" t="s">
        <v>1250</v>
      </c>
    </row>
    <row r="373" spans="1:53" x14ac:dyDescent="0.3">
      <c r="A373" t="s">
        <v>1354</v>
      </c>
      <c r="C373" t="s">
        <v>1275</v>
      </c>
      <c r="D373" t="s">
        <v>81</v>
      </c>
      <c r="E373">
        <v>50000000</v>
      </c>
      <c r="H373">
        <v>14.25</v>
      </c>
      <c r="I373" t="s">
        <v>56</v>
      </c>
      <c r="J373">
        <v>1.4250000000000001E-3</v>
      </c>
      <c r="K373" t="s">
        <v>57</v>
      </c>
      <c r="L373" t="s">
        <v>112</v>
      </c>
      <c r="N373" t="s">
        <v>314</v>
      </c>
      <c r="O373">
        <v>3000</v>
      </c>
      <c r="P373" t="s">
        <v>277</v>
      </c>
      <c r="S373">
        <v>2</v>
      </c>
      <c r="T373">
        <v>22</v>
      </c>
      <c r="V373">
        <v>50</v>
      </c>
      <c r="W373" t="s">
        <v>547</v>
      </c>
      <c r="X373" t="s">
        <v>1284</v>
      </c>
      <c r="Y373">
        <v>60</v>
      </c>
      <c r="Z373">
        <v>2</v>
      </c>
      <c r="AB373">
        <v>1.27</v>
      </c>
      <c r="AC373" t="s">
        <v>85</v>
      </c>
      <c r="AD373" t="s">
        <v>487</v>
      </c>
      <c r="AE373" t="s">
        <v>138</v>
      </c>
      <c r="AI373">
        <v>5</v>
      </c>
      <c r="AJ373" t="s">
        <v>201</v>
      </c>
      <c r="AK373">
        <v>0.61</v>
      </c>
      <c r="AL373" t="s">
        <v>409</v>
      </c>
      <c r="AT373" t="s">
        <v>73</v>
      </c>
      <c r="AU373">
        <v>0.42807017543859649</v>
      </c>
      <c r="AV373" t="s">
        <v>1250</v>
      </c>
    </row>
    <row r="374" spans="1:53" x14ac:dyDescent="0.3">
      <c r="A374" t="s">
        <v>1354</v>
      </c>
      <c r="C374" t="s">
        <v>1275</v>
      </c>
      <c r="D374" t="s">
        <v>81</v>
      </c>
      <c r="E374">
        <v>50000000</v>
      </c>
      <c r="H374">
        <v>14.25</v>
      </c>
      <c r="I374" t="s">
        <v>56</v>
      </c>
      <c r="J374">
        <v>1.4250000000000001E-3</v>
      </c>
      <c r="K374" t="s">
        <v>57</v>
      </c>
      <c r="L374" t="s">
        <v>112</v>
      </c>
      <c r="N374" t="s">
        <v>314</v>
      </c>
      <c r="O374">
        <v>3000</v>
      </c>
      <c r="P374" t="s">
        <v>277</v>
      </c>
      <c r="S374">
        <v>2</v>
      </c>
      <c r="T374">
        <v>22</v>
      </c>
      <c r="V374">
        <v>50</v>
      </c>
      <c r="W374" t="s">
        <v>1258</v>
      </c>
      <c r="X374" t="s">
        <v>1284</v>
      </c>
      <c r="Y374">
        <v>60</v>
      </c>
      <c r="Z374">
        <v>1</v>
      </c>
      <c r="AB374">
        <v>2.04</v>
      </c>
      <c r="AC374" t="s">
        <v>85</v>
      </c>
      <c r="AD374" t="s">
        <v>936</v>
      </c>
      <c r="AE374" t="s">
        <v>138</v>
      </c>
      <c r="AI374">
        <v>5</v>
      </c>
      <c r="AJ374" t="s">
        <v>201</v>
      </c>
      <c r="AK374">
        <v>0.61</v>
      </c>
      <c r="AL374" t="s">
        <v>409</v>
      </c>
      <c r="AT374" t="s">
        <v>75</v>
      </c>
      <c r="AU374">
        <v>0.42807017543859649</v>
      </c>
      <c r="AV374" t="s">
        <v>1250</v>
      </c>
    </row>
    <row r="375" spans="1:53" x14ac:dyDescent="0.3">
      <c r="A375" t="s">
        <v>1354</v>
      </c>
      <c r="C375" t="s">
        <v>1275</v>
      </c>
      <c r="D375" t="s">
        <v>81</v>
      </c>
      <c r="E375">
        <v>50000000</v>
      </c>
      <c r="H375">
        <v>14.25</v>
      </c>
      <c r="I375" t="s">
        <v>56</v>
      </c>
      <c r="J375">
        <v>1.4250000000000001E-3</v>
      </c>
      <c r="K375" t="s">
        <v>57</v>
      </c>
      <c r="L375" t="s">
        <v>112</v>
      </c>
      <c r="N375" t="s">
        <v>314</v>
      </c>
      <c r="O375">
        <v>3000</v>
      </c>
      <c r="P375" t="s">
        <v>277</v>
      </c>
      <c r="S375">
        <v>2</v>
      </c>
      <c r="T375">
        <v>22</v>
      </c>
      <c r="V375">
        <v>50</v>
      </c>
      <c r="W375" t="s">
        <v>359</v>
      </c>
      <c r="X375" t="s">
        <v>1284</v>
      </c>
      <c r="Y375">
        <v>60</v>
      </c>
      <c r="Z375">
        <v>1</v>
      </c>
      <c r="AA375" t="s">
        <v>94</v>
      </c>
      <c r="AB375">
        <v>7.82</v>
      </c>
      <c r="AC375" t="s">
        <v>85</v>
      </c>
      <c r="AD375" t="s">
        <v>227</v>
      </c>
      <c r="AE375" t="s">
        <v>138</v>
      </c>
      <c r="AI375">
        <v>5</v>
      </c>
      <c r="AJ375" t="s">
        <v>201</v>
      </c>
      <c r="AK375">
        <v>0.61</v>
      </c>
      <c r="AL375" t="s">
        <v>409</v>
      </c>
      <c r="AT375" t="s">
        <v>360</v>
      </c>
      <c r="AU375">
        <v>0.42807017543859649</v>
      </c>
      <c r="AV375" t="s">
        <v>1250</v>
      </c>
      <c r="AZ375">
        <v>0</v>
      </c>
      <c r="BA375">
        <v>7.82</v>
      </c>
    </row>
    <row r="376" spans="1:53" x14ac:dyDescent="0.3">
      <c r="A376" t="s">
        <v>1354</v>
      </c>
      <c r="C376" t="s">
        <v>1275</v>
      </c>
      <c r="D376" t="s">
        <v>81</v>
      </c>
      <c r="E376">
        <v>50000000</v>
      </c>
      <c r="H376">
        <v>3</v>
      </c>
      <c r="I376" t="s">
        <v>56</v>
      </c>
      <c r="J376">
        <v>2.9999999999999997E-4</v>
      </c>
      <c r="K376" t="s">
        <v>57</v>
      </c>
      <c r="L376" t="s">
        <v>112</v>
      </c>
      <c r="N376" t="s">
        <v>314</v>
      </c>
      <c r="O376">
        <v>3000</v>
      </c>
      <c r="P376" t="s">
        <v>277</v>
      </c>
      <c r="S376">
        <v>2</v>
      </c>
      <c r="T376">
        <v>22</v>
      </c>
      <c r="V376">
        <v>50</v>
      </c>
      <c r="W376" t="s">
        <v>549</v>
      </c>
      <c r="X376" t="s">
        <v>1284</v>
      </c>
      <c r="Y376">
        <v>60</v>
      </c>
      <c r="Z376">
        <v>1</v>
      </c>
      <c r="AB376">
        <v>5.39</v>
      </c>
      <c r="AC376" t="s">
        <v>85</v>
      </c>
      <c r="AD376" t="s">
        <v>340</v>
      </c>
      <c r="AE376" t="s">
        <v>138</v>
      </c>
      <c r="AI376">
        <v>5</v>
      </c>
      <c r="AJ376" t="s">
        <v>201</v>
      </c>
      <c r="AK376">
        <v>0.61</v>
      </c>
      <c r="AL376" t="s">
        <v>409</v>
      </c>
      <c r="AT376" t="s">
        <v>77</v>
      </c>
      <c r="AU376">
        <v>2.0333333333333332</v>
      </c>
      <c r="AV376" t="s">
        <v>1250</v>
      </c>
    </row>
    <row r="377" spans="1:53" x14ac:dyDescent="0.3">
      <c r="A377" t="s">
        <v>1354</v>
      </c>
      <c r="C377" t="s">
        <v>1275</v>
      </c>
      <c r="D377" t="s">
        <v>81</v>
      </c>
      <c r="E377">
        <v>50000000</v>
      </c>
      <c r="H377">
        <v>3.5</v>
      </c>
      <c r="I377" t="s">
        <v>56</v>
      </c>
      <c r="J377">
        <v>3.5E-4</v>
      </c>
      <c r="K377" t="s">
        <v>57</v>
      </c>
      <c r="L377" t="s">
        <v>112</v>
      </c>
      <c r="N377" t="s">
        <v>314</v>
      </c>
      <c r="O377">
        <v>3000</v>
      </c>
      <c r="P377" t="s">
        <v>277</v>
      </c>
      <c r="S377">
        <v>2</v>
      </c>
      <c r="T377">
        <v>22</v>
      </c>
      <c r="V377">
        <v>50</v>
      </c>
      <c r="W377" t="s">
        <v>229</v>
      </c>
      <c r="X377" t="s">
        <v>1284</v>
      </c>
      <c r="Y377">
        <v>60</v>
      </c>
      <c r="Z377">
        <v>1</v>
      </c>
      <c r="AB377">
        <v>0.08</v>
      </c>
      <c r="AC377" t="s">
        <v>85</v>
      </c>
      <c r="AD377" t="s">
        <v>418</v>
      </c>
      <c r="AE377" t="s">
        <v>138</v>
      </c>
      <c r="AI377">
        <v>5</v>
      </c>
      <c r="AJ377" t="s">
        <v>201</v>
      </c>
      <c r="AK377">
        <v>0.61</v>
      </c>
      <c r="AL377" t="s">
        <v>409</v>
      </c>
      <c r="AU377">
        <v>1.7428571428571431</v>
      </c>
      <c r="AV377" t="s">
        <v>1250</v>
      </c>
    </row>
    <row r="378" spans="1:53" x14ac:dyDescent="0.3">
      <c r="A378" t="s">
        <v>1354</v>
      </c>
      <c r="C378" t="s">
        <v>1275</v>
      </c>
      <c r="D378" t="s">
        <v>81</v>
      </c>
      <c r="E378">
        <v>50000000</v>
      </c>
      <c r="H378">
        <v>3.5</v>
      </c>
      <c r="I378" t="s">
        <v>56</v>
      </c>
      <c r="J378">
        <v>3.5E-4</v>
      </c>
      <c r="K378" t="s">
        <v>57</v>
      </c>
      <c r="L378" t="s">
        <v>112</v>
      </c>
      <c r="N378" t="s">
        <v>314</v>
      </c>
      <c r="O378">
        <v>3000</v>
      </c>
      <c r="P378" t="s">
        <v>277</v>
      </c>
      <c r="S378">
        <v>2</v>
      </c>
      <c r="T378">
        <v>22</v>
      </c>
      <c r="V378">
        <v>50</v>
      </c>
      <c r="W378" t="s">
        <v>1229</v>
      </c>
      <c r="X378" t="s">
        <v>1284</v>
      </c>
      <c r="Y378">
        <v>60</v>
      </c>
      <c r="Z378">
        <v>2</v>
      </c>
      <c r="AB378">
        <v>5.0000000000000001E-3</v>
      </c>
      <c r="AC378" t="s">
        <v>85</v>
      </c>
      <c r="AD378" t="s">
        <v>418</v>
      </c>
      <c r="AE378" t="s">
        <v>138</v>
      </c>
      <c r="AI378">
        <v>5</v>
      </c>
      <c r="AJ378" t="s">
        <v>201</v>
      </c>
      <c r="AK378">
        <v>0.61</v>
      </c>
      <c r="AL378" t="s">
        <v>409</v>
      </c>
      <c r="AT378" t="s">
        <v>221</v>
      </c>
      <c r="AU378">
        <v>1.7428571428571431</v>
      </c>
      <c r="AV378" t="s">
        <v>1250</v>
      </c>
    </row>
    <row r="379" spans="1:53" x14ac:dyDescent="0.3">
      <c r="A379" t="s">
        <v>1354</v>
      </c>
      <c r="C379" t="s">
        <v>1275</v>
      </c>
      <c r="D379" t="s">
        <v>81</v>
      </c>
      <c r="E379">
        <v>50000000</v>
      </c>
      <c r="H379">
        <v>14.25</v>
      </c>
      <c r="I379" t="s">
        <v>56</v>
      </c>
      <c r="J379">
        <v>1.4250000000000001E-3</v>
      </c>
      <c r="K379" t="s">
        <v>57</v>
      </c>
      <c r="L379" t="s">
        <v>112</v>
      </c>
      <c r="N379" t="s">
        <v>314</v>
      </c>
      <c r="O379">
        <v>4000</v>
      </c>
      <c r="P379" t="s">
        <v>277</v>
      </c>
      <c r="S379">
        <v>2</v>
      </c>
      <c r="T379">
        <v>22</v>
      </c>
      <c r="V379">
        <v>50</v>
      </c>
      <c r="W379" t="s">
        <v>547</v>
      </c>
      <c r="X379" t="s">
        <v>1284</v>
      </c>
      <c r="Y379">
        <v>60</v>
      </c>
      <c r="Z379">
        <v>1</v>
      </c>
      <c r="AB379">
        <v>2.50999999999999</v>
      </c>
      <c r="AC379" t="s">
        <v>85</v>
      </c>
      <c r="AD379" t="s">
        <v>238</v>
      </c>
      <c r="AE379" t="s">
        <v>138</v>
      </c>
      <c r="AI379">
        <v>5</v>
      </c>
      <c r="AJ379" t="s">
        <v>201</v>
      </c>
      <c r="AK379">
        <v>0.38</v>
      </c>
      <c r="AL379" t="s">
        <v>409</v>
      </c>
      <c r="AT379" t="s">
        <v>73</v>
      </c>
      <c r="AU379">
        <v>0.26666666666666672</v>
      </c>
      <c r="AV379" t="s">
        <v>1250</v>
      </c>
    </row>
    <row r="380" spans="1:53" x14ac:dyDescent="0.3">
      <c r="A380" t="s">
        <v>1354</v>
      </c>
      <c r="C380" t="s">
        <v>1275</v>
      </c>
      <c r="D380" t="s">
        <v>81</v>
      </c>
      <c r="E380">
        <v>50000000</v>
      </c>
      <c r="H380">
        <v>14.25</v>
      </c>
      <c r="I380" t="s">
        <v>56</v>
      </c>
      <c r="J380">
        <v>1.4250000000000001E-3</v>
      </c>
      <c r="K380" t="s">
        <v>57</v>
      </c>
      <c r="L380" t="s">
        <v>112</v>
      </c>
      <c r="N380" t="s">
        <v>314</v>
      </c>
      <c r="O380">
        <v>4000</v>
      </c>
      <c r="P380" t="s">
        <v>277</v>
      </c>
      <c r="S380">
        <v>2</v>
      </c>
      <c r="T380">
        <v>22</v>
      </c>
      <c r="V380">
        <v>50</v>
      </c>
      <c r="W380" t="s">
        <v>1258</v>
      </c>
      <c r="X380" t="s">
        <v>1284</v>
      </c>
      <c r="Y380">
        <v>60</v>
      </c>
      <c r="Z380">
        <v>1</v>
      </c>
      <c r="AB380">
        <v>1.59</v>
      </c>
      <c r="AC380" t="s">
        <v>85</v>
      </c>
      <c r="AD380" t="s">
        <v>494</v>
      </c>
      <c r="AE380" t="s">
        <v>138</v>
      </c>
      <c r="AI380">
        <v>5</v>
      </c>
      <c r="AJ380" t="s">
        <v>201</v>
      </c>
      <c r="AK380">
        <v>0.38</v>
      </c>
      <c r="AL380" t="s">
        <v>409</v>
      </c>
      <c r="AT380" t="s">
        <v>75</v>
      </c>
      <c r="AU380">
        <v>0.26666666666666672</v>
      </c>
      <c r="AV380" t="s">
        <v>1250</v>
      </c>
    </row>
    <row r="381" spans="1:53" x14ac:dyDescent="0.3">
      <c r="A381" t="s">
        <v>1354</v>
      </c>
      <c r="C381" t="s">
        <v>1275</v>
      </c>
      <c r="D381" t="s">
        <v>81</v>
      </c>
      <c r="E381">
        <v>50000000</v>
      </c>
      <c r="H381">
        <v>14.25</v>
      </c>
      <c r="I381" t="s">
        <v>56</v>
      </c>
      <c r="J381">
        <v>1.4250000000000001E-3</v>
      </c>
      <c r="K381" t="s">
        <v>57</v>
      </c>
      <c r="L381" t="s">
        <v>112</v>
      </c>
      <c r="N381" t="s">
        <v>314</v>
      </c>
      <c r="O381">
        <v>4000</v>
      </c>
      <c r="P381" t="s">
        <v>277</v>
      </c>
      <c r="S381">
        <v>2</v>
      </c>
      <c r="T381">
        <v>22</v>
      </c>
      <c r="V381">
        <v>50</v>
      </c>
      <c r="W381" t="s">
        <v>359</v>
      </c>
      <c r="X381" t="s">
        <v>1284</v>
      </c>
      <c r="Y381">
        <v>60</v>
      </c>
      <c r="Z381">
        <v>1</v>
      </c>
      <c r="AB381">
        <v>6.47</v>
      </c>
      <c r="AC381" t="s">
        <v>85</v>
      </c>
      <c r="AD381" t="s">
        <v>333</v>
      </c>
      <c r="AE381" t="s">
        <v>138</v>
      </c>
      <c r="AI381">
        <v>5</v>
      </c>
      <c r="AJ381" t="s">
        <v>201</v>
      </c>
      <c r="AK381">
        <v>0.38</v>
      </c>
      <c r="AL381" t="s">
        <v>409</v>
      </c>
      <c r="AT381" t="s">
        <v>360</v>
      </c>
      <c r="AU381">
        <v>0.26666666666666672</v>
      </c>
      <c r="AV381" t="s">
        <v>1250</v>
      </c>
    </row>
    <row r="382" spans="1:53" x14ac:dyDescent="0.3">
      <c r="A382" t="s">
        <v>1354</v>
      </c>
      <c r="C382" t="s">
        <v>1275</v>
      </c>
      <c r="D382" t="s">
        <v>81</v>
      </c>
      <c r="E382">
        <v>50000000</v>
      </c>
      <c r="H382">
        <v>3</v>
      </c>
      <c r="I382" t="s">
        <v>56</v>
      </c>
      <c r="J382">
        <v>2.9999999999999997E-4</v>
      </c>
      <c r="K382" t="s">
        <v>57</v>
      </c>
      <c r="L382" t="s">
        <v>112</v>
      </c>
      <c r="N382" t="s">
        <v>314</v>
      </c>
      <c r="O382">
        <v>4000</v>
      </c>
      <c r="P382" t="s">
        <v>277</v>
      </c>
      <c r="S382">
        <v>2</v>
      </c>
      <c r="T382">
        <v>22</v>
      </c>
      <c r="V382">
        <v>50</v>
      </c>
      <c r="W382" t="s">
        <v>549</v>
      </c>
      <c r="X382" t="s">
        <v>1284</v>
      </c>
      <c r="Y382">
        <v>60</v>
      </c>
      <c r="Z382">
        <v>1</v>
      </c>
      <c r="AB382">
        <v>3.64</v>
      </c>
      <c r="AC382" t="s">
        <v>85</v>
      </c>
      <c r="AD382" t="s">
        <v>321</v>
      </c>
      <c r="AE382" t="s">
        <v>138</v>
      </c>
      <c r="AI382">
        <v>5</v>
      </c>
      <c r="AJ382" t="s">
        <v>201</v>
      </c>
      <c r="AK382">
        <v>0.38</v>
      </c>
      <c r="AL382" t="s">
        <v>409</v>
      </c>
      <c r="AT382" t="s">
        <v>77</v>
      </c>
      <c r="AU382">
        <v>1.2666666666666671</v>
      </c>
      <c r="AV382" t="s">
        <v>1250</v>
      </c>
    </row>
    <row r="383" spans="1:53" x14ac:dyDescent="0.3">
      <c r="A383" t="s">
        <v>1354</v>
      </c>
      <c r="C383" t="s">
        <v>1275</v>
      </c>
      <c r="D383" t="s">
        <v>81</v>
      </c>
      <c r="E383">
        <v>50000000</v>
      </c>
      <c r="H383">
        <v>3.5</v>
      </c>
      <c r="I383" t="s">
        <v>56</v>
      </c>
      <c r="J383">
        <v>3.5E-4</v>
      </c>
      <c r="K383" t="s">
        <v>57</v>
      </c>
      <c r="L383" t="s">
        <v>112</v>
      </c>
      <c r="N383" t="s">
        <v>314</v>
      </c>
      <c r="O383">
        <v>4000</v>
      </c>
      <c r="P383" t="s">
        <v>277</v>
      </c>
      <c r="S383">
        <v>2</v>
      </c>
      <c r="T383">
        <v>22</v>
      </c>
      <c r="V383">
        <v>50</v>
      </c>
      <c r="W383" t="s">
        <v>229</v>
      </c>
      <c r="X383" t="s">
        <v>1284</v>
      </c>
      <c r="Y383">
        <v>60</v>
      </c>
      <c r="Z383">
        <v>2</v>
      </c>
      <c r="AB383">
        <v>0.13</v>
      </c>
      <c r="AC383" t="s">
        <v>85</v>
      </c>
      <c r="AD383" t="s">
        <v>418</v>
      </c>
      <c r="AE383" t="s">
        <v>138</v>
      </c>
      <c r="AI383">
        <v>5</v>
      </c>
      <c r="AJ383" t="s">
        <v>201</v>
      </c>
      <c r="AK383">
        <v>0.38</v>
      </c>
      <c r="AL383" t="s">
        <v>409</v>
      </c>
      <c r="AU383">
        <v>1.0857142857142861</v>
      </c>
      <c r="AV383" t="s">
        <v>1250</v>
      </c>
    </row>
    <row r="384" spans="1:53" x14ac:dyDescent="0.3">
      <c r="A384" t="s">
        <v>1354</v>
      </c>
      <c r="C384" t="s">
        <v>1275</v>
      </c>
      <c r="D384" t="s">
        <v>81</v>
      </c>
      <c r="E384">
        <v>50000000</v>
      </c>
      <c r="H384">
        <v>3.5</v>
      </c>
      <c r="I384" t="s">
        <v>56</v>
      </c>
      <c r="J384">
        <v>3.5E-4</v>
      </c>
      <c r="K384" t="s">
        <v>57</v>
      </c>
      <c r="L384" t="s">
        <v>112</v>
      </c>
      <c r="N384" t="s">
        <v>314</v>
      </c>
      <c r="O384">
        <v>4000</v>
      </c>
      <c r="P384" t="s">
        <v>277</v>
      </c>
      <c r="S384">
        <v>2</v>
      </c>
      <c r="T384">
        <v>22</v>
      </c>
      <c r="V384">
        <v>50</v>
      </c>
      <c r="W384" t="s">
        <v>1229</v>
      </c>
      <c r="X384" t="s">
        <v>1284</v>
      </c>
      <c r="Y384">
        <v>60</v>
      </c>
      <c r="Z384">
        <v>1</v>
      </c>
      <c r="AB384">
        <v>0.04</v>
      </c>
      <c r="AC384" t="s">
        <v>85</v>
      </c>
      <c r="AD384" t="s">
        <v>236</v>
      </c>
      <c r="AE384" t="s">
        <v>138</v>
      </c>
      <c r="AI384">
        <v>5</v>
      </c>
      <c r="AJ384" t="s">
        <v>201</v>
      </c>
      <c r="AK384">
        <v>0.38</v>
      </c>
      <c r="AL384" t="s">
        <v>409</v>
      </c>
      <c r="AT384" t="s">
        <v>221</v>
      </c>
      <c r="AU384">
        <v>1.0857142857142861</v>
      </c>
      <c r="AV384" t="s">
        <v>1250</v>
      </c>
    </row>
    <row r="385" spans="1:53" x14ac:dyDescent="0.3">
      <c r="A385" t="s">
        <v>1354</v>
      </c>
      <c r="C385" t="s">
        <v>1275</v>
      </c>
      <c r="D385" t="s">
        <v>81</v>
      </c>
      <c r="E385">
        <v>50000000</v>
      </c>
      <c r="H385">
        <v>14.25</v>
      </c>
      <c r="I385" t="s">
        <v>56</v>
      </c>
      <c r="J385">
        <v>1.4250000000000001E-3</v>
      </c>
      <c r="K385" t="s">
        <v>57</v>
      </c>
      <c r="L385" t="s">
        <v>112</v>
      </c>
      <c r="N385" t="s">
        <v>314</v>
      </c>
      <c r="O385">
        <v>4000</v>
      </c>
      <c r="P385" t="s">
        <v>277</v>
      </c>
      <c r="S385">
        <v>2</v>
      </c>
      <c r="T385">
        <v>22</v>
      </c>
      <c r="V385">
        <v>50</v>
      </c>
      <c r="W385" t="s">
        <v>547</v>
      </c>
      <c r="X385" t="s">
        <v>1284</v>
      </c>
      <c r="Y385">
        <v>60</v>
      </c>
      <c r="Z385">
        <v>1</v>
      </c>
      <c r="AB385">
        <v>0.73</v>
      </c>
      <c r="AC385" t="s">
        <v>85</v>
      </c>
      <c r="AD385" t="s">
        <v>236</v>
      </c>
      <c r="AE385" t="s">
        <v>138</v>
      </c>
      <c r="AI385">
        <v>5</v>
      </c>
      <c r="AJ385" t="s">
        <v>201</v>
      </c>
      <c r="AK385">
        <v>0.61</v>
      </c>
      <c r="AL385" t="s">
        <v>409</v>
      </c>
      <c r="AT385" t="s">
        <v>73</v>
      </c>
      <c r="AU385">
        <v>0.42807017543859649</v>
      </c>
      <c r="AV385" t="s">
        <v>1250</v>
      </c>
    </row>
    <row r="386" spans="1:53" x14ac:dyDescent="0.3">
      <c r="A386" t="s">
        <v>1354</v>
      </c>
      <c r="C386" t="s">
        <v>1275</v>
      </c>
      <c r="D386" t="s">
        <v>81</v>
      </c>
      <c r="E386">
        <v>50000000</v>
      </c>
      <c r="H386">
        <v>14.25</v>
      </c>
      <c r="I386" t="s">
        <v>56</v>
      </c>
      <c r="J386">
        <v>1.4250000000000001E-3</v>
      </c>
      <c r="K386" t="s">
        <v>57</v>
      </c>
      <c r="L386" t="s">
        <v>112</v>
      </c>
      <c r="N386" t="s">
        <v>314</v>
      </c>
      <c r="O386">
        <v>4000</v>
      </c>
      <c r="P386" t="s">
        <v>277</v>
      </c>
      <c r="S386">
        <v>2</v>
      </c>
      <c r="T386">
        <v>22</v>
      </c>
      <c r="V386">
        <v>50</v>
      </c>
      <c r="W386" t="s">
        <v>1258</v>
      </c>
      <c r="X386" t="s">
        <v>1284</v>
      </c>
      <c r="Y386">
        <v>60</v>
      </c>
      <c r="Z386">
        <v>1</v>
      </c>
      <c r="AB386">
        <v>0.93</v>
      </c>
      <c r="AC386" t="s">
        <v>85</v>
      </c>
      <c r="AD386" t="s">
        <v>505</v>
      </c>
      <c r="AE386" t="s">
        <v>138</v>
      </c>
      <c r="AI386">
        <v>5</v>
      </c>
      <c r="AJ386" t="s">
        <v>201</v>
      </c>
      <c r="AK386">
        <v>0.61</v>
      </c>
      <c r="AL386" t="s">
        <v>409</v>
      </c>
      <c r="AT386" t="s">
        <v>75</v>
      </c>
      <c r="AU386">
        <v>0.42807017543859649</v>
      </c>
      <c r="AV386" t="s">
        <v>1250</v>
      </c>
    </row>
    <row r="387" spans="1:53" x14ac:dyDescent="0.3">
      <c r="A387" t="s">
        <v>1354</v>
      </c>
      <c r="C387" t="s">
        <v>1275</v>
      </c>
      <c r="D387" t="s">
        <v>81</v>
      </c>
      <c r="E387">
        <v>50000000</v>
      </c>
      <c r="H387">
        <v>14.25</v>
      </c>
      <c r="I387" t="s">
        <v>56</v>
      </c>
      <c r="J387">
        <v>1.4250000000000001E-3</v>
      </c>
      <c r="K387" t="s">
        <v>57</v>
      </c>
      <c r="L387" t="s">
        <v>112</v>
      </c>
      <c r="N387" t="s">
        <v>314</v>
      </c>
      <c r="O387">
        <v>4000</v>
      </c>
      <c r="P387" t="s">
        <v>277</v>
      </c>
      <c r="S387">
        <v>2</v>
      </c>
      <c r="T387">
        <v>22</v>
      </c>
      <c r="V387">
        <v>50</v>
      </c>
      <c r="W387" t="s">
        <v>359</v>
      </c>
      <c r="X387" t="s">
        <v>1284</v>
      </c>
      <c r="Y387">
        <v>60</v>
      </c>
      <c r="Z387">
        <v>1</v>
      </c>
      <c r="AA387" t="s">
        <v>94</v>
      </c>
      <c r="AB387">
        <v>7.86</v>
      </c>
      <c r="AC387" t="s">
        <v>85</v>
      </c>
      <c r="AD387" t="s">
        <v>418</v>
      </c>
      <c r="AE387" t="s">
        <v>138</v>
      </c>
      <c r="AI387">
        <v>5</v>
      </c>
      <c r="AJ387" t="s">
        <v>201</v>
      </c>
      <c r="AK387">
        <v>0.61</v>
      </c>
      <c r="AL387" t="s">
        <v>409</v>
      </c>
      <c r="AT387" t="s">
        <v>360</v>
      </c>
      <c r="AU387">
        <v>0.42807017543859649</v>
      </c>
      <c r="AV387" t="s">
        <v>1250</v>
      </c>
      <c r="AZ387">
        <v>0</v>
      </c>
      <c r="BA387">
        <v>7.86</v>
      </c>
    </row>
    <row r="388" spans="1:53" x14ac:dyDescent="0.3">
      <c r="A388" t="s">
        <v>1354</v>
      </c>
      <c r="C388" t="s">
        <v>1275</v>
      </c>
      <c r="D388" t="s">
        <v>81</v>
      </c>
      <c r="E388">
        <v>50000000</v>
      </c>
      <c r="H388">
        <v>3</v>
      </c>
      <c r="I388" t="s">
        <v>56</v>
      </c>
      <c r="J388">
        <v>2.9999999999999997E-4</v>
      </c>
      <c r="K388" t="s">
        <v>57</v>
      </c>
      <c r="L388" t="s">
        <v>112</v>
      </c>
      <c r="N388" t="s">
        <v>314</v>
      </c>
      <c r="O388">
        <v>4000</v>
      </c>
      <c r="P388" t="s">
        <v>277</v>
      </c>
      <c r="S388">
        <v>2</v>
      </c>
      <c r="T388">
        <v>22</v>
      </c>
      <c r="V388">
        <v>50</v>
      </c>
      <c r="W388" t="s">
        <v>549</v>
      </c>
      <c r="X388" t="s">
        <v>1284</v>
      </c>
      <c r="Y388">
        <v>60</v>
      </c>
      <c r="Z388">
        <v>2</v>
      </c>
      <c r="AB388">
        <v>1.52</v>
      </c>
      <c r="AC388" t="s">
        <v>85</v>
      </c>
      <c r="AD388" t="s">
        <v>493</v>
      </c>
      <c r="AE388" t="s">
        <v>138</v>
      </c>
      <c r="AI388">
        <v>5</v>
      </c>
      <c r="AJ388" t="s">
        <v>201</v>
      </c>
      <c r="AK388">
        <v>0.61</v>
      </c>
      <c r="AL388" t="s">
        <v>409</v>
      </c>
      <c r="AT388" t="s">
        <v>77</v>
      </c>
      <c r="AU388">
        <v>2.0333333333333332</v>
      </c>
      <c r="AV388" t="s">
        <v>1250</v>
      </c>
    </row>
    <row r="389" spans="1:53" x14ac:dyDescent="0.3">
      <c r="A389" t="s">
        <v>1354</v>
      </c>
      <c r="C389" t="s">
        <v>1275</v>
      </c>
      <c r="D389" t="s">
        <v>81</v>
      </c>
      <c r="E389">
        <v>50000000</v>
      </c>
      <c r="H389">
        <v>3.5</v>
      </c>
      <c r="I389" t="s">
        <v>56</v>
      </c>
      <c r="J389">
        <v>3.5E-4</v>
      </c>
      <c r="K389" t="s">
        <v>57</v>
      </c>
      <c r="L389" t="s">
        <v>112</v>
      </c>
      <c r="N389" t="s">
        <v>314</v>
      </c>
      <c r="O389">
        <v>4000</v>
      </c>
      <c r="P389" t="s">
        <v>277</v>
      </c>
      <c r="S389">
        <v>2</v>
      </c>
      <c r="T389">
        <v>22</v>
      </c>
      <c r="V389">
        <v>50</v>
      </c>
      <c r="W389" t="s">
        <v>229</v>
      </c>
      <c r="X389" t="s">
        <v>1284</v>
      </c>
      <c r="Y389">
        <v>60</v>
      </c>
      <c r="Z389">
        <v>1</v>
      </c>
      <c r="AB389">
        <v>0.22</v>
      </c>
      <c r="AC389" t="s">
        <v>85</v>
      </c>
      <c r="AD389" t="s">
        <v>490</v>
      </c>
      <c r="AE389" t="s">
        <v>138</v>
      </c>
      <c r="AI389">
        <v>5</v>
      </c>
      <c r="AJ389" t="s">
        <v>201</v>
      </c>
      <c r="AK389">
        <v>0.61</v>
      </c>
      <c r="AL389" t="s">
        <v>409</v>
      </c>
      <c r="AU389">
        <v>1.7428571428571431</v>
      </c>
      <c r="AV389" t="s">
        <v>1250</v>
      </c>
    </row>
    <row r="390" spans="1:53" x14ac:dyDescent="0.3">
      <c r="A390" t="s">
        <v>1354</v>
      </c>
      <c r="C390" t="s">
        <v>1275</v>
      </c>
      <c r="D390" t="s">
        <v>81</v>
      </c>
      <c r="E390">
        <v>50000000</v>
      </c>
      <c r="H390">
        <v>3.5</v>
      </c>
      <c r="I390" t="s">
        <v>56</v>
      </c>
      <c r="J390">
        <v>3.5E-4</v>
      </c>
      <c r="K390" t="s">
        <v>57</v>
      </c>
      <c r="L390" t="s">
        <v>112</v>
      </c>
      <c r="N390" t="s">
        <v>314</v>
      </c>
      <c r="O390">
        <v>4000</v>
      </c>
      <c r="P390" t="s">
        <v>277</v>
      </c>
      <c r="S390">
        <v>2</v>
      </c>
      <c r="T390">
        <v>22</v>
      </c>
      <c r="V390">
        <v>50</v>
      </c>
      <c r="W390" t="s">
        <v>1229</v>
      </c>
      <c r="X390" t="s">
        <v>1284</v>
      </c>
      <c r="Y390">
        <v>60</v>
      </c>
      <c r="Z390">
        <v>1</v>
      </c>
      <c r="AB390">
        <v>0.12</v>
      </c>
      <c r="AC390" t="s">
        <v>85</v>
      </c>
      <c r="AD390" t="s">
        <v>314</v>
      </c>
      <c r="AE390" t="s">
        <v>138</v>
      </c>
      <c r="AI390">
        <v>5</v>
      </c>
      <c r="AJ390" t="s">
        <v>201</v>
      </c>
      <c r="AK390">
        <v>0.61</v>
      </c>
      <c r="AL390" t="s">
        <v>409</v>
      </c>
      <c r="AT390" t="s">
        <v>221</v>
      </c>
      <c r="AU390">
        <v>1.7428571428571431</v>
      </c>
      <c r="AV390" t="s">
        <v>1250</v>
      </c>
    </row>
    <row r="391" spans="1:53" x14ac:dyDescent="0.3">
      <c r="A391" t="s">
        <v>1354</v>
      </c>
      <c r="C391" t="s">
        <v>1275</v>
      </c>
      <c r="D391" t="s">
        <v>81</v>
      </c>
      <c r="E391">
        <v>50000000</v>
      </c>
      <c r="H391">
        <v>14.25</v>
      </c>
      <c r="I391" t="s">
        <v>56</v>
      </c>
      <c r="J391">
        <v>1.4250000000000001E-3</v>
      </c>
      <c r="K391" t="s">
        <v>57</v>
      </c>
      <c r="L391" t="s">
        <v>112</v>
      </c>
      <c r="N391" t="s">
        <v>314</v>
      </c>
      <c r="O391">
        <v>3000</v>
      </c>
      <c r="P391" t="s">
        <v>277</v>
      </c>
      <c r="S391">
        <v>2</v>
      </c>
      <c r="T391">
        <v>22</v>
      </c>
      <c r="V391">
        <v>50</v>
      </c>
      <c r="W391" t="s">
        <v>547</v>
      </c>
      <c r="X391" t="s">
        <v>1284</v>
      </c>
      <c r="Y391">
        <v>120</v>
      </c>
      <c r="Z391">
        <v>1</v>
      </c>
      <c r="AB391">
        <v>0.8</v>
      </c>
      <c r="AC391" t="s">
        <v>85</v>
      </c>
      <c r="AD391" t="s">
        <v>314</v>
      </c>
      <c r="AE391" t="s">
        <v>138</v>
      </c>
      <c r="AI391">
        <v>5</v>
      </c>
      <c r="AJ391" t="s">
        <v>201</v>
      </c>
      <c r="AK391">
        <v>0.61</v>
      </c>
      <c r="AL391" t="s">
        <v>409</v>
      </c>
      <c r="AT391" t="s">
        <v>73</v>
      </c>
      <c r="AU391">
        <v>0.42807017543859649</v>
      </c>
      <c r="AV391" t="s">
        <v>1250</v>
      </c>
    </row>
    <row r="392" spans="1:53" x14ac:dyDescent="0.3">
      <c r="A392" t="s">
        <v>1354</v>
      </c>
      <c r="C392" t="s">
        <v>1275</v>
      </c>
      <c r="D392" t="s">
        <v>81</v>
      </c>
      <c r="E392">
        <v>50000000</v>
      </c>
      <c r="H392">
        <v>14.25</v>
      </c>
      <c r="I392" t="s">
        <v>56</v>
      </c>
      <c r="J392">
        <v>1.4250000000000001E-3</v>
      </c>
      <c r="K392" t="s">
        <v>57</v>
      </c>
      <c r="L392" t="s">
        <v>112</v>
      </c>
      <c r="N392" t="s">
        <v>314</v>
      </c>
      <c r="O392">
        <v>3000</v>
      </c>
      <c r="P392" t="s">
        <v>277</v>
      </c>
      <c r="S392">
        <v>2</v>
      </c>
      <c r="T392">
        <v>22</v>
      </c>
      <c r="V392">
        <v>50</v>
      </c>
      <c r="W392" t="s">
        <v>1258</v>
      </c>
      <c r="X392" t="s">
        <v>1284</v>
      </c>
      <c r="Y392">
        <v>120</v>
      </c>
      <c r="Z392">
        <v>1</v>
      </c>
      <c r="AB392">
        <v>0.97</v>
      </c>
      <c r="AC392" t="s">
        <v>85</v>
      </c>
      <c r="AD392" t="s">
        <v>436</v>
      </c>
      <c r="AE392" t="s">
        <v>138</v>
      </c>
      <c r="AI392">
        <v>5</v>
      </c>
      <c r="AJ392" t="s">
        <v>201</v>
      </c>
      <c r="AK392">
        <v>0.61</v>
      </c>
      <c r="AL392" t="s">
        <v>409</v>
      </c>
      <c r="AT392" t="s">
        <v>75</v>
      </c>
      <c r="AU392">
        <v>0.42807017543859649</v>
      </c>
      <c r="AV392" t="s">
        <v>1250</v>
      </c>
    </row>
    <row r="393" spans="1:53" x14ac:dyDescent="0.3">
      <c r="A393" t="s">
        <v>1354</v>
      </c>
      <c r="C393" t="s">
        <v>1275</v>
      </c>
      <c r="D393" t="s">
        <v>81</v>
      </c>
      <c r="E393">
        <v>50000000</v>
      </c>
      <c r="H393">
        <v>14.25</v>
      </c>
      <c r="I393" t="s">
        <v>56</v>
      </c>
      <c r="J393">
        <v>1.4250000000000001E-3</v>
      </c>
      <c r="K393" t="s">
        <v>57</v>
      </c>
      <c r="L393" t="s">
        <v>112</v>
      </c>
      <c r="N393" t="s">
        <v>314</v>
      </c>
      <c r="O393">
        <v>3000</v>
      </c>
      <c r="P393" t="s">
        <v>277</v>
      </c>
      <c r="S393">
        <v>2</v>
      </c>
      <c r="T393">
        <v>22</v>
      </c>
      <c r="V393">
        <v>50</v>
      </c>
      <c r="W393" t="s">
        <v>359</v>
      </c>
      <c r="X393" t="s">
        <v>1284</v>
      </c>
      <c r="Y393">
        <v>120</v>
      </c>
      <c r="Z393">
        <v>1</v>
      </c>
      <c r="AB393">
        <v>2.88</v>
      </c>
      <c r="AC393" t="s">
        <v>85</v>
      </c>
      <c r="AD393" t="s">
        <v>585</v>
      </c>
      <c r="AE393" t="s">
        <v>138</v>
      </c>
      <c r="AI393">
        <v>5</v>
      </c>
      <c r="AJ393" t="s">
        <v>201</v>
      </c>
      <c r="AK393">
        <v>0.61</v>
      </c>
      <c r="AL393" t="s">
        <v>409</v>
      </c>
      <c r="AT393" t="s">
        <v>360</v>
      </c>
      <c r="AU393">
        <v>0.42807017543859649</v>
      </c>
      <c r="AV393" t="s">
        <v>1250</v>
      </c>
    </row>
    <row r="394" spans="1:53" x14ac:dyDescent="0.3">
      <c r="A394" t="s">
        <v>1354</v>
      </c>
      <c r="C394" t="s">
        <v>1275</v>
      </c>
      <c r="D394" t="s">
        <v>81</v>
      </c>
      <c r="E394">
        <v>50000000</v>
      </c>
      <c r="H394">
        <v>3</v>
      </c>
      <c r="I394" t="s">
        <v>56</v>
      </c>
      <c r="J394">
        <v>2.9999999999999997E-4</v>
      </c>
      <c r="K394" t="s">
        <v>57</v>
      </c>
      <c r="L394" t="s">
        <v>112</v>
      </c>
      <c r="N394" t="s">
        <v>314</v>
      </c>
      <c r="O394">
        <v>3000</v>
      </c>
      <c r="P394" t="s">
        <v>277</v>
      </c>
      <c r="S394">
        <v>2</v>
      </c>
      <c r="T394">
        <v>22</v>
      </c>
      <c r="V394">
        <v>50</v>
      </c>
      <c r="W394" t="s">
        <v>549</v>
      </c>
      <c r="X394" t="s">
        <v>1284</v>
      </c>
      <c r="Y394">
        <v>120</v>
      </c>
      <c r="Z394">
        <v>2</v>
      </c>
      <c r="AB394">
        <v>1</v>
      </c>
      <c r="AC394" t="s">
        <v>85</v>
      </c>
      <c r="AD394" t="s">
        <v>521</v>
      </c>
      <c r="AE394" t="s">
        <v>138</v>
      </c>
      <c r="AI394">
        <v>5</v>
      </c>
      <c r="AJ394" t="s">
        <v>201</v>
      </c>
      <c r="AK394">
        <v>0.61</v>
      </c>
      <c r="AL394" t="s">
        <v>409</v>
      </c>
      <c r="AT394" t="s">
        <v>77</v>
      </c>
      <c r="AU394">
        <v>2.0333333333333332</v>
      </c>
      <c r="AV394" t="s">
        <v>1250</v>
      </c>
    </row>
    <row r="395" spans="1:53" x14ac:dyDescent="0.3">
      <c r="A395" t="s">
        <v>1354</v>
      </c>
      <c r="C395" t="s">
        <v>1275</v>
      </c>
      <c r="D395" t="s">
        <v>81</v>
      </c>
      <c r="E395">
        <v>50000000</v>
      </c>
      <c r="H395">
        <v>3.5</v>
      </c>
      <c r="I395" t="s">
        <v>56</v>
      </c>
      <c r="J395">
        <v>3.5E-4</v>
      </c>
      <c r="K395" t="s">
        <v>57</v>
      </c>
      <c r="L395" t="s">
        <v>112</v>
      </c>
      <c r="N395" t="s">
        <v>314</v>
      </c>
      <c r="O395">
        <v>3000</v>
      </c>
      <c r="P395" t="s">
        <v>277</v>
      </c>
      <c r="S395">
        <v>2</v>
      </c>
      <c r="T395">
        <v>22</v>
      </c>
      <c r="V395">
        <v>50</v>
      </c>
      <c r="W395" t="s">
        <v>229</v>
      </c>
      <c r="X395" t="s">
        <v>1284</v>
      </c>
      <c r="Y395">
        <v>120</v>
      </c>
      <c r="Z395">
        <v>1</v>
      </c>
      <c r="AB395">
        <v>0.18</v>
      </c>
      <c r="AC395" t="s">
        <v>85</v>
      </c>
      <c r="AD395" t="s">
        <v>237</v>
      </c>
      <c r="AE395" t="s">
        <v>138</v>
      </c>
      <c r="AI395">
        <v>5</v>
      </c>
      <c r="AJ395" t="s">
        <v>201</v>
      </c>
      <c r="AK395">
        <v>0.61</v>
      </c>
      <c r="AL395" t="s">
        <v>409</v>
      </c>
      <c r="AU395">
        <v>1.7428571428571431</v>
      </c>
      <c r="AV395" t="s">
        <v>1250</v>
      </c>
    </row>
    <row r="396" spans="1:53" x14ac:dyDescent="0.3">
      <c r="A396" t="s">
        <v>1354</v>
      </c>
      <c r="C396" t="s">
        <v>1275</v>
      </c>
      <c r="D396" t="s">
        <v>81</v>
      </c>
      <c r="E396">
        <v>50000000</v>
      </c>
      <c r="H396">
        <v>3.5</v>
      </c>
      <c r="I396" t="s">
        <v>56</v>
      </c>
      <c r="J396">
        <v>3.5E-4</v>
      </c>
      <c r="K396" t="s">
        <v>57</v>
      </c>
      <c r="L396" t="s">
        <v>112</v>
      </c>
      <c r="N396" t="s">
        <v>314</v>
      </c>
      <c r="O396">
        <v>3000</v>
      </c>
      <c r="P396" t="s">
        <v>277</v>
      </c>
      <c r="S396">
        <v>2</v>
      </c>
      <c r="T396">
        <v>22</v>
      </c>
      <c r="V396">
        <v>50</v>
      </c>
      <c r="W396" t="s">
        <v>1229</v>
      </c>
      <c r="X396" t="s">
        <v>1284</v>
      </c>
      <c r="Y396">
        <v>120</v>
      </c>
      <c r="Z396">
        <v>1</v>
      </c>
      <c r="AB396">
        <v>0.05</v>
      </c>
      <c r="AC396" t="s">
        <v>85</v>
      </c>
      <c r="AD396" t="s">
        <v>227</v>
      </c>
      <c r="AE396" t="s">
        <v>138</v>
      </c>
      <c r="AI396">
        <v>5</v>
      </c>
      <c r="AJ396" t="s">
        <v>201</v>
      </c>
      <c r="AK396">
        <v>0.61</v>
      </c>
      <c r="AL396" t="s">
        <v>409</v>
      </c>
      <c r="AT396" t="s">
        <v>221</v>
      </c>
      <c r="AU396">
        <v>1.7428571428571431</v>
      </c>
      <c r="AV396" t="s">
        <v>1250</v>
      </c>
    </row>
    <row r="397" spans="1:53" x14ac:dyDescent="0.3">
      <c r="A397" t="s">
        <v>1354</v>
      </c>
      <c r="C397" t="s">
        <v>1275</v>
      </c>
      <c r="D397" t="s">
        <v>81</v>
      </c>
      <c r="E397">
        <v>50000000</v>
      </c>
      <c r="H397">
        <v>14.25</v>
      </c>
      <c r="I397" t="s">
        <v>56</v>
      </c>
      <c r="J397">
        <v>1.4250000000000001E-3</v>
      </c>
      <c r="K397" t="s">
        <v>57</v>
      </c>
      <c r="L397" t="s">
        <v>112</v>
      </c>
      <c r="N397" t="s">
        <v>314</v>
      </c>
      <c r="O397">
        <v>4000</v>
      </c>
      <c r="P397" t="s">
        <v>277</v>
      </c>
      <c r="S397">
        <v>2</v>
      </c>
      <c r="T397">
        <v>22</v>
      </c>
      <c r="V397">
        <v>50</v>
      </c>
      <c r="W397" t="s">
        <v>547</v>
      </c>
      <c r="X397" t="s">
        <v>1284</v>
      </c>
      <c r="Y397">
        <v>120</v>
      </c>
      <c r="Z397">
        <v>1</v>
      </c>
      <c r="AB397">
        <v>2.31</v>
      </c>
      <c r="AC397" t="s">
        <v>85</v>
      </c>
      <c r="AD397" t="s">
        <v>494</v>
      </c>
      <c r="AE397" t="s">
        <v>138</v>
      </c>
      <c r="AI397">
        <v>5</v>
      </c>
      <c r="AJ397" t="s">
        <v>201</v>
      </c>
      <c r="AK397">
        <v>0.61</v>
      </c>
      <c r="AL397" t="s">
        <v>409</v>
      </c>
      <c r="AT397" t="s">
        <v>73</v>
      </c>
      <c r="AU397">
        <v>0.42807017543859649</v>
      </c>
      <c r="AV397" t="s">
        <v>1250</v>
      </c>
    </row>
    <row r="398" spans="1:53" x14ac:dyDescent="0.3">
      <c r="A398" t="s">
        <v>1354</v>
      </c>
      <c r="C398" t="s">
        <v>1275</v>
      </c>
      <c r="D398" t="s">
        <v>81</v>
      </c>
      <c r="E398">
        <v>50000000</v>
      </c>
      <c r="H398">
        <v>14.25</v>
      </c>
      <c r="I398" t="s">
        <v>56</v>
      </c>
      <c r="J398">
        <v>1.4250000000000001E-3</v>
      </c>
      <c r="K398" t="s">
        <v>57</v>
      </c>
      <c r="L398" t="s">
        <v>112</v>
      </c>
      <c r="N398" t="s">
        <v>314</v>
      </c>
      <c r="O398">
        <v>4000</v>
      </c>
      <c r="P398" t="s">
        <v>277</v>
      </c>
      <c r="S398">
        <v>2</v>
      </c>
      <c r="T398">
        <v>22</v>
      </c>
      <c r="V398">
        <v>50</v>
      </c>
      <c r="W398" t="s">
        <v>1258</v>
      </c>
      <c r="X398" t="s">
        <v>1284</v>
      </c>
      <c r="Y398">
        <v>120</v>
      </c>
      <c r="Z398">
        <v>2</v>
      </c>
      <c r="AB398">
        <v>2</v>
      </c>
      <c r="AC398" t="s">
        <v>85</v>
      </c>
      <c r="AD398" t="s">
        <v>661</v>
      </c>
      <c r="AE398" t="s">
        <v>138</v>
      </c>
      <c r="AI398">
        <v>5</v>
      </c>
      <c r="AJ398" t="s">
        <v>201</v>
      </c>
      <c r="AK398">
        <v>0.61</v>
      </c>
      <c r="AL398" t="s">
        <v>409</v>
      </c>
      <c r="AT398" t="s">
        <v>75</v>
      </c>
      <c r="AU398">
        <v>0.42807017543859649</v>
      </c>
      <c r="AV398" t="s">
        <v>1250</v>
      </c>
    </row>
    <row r="399" spans="1:53" x14ac:dyDescent="0.3">
      <c r="A399" t="s">
        <v>1354</v>
      </c>
      <c r="C399" t="s">
        <v>1275</v>
      </c>
      <c r="D399" t="s">
        <v>81</v>
      </c>
      <c r="E399">
        <v>50000000</v>
      </c>
      <c r="H399">
        <v>14.25</v>
      </c>
      <c r="I399" t="s">
        <v>56</v>
      </c>
      <c r="J399">
        <v>1.4250000000000001E-3</v>
      </c>
      <c r="K399" t="s">
        <v>57</v>
      </c>
      <c r="L399" t="s">
        <v>112</v>
      </c>
      <c r="N399" t="s">
        <v>314</v>
      </c>
      <c r="O399">
        <v>4000</v>
      </c>
      <c r="P399" t="s">
        <v>277</v>
      </c>
      <c r="S399">
        <v>2</v>
      </c>
      <c r="T399">
        <v>22</v>
      </c>
      <c r="V399">
        <v>50</v>
      </c>
      <c r="W399" t="s">
        <v>359</v>
      </c>
      <c r="X399" t="s">
        <v>1284</v>
      </c>
      <c r="Y399">
        <v>120</v>
      </c>
      <c r="Z399">
        <v>1</v>
      </c>
      <c r="AA399" t="s">
        <v>94</v>
      </c>
      <c r="AB399">
        <v>7.98</v>
      </c>
      <c r="AC399" t="s">
        <v>85</v>
      </c>
      <c r="AD399" t="s">
        <v>235</v>
      </c>
      <c r="AE399" t="s">
        <v>138</v>
      </c>
      <c r="AI399">
        <v>5</v>
      </c>
      <c r="AJ399" t="s">
        <v>201</v>
      </c>
      <c r="AK399">
        <v>0.61</v>
      </c>
      <c r="AL399" t="s">
        <v>409</v>
      </c>
      <c r="AT399" t="s">
        <v>360</v>
      </c>
      <c r="AU399">
        <v>0.42807017543859649</v>
      </c>
      <c r="AV399" t="s">
        <v>1250</v>
      </c>
      <c r="AZ399">
        <v>0</v>
      </c>
      <c r="BA399">
        <v>7.98</v>
      </c>
    </row>
    <row r="400" spans="1:53" x14ac:dyDescent="0.3">
      <c r="A400" t="s">
        <v>1354</v>
      </c>
      <c r="C400" t="s">
        <v>1275</v>
      </c>
      <c r="D400" t="s">
        <v>81</v>
      </c>
      <c r="E400">
        <v>50000000</v>
      </c>
      <c r="H400">
        <v>3</v>
      </c>
      <c r="I400" t="s">
        <v>56</v>
      </c>
      <c r="J400">
        <v>2.9999999999999997E-4</v>
      </c>
      <c r="K400" t="s">
        <v>57</v>
      </c>
      <c r="L400" t="s">
        <v>112</v>
      </c>
      <c r="N400" t="s">
        <v>314</v>
      </c>
      <c r="O400">
        <v>4000</v>
      </c>
      <c r="P400" t="s">
        <v>277</v>
      </c>
      <c r="S400">
        <v>2</v>
      </c>
      <c r="T400">
        <v>22</v>
      </c>
      <c r="V400">
        <v>50</v>
      </c>
      <c r="W400" t="s">
        <v>549</v>
      </c>
      <c r="X400" t="s">
        <v>1284</v>
      </c>
      <c r="Y400">
        <v>120</v>
      </c>
      <c r="AB400">
        <v>1.05</v>
      </c>
      <c r="AC400" t="s">
        <v>85</v>
      </c>
      <c r="AD400" t="s">
        <v>493</v>
      </c>
      <c r="AE400" t="s">
        <v>138</v>
      </c>
      <c r="AI400">
        <v>5</v>
      </c>
      <c r="AJ400" t="s">
        <v>201</v>
      </c>
      <c r="AK400">
        <v>0.61</v>
      </c>
      <c r="AL400" t="s">
        <v>409</v>
      </c>
      <c r="AT400" t="s">
        <v>77</v>
      </c>
      <c r="AU400">
        <v>2.0333333333333332</v>
      </c>
      <c r="AV400" t="s">
        <v>1250</v>
      </c>
    </row>
    <row r="401" spans="1:53" x14ac:dyDescent="0.3">
      <c r="A401" t="s">
        <v>1354</v>
      </c>
      <c r="C401" t="s">
        <v>1275</v>
      </c>
      <c r="D401" t="s">
        <v>81</v>
      </c>
      <c r="E401">
        <v>50000000</v>
      </c>
      <c r="H401">
        <v>3.5</v>
      </c>
      <c r="I401" t="s">
        <v>56</v>
      </c>
      <c r="J401">
        <v>3.5E-4</v>
      </c>
      <c r="K401" t="s">
        <v>57</v>
      </c>
      <c r="L401" t="s">
        <v>112</v>
      </c>
      <c r="N401" t="s">
        <v>314</v>
      </c>
      <c r="O401">
        <v>4000</v>
      </c>
      <c r="P401" t="s">
        <v>277</v>
      </c>
      <c r="S401">
        <v>2</v>
      </c>
      <c r="T401">
        <v>22</v>
      </c>
      <c r="V401">
        <v>50</v>
      </c>
      <c r="W401" t="s">
        <v>229</v>
      </c>
      <c r="X401" t="s">
        <v>1284</v>
      </c>
      <c r="Y401">
        <v>120</v>
      </c>
      <c r="AB401">
        <v>0.69</v>
      </c>
      <c r="AC401" t="s">
        <v>85</v>
      </c>
      <c r="AD401" t="s">
        <v>494</v>
      </c>
      <c r="AE401" t="s">
        <v>138</v>
      </c>
      <c r="AI401">
        <v>5</v>
      </c>
      <c r="AJ401" t="s">
        <v>201</v>
      </c>
      <c r="AK401">
        <v>0.61</v>
      </c>
      <c r="AL401" t="s">
        <v>409</v>
      </c>
      <c r="AU401">
        <v>1.7428571428571431</v>
      </c>
      <c r="AV401" t="s">
        <v>1250</v>
      </c>
    </row>
    <row r="402" spans="1:53" x14ac:dyDescent="0.3">
      <c r="A402" t="s">
        <v>1354</v>
      </c>
      <c r="C402" t="s">
        <v>1275</v>
      </c>
      <c r="D402" t="s">
        <v>81</v>
      </c>
      <c r="E402">
        <v>50000000</v>
      </c>
      <c r="H402">
        <v>3.5</v>
      </c>
      <c r="I402" t="s">
        <v>56</v>
      </c>
      <c r="J402">
        <v>3.5E-4</v>
      </c>
      <c r="K402" t="s">
        <v>57</v>
      </c>
      <c r="L402" t="s">
        <v>112</v>
      </c>
      <c r="N402" t="s">
        <v>314</v>
      </c>
      <c r="O402">
        <v>4000</v>
      </c>
      <c r="P402" t="s">
        <v>277</v>
      </c>
      <c r="S402">
        <v>2</v>
      </c>
      <c r="T402">
        <v>22</v>
      </c>
      <c r="V402">
        <v>50</v>
      </c>
      <c r="W402" t="s">
        <v>1229</v>
      </c>
      <c r="X402" t="s">
        <v>1284</v>
      </c>
      <c r="Y402">
        <v>120</v>
      </c>
      <c r="AB402">
        <v>0.08</v>
      </c>
      <c r="AC402" t="s">
        <v>85</v>
      </c>
      <c r="AD402" t="s">
        <v>232</v>
      </c>
      <c r="AE402" t="s">
        <v>138</v>
      </c>
      <c r="AI402">
        <v>5</v>
      </c>
      <c r="AJ402" t="s">
        <v>201</v>
      </c>
      <c r="AK402">
        <v>0.61</v>
      </c>
      <c r="AL402" t="s">
        <v>409</v>
      </c>
      <c r="AT402" t="s">
        <v>221</v>
      </c>
      <c r="AU402">
        <v>1.7428571428571431</v>
      </c>
      <c r="AV402" t="s">
        <v>1250</v>
      </c>
    </row>
    <row r="403" spans="1:53" x14ac:dyDescent="0.3">
      <c r="A403" t="s">
        <v>1354</v>
      </c>
      <c r="C403" t="s">
        <v>1275</v>
      </c>
      <c r="D403" t="s">
        <v>81</v>
      </c>
      <c r="E403">
        <v>50000000</v>
      </c>
      <c r="H403">
        <v>14.25</v>
      </c>
      <c r="I403" t="s">
        <v>56</v>
      </c>
      <c r="J403">
        <v>1.4250000000000001E-3</v>
      </c>
      <c r="K403" t="s">
        <v>57</v>
      </c>
      <c r="L403" t="s">
        <v>112</v>
      </c>
      <c r="N403" t="s">
        <v>314</v>
      </c>
      <c r="O403">
        <v>3000</v>
      </c>
      <c r="P403" t="s">
        <v>277</v>
      </c>
      <c r="S403">
        <v>2</v>
      </c>
      <c r="T403">
        <v>22</v>
      </c>
      <c r="V403">
        <v>50</v>
      </c>
      <c r="W403" t="s">
        <v>547</v>
      </c>
      <c r="X403" t="s">
        <v>1284</v>
      </c>
      <c r="Y403">
        <v>60</v>
      </c>
      <c r="AB403">
        <v>0.64</v>
      </c>
      <c r="AC403" t="s">
        <v>85</v>
      </c>
      <c r="AD403" t="s">
        <v>239</v>
      </c>
      <c r="AE403" t="s">
        <v>138</v>
      </c>
      <c r="AI403">
        <v>5</v>
      </c>
      <c r="AJ403" t="s">
        <v>201</v>
      </c>
      <c r="AK403">
        <v>0.38</v>
      </c>
      <c r="AL403" t="s">
        <v>409</v>
      </c>
      <c r="AT403" t="s">
        <v>73</v>
      </c>
      <c r="AU403">
        <v>0.26666666666666672</v>
      </c>
      <c r="AV403" t="s">
        <v>1250</v>
      </c>
    </row>
    <row r="404" spans="1:53" x14ac:dyDescent="0.3">
      <c r="A404" t="s">
        <v>1354</v>
      </c>
      <c r="C404" t="s">
        <v>1275</v>
      </c>
      <c r="D404" t="s">
        <v>81</v>
      </c>
      <c r="E404">
        <v>50000000</v>
      </c>
      <c r="H404">
        <v>14.25</v>
      </c>
      <c r="I404" t="s">
        <v>56</v>
      </c>
      <c r="J404">
        <v>1.4250000000000001E-3</v>
      </c>
      <c r="K404" t="s">
        <v>57</v>
      </c>
      <c r="L404" t="s">
        <v>112</v>
      </c>
      <c r="N404" t="s">
        <v>314</v>
      </c>
      <c r="O404">
        <v>3000</v>
      </c>
      <c r="P404" t="s">
        <v>277</v>
      </c>
      <c r="S404">
        <v>2</v>
      </c>
      <c r="T404">
        <v>22</v>
      </c>
      <c r="V404">
        <v>50</v>
      </c>
      <c r="W404" t="s">
        <v>1258</v>
      </c>
      <c r="X404" t="s">
        <v>1284</v>
      </c>
      <c r="Y404">
        <v>60</v>
      </c>
      <c r="AB404">
        <v>1.5</v>
      </c>
      <c r="AC404" t="s">
        <v>85</v>
      </c>
      <c r="AD404" t="s">
        <v>104</v>
      </c>
      <c r="AE404" t="s">
        <v>138</v>
      </c>
      <c r="AI404">
        <v>5</v>
      </c>
      <c r="AJ404" t="s">
        <v>201</v>
      </c>
      <c r="AK404">
        <v>0.38</v>
      </c>
      <c r="AL404" t="s">
        <v>409</v>
      </c>
      <c r="AT404" t="s">
        <v>75</v>
      </c>
      <c r="AU404">
        <v>0.26666666666666672</v>
      </c>
      <c r="AV404" t="s">
        <v>1250</v>
      </c>
    </row>
    <row r="405" spans="1:53" x14ac:dyDescent="0.3">
      <c r="A405" t="s">
        <v>1354</v>
      </c>
      <c r="C405" t="s">
        <v>1275</v>
      </c>
      <c r="D405" t="s">
        <v>81</v>
      </c>
      <c r="E405">
        <v>50000000</v>
      </c>
      <c r="H405">
        <v>3</v>
      </c>
      <c r="I405" t="s">
        <v>56</v>
      </c>
      <c r="J405">
        <v>2.9999999999999997E-4</v>
      </c>
      <c r="K405" t="s">
        <v>57</v>
      </c>
      <c r="L405" t="s">
        <v>112</v>
      </c>
      <c r="N405" t="s">
        <v>314</v>
      </c>
      <c r="O405">
        <v>3000</v>
      </c>
      <c r="P405" t="s">
        <v>277</v>
      </c>
      <c r="S405">
        <v>2</v>
      </c>
      <c r="T405">
        <v>22</v>
      </c>
      <c r="V405">
        <v>50</v>
      </c>
      <c r="W405" t="s">
        <v>549</v>
      </c>
      <c r="X405" t="s">
        <v>1284</v>
      </c>
      <c r="Y405">
        <v>60</v>
      </c>
      <c r="AB405">
        <v>1.17</v>
      </c>
      <c r="AC405" t="s">
        <v>85</v>
      </c>
      <c r="AD405" t="s">
        <v>490</v>
      </c>
      <c r="AE405" t="s">
        <v>138</v>
      </c>
      <c r="AI405">
        <v>5</v>
      </c>
      <c r="AJ405" t="s">
        <v>201</v>
      </c>
      <c r="AK405">
        <v>0.38</v>
      </c>
      <c r="AL405" t="s">
        <v>409</v>
      </c>
      <c r="AT405" t="s">
        <v>77</v>
      </c>
      <c r="AU405">
        <v>1.2666666666666671</v>
      </c>
      <c r="AV405" t="s">
        <v>1250</v>
      </c>
    </row>
    <row r="406" spans="1:53" x14ac:dyDescent="0.3">
      <c r="A406" t="s">
        <v>1354</v>
      </c>
      <c r="C406" t="s">
        <v>1275</v>
      </c>
      <c r="D406" t="s">
        <v>81</v>
      </c>
      <c r="E406">
        <v>50000000</v>
      </c>
      <c r="H406">
        <v>14.25</v>
      </c>
      <c r="I406" t="s">
        <v>56</v>
      </c>
      <c r="J406">
        <v>1.4250000000000001E-3</v>
      </c>
      <c r="K406" t="s">
        <v>57</v>
      </c>
      <c r="L406" t="s">
        <v>112</v>
      </c>
      <c r="N406" t="s">
        <v>314</v>
      </c>
      <c r="O406">
        <v>3000</v>
      </c>
      <c r="P406" t="s">
        <v>277</v>
      </c>
      <c r="S406">
        <v>2</v>
      </c>
      <c r="T406">
        <v>22</v>
      </c>
      <c r="V406">
        <v>50</v>
      </c>
      <c r="W406" t="s">
        <v>547</v>
      </c>
      <c r="X406" t="s">
        <v>1284</v>
      </c>
      <c r="Y406">
        <v>60</v>
      </c>
      <c r="AB406">
        <v>1.97</v>
      </c>
      <c r="AC406" t="s">
        <v>85</v>
      </c>
      <c r="AD406" t="s">
        <v>505</v>
      </c>
      <c r="AE406" t="s">
        <v>138</v>
      </c>
      <c r="AI406">
        <v>5</v>
      </c>
      <c r="AJ406" t="s">
        <v>201</v>
      </c>
      <c r="AK406">
        <v>0.61</v>
      </c>
      <c r="AL406" t="s">
        <v>409</v>
      </c>
      <c r="AT406" t="s">
        <v>73</v>
      </c>
      <c r="AU406">
        <v>0.42807017543859649</v>
      </c>
      <c r="AV406" t="s">
        <v>1250</v>
      </c>
    </row>
    <row r="407" spans="1:53" x14ac:dyDescent="0.3">
      <c r="A407" t="s">
        <v>1354</v>
      </c>
      <c r="C407" t="s">
        <v>1275</v>
      </c>
      <c r="D407" t="s">
        <v>81</v>
      </c>
      <c r="E407">
        <v>50000000</v>
      </c>
      <c r="H407">
        <v>14.25</v>
      </c>
      <c r="I407" t="s">
        <v>56</v>
      </c>
      <c r="J407">
        <v>1.4250000000000001E-3</v>
      </c>
      <c r="K407" t="s">
        <v>57</v>
      </c>
      <c r="L407" t="s">
        <v>112</v>
      </c>
      <c r="N407" t="s">
        <v>314</v>
      </c>
      <c r="O407">
        <v>3000</v>
      </c>
      <c r="P407" t="s">
        <v>277</v>
      </c>
      <c r="S407">
        <v>2</v>
      </c>
      <c r="T407">
        <v>22</v>
      </c>
      <c r="V407">
        <v>50</v>
      </c>
      <c r="W407" t="s">
        <v>1258</v>
      </c>
      <c r="X407" t="s">
        <v>1284</v>
      </c>
      <c r="Y407">
        <v>60</v>
      </c>
      <c r="AB407">
        <v>2.27</v>
      </c>
      <c r="AC407" t="s">
        <v>85</v>
      </c>
      <c r="AD407" t="s">
        <v>494</v>
      </c>
      <c r="AE407" t="s">
        <v>138</v>
      </c>
      <c r="AI407">
        <v>5</v>
      </c>
      <c r="AJ407" t="s">
        <v>201</v>
      </c>
      <c r="AK407">
        <v>0.61</v>
      </c>
      <c r="AL407" t="s">
        <v>409</v>
      </c>
      <c r="AT407" t="s">
        <v>75</v>
      </c>
      <c r="AU407">
        <v>0.42807017543859649</v>
      </c>
      <c r="AV407" t="s">
        <v>1250</v>
      </c>
    </row>
    <row r="408" spans="1:53" x14ac:dyDescent="0.3">
      <c r="A408" t="s">
        <v>1354</v>
      </c>
      <c r="C408" t="s">
        <v>1275</v>
      </c>
      <c r="D408" t="s">
        <v>81</v>
      </c>
      <c r="E408">
        <v>50000000</v>
      </c>
      <c r="H408">
        <v>3</v>
      </c>
      <c r="I408" t="s">
        <v>56</v>
      </c>
      <c r="J408">
        <v>2.9999999999999997E-4</v>
      </c>
      <c r="K408" t="s">
        <v>57</v>
      </c>
      <c r="L408" t="s">
        <v>112</v>
      </c>
      <c r="N408" t="s">
        <v>314</v>
      </c>
      <c r="O408">
        <v>3000</v>
      </c>
      <c r="P408" t="s">
        <v>277</v>
      </c>
      <c r="S408">
        <v>2</v>
      </c>
      <c r="T408">
        <v>22</v>
      </c>
      <c r="V408">
        <v>50</v>
      </c>
      <c r="W408" t="s">
        <v>549</v>
      </c>
      <c r="X408" t="s">
        <v>1284</v>
      </c>
      <c r="Y408">
        <v>60</v>
      </c>
      <c r="AB408">
        <v>2.11</v>
      </c>
      <c r="AC408" t="s">
        <v>85</v>
      </c>
      <c r="AD408" t="s">
        <v>505</v>
      </c>
      <c r="AE408" t="s">
        <v>138</v>
      </c>
      <c r="AI408">
        <v>5</v>
      </c>
      <c r="AJ408" t="s">
        <v>201</v>
      </c>
      <c r="AK408">
        <v>0.61</v>
      </c>
      <c r="AL408" t="s">
        <v>409</v>
      </c>
      <c r="AT408" t="s">
        <v>77</v>
      </c>
      <c r="AU408">
        <v>2.0333333333333332</v>
      </c>
      <c r="AV408" t="s">
        <v>1250</v>
      </c>
    </row>
    <row r="409" spans="1:53" x14ac:dyDescent="0.3">
      <c r="A409" t="s">
        <v>1354</v>
      </c>
      <c r="C409" t="s">
        <v>1275</v>
      </c>
      <c r="D409" t="s">
        <v>81</v>
      </c>
      <c r="E409">
        <v>50000000</v>
      </c>
      <c r="H409">
        <v>14.25</v>
      </c>
      <c r="I409" t="s">
        <v>56</v>
      </c>
      <c r="J409">
        <v>1.4250000000000001E-3</v>
      </c>
      <c r="K409" t="s">
        <v>57</v>
      </c>
      <c r="L409" t="s">
        <v>112</v>
      </c>
      <c r="N409" t="s">
        <v>314</v>
      </c>
      <c r="O409">
        <v>4000</v>
      </c>
      <c r="P409" t="s">
        <v>277</v>
      </c>
      <c r="S409">
        <v>2</v>
      </c>
      <c r="T409">
        <v>22</v>
      </c>
      <c r="V409">
        <v>50</v>
      </c>
      <c r="W409" t="s">
        <v>547</v>
      </c>
      <c r="X409" t="s">
        <v>1284</v>
      </c>
      <c r="Y409">
        <v>60</v>
      </c>
      <c r="AB409">
        <v>1.1200000000000001</v>
      </c>
      <c r="AC409" t="s">
        <v>85</v>
      </c>
      <c r="AD409" t="s">
        <v>511</v>
      </c>
      <c r="AE409" t="s">
        <v>138</v>
      </c>
      <c r="AI409">
        <v>5</v>
      </c>
      <c r="AJ409" t="s">
        <v>201</v>
      </c>
      <c r="AK409">
        <v>0.38</v>
      </c>
      <c r="AL409" t="s">
        <v>409</v>
      </c>
      <c r="AT409" t="s">
        <v>73</v>
      </c>
      <c r="AU409">
        <v>0.26666666666666672</v>
      </c>
      <c r="AV409" t="s">
        <v>1250</v>
      </c>
    </row>
    <row r="410" spans="1:53" x14ac:dyDescent="0.3">
      <c r="A410" t="s">
        <v>1354</v>
      </c>
      <c r="C410" t="s">
        <v>1275</v>
      </c>
      <c r="D410" t="s">
        <v>81</v>
      </c>
      <c r="E410">
        <v>50000000</v>
      </c>
      <c r="H410">
        <v>14.25</v>
      </c>
      <c r="I410" t="s">
        <v>56</v>
      </c>
      <c r="J410">
        <v>1.4250000000000001E-3</v>
      </c>
      <c r="K410" t="s">
        <v>57</v>
      </c>
      <c r="L410" t="s">
        <v>112</v>
      </c>
      <c r="N410" t="s">
        <v>314</v>
      </c>
      <c r="O410">
        <v>4000</v>
      </c>
      <c r="P410" t="s">
        <v>277</v>
      </c>
      <c r="S410">
        <v>2</v>
      </c>
      <c r="T410">
        <v>22</v>
      </c>
      <c r="V410">
        <v>50</v>
      </c>
      <c r="W410" t="s">
        <v>1258</v>
      </c>
      <c r="X410" t="s">
        <v>1284</v>
      </c>
      <c r="Y410">
        <v>60</v>
      </c>
      <c r="AB410">
        <v>1.67</v>
      </c>
      <c r="AC410" t="s">
        <v>85</v>
      </c>
      <c r="AD410" t="s">
        <v>98</v>
      </c>
      <c r="AE410" t="s">
        <v>138</v>
      </c>
      <c r="AI410">
        <v>5</v>
      </c>
      <c r="AJ410" t="s">
        <v>201</v>
      </c>
      <c r="AK410">
        <v>0.38</v>
      </c>
      <c r="AL410" t="s">
        <v>409</v>
      </c>
      <c r="AT410" t="s">
        <v>75</v>
      </c>
      <c r="AU410">
        <v>0.26666666666666672</v>
      </c>
      <c r="AV410" t="s">
        <v>1250</v>
      </c>
    </row>
    <row r="411" spans="1:53" x14ac:dyDescent="0.3">
      <c r="A411" t="s">
        <v>1354</v>
      </c>
      <c r="C411" t="s">
        <v>1275</v>
      </c>
      <c r="D411" t="s">
        <v>81</v>
      </c>
      <c r="E411">
        <v>50000000</v>
      </c>
      <c r="H411">
        <v>3</v>
      </c>
      <c r="I411" t="s">
        <v>56</v>
      </c>
      <c r="J411">
        <v>2.9999999999999997E-4</v>
      </c>
      <c r="K411" t="s">
        <v>57</v>
      </c>
      <c r="L411" t="s">
        <v>112</v>
      </c>
      <c r="N411" t="s">
        <v>314</v>
      </c>
      <c r="O411">
        <v>4000</v>
      </c>
      <c r="P411" t="s">
        <v>277</v>
      </c>
      <c r="S411">
        <v>2</v>
      </c>
      <c r="T411">
        <v>22</v>
      </c>
      <c r="V411">
        <v>50</v>
      </c>
      <c r="W411" t="s">
        <v>549</v>
      </c>
      <c r="X411" t="s">
        <v>1284</v>
      </c>
      <c r="Y411">
        <v>60</v>
      </c>
      <c r="AB411">
        <v>1.62</v>
      </c>
      <c r="AC411" t="s">
        <v>85</v>
      </c>
      <c r="AD411" t="s">
        <v>228</v>
      </c>
      <c r="AE411" t="s">
        <v>138</v>
      </c>
      <c r="AI411">
        <v>5</v>
      </c>
      <c r="AJ411" t="s">
        <v>201</v>
      </c>
      <c r="AK411">
        <v>0.38</v>
      </c>
      <c r="AL411" t="s">
        <v>409</v>
      </c>
      <c r="AT411" t="s">
        <v>77</v>
      </c>
      <c r="AU411">
        <v>1.2666666666666671</v>
      </c>
      <c r="AV411" t="s">
        <v>1250</v>
      </c>
    </row>
    <row r="412" spans="1:53" x14ac:dyDescent="0.3">
      <c r="A412" t="s">
        <v>1354</v>
      </c>
      <c r="C412" t="s">
        <v>1275</v>
      </c>
      <c r="D412" t="s">
        <v>81</v>
      </c>
      <c r="E412">
        <v>50000000</v>
      </c>
      <c r="H412">
        <v>14.25</v>
      </c>
      <c r="I412" t="s">
        <v>56</v>
      </c>
      <c r="J412">
        <v>1.4250000000000001E-3</v>
      </c>
      <c r="K412" t="s">
        <v>57</v>
      </c>
      <c r="L412" t="s">
        <v>112</v>
      </c>
      <c r="N412" t="s">
        <v>314</v>
      </c>
      <c r="O412">
        <v>4000</v>
      </c>
      <c r="P412" t="s">
        <v>277</v>
      </c>
      <c r="S412">
        <v>2</v>
      </c>
      <c r="T412">
        <v>22</v>
      </c>
      <c r="V412">
        <v>50</v>
      </c>
      <c r="W412" t="s">
        <v>547</v>
      </c>
      <c r="X412" t="s">
        <v>1284</v>
      </c>
      <c r="Y412">
        <v>60</v>
      </c>
      <c r="AB412">
        <v>1.77</v>
      </c>
      <c r="AC412" t="s">
        <v>85</v>
      </c>
      <c r="AD412" t="s">
        <v>521</v>
      </c>
      <c r="AE412" t="s">
        <v>138</v>
      </c>
      <c r="AI412">
        <v>5</v>
      </c>
      <c r="AJ412" t="s">
        <v>201</v>
      </c>
      <c r="AK412">
        <v>0.61</v>
      </c>
      <c r="AL412" t="s">
        <v>409</v>
      </c>
      <c r="AT412" t="s">
        <v>73</v>
      </c>
      <c r="AU412">
        <v>0.42807017543859649</v>
      </c>
      <c r="AV412" t="s">
        <v>1250</v>
      </c>
    </row>
    <row r="413" spans="1:53" x14ac:dyDescent="0.3">
      <c r="A413" t="s">
        <v>1354</v>
      </c>
      <c r="C413" t="s">
        <v>1275</v>
      </c>
      <c r="D413" t="s">
        <v>81</v>
      </c>
      <c r="E413">
        <v>50000000</v>
      </c>
      <c r="H413">
        <v>14.25</v>
      </c>
      <c r="I413" t="s">
        <v>56</v>
      </c>
      <c r="J413">
        <v>1.4250000000000001E-3</v>
      </c>
      <c r="K413" t="s">
        <v>57</v>
      </c>
      <c r="L413" t="s">
        <v>112</v>
      </c>
      <c r="N413" t="s">
        <v>314</v>
      </c>
      <c r="O413">
        <v>4000</v>
      </c>
      <c r="P413" t="s">
        <v>277</v>
      </c>
      <c r="S413">
        <v>2</v>
      </c>
      <c r="T413">
        <v>22</v>
      </c>
      <c r="V413">
        <v>50</v>
      </c>
      <c r="W413" t="s">
        <v>1258</v>
      </c>
      <c r="X413" t="s">
        <v>1284</v>
      </c>
      <c r="Y413">
        <v>60</v>
      </c>
      <c r="AB413">
        <v>2.31</v>
      </c>
      <c r="AC413" t="s">
        <v>85</v>
      </c>
      <c r="AD413" t="s">
        <v>509</v>
      </c>
      <c r="AE413" t="s">
        <v>138</v>
      </c>
      <c r="AI413">
        <v>5</v>
      </c>
      <c r="AJ413" t="s">
        <v>201</v>
      </c>
      <c r="AK413">
        <v>0.61</v>
      </c>
      <c r="AL413" t="s">
        <v>409</v>
      </c>
      <c r="AT413" t="s">
        <v>75</v>
      </c>
      <c r="AU413">
        <v>0.42807017543859649</v>
      </c>
      <c r="AV413" t="s">
        <v>1250</v>
      </c>
    </row>
    <row r="414" spans="1:53" x14ac:dyDescent="0.3">
      <c r="A414" t="s">
        <v>1354</v>
      </c>
      <c r="C414" t="s">
        <v>1275</v>
      </c>
      <c r="D414" t="s">
        <v>81</v>
      </c>
      <c r="E414">
        <v>50000000</v>
      </c>
      <c r="H414">
        <v>3</v>
      </c>
      <c r="I414" t="s">
        <v>56</v>
      </c>
      <c r="J414">
        <v>2.9999999999999997E-4</v>
      </c>
      <c r="K414" t="s">
        <v>57</v>
      </c>
      <c r="L414" t="s">
        <v>112</v>
      </c>
      <c r="N414" t="s">
        <v>314</v>
      </c>
      <c r="O414">
        <v>4000</v>
      </c>
      <c r="P414" t="s">
        <v>277</v>
      </c>
      <c r="S414">
        <v>2</v>
      </c>
      <c r="T414">
        <v>22</v>
      </c>
      <c r="V414">
        <v>50</v>
      </c>
      <c r="W414" t="s">
        <v>549</v>
      </c>
      <c r="X414" t="s">
        <v>1284</v>
      </c>
      <c r="Y414">
        <v>60</v>
      </c>
      <c r="AB414">
        <v>1.77</v>
      </c>
      <c r="AC414" t="s">
        <v>85</v>
      </c>
      <c r="AD414" t="s">
        <v>436</v>
      </c>
      <c r="AE414" t="s">
        <v>138</v>
      </c>
      <c r="AI414">
        <v>5</v>
      </c>
      <c r="AJ414" t="s">
        <v>201</v>
      </c>
      <c r="AK414">
        <v>0.61</v>
      </c>
      <c r="AL414" t="s">
        <v>409</v>
      </c>
      <c r="AT414" t="s">
        <v>77</v>
      </c>
      <c r="AU414">
        <v>2.0333333333333332</v>
      </c>
      <c r="AV414" t="s">
        <v>1250</v>
      </c>
    </row>
    <row r="415" spans="1:53" x14ac:dyDescent="0.3">
      <c r="A415" t="s">
        <v>1202</v>
      </c>
      <c r="C415" t="s">
        <v>1275</v>
      </c>
      <c r="D415" t="s">
        <v>81</v>
      </c>
      <c r="E415">
        <v>50000000</v>
      </c>
      <c r="H415">
        <v>196</v>
      </c>
      <c r="I415" t="s">
        <v>215</v>
      </c>
      <c r="J415">
        <v>0.12645136000000001</v>
      </c>
      <c r="K415" t="s">
        <v>57</v>
      </c>
      <c r="L415" t="s">
        <v>1357</v>
      </c>
      <c r="M415" t="s">
        <v>81</v>
      </c>
      <c r="N415" t="s">
        <v>1003</v>
      </c>
      <c r="O415">
        <v>6300</v>
      </c>
      <c r="P415" t="s">
        <v>121</v>
      </c>
      <c r="S415">
        <v>2</v>
      </c>
      <c r="T415">
        <v>25</v>
      </c>
      <c r="V415">
        <v>50</v>
      </c>
      <c r="W415" t="s">
        <v>1203</v>
      </c>
      <c r="X415" t="s">
        <v>1358</v>
      </c>
      <c r="AB415">
        <v>6.85</v>
      </c>
      <c r="AC415" t="s">
        <v>1212</v>
      </c>
      <c r="AD415" t="s">
        <v>511</v>
      </c>
      <c r="AE415" t="s">
        <v>63</v>
      </c>
      <c r="AH415">
        <v>6.7481880270061998</v>
      </c>
      <c r="AI415">
        <v>5</v>
      </c>
      <c r="AJ415" t="s">
        <v>1359</v>
      </c>
      <c r="AT415" t="s">
        <v>73</v>
      </c>
      <c r="AV415" t="s">
        <v>1204</v>
      </c>
      <c r="BA415">
        <v>6.7481880270061998</v>
      </c>
    </row>
    <row r="416" spans="1:53" x14ac:dyDescent="0.3">
      <c r="A416" t="s">
        <v>1202</v>
      </c>
      <c r="C416" t="s">
        <v>1275</v>
      </c>
      <c r="D416" t="s">
        <v>81</v>
      </c>
      <c r="E416">
        <v>50000000</v>
      </c>
      <c r="H416">
        <v>196</v>
      </c>
      <c r="I416" t="s">
        <v>215</v>
      </c>
      <c r="J416">
        <v>0.12645136000000001</v>
      </c>
      <c r="K416" t="s">
        <v>57</v>
      </c>
      <c r="L416" t="s">
        <v>194</v>
      </c>
      <c r="M416" t="s">
        <v>81</v>
      </c>
      <c r="N416" t="s">
        <v>1003</v>
      </c>
      <c r="O416">
        <v>6300</v>
      </c>
      <c r="P416" t="s">
        <v>121</v>
      </c>
      <c r="S416">
        <v>2</v>
      </c>
      <c r="T416">
        <v>25</v>
      </c>
      <c r="V416">
        <v>50</v>
      </c>
      <c r="W416" t="s">
        <v>1205</v>
      </c>
      <c r="X416" t="s">
        <v>1358</v>
      </c>
      <c r="AB416">
        <v>6.57</v>
      </c>
      <c r="AC416" t="s">
        <v>1212</v>
      </c>
      <c r="AD416" t="s">
        <v>235</v>
      </c>
      <c r="AE416" t="s">
        <v>63</v>
      </c>
      <c r="AH416">
        <v>6.4232458739367999</v>
      </c>
      <c r="AI416">
        <v>5</v>
      </c>
      <c r="AS416" t="s">
        <v>1213</v>
      </c>
      <c r="AT416" t="s">
        <v>77</v>
      </c>
      <c r="AV416" t="s">
        <v>1204</v>
      </c>
      <c r="BA416">
        <v>6.4232458739367999</v>
      </c>
    </row>
    <row r="417" spans="1:53" x14ac:dyDescent="0.3">
      <c r="A417" t="s">
        <v>1202</v>
      </c>
      <c r="C417" t="s">
        <v>1275</v>
      </c>
      <c r="D417" t="s">
        <v>81</v>
      </c>
      <c r="E417">
        <v>50000000</v>
      </c>
      <c r="H417">
        <v>196</v>
      </c>
      <c r="I417" t="s">
        <v>215</v>
      </c>
      <c r="J417">
        <v>0.12645136000000001</v>
      </c>
      <c r="K417" t="s">
        <v>57</v>
      </c>
      <c r="L417" t="s">
        <v>194</v>
      </c>
      <c r="M417" t="s">
        <v>81</v>
      </c>
      <c r="N417" t="s">
        <v>1003</v>
      </c>
      <c r="O417">
        <v>6300</v>
      </c>
      <c r="P417" t="s">
        <v>121</v>
      </c>
      <c r="S417">
        <v>2</v>
      </c>
      <c r="T417">
        <v>25</v>
      </c>
      <c r="V417">
        <v>50</v>
      </c>
      <c r="W417" t="s">
        <v>1206</v>
      </c>
      <c r="X417" t="s">
        <v>1358</v>
      </c>
      <c r="AB417">
        <v>7.13</v>
      </c>
      <c r="AC417" t="s">
        <v>1212</v>
      </c>
      <c r="AD417" t="s">
        <v>939</v>
      </c>
      <c r="AE417" t="s">
        <v>63</v>
      </c>
      <c r="AH417">
        <v>6.90794852161227</v>
      </c>
      <c r="AI417">
        <v>5</v>
      </c>
      <c r="AJ417" t="s">
        <v>1360</v>
      </c>
      <c r="AS417" t="s">
        <v>1213</v>
      </c>
      <c r="AT417" t="s">
        <v>75</v>
      </c>
      <c r="AV417" t="s">
        <v>1204</v>
      </c>
      <c r="BA417">
        <v>6.90794852161227</v>
      </c>
    </row>
    <row r="418" spans="1:53" x14ac:dyDescent="0.3">
      <c r="A418" t="s">
        <v>1202</v>
      </c>
      <c r="C418" t="s">
        <v>1275</v>
      </c>
      <c r="D418" t="s">
        <v>81</v>
      </c>
      <c r="E418">
        <v>50000000</v>
      </c>
      <c r="H418">
        <v>196</v>
      </c>
      <c r="I418" t="s">
        <v>215</v>
      </c>
      <c r="J418">
        <v>0.12645136000000001</v>
      </c>
      <c r="K418" t="s">
        <v>57</v>
      </c>
      <c r="L418" t="s">
        <v>194</v>
      </c>
      <c r="M418" t="s">
        <v>81</v>
      </c>
      <c r="N418" t="s">
        <v>1003</v>
      </c>
      <c r="O418">
        <v>6300</v>
      </c>
      <c r="P418" t="s">
        <v>121</v>
      </c>
      <c r="S418">
        <v>2</v>
      </c>
      <c r="T418">
        <v>25</v>
      </c>
      <c r="V418">
        <v>50</v>
      </c>
      <c r="W418" t="s">
        <v>1207</v>
      </c>
      <c r="X418" t="s">
        <v>1358</v>
      </c>
      <c r="AB418">
        <v>7.81</v>
      </c>
      <c r="AC418" t="s">
        <v>1212</v>
      </c>
      <c r="AD418" t="s">
        <v>104</v>
      </c>
      <c r="AE418" t="s">
        <v>63</v>
      </c>
      <c r="AH418">
        <v>7.7902851640332402</v>
      </c>
      <c r="AI418">
        <v>5</v>
      </c>
      <c r="AS418" t="s">
        <v>1213</v>
      </c>
      <c r="AT418" t="s">
        <v>79</v>
      </c>
      <c r="AV418" t="s">
        <v>1204</v>
      </c>
      <c r="BA418">
        <v>7.7902851640332402</v>
      </c>
    </row>
    <row r="419" spans="1:53" x14ac:dyDescent="0.3">
      <c r="A419" t="s">
        <v>1202</v>
      </c>
      <c r="C419" t="s">
        <v>1275</v>
      </c>
      <c r="D419" t="s">
        <v>81</v>
      </c>
      <c r="E419">
        <v>50000000</v>
      </c>
      <c r="H419">
        <v>196</v>
      </c>
      <c r="I419" t="s">
        <v>215</v>
      </c>
      <c r="J419">
        <v>0.12645136000000001</v>
      </c>
      <c r="K419" t="s">
        <v>57</v>
      </c>
      <c r="L419" t="s">
        <v>1361</v>
      </c>
      <c r="M419" t="s">
        <v>81</v>
      </c>
      <c r="N419" t="s">
        <v>1003</v>
      </c>
      <c r="O419">
        <v>6300</v>
      </c>
      <c r="P419" t="s">
        <v>121</v>
      </c>
      <c r="S419">
        <v>2</v>
      </c>
      <c r="T419">
        <v>25</v>
      </c>
      <c r="V419">
        <v>50</v>
      </c>
      <c r="W419" t="s">
        <v>1208</v>
      </c>
      <c r="X419" t="s">
        <v>1358</v>
      </c>
      <c r="AB419">
        <v>6.95</v>
      </c>
      <c r="AC419" t="s">
        <v>1212</v>
      </c>
      <c r="AD419" t="s">
        <v>939</v>
      </c>
      <c r="AE419" t="s">
        <v>63</v>
      </c>
      <c r="AH419">
        <v>6.7693773260761301</v>
      </c>
      <c r="AI419">
        <v>5</v>
      </c>
      <c r="AS419" t="s">
        <v>1213</v>
      </c>
      <c r="AT419" t="s">
        <v>77</v>
      </c>
      <c r="AV419" t="s">
        <v>1204</v>
      </c>
      <c r="BA419">
        <v>6.7693773260761301</v>
      </c>
    </row>
    <row r="420" spans="1:53" x14ac:dyDescent="0.3">
      <c r="A420" t="s">
        <v>1202</v>
      </c>
      <c r="C420" t="s">
        <v>1275</v>
      </c>
      <c r="D420" t="s">
        <v>81</v>
      </c>
      <c r="E420">
        <v>50000000</v>
      </c>
      <c r="H420">
        <v>196</v>
      </c>
      <c r="I420" t="s">
        <v>215</v>
      </c>
      <c r="J420">
        <v>0.12645136000000001</v>
      </c>
      <c r="K420" t="s">
        <v>57</v>
      </c>
      <c r="L420" t="s">
        <v>1362</v>
      </c>
      <c r="M420" t="s">
        <v>81</v>
      </c>
      <c r="N420" t="s">
        <v>1003</v>
      </c>
      <c r="O420">
        <v>6300</v>
      </c>
      <c r="P420" t="s">
        <v>121</v>
      </c>
      <c r="S420">
        <v>2</v>
      </c>
      <c r="T420">
        <v>25</v>
      </c>
      <c r="V420">
        <v>50</v>
      </c>
      <c r="W420" t="s">
        <v>1209</v>
      </c>
      <c r="X420" t="s">
        <v>1358</v>
      </c>
      <c r="AB420">
        <v>8.01</v>
      </c>
      <c r="AC420" t="s">
        <v>1212</v>
      </c>
      <c r="AD420" t="s">
        <v>939</v>
      </c>
      <c r="AE420" t="s">
        <v>63</v>
      </c>
      <c r="AH420">
        <v>7.7589118923979701</v>
      </c>
      <c r="AI420">
        <v>5</v>
      </c>
      <c r="AS420" t="s">
        <v>1213</v>
      </c>
      <c r="AT420" t="s">
        <v>79</v>
      </c>
      <c r="AV420" t="s">
        <v>1204</v>
      </c>
      <c r="BA420">
        <v>7.7589118923979692</v>
      </c>
    </row>
    <row r="421" spans="1:53" x14ac:dyDescent="0.3">
      <c r="A421" t="s">
        <v>1202</v>
      </c>
      <c r="C421" t="s">
        <v>1275</v>
      </c>
      <c r="D421" t="s">
        <v>81</v>
      </c>
      <c r="E421">
        <v>50000000</v>
      </c>
      <c r="H421">
        <v>196</v>
      </c>
      <c r="I421" t="s">
        <v>215</v>
      </c>
      <c r="J421">
        <v>0.12645136000000001</v>
      </c>
      <c r="K421" t="s">
        <v>57</v>
      </c>
      <c r="L421" t="s">
        <v>1363</v>
      </c>
      <c r="M421" t="s">
        <v>81</v>
      </c>
      <c r="N421" t="s">
        <v>1003</v>
      </c>
      <c r="O421">
        <v>6300</v>
      </c>
      <c r="P421" t="s">
        <v>121</v>
      </c>
      <c r="S421">
        <v>2</v>
      </c>
      <c r="T421">
        <v>25</v>
      </c>
      <c r="V421">
        <v>50</v>
      </c>
      <c r="W421" t="s">
        <v>1210</v>
      </c>
      <c r="X421" t="s">
        <v>1358</v>
      </c>
      <c r="AB421">
        <v>7.24</v>
      </c>
      <c r="AC421" t="s">
        <v>1212</v>
      </c>
      <c r="AD421" t="s">
        <v>939</v>
      </c>
      <c r="AE421" t="s">
        <v>63</v>
      </c>
      <c r="AH421">
        <v>7.0681858617461604</v>
      </c>
      <c r="AI421">
        <v>5</v>
      </c>
      <c r="AS421" t="s">
        <v>1213</v>
      </c>
      <c r="AT421" t="s">
        <v>75</v>
      </c>
      <c r="AV421" t="s">
        <v>1204</v>
      </c>
      <c r="BA421">
        <v>7.0681858617461604</v>
      </c>
    </row>
    <row r="422" spans="1:53" x14ac:dyDescent="0.3">
      <c r="A422" t="s">
        <v>1202</v>
      </c>
      <c r="C422" t="s">
        <v>1275</v>
      </c>
      <c r="D422" t="s">
        <v>81</v>
      </c>
      <c r="E422">
        <v>50000000</v>
      </c>
      <c r="H422">
        <v>196</v>
      </c>
      <c r="I422" t="s">
        <v>215</v>
      </c>
      <c r="J422">
        <v>0.12645136000000001</v>
      </c>
      <c r="K422" t="s">
        <v>57</v>
      </c>
      <c r="L422" t="s">
        <v>194</v>
      </c>
      <c r="M422" t="s">
        <v>81</v>
      </c>
      <c r="N422" t="s">
        <v>1003</v>
      </c>
      <c r="O422">
        <v>6300</v>
      </c>
      <c r="P422" t="s">
        <v>121</v>
      </c>
      <c r="S422">
        <v>2</v>
      </c>
      <c r="T422">
        <v>25</v>
      </c>
      <c r="V422">
        <v>50</v>
      </c>
      <c r="W422" t="s">
        <v>1203</v>
      </c>
      <c r="X422" t="s">
        <v>1358</v>
      </c>
      <c r="AB422">
        <v>6.99</v>
      </c>
      <c r="AC422" t="s">
        <v>1212</v>
      </c>
      <c r="AE422" t="s">
        <v>63</v>
      </c>
      <c r="AH422">
        <v>7.0755469613925301</v>
      </c>
      <c r="AI422">
        <v>5</v>
      </c>
      <c r="AJ422" t="s">
        <v>1359</v>
      </c>
      <c r="AT422" t="s">
        <v>73</v>
      </c>
      <c r="AV422" t="s">
        <v>1204</v>
      </c>
      <c r="BA422">
        <v>7.0755469613925301</v>
      </c>
    </row>
    <row r="423" spans="1:53" x14ac:dyDescent="0.3">
      <c r="A423" t="s">
        <v>1202</v>
      </c>
      <c r="C423" t="s">
        <v>1275</v>
      </c>
      <c r="D423" t="s">
        <v>81</v>
      </c>
      <c r="E423">
        <v>50000000</v>
      </c>
      <c r="H423">
        <v>196</v>
      </c>
      <c r="I423" t="s">
        <v>215</v>
      </c>
      <c r="J423">
        <v>0.12645136000000001</v>
      </c>
      <c r="K423" t="s">
        <v>57</v>
      </c>
      <c r="L423" t="s">
        <v>1364</v>
      </c>
      <c r="M423" t="s">
        <v>81</v>
      </c>
      <c r="N423" t="s">
        <v>1003</v>
      </c>
      <c r="O423">
        <v>6300</v>
      </c>
      <c r="P423" t="s">
        <v>121</v>
      </c>
      <c r="S423">
        <v>2</v>
      </c>
      <c r="T423">
        <v>25</v>
      </c>
      <c r="V423">
        <v>50</v>
      </c>
      <c r="W423" t="s">
        <v>1205</v>
      </c>
      <c r="X423" t="s">
        <v>1358</v>
      </c>
      <c r="AB423">
        <v>7.01</v>
      </c>
      <c r="AC423" t="s">
        <v>1212</v>
      </c>
      <c r="AE423" t="s">
        <v>63</v>
      </c>
      <c r="AH423">
        <v>6.8633228601204497</v>
      </c>
      <c r="AI423">
        <v>5</v>
      </c>
      <c r="AS423" t="s">
        <v>1213</v>
      </c>
      <c r="AT423" t="s">
        <v>77</v>
      </c>
      <c r="AV423" t="s">
        <v>1204</v>
      </c>
      <c r="BA423">
        <v>6.8633228601204497</v>
      </c>
    </row>
    <row r="424" spans="1:53" x14ac:dyDescent="0.3">
      <c r="A424" t="s">
        <v>1202</v>
      </c>
      <c r="C424" t="s">
        <v>1275</v>
      </c>
      <c r="D424" t="s">
        <v>81</v>
      </c>
      <c r="E424">
        <v>50000000</v>
      </c>
      <c r="H424">
        <v>196</v>
      </c>
      <c r="I424" t="s">
        <v>215</v>
      </c>
      <c r="J424">
        <v>0.12645136000000001</v>
      </c>
      <c r="K424" t="s">
        <v>57</v>
      </c>
      <c r="L424" t="s">
        <v>1365</v>
      </c>
      <c r="M424" t="s">
        <v>81</v>
      </c>
      <c r="N424" t="s">
        <v>1003</v>
      </c>
      <c r="O424">
        <v>6300</v>
      </c>
      <c r="P424" t="s">
        <v>121</v>
      </c>
      <c r="S424">
        <v>2</v>
      </c>
      <c r="T424">
        <v>25</v>
      </c>
      <c r="V424">
        <v>50</v>
      </c>
      <c r="W424" t="s">
        <v>1206</v>
      </c>
      <c r="X424" t="s">
        <v>1358</v>
      </c>
      <c r="AB424">
        <v>7.22</v>
      </c>
      <c r="AC424" t="s">
        <v>1212</v>
      </c>
      <c r="AE424" t="s">
        <v>63</v>
      </c>
      <c r="AH424">
        <v>7.1731862684122696</v>
      </c>
      <c r="AI424">
        <v>5</v>
      </c>
      <c r="AJ424" t="s">
        <v>1360</v>
      </c>
      <c r="AS424" t="s">
        <v>1213</v>
      </c>
      <c r="AT424" t="s">
        <v>75</v>
      </c>
      <c r="AV424" t="s">
        <v>1204</v>
      </c>
      <c r="BA424">
        <v>7.1731862684122696</v>
      </c>
    </row>
    <row r="425" spans="1:53" x14ac:dyDescent="0.3">
      <c r="A425" t="s">
        <v>1202</v>
      </c>
      <c r="C425" t="s">
        <v>1275</v>
      </c>
      <c r="D425" t="s">
        <v>81</v>
      </c>
      <c r="E425">
        <v>50000000</v>
      </c>
      <c r="H425">
        <v>196</v>
      </c>
      <c r="I425" t="s">
        <v>215</v>
      </c>
      <c r="J425">
        <v>0.12645136000000001</v>
      </c>
      <c r="K425" t="s">
        <v>57</v>
      </c>
      <c r="L425" t="s">
        <v>1366</v>
      </c>
      <c r="M425" t="s">
        <v>81</v>
      </c>
      <c r="N425" t="s">
        <v>1003</v>
      </c>
      <c r="O425">
        <v>6300</v>
      </c>
      <c r="P425" t="s">
        <v>121</v>
      </c>
      <c r="S425">
        <v>2</v>
      </c>
      <c r="T425">
        <v>25</v>
      </c>
      <c r="V425">
        <v>50</v>
      </c>
      <c r="W425" t="s">
        <v>1207</v>
      </c>
      <c r="X425" t="s">
        <v>1358</v>
      </c>
      <c r="AB425">
        <v>7.35</v>
      </c>
      <c r="AC425" t="s">
        <v>1212</v>
      </c>
      <c r="AE425" t="s">
        <v>63</v>
      </c>
      <c r="AH425">
        <v>7.6857417386022604</v>
      </c>
      <c r="AI425">
        <v>5</v>
      </c>
      <c r="AS425" t="s">
        <v>1213</v>
      </c>
      <c r="AT425" t="s">
        <v>79</v>
      </c>
      <c r="AV425" t="s">
        <v>1204</v>
      </c>
      <c r="BA425">
        <v>7.6857417386022604</v>
      </c>
    </row>
    <row r="426" spans="1:53" x14ac:dyDescent="0.3">
      <c r="A426" t="s">
        <v>1202</v>
      </c>
      <c r="C426" t="s">
        <v>1275</v>
      </c>
      <c r="D426" t="s">
        <v>81</v>
      </c>
      <c r="E426">
        <v>50000000</v>
      </c>
      <c r="H426">
        <v>196</v>
      </c>
      <c r="I426" t="s">
        <v>215</v>
      </c>
      <c r="J426">
        <v>0.12645136000000001</v>
      </c>
      <c r="K426" t="s">
        <v>57</v>
      </c>
      <c r="L426" t="s">
        <v>1367</v>
      </c>
      <c r="M426" t="s">
        <v>81</v>
      </c>
      <c r="N426" t="s">
        <v>1003</v>
      </c>
      <c r="O426">
        <v>6300</v>
      </c>
      <c r="P426" t="s">
        <v>121</v>
      </c>
      <c r="S426">
        <v>2</v>
      </c>
      <c r="T426">
        <v>25</v>
      </c>
      <c r="V426">
        <v>50</v>
      </c>
      <c r="W426" t="s">
        <v>1217</v>
      </c>
      <c r="X426" t="s">
        <v>1358</v>
      </c>
      <c r="AB426">
        <v>6.39</v>
      </c>
      <c r="AC426" t="s">
        <v>1212</v>
      </c>
      <c r="AD426" t="s">
        <v>436</v>
      </c>
      <c r="AE426" t="s">
        <v>63</v>
      </c>
      <c r="AH426">
        <v>6.5065050324048697</v>
      </c>
      <c r="AI426">
        <v>5</v>
      </c>
      <c r="AS426" t="s">
        <v>1213</v>
      </c>
      <c r="AT426" t="s">
        <v>77</v>
      </c>
      <c r="AV426" t="s">
        <v>1204</v>
      </c>
      <c r="BA426">
        <v>6.5065050324048697</v>
      </c>
    </row>
    <row r="427" spans="1:53" x14ac:dyDescent="0.3">
      <c r="A427" t="s">
        <v>1202</v>
      </c>
      <c r="C427" t="s">
        <v>1275</v>
      </c>
      <c r="D427" t="s">
        <v>81</v>
      </c>
      <c r="E427">
        <v>50000000</v>
      </c>
      <c r="H427">
        <v>196</v>
      </c>
      <c r="I427" t="s">
        <v>215</v>
      </c>
      <c r="J427">
        <v>0.12645136000000001</v>
      </c>
      <c r="K427" t="s">
        <v>57</v>
      </c>
      <c r="L427" t="s">
        <v>194</v>
      </c>
      <c r="M427" t="s">
        <v>81</v>
      </c>
      <c r="N427" t="s">
        <v>1003</v>
      </c>
      <c r="O427">
        <v>6300</v>
      </c>
      <c r="P427" t="s">
        <v>121</v>
      </c>
      <c r="S427">
        <v>2</v>
      </c>
      <c r="T427">
        <v>25</v>
      </c>
      <c r="V427">
        <v>50</v>
      </c>
      <c r="W427" t="s">
        <v>1219</v>
      </c>
      <c r="X427" t="s">
        <v>1358</v>
      </c>
      <c r="AB427">
        <v>7.35</v>
      </c>
      <c r="AC427" t="s">
        <v>1212</v>
      </c>
      <c r="AD427" t="s">
        <v>503</v>
      </c>
      <c r="AE427" t="s">
        <v>63</v>
      </c>
      <c r="AH427">
        <v>7.5563025007672797</v>
      </c>
      <c r="AI427">
        <v>5</v>
      </c>
      <c r="AS427" t="s">
        <v>1213</v>
      </c>
      <c r="AT427" t="s">
        <v>79</v>
      </c>
      <c r="AV427" t="s">
        <v>1204</v>
      </c>
      <c r="BA427">
        <v>7.5563025007672797</v>
      </c>
    </row>
    <row r="428" spans="1:53" x14ac:dyDescent="0.3">
      <c r="A428" t="s">
        <v>1202</v>
      </c>
      <c r="C428" t="s">
        <v>1275</v>
      </c>
      <c r="D428" t="s">
        <v>81</v>
      </c>
      <c r="E428">
        <v>50000000</v>
      </c>
      <c r="H428">
        <v>196</v>
      </c>
      <c r="I428" t="s">
        <v>215</v>
      </c>
      <c r="J428">
        <v>0.12645136000000001</v>
      </c>
      <c r="K428" t="s">
        <v>57</v>
      </c>
      <c r="L428" t="s">
        <v>1368</v>
      </c>
      <c r="M428" t="s">
        <v>81</v>
      </c>
      <c r="N428" t="s">
        <v>1003</v>
      </c>
      <c r="O428">
        <v>6300</v>
      </c>
      <c r="P428" t="s">
        <v>121</v>
      </c>
      <c r="S428">
        <v>2</v>
      </c>
      <c r="T428">
        <v>25</v>
      </c>
      <c r="V428">
        <v>50</v>
      </c>
      <c r="W428" t="s">
        <v>1221</v>
      </c>
      <c r="X428" t="s">
        <v>1358</v>
      </c>
      <c r="AB428">
        <v>6.71</v>
      </c>
      <c r="AC428" t="s">
        <v>1212</v>
      </c>
      <c r="AD428" t="s">
        <v>519</v>
      </c>
      <c r="AE428" t="s">
        <v>63</v>
      </c>
      <c r="AH428">
        <v>7.1583624920952396</v>
      </c>
      <c r="AI428">
        <v>5</v>
      </c>
      <c r="AS428" t="s">
        <v>1213</v>
      </c>
      <c r="AT428" t="s">
        <v>75</v>
      </c>
      <c r="AV428" t="s">
        <v>1204</v>
      </c>
      <c r="BA428">
        <v>7.1583624920952396</v>
      </c>
    </row>
    <row r="429" spans="1:53" x14ac:dyDescent="0.3">
      <c r="A429" t="s">
        <v>1202</v>
      </c>
      <c r="C429" t="s">
        <v>1275</v>
      </c>
      <c r="D429" t="s">
        <v>81</v>
      </c>
      <c r="E429">
        <v>50000000</v>
      </c>
      <c r="H429">
        <v>196</v>
      </c>
      <c r="I429" t="s">
        <v>215</v>
      </c>
      <c r="J429">
        <v>0.12645136000000001</v>
      </c>
      <c r="K429" t="s">
        <v>57</v>
      </c>
      <c r="L429" t="s">
        <v>194</v>
      </c>
      <c r="M429" t="s">
        <v>81</v>
      </c>
      <c r="O429">
        <v>0</v>
      </c>
      <c r="S429">
        <v>2</v>
      </c>
      <c r="T429">
        <v>25</v>
      </c>
      <c r="V429">
        <v>50</v>
      </c>
      <c r="W429" t="s">
        <v>1203</v>
      </c>
      <c r="X429" t="s">
        <v>1358</v>
      </c>
      <c r="AB429">
        <v>7.14</v>
      </c>
      <c r="AC429" t="s">
        <v>1212</v>
      </c>
      <c r="AD429" t="s">
        <v>511</v>
      </c>
      <c r="AE429" t="s">
        <v>63</v>
      </c>
      <c r="AH429">
        <v>7.0293837776852</v>
      </c>
      <c r="AI429">
        <v>5</v>
      </c>
      <c r="AJ429" t="s">
        <v>1359</v>
      </c>
      <c r="AT429" t="s">
        <v>73</v>
      </c>
      <c r="AV429" t="s">
        <v>1204</v>
      </c>
      <c r="BA429">
        <v>7.0293837776852</v>
      </c>
    </row>
    <row r="430" spans="1:53" x14ac:dyDescent="0.3">
      <c r="A430" t="s">
        <v>1202</v>
      </c>
      <c r="C430" t="s">
        <v>1275</v>
      </c>
      <c r="D430" t="s">
        <v>81</v>
      </c>
      <c r="E430">
        <v>50000000</v>
      </c>
      <c r="H430">
        <v>196</v>
      </c>
      <c r="I430" t="s">
        <v>215</v>
      </c>
      <c r="J430">
        <v>0.12645136000000001</v>
      </c>
      <c r="K430" t="s">
        <v>57</v>
      </c>
      <c r="L430" t="s">
        <v>1369</v>
      </c>
      <c r="M430" t="s">
        <v>81</v>
      </c>
      <c r="O430">
        <v>0</v>
      </c>
      <c r="S430">
        <v>2</v>
      </c>
      <c r="T430">
        <v>25</v>
      </c>
      <c r="V430">
        <v>50</v>
      </c>
      <c r="W430" t="s">
        <v>1205</v>
      </c>
      <c r="X430" t="s">
        <v>1358</v>
      </c>
      <c r="AB430">
        <v>6.23</v>
      </c>
      <c r="AC430" t="s">
        <v>1212</v>
      </c>
      <c r="AD430" t="s">
        <v>90</v>
      </c>
      <c r="AE430" t="s">
        <v>63</v>
      </c>
      <c r="AH430">
        <v>6.5854607295085001</v>
      </c>
      <c r="AI430">
        <v>5</v>
      </c>
      <c r="AS430" t="s">
        <v>1213</v>
      </c>
      <c r="AT430" t="s">
        <v>77</v>
      </c>
      <c r="AV430" t="s">
        <v>1204</v>
      </c>
      <c r="BA430">
        <v>6.5854607295085001</v>
      </c>
    </row>
    <row r="431" spans="1:53" x14ac:dyDescent="0.3">
      <c r="A431" t="s">
        <v>1202</v>
      </c>
      <c r="C431" t="s">
        <v>1275</v>
      </c>
      <c r="D431" t="s">
        <v>81</v>
      </c>
      <c r="E431">
        <v>50000000</v>
      </c>
      <c r="H431">
        <v>196</v>
      </c>
      <c r="I431" t="s">
        <v>215</v>
      </c>
      <c r="J431">
        <v>0.12645136000000001</v>
      </c>
      <c r="K431" t="s">
        <v>57</v>
      </c>
      <c r="L431" t="s">
        <v>1370</v>
      </c>
      <c r="M431" t="s">
        <v>81</v>
      </c>
      <c r="O431">
        <v>0</v>
      </c>
      <c r="S431">
        <v>2</v>
      </c>
      <c r="T431">
        <v>25</v>
      </c>
      <c r="V431">
        <v>50</v>
      </c>
      <c r="W431" t="s">
        <v>1206</v>
      </c>
      <c r="X431" t="s">
        <v>1358</v>
      </c>
      <c r="AB431">
        <v>5.67</v>
      </c>
      <c r="AC431" t="s">
        <v>1212</v>
      </c>
      <c r="AD431" t="s">
        <v>515</v>
      </c>
      <c r="AE431" t="s">
        <v>63</v>
      </c>
      <c r="AH431">
        <v>6.9965116721541696</v>
      </c>
      <c r="AI431">
        <v>5</v>
      </c>
      <c r="AJ431" t="s">
        <v>1360</v>
      </c>
      <c r="AS431" t="s">
        <v>1213</v>
      </c>
      <c r="AT431" t="s">
        <v>75</v>
      </c>
      <c r="AV431" t="s">
        <v>1204</v>
      </c>
      <c r="BA431">
        <v>6.9965116721541696</v>
      </c>
    </row>
    <row r="432" spans="1:53" x14ac:dyDescent="0.3">
      <c r="A432" t="s">
        <v>1202</v>
      </c>
      <c r="C432" t="s">
        <v>1275</v>
      </c>
      <c r="D432" t="s">
        <v>81</v>
      </c>
      <c r="E432">
        <v>50000000</v>
      </c>
      <c r="H432">
        <v>196</v>
      </c>
      <c r="I432" t="s">
        <v>215</v>
      </c>
      <c r="J432">
        <v>0.12645136000000001</v>
      </c>
      <c r="K432" t="s">
        <v>57</v>
      </c>
      <c r="L432" t="s">
        <v>194</v>
      </c>
      <c r="M432" t="s">
        <v>81</v>
      </c>
      <c r="O432">
        <v>0</v>
      </c>
      <c r="S432">
        <v>2</v>
      </c>
      <c r="T432">
        <v>25</v>
      </c>
      <c r="V432">
        <v>50</v>
      </c>
      <c r="W432" t="s">
        <v>1207</v>
      </c>
      <c r="X432" t="s">
        <v>1358</v>
      </c>
      <c r="AB432">
        <v>7.85</v>
      </c>
      <c r="AC432" t="s">
        <v>1212</v>
      </c>
      <c r="AD432" t="s">
        <v>939</v>
      </c>
      <c r="AE432" t="s">
        <v>63</v>
      </c>
      <c r="AH432">
        <v>7.5965970956264597</v>
      </c>
      <c r="AI432">
        <v>5</v>
      </c>
      <c r="AS432" t="s">
        <v>1213</v>
      </c>
      <c r="AT432" t="s">
        <v>79</v>
      </c>
      <c r="AV432" t="s">
        <v>1204</v>
      </c>
      <c r="BA432">
        <v>7.5965970956264588</v>
      </c>
    </row>
    <row r="433" spans="1:53" x14ac:dyDescent="0.3">
      <c r="A433" t="s">
        <v>1202</v>
      </c>
      <c r="C433" t="s">
        <v>1275</v>
      </c>
      <c r="D433" t="s">
        <v>81</v>
      </c>
      <c r="E433">
        <v>50000000</v>
      </c>
      <c r="H433">
        <v>196</v>
      </c>
      <c r="I433" t="s">
        <v>215</v>
      </c>
      <c r="J433">
        <v>0.12645136000000001</v>
      </c>
      <c r="K433" t="s">
        <v>57</v>
      </c>
      <c r="L433" t="s">
        <v>1371</v>
      </c>
      <c r="M433" t="s">
        <v>81</v>
      </c>
      <c r="O433">
        <v>0</v>
      </c>
      <c r="S433">
        <v>2</v>
      </c>
      <c r="T433">
        <v>25</v>
      </c>
      <c r="V433">
        <v>50</v>
      </c>
      <c r="W433" t="s">
        <v>1217</v>
      </c>
      <c r="X433" t="s">
        <v>1358</v>
      </c>
      <c r="AB433">
        <v>6.6</v>
      </c>
      <c r="AC433" t="s">
        <v>1212</v>
      </c>
      <c r="AD433" t="s">
        <v>939</v>
      </c>
      <c r="AE433" t="s">
        <v>63</v>
      </c>
      <c r="AH433">
        <v>6.4297522800023996</v>
      </c>
      <c r="AI433">
        <v>5</v>
      </c>
      <c r="AS433" t="s">
        <v>1213</v>
      </c>
      <c r="AT433" t="s">
        <v>77</v>
      </c>
      <c r="AV433" t="s">
        <v>1204</v>
      </c>
      <c r="BA433">
        <v>6.4297522800023996</v>
      </c>
    </row>
    <row r="434" spans="1:53" x14ac:dyDescent="0.3">
      <c r="A434" t="s">
        <v>1202</v>
      </c>
      <c r="C434" t="s">
        <v>1275</v>
      </c>
      <c r="D434" t="s">
        <v>81</v>
      </c>
      <c r="E434">
        <v>50000000</v>
      </c>
      <c r="H434">
        <v>196</v>
      </c>
      <c r="I434" t="s">
        <v>215</v>
      </c>
      <c r="J434">
        <v>0.12645136000000001</v>
      </c>
      <c r="K434" t="s">
        <v>57</v>
      </c>
      <c r="L434" t="s">
        <v>1372</v>
      </c>
      <c r="M434" t="s">
        <v>81</v>
      </c>
      <c r="O434">
        <v>0</v>
      </c>
      <c r="S434">
        <v>2</v>
      </c>
      <c r="T434">
        <v>25</v>
      </c>
      <c r="V434">
        <v>50</v>
      </c>
      <c r="W434" t="s">
        <v>1219</v>
      </c>
      <c r="X434" t="s">
        <v>1358</v>
      </c>
      <c r="AB434">
        <v>7.82</v>
      </c>
      <c r="AC434" t="s">
        <v>1212</v>
      </c>
      <c r="AD434" t="s">
        <v>939</v>
      </c>
      <c r="AE434" t="s">
        <v>63</v>
      </c>
      <c r="AH434">
        <v>7.5670263661590598</v>
      </c>
      <c r="AI434">
        <v>5</v>
      </c>
      <c r="AS434" t="s">
        <v>1213</v>
      </c>
      <c r="AT434" t="s">
        <v>79</v>
      </c>
      <c r="AV434" t="s">
        <v>1204</v>
      </c>
      <c r="BA434">
        <v>7.5670263661590589</v>
      </c>
    </row>
    <row r="435" spans="1:53" x14ac:dyDescent="0.3">
      <c r="A435" t="s">
        <v>1202</v>
      </c>
      <c r="C435" t="s">
        <v>1275</v>
      </c>
      <c r="D435" t="s">
        <v>81</v>
      </c>
      <c r="E435">
        <v>50000000</v>
      </c>
      <c r="H435">
        <v>196</v>
      </c>
      <c r="I435" t="s">
        <v>215</v>
      </c>
      <c r="J435">
        <v>0.12645136000000001</v>
      </c>
      <c r="K435" t="s">
        <v>57</v>
      </c>
      <c r="L435" t="s">
        <v>1373</v>
      </c>
      <c r="M435" t="s">
        <v>81</v>
      </c>
      <c r="O435">
        <v>0</v>
      </c>
      <c r="S435">
        <v>2</v>
      </c>
      <c r="T435">
        <v>25</v>
      </c>
      <c r="V435">
        <v>50</v>
      </c>
      <c r="W435" t="s">
        <v>1221</v>
      </c>
      <c r="X435" t="s">
        <v>1358</v>
      </c>
      <c r="AB435">
        <v>5.7</v>
      </c>
      <c r="AC435" t="s">
        <v>1212</v>
      </c>
      <c r="AD435" t="s">
        <v>611</v>
      </c>
      <c r="AE435" t="s">
        <v>63</v>
      </c>
      <c r="AH435">
        <v>7.24303804868629</v>
      </c>
      <c r="AI435">
        <v>5</v>
      </c>
      <c r="AS435" t="s">
        <v>1213</v>
      </c>
      <c r="AT435" t="s">
        <v>75</v>
      </c>
      <c r="AV435" t="s">
        <v>1204</v>
      </c>
      <c r="BA435">
        <v>7.24303804868629</v>
      </c>
    </row>
    <row r="436" spans="1:53" x14ac:dyDescent="0.3">
      <c r="A436" t="s">
        <v>1202</v>
      </c>
      <c r="C436" t="s">
        <v>1275</v>
      </c>
      <c r="D436" t="s">
        <v>81</v>
      </c>
      <c r="E436">
        <v>50000000</v>
      </c>
      <c r="H436">
        <v>196</v>
      </c>
      <c r="I436" t="s">
        <v>215</v>
      </c>
      <c r="J436">
        <v>0.12645136000000001</v>
      </c>
      <c r="K436" t="s">
        <v>57</v>
      </c>
      <c r="L436" t="s">
        <v>1374</v>
      </c>
      <c r="M436" t="s">
        <v>81</v>
      </c>
      <c r="N436" t="s">
        <v>1003</v>
      </c>
      <c r="O436">
        <v>6300</v>
      </c>
      <c r="P436" t="s">
        <v>121</v>
      </c>
      <c r="S436">
        <v>2</v>
      </c>
      <c r="T436">
        <v>25</v>
      </c>
      <c r="V436">
        <v>50</v>
      </c>
      <c r="W436" t="s">
        <v>1221</v>
      </c>
      <c r="X436" t="s">
        <v>1358</v>
      </c>
      <c r="AB436">
        <v>0.96</v>
      </c>
      <c r="AC436" t="s">
        <v>1212</v>
      </c>
      <c r="AD436" t="s">
        <v>437</v>
      </c>
      <c r="AE436" t="s">
        <v>63</v>
      </c>
      <c r="AH436">
        <v>8.4014005407815393</v>
      </c>
      <c r="AI436">
        <v>5</v>
      </c>
      <c r="AS436" t="s">
        <v>1213</v>
      </c>
      <c r="AT436" t="s">
        <v>75</v>
      </c>
      <c r="AV436" t="s">
        <v>1204</v>
      </c>
      <c r="BA436">
        <v>8.4014005407815393</v>
      </c>
    </row>
    <row r="437" spans="1:53" x14ac:dyDescent="0.3">
      <c r="A437" t="s">
        <v>1202</v>
      </c>
      <c r="C437" t="s">
        <v>1275</v>
      </c>
      <c r="D437" t="s">
        <v>81</v>
      </c>
      <c r="E437">
        <v>50000000</v>
      </c>
      <c r="H437">
        <v>196</v>
      </c>
      <c r="I437" t="s">
        <v>215</v>
      </c>
      <c r="J437">
        <v>0.12645136000000001</v>
      </c>
      <c r="K437" t="s">
        <v>57</v>
      </c>
      <c r="L437" t="s">
        <v>1374</v>
      </c>
      <c r="M437" t="s">
        <v>81</v>
      </c>
      <c r="N437" t="s">
        <v>1003</v>
      </c>
      <c r="O437">
        <v>6300</v>
      </c>
      <c r="P437" t="s">
        <v>121</v>
      </c>
      <c r="S437">
        <v>2</v>
      </c>
      <c r="T437">
        <v>25</v>
      </c>
      <c r="V437">
        <v>50</v>
      </c>
      <c r="W437" t="s">
        <v>1221</v>
      </c>
      <c r="X437" t="s">
        <v>1358</v>
      </c>
      <c r="AB437">
        <v>6.78</v>
      </c>
      <c r="AC437" t="s">
        <v>1212</v>
      </c>
      <c r="AD437" t="s">
        <v>633</v>
      </c>
      <c r="AE437" t="s">
        <v>63</v>
      </c>
      <c r="AH437">
        <v>8.4014005407815393</v>
      </c>
      <c r="AI437">
        <v>5</v>
      </c>
      <c r="AS437" t="s">
        <v>1213</v>
      </c>
      <c r="AT437" t="s">
        <v>75</v>
      </c>
      <c r="AV437" t="s">
        <v>1204</v>
      </c>
      <c r="BA437">
        <v>8.4014005407815393</v>
      </c>
    </row>
    <row r="438" spans="1:53" x14ac:dyDescent="0.3">
      <c r="A438" t="s">
        <v>1202</v>
      </c>
      <c r="C438" t="s">
        <v>1275</v>
      </c>
      <c r="D438" t="s">
        <v>81</v>
      </c>
      <c r="E438">
        <v>50000000</v>
      </c>
      <c r="H438">
        <v>196</v>
      </c>
      <c r="I438" t="s">
        <v>215</v>
      </c>
      <c r="J438">
        <v>0.12645136000000001</v>
      </c>
      <c r="K438" t="s">
        <v>57</v>
      </c>
      <c r="L438" t="s">
        <v>1374</v>
      </c>
      <c r="M438" t="s">
        <v>81</v>
      </c>
      <c r="N438" t="s">
        <v>1003</v>
      </c>
      <c r="O438">
        <v>6300</v>
      </c>
      <c r="P438" t="s">
        <v>121</v>
      </c>
      <c r="S438">
        <v>2</v>
      </c>
      <c r="T438">
        <v>25</v>
      </c>
      <c r="V438">
        <v>50</v>
      </c>
      <c r="W438" t="s">
        <v>1221</v>
      </c>
      <c r="X438" t="s">
        <v>1358</v>
      </c>
      <c r="AB438">
        <v>6.79</v>
      </c>
      <c r="AC438" t="s">
        <v>1212</v>
      </c>
      <c r="AD438" t="s">
        <v>939</v>
      </c>
      <c r="AE438" t="s">
        <v>63</v>
      </c>
      <c r="AH438">
        <v>8.4014005407815393</v>
      </c>
      <c r="AI438">
        <v>5</v>
      </c>
      <c r="AS438" t="s">
        <v>1213</v>
      </c>
      <c r="AT438" t="s">
        <v>75</v>
      </c>
      <c r="AV438" t="s">
        <v>1204</v>
      </c>
      <c r="BA438">
        <v>8.4014005407815393</v>
      </c>
    </row>
    <row r="439" spans="1:53" x14ac:dyDescent="0.3">
      <c r="A439" t="s">
        <v>1202</v>
      </c>
      <c r="C439" t="s">
        <v>1275</v>
      </c>
      <c r="D439" t="s">
        <v>81</v>
      </c>
      <c r="E439">
        <v>10000000</v>
      </c>
      <c r="H439">
        <v>196</v>
      </c>
      <c r="I439" t="s">
        <v>215</v>
      </c>
      <c r="J439">
        <v>0.12645136000000001</v>
      </c>
      <c r="K439" t="s">
        <v>57</v>
      </c>
      <c r="L439" t="s">
        <v>1375</v>
      </c>
      <c r="M439" t="s">
        <v>81</v>
      </c>
      <c r="N439" t="s">
        <v>1003</v>
      </c>
      <c r="O439">
        <v>6300</v>
      </c>
      <c r="P439" t="s">
        <v>121</v>
      </c>
      <c r="S439">
        <v>2</v>
      </c>
      <c r="T439">
        <v>25</v>
      </c>
      <c r="V439">
        <v>50</v>
      </c>
      <c r="W439" t="s">
        <v>1376</v>
      </c>
      <c r="X439" t="s">
        <v>1377</v>
      </c>
      <c r="AB439">
        <v>6.5</v>
      </c>
      <c r="AC439" t="s">
        <v>1212</v>
      </c>
      <c r="AE439" t="s">
        <v>63</v>
      </c>
      <c r="AI439">
        <v>5</v>
      </c>
      <c r="AK439">
        <v>84.6</v>
      </c>
      <c r="AL439" t="s">
        <v>82</v>
      </c>
      <c r="AM439">
        <v>84.6</v>
      </c>
      <c r="AN439" t="s">
        <v>82</v>
      </c>
      <c r="AS439" t="s">
        <v>1213</v>
      </c>
      <c r="AT439" t="s">
        <v>75</v>
      </c>
      <c r="AU439">
        <v>0.6690306122448979</v>
      </c>
      <c r="AV439" t="s">
        <v>1378</v>
      </c>
    </row>
    <row r="440" spans="1:53" x14ac:dyDescent="0.3">
      <c r="A440" t="s">
        <v>1202</v>
      </c>
      <c r="C440" t="s">
        <v>1275</v>
      </c>
      <c r="D440" t="s">
        <v>81</v>
      </c>
      <c r="E440">
        <v>10000000</v>
      </c>
      <c r="H440">
        <v>196</v>
      </c>
      <c r="I440" t="s">
        <v>215</v>
      </c>
      <c r="J440">
        <v>0.12645136000000001</v>
      </c>
      <c r="K440" t="s">
        <v>57</v>
      </c>
      <c r="L440" t="s">
        <v>194</v>
      </c>
      <c r="M440" t="s">
        <v>81</v>
      </c>
      <c r="N440" t="s">
        <v>1003</v>
      </c>
      <c r="O440">
        <v>6300</v>
      </c>
      <c r="P440" t="s">
        <v>121</v>
      </c>
      <c r="S440">
        <v>2</v>
      </c>
      <c r="T440">
        <v>25</v>
      </c>
      <c r="V440">
        <v>50</v>
      </c>
      <c r="W440" t="s">
        <v>1376</v>
      </c>
      <c r="X440" t="s">
        <v>1377</v>
      </c>
      <c r="AB440">
        <v>6.7</v>
      </c>
      <c r="AC440" t="s">
        <v>1212</v>
      </c>
      <c r="AE440" t="s">
        <v>63</v>
      </c>
      <c r="AI440">
        <v>5</v>
      </c>
      <c r="AK440">
        <v>253.8</v>
      </c>
      <c r="AL440" t="s">
        <v>82</v>
      </c>
      <c r="AM440">
        <v>253.8</v>
      </c>
      <c r="AN440" t="s">
        <v>82</v>
      </c>
      <c r="AS440" t="s">
        <v>1213</v>
      </c>
      <c r="AT440" t="s">
        <v>75</v>
      </c>
      <c r="AU440">
        <v>2.0070918367346939</v>
      </c>
      <c r="AV440" t="s">
        <v>1378</v>
      </c>
    </row>
    <row r="441" spans="1:53" x14ac:dyDescent="0.3">
      <c r="A441" t="s">
        <v>1202</v>
      </c>
      <c r="C441" t="s">
        <v>1275</v>
      </c>
      <c r="D441" t="s">
        <v>81</v>
      </c>
      <c r="E441">
        <v>10000000</v>
      </c>
      <c r="H441">
        <v>196</v>
      </c>
      <c r="I441" t="s">
        <v>215</v>
      </c>
      <c r="J441">
        <v>0.12645136000000001</v>
      </c>
      <c r="K441" t="s">
        <v>57</v>
      </c>
      <c r="L441" t="s">
        <v>1379</v>
      </c>
      <c r="M441" t="s">
        <v>81</v>
      </c>
      <c r="N441" t="s">
        <v>1003</v>
      </c>
      <c r="O441">
        <v>6300</v>
      </c>
      <c r="P441" t="s">
        <v>121</v>
      </c>
      <c r="S441">
        <v>2</v>
      </c>
      <c r="T441">
        <v>25</v>
      </c>
      <c r="V441">
        <v>50</v>
      </c>
      <c r="W441" t="s">
        <v>1376</v>
      </c>
      <c r="X441" t="s">
        <v>1377</v>
      </c>
      <c r="AB441">
        <v>6.6</v>
      </c>
      <c r="AC441" t="s">
        <v>1212</v>
      </c>
      <c r="AE441" t="s">
        <v>63</v>
      </c>
      <c r="AI441">
        <v>5</v>
      </c>
      <c r="AK441">
        <v>253.8</v>
      </c>
      <c r="AL441" t="s">
        <v>82</v>
      </c>
      <c r="AM441">
        <v>253.8</v>
      </c>
      <c r="AN441" t="s">
        <v>82</v>
      </c>
      <c r="AS441" t="s">
        <v>1213</v>
      </c>
      <c r="AT441" t="s">
        <v>75</v>
      </c>
      <c r="AU441">
        <v>2.0070918367346939</v>
      </c>
      <c r="AV441" t="s">
        <v>1378</v>
      </c>
    </row>
    <row r="442" spans="1:53" x14ac:dyDescent="0.3">
      <c r="A442" t="s">
        <v>1380</v>
      </c>
      <c r="C442" t="s">
        <v>1275</v>
      </c>
      <c r="D442" t="s">
        <v>81</v>
      </c>
      <c r="E442">
        <v>1000000</v>
      </c>
      <c r="H442">
        <v>8.5</v>
      </c>
      <c r="I442" t="s">
        <v>56</v>
      </c>
      <c r="J442">
        <v>8.5000000000000006E-4</v>
      </c>
      <c r="K442" t="s">
        <v>57</v>
      </c>
      <c r="S442">
        <v>1</v>
      </c>
      <c r="T442">
        <v>21.9</v>
      </c>
      <c r="V442">
        <v>50</v>
      </c>
      <c r="W442" t="s">
        <v>72</v>
      </c>
      <c r="X442" t="s">
        <v>114</v>
      </c>
      <c r="Y442">
        <v>10</v>
      </c>
      <c r="AB442">
        <v>0.33</v>
      </c>
      <c r="AC442" t="s">
        <v>85</v>
      </c>
      <c r="AD442" t="s">
        <v>524</v>
      </c>
      <c r="AE442" t="s">
        <v>63</v>
      </c>
      <c r="AI442">
        <v>5</v>
      </c>
      <c r="AT442" t="s">
        <v>73</v>
      </c>
      <c r="AV442" t="s">
        <v>88</v>
      </c>
    </row>
    <row r="443" spans="1:53" x14ac:dyDescent="0.3">
      <c r="A443" t="s">
        <v>1380</v>
      </c>
      <c r="C443" t="s">
        <v>1275</v>
      </c>
      <c r="D443" t="s">
        <v>81</v>
      </c>
      <c r="E443">
        <v>20000000</v>
      </c>
      <c r="H443">
        <v>8.5</v>
      </c>
      <c r="I443" t="s">
        <v>56</v>
      </c>
      <c r="J443">
        <v>8.5000000000000006E-4</v>
      </c>
      <c r="K443" t="s">
        <v>57</v>
      </c>
      <c r="S443">
        <v>1</v>
      </c>
      <c r="T443">
        <v>21.9</v>
      </c>
      <c r="V443">
        <v>50</v>
      </c>
      <c r="W443" t="s">
        <v>76</v>
      </c>
      <c r="X443" t="s">
        <v>114</v>
      </c>
      <c r="Y443">
        <v>10</v>
      </c>
      <c r="AB443">
        <v>1.4</v>
      </c>
      <c r="AC443" t="s">
        <v>85</v>
      </c>
      <c r="AD443" t="s">
        <v>219</v>
      </c>
      <c r="AE443" t="s">
        <v>63</v>
      </c>
      <c r="AI443">
        <v>5</v>
      </c>
      <c r="AT443" t="s">
        <v>77</v>
      </c>
      <c r="AV443" t="s">
        <v>88</v>
      </c>
    </row>
    <row r="444" spans="1:53" x14ac:dyDescent="0.3">
      <c r="A444" t="s">
        <v>1380</v>
      </c>
      <c r="C444" t="s">
        <v>1275</v>
      </c>
      <c r="D444" t="s">
        <v>81</v>
      </c>
      <c r="E444">
        <v>20000000</v>
      </c>
      <c r="H444">
        <v>8.5</v>
      </c>
      <c r="I444" t="s">
        <v>56</v>
      </c>
      <c r="J444">
        <v>8.5000000000000006E-4</v>
      </c>
      <c r="K444" t="s">
        <v>57</v>
      </c>
      <c r="S444">
        <v>1</v>
      </c>
      <c r="T444">
        <v>21.9</v>
      </c>
      <c r="V444">
        <v>50</v>
      </c>
      <c r="W444" t="s">
        <v>74</v>
      </c>
      <c r="X444" t="s">
        <v>114</v>
      </c>
      <c r="Y444">
        <v>10</v>
      </c>
      <c r="AB444">
        <v>1.9</v>
      </c>
      <c r="AC444" t="s">
        <v>85</v>
      </c>
      <c r="AD444" t="s">
        <v>239</v>
      </c>
      <c r="AE444" t="s">
        <v>63</v>
      </c>
      <c r="AI444">
        <v>5</v>
      </c>
      <c r="AT444" t="s">
        <v>75</v>
      </c>
      <c r="AV444" t="s">
        <v>88</v>
      </c>
    </row>
    <row r="445" spans="1:53" x14ac:dyDescent="0.3">
      <c r="A445" t="s">
        <v>1380</v>
      </c>
      <c r="C445" t="s">
        <v>1275</v>
      </c>
      <c r="D445" t="s">
        <v>81</v>
      </c>
      <c r="E445">
        <v>20000000</v>
      </c>
      <c r="H445">
        <v>8.5</v>
      </c>
      <c r="I445" t="s">
        <v>56</v>
      </c>
      <c r="J445">
        <v>8.5000000000000006E-4</v>
      </c>
      <c r="K445" t="s">
        <v>57</v>
      </c>
      <c r="S445">
        <v>1</v>
      </c>
      <c r="T445">
        <v>21.9</v>
      </c>
      <c r="V445">
        <v>50</v>
      </c>
      <c r="W445" t="s">
        <v>1381</v>
      </c>
      <c r="X445" t="s">
        <v>114</v>
      </c>
      <c r="Y445">
        <v>10</v>
      </c>
      <c r="AB445">
        <v>1.5</v>
      </c>
      <c r="AC445" t="s">
        <v>85</v>
      </c>
      <c r="AD445" t="s">
        <v>585</v>
      </c>
      <c r="AE445" t="s">
        <v>63</v>
      </c>
      <c r="AI445">
        <v>5</v>
      </c>
      <c r="AT445" t="s">
        <v>203</v>
      </c>
      <c r="AV445" t="s">
        <v>88</v>
      </c>
    </row>
    <row r="446" spans="1:53" x14ac:dyDescent="0.3">
      <c r="A446" t="s">
        <v>1380</v>
      </c>
      <c r="C446" t="s">
        <v>1275</v>
      </c>
      <c r="D446" t="s">
        <v>81</v>
      </c>
      <c r="E446">
        <v>20000000</v>
      </c>
      <c r="H446">
        <v>8.5</v>
      </c>
      <c r="I446" t="s">
        <v>56</v>
      </c>
      <c r="J446">
        <v>8.5000000000000006E-4</v>
      </c>
      <c r="K446" t="s">
        <v>57</v>
      </c>
      <c r="S446">
        <v>1</v>
      </c>
      <c r="T446">
        <v>21.9</v>
      </c>
      <c r="V446">
        <v>50</v>
      </c>
      <c r="W446" t="s">
        <v>147</v>
      </c>
      <c r="X446" t="s">
        <v>114</v>
      </c>
      <c r="Y446">
        <v>10</v>
      </c>
      <c r="AB446">
        <v>1.4</v>
      </c>
      <c r="AC446" t="s">
        <v>85</v>
      </c>
      <c r="AD446" t="s">
        <v>525</v>
      </c>
      <c r="AE446" t="s">
        <v>63</v>
      </c>
      <c r="AI446">
        <v>5</v>
      </c>
      <c r="AT446" t="s">
        <v>150</v>
      </c>
      <c r="AV446" t="s">
        <v>88</v>
      </c>
    </row>
    <row r="447" spans="1:53" x14ac:dyDescent="0.3">
      <c r="A447" t="s">
        <v>1380</v>
      </c>
      <c r="C447" t="s">
        <v>1275</v>
      </c>
      <c r="D447" t="s">
        <v>81</v>
      </c>
      <c r="E447">
        <v>20000000</v>
      </c>
      <c r="H447">
        <v>8.5</v>
      </c>
      <c r="I447" t="s">
        <v>56</v>
      </c>
      <c r="J447">
        <v>8.5000000000000006E-4</v>
      </c>
      <c r="K447" t="s">
        <v>57</v>
      </c>
      <c r="S447">
        <v>1</v>
      </c>
      <c r="T447">
        <v>22</v>
      </c>
      <c r="V447">
        <v>50</v>
      </c>
      <c r="W447" t="s">
        <v>72</v>
      </c>
      <c r="X447" t="s">
        <v>114</v>
      </c>
      <c r="Y447">
        <v>30</v>
      </c>
      <c r="AB447">
        <v>1.5</v>
      </c>
      <c r="AC447" t="s">
        <v>85</v>
      </c>
      <c r="AD447" t="s">
        <v>590</v>
      </c>
      <c r="AE447" t="s">
        <v>63</v>
      </c>
      <c r="AI447">
        <v>5</v>
      </c>
      <c r="AT447" t="s">
        <v>73</v>
      </c>
      <c r="AV447" t="s">
        <v>88</v>
      </c>
    </row>
    <row r="448" spans="1:53" x14ac:dyDescent="0.3">
      <c r="A448" t="s">
        <v>1380</v>
      </c>
      <c r="C448" t="s">
        <v>1275</v>
      </c>
      <c r="D448" t="s">
        <v>81</v>
      </c>
      <c r="E448">
        <v>20000000</v>
      </c>
      <c r="H448">
        <v>8.5</v>
      </c>
      <c r="I448" t="s">
        <v>56</v>
      </c>
      <c r="J448">
        <v>8.5000000000000006E-4</v>
      </c>
      <c r="K448" t="s">
        <v>57</v>
      </c>
      <c r="S448">
        <v>1</v>
      </c>
      <c r="T448">
        <v>22</v>
      </c>
      <c r="V448">
        <v>50</v>
      </c>
      <c r="W448" t="s">
        <v>72</v>
      </c>
      <c r="X448" t="s">
        <v>114</v>
      </c>
      <c r="Y448">
        <v>30</v>
      </c>
      <c r="AB448">
        <v>2.2999999999999901</v>
      </c>
      <c r="AC448" t="s">
        <v>85</v>
      </c>
      <c r="AD448" t="s">
        <v>490</v>
      </c>
      <c r="AE448" t="s">
        <v>63</v>
      </c>
      <c r="AI448">
        <v>5</v>
      </c>
      <c r="AT448" t="s">
        <v>73</v>
      </c>
      <c r="AV448" t="s">
        <v>88</v>
      </c>
    </row>
    <row r="449" spans="1:48" x14ac:dyDescent="0.3">
      <c r="A449" t="s">
        <v>1380</v>
      </c>
      <c r="C449" t="s">
        <v>1275</v>
      </c>
      <c r="D449" t="s">
        <v>81</v>
      </c>
      <c r="E449">
        <v>20000000</v>
      </c>
      <c r="H449">
        <v>8.5</v>
      </c>
      <c r="I449" t="s">
        <v>56</v>
      </c>
      <c r="J449">
        <v>8.5000000000000006E-4</v>
      </c>
      <c r="K449" t="s">
        <v>57</v>
      </c>
      <c r="S449">
        <v>1</v>
      </c>
      <c r="T449">
        <v>22</v>
      </c>
      <c r="V449">
        <v>50</v>
      </c>
      <c r="W449" t="s">
        <v>72</v>
      </c>
      <c r="X449" t="s">
        <v>114</v>
      </c>
      <c r="Y449">
        <v>30</v>
      </c>
      <c r="AB449">
        <v>1.4</v>
      </c>
      <c r="AC449" t="s">
        <v>85</v>
      </c>
      <c r="AD449" t="s">
        <v>241</v>
      </c>
      <c r="AE449" t="s">
        <v>63</v>
      </c>
      <c r="AI449">
        <v>5</v>
      </c>
      <c r="AT449" t="s">
        <v>73</v>
      </c>
      <c r="AV449" t="s">
        <v>88</v>
      </c>
    </row>
    <row r="450" spans="1:48" x14ac:dyDescent="0.3">
      <c r="A450" t="s">
        <v>1380</v>
      </c>
      <c r="C450" t="s">
        <v>1275</v>
      </c>
      <c r="D450" t="s">
        <v>81</v>
      </c>
      <c r="E450">
        <v>20000000</v>
      </c>
      <c r="H450">
        <v>8.5</v>
      </c>
      <c r="I450" t="s">
        <v>56</v>
      </c>
      <c r="J450">
        <v>8.5000000000000006E-4</v>
      </c>
      <c r="K450" t="s">
        <v>57</v>
      </c>
      <c r="S450">
        <v>1</v>
      </c>
      <c r="T450">
        <v>22</v>
      </c>
      <c r="V450">
        <v>50</v>
      </c>
      <c r="W450" t="s">
        <v>72</v>
      </c>
      <c r="X450" t="s">
        <v>114</v>
      </c>
      <c r="Y450">
        <v>30</v>
      </c>
      <c r="AB450">
        <v>2.1</v>
      </c>
      <c r="AC450" t="s">
        <v>85</v>
      </c>
      <c r="AD450" t="s">
        <v>231</v>
      </c>
      <c r="AE450" t="s">
        <v>63</v>
      </c>
      <c r="AI450">
        <v>5</v>
      </c>
      <c r="AT450" t="s">
        <v>73</v>
      </c>
      <c r="AV450" t="s">
        <v>88</v>
      </c>
    </row>
    <row r="451" spans="1:48" x14ac:dyDescent="0.3">
      <c r="A451" t="s">
        <v>1380</v>
      </c>
      <c r="C451" t="s">
        <v>1275</v>
      </c>
      <c r="D451" t="s">
        <v>81</v>
      </c>
      <c r="E451">
        <v>20000000</v>
      </c>
      <c r="H451">
        <v>8.5</v>
      </c>
      <c r="I451" t="s">
        <v>56</v>
      </c>
      <c r="J451">
        <v>8.5000000000000006E-4</v>
      </c>
      <c r="K451" t="s">
        <v>57</v>
      </c>
      <c r="S451">
        <v>1</v>
      </c>
      <c r="T451">
        <v>22</v>
      </c>
      <c r="V451">
        <v>50</v>
      </c>
      <c r="W451" t="s">
        <v>72</v>
      </c>
      <c r="X451" t="s">
        <v>114</v>
      </c>
      <c r="Y451">
        <v>30</v>
      </c>
      <c r="AB451">
        <v>1.8</v>
      </c>
      <c r="AC451" t="s">
        <v>85</v>
      </c>
      <c r="AD451" t="s">
        <v>92</v>
      </c>
      <c r="AE451" t="s">
        <v>63</v>
      </c>
      <c r="AI451">
        <v>5</v>
      </c>
      <c r="AT451" t="s">
        <v>73</v>
      </c>
      <c r="AV451" t="s">
        <v>88</v>
      </c>
    </row>
    <row r="452" spans="1:48" x14ac:dyDescent="0.3">
      <c r="A452" t="s">
        <v>1380</v>
      </c>
      <c r="C452" t="s">
        <v>1275</v>
      </c>
      <c r="D452" t="s">
        <v>81</v>
      </c>
      <c r="E452">
        <v>20000000</v>
      </c>
      <c r="H452">
        <v>8.5</v>
      </c>
      <c r="I452" t="s">
        <v>56</v>
      </c>
      <c r="J452">
        <v>8.5000000000000006E-4</v>
      </c>
      <c r="K452" t="s">
        <v>57</v>
      </c>
      <c r="S452">
        <v>1</v>
      </c>
      <c r="T452">
        <v>22</v>
      </c>
      <c r="V452">
        <v>50</v>
      </c>
      <c r="W452" t="s">
        <v>72</v>
      </c>
      <c r="X452" t="s">
        <v>114</v>
      </c>
      <c r="Y452">
        <v>30</v>
      </c>
      <c r="AB452">
        <v>1.7</v>
      </c>
      <c r="AC452" t="s">
        <v>85</v>
      </c>
      <c r="AD452" t="s">
        <v>482</v>
      </c>
      <c r="AE452" t="s">
        <v>63</v>
      </c>
      <c r="AI452">
        <v>5</v>
      </c>
      <c r="AT452" t="s">
        <v>73</v>
      </c>
      <c r="AV452" t="s">
        <v>88</v>
      </c>
    </row>
    <row r="453" spans="1:48" x14ac:dyDescent="0.3">
      <c r="A453" t="s">
        <v>1380</v>
      </c>
      <c r="C453" t="s">
        <v>1275</v>
      </c>
      <c r="D453" t="s">
        <v>81</v>
      </c>
      <c r="E453">
        <v>20000000</v>
      </c>
      <c r="H453">
        <v>8.5</v>
      </c>
      <c r="I453" t="s">
        <v>56</v>
      </c>
      <c r="J453">
        <v>8.5000000000000006E-4</v>
      </c>
      <c r="K453" t="s">
        <v>57</v>
      </c>
      <c r="S453">
        <v>1</v>
      </c>
      <c r="T453">
        <v>22</v>
      </c>
      <c r="V453">
        <v>50</v>
      </c>
      <c r="W453" t="s">
        <v>76</v>
      </c>
      <c r="X453" t="s">
        <v>114</v>
      </c>
      <c r="Y453">
        <v>30</v>
      </c>
      <c r="AB453">
        <v>0.7</v>
      </c>
      <c r="AC453" t="s">
        <v>85</v>
      </c>
      <c r="AD453" t="s">
        <v>234</v>
      </c>
      <c r="AE453" t="s">
        <v>63</v>
      </c>
      <c r="AI453">
        <v>5</v>
      </c>
      <c r="AT453" t="s">
        <v>77</v>
      </c>
      <c r="AV453" t="s">
        <v>88</v>
      </c>
    </row>
    <row r="454" spans="1:48" x14ac:dyDescent="0.3">
      <c r="A454" t="s">
        <v>1380</v>
      </c>
      <c r="C454" t="s">
        <v>1275</v>
      </c>
      <c r="D454" t="s">
        <v>81</v>
      </c>
      <c r="E454">
        <v>20000000</v>
      </c>
      <c r="H454">
        <v>8.5</v>
      </c>
      <c r="I454" t="s">
        <v>56</v>
      </c>
      <c r="J454">
        <v>8.5000000000000006E-4</v>
      </c>
      <c r="K454" t="s">
        <v>57</v>
      </c>
      <c r="S454">
        <v>1</v>
      </c>
      <c r="T454">
        <v>22</v>
      </c>
      <c r="V454">
        <v>50</v>
      </c>
      <c r="W454" t="s">
        <v>76</v>
      </c>
      <c r="X454" t="s">
        <v>114</v>
      </c>
      <c r="Y454">
        <v>30</v>
      </c>
      <c r="AB454">
        <v>0.3</v>
      </c>
      <c r="AC454" t="s">
        <v>85</v>
      </c>
      <c r="AD454" t="s">
        <v>248</v>
      </c>
      <c r="AE454" t="s">
        <v>63</v>
      </c>
      <c r="AI454">
        <v>5</v>
      </c>
      <c r="AT454" t="s">
        <v>77</v>
      </c>
      <c r="AV454" t="s">
        <v>88</v>
      </c>
    </row>
    <row r="455" spans="1:48" x14ac:dyDescent="0.3">
      <c r="A455" t="s">
        <v>1380</v>
      </c>
      <c r="C455" t="s">
        <v>1275</v>
      </c>
      <c r="D455" t="s">
        <v>81</v>
      </c>
      <c r="E455">
        <v>20000000</v>
      </c>
      <c r="H455">
        <v>8.5</v>
      </c>
      <c r="I455" t="s">
        <v>56</v>
      </c>
      <c r="J455">
        <v>8.5000000000000006E-4</v>
      </c>
      <c r="K455" t="s">
        <v>57</v>
      </c>
      <c r="S455">
        <v>1</v>
      </c>
      <c r="T455">
        <v>22</v>
      </c>
      <c r="V455">
        <v>50</v>
      </c>
      <c r="W455" t="s">
        <v>76</v>
      </c>
      <c r="X455" t="s">
        <v>114</v>
      </c>
      <c r="Y455">
        <v>30</v>
      </c>
      <c r="AB455">
        <v>0.3</v>
      </c>
      <c r="AC455" t="s">
        <v>85</v>
      </c>
      <c r="AD455" t="s">
        <v>418</v>
      </c>
      <c r="AE455" t="s">
        <v>63</v>
      </c>
      <c r="AI455">
        <v>5</v>
      </c>
      <c r="AT455" t="s">
        <v>77</v>
      </c>
      <c r="AV455" t="s">
        <v>88</v>
      </c>
    </row>
    <row r="456" spans="1:48" x14ac:dyDescent="0.3">
      <c r="A456" t="s">
        <v>1380</v>
      </c>
      <c r="C456" t="s">
        <v>1275</v>
      </c>
      <c r="D456" t="s">
        <v>81</v>
      </c>
      <c r="E456">
        <v>20000000</v>
      </c>
      <c r="H456">
        <v>8.5</v>
      </c>
      <c r="I456" t="s">
        <v>56</v>
      </c>
      <c r="J456">
        <v>8.5000000000000006E-4</v>
      </c>
      <c r="K456" t="s">
        <v>57</v>
      </c>
      <c r="S456">
        <v>1</v>
      </c>
      <c r="T456">
        <v>22</v>
      </c>
      <c r="V456">
        <v>50</v>
      </c>
      <c r="W456" t="s">
        <v>147</v>
      </c>
      <c r="X456" t="s">
        <v>114</v>
      </c>
      <c r="Y456">
        <v>30</v>
      </c>
      <c r="AB456">
        <v>3.3</v>
      </c>
      <c r="AC456" t="s">
        <v>85</v>
      </c>
      <c r="AD456" t="s">
        <v>331</v>
      </c>
      <c r="AE456" t="s">
        <v>63</v>
      </c>
      <c r="AI456">
        <v>5</v>
      </c>
      <c r="AT456" t="s">
        <v>150</v>
      </c>
      <c r="AV456" t="s">
        <v>88</v>
      </c>
    </row>
    <row r="457" spans="1:48" x14ac:dyDescent="0.3">
      <c r="A457" t="s">
        <v>1380</v>
      </c>
      <c r="C457" t="s">
        <v>1275</v>
      </c>
      <c r="D457" t="s">
        <v>81</v>
      </c>
      <c r="E457">
        <v>20000000</v>
      </c>
      <c r="H457">
        <v>8.5</v>
      </c>
      <c r="I457" t="s">
        <v>56</v>
      </c>
      <c r="J457">
        <v>8.5000000000000006E-4</v>
      </c>
      <c r="K457" t="s">
        <v>57</v>
      </c>
      <c r="S457">
        <v>1</v>
      </c>
      <c r="T457">
        <v>22</v>
      </c>
      <c r="V457">
        <v>50</v>
      </c>
      <c r="W457" t="s">
        <v>147</v>
      </c>
      <c r="X457" t="s">
        <v>114</v>
      </c>
      <c r="Y457">
        <v>30</v>
      </c>
      <c r="AB457">
        <v>4.9000000000000004</v>
      </c>
      <c r="AC457" t="s">
        <v>85</v>
      </c>
      <c r="AD457" t="s">
        <v>130</v>
      </c>
      <c r="AE457" t="s">
        <v>63</v>
      </c>
      <c r="AI457">
        <v>5</v>
      </c>
      <c r="AT457" t="s">
        <v>150</v>
      </c>
      <c r="AV457" t="s">
        <v>88</v>
      </c>
    </row>
    <row r="458" spans="1:48" x14ac:dyDescent="0.3">
      <c r="A458" t="s">
        <v>1380</v>
      </c>
      <c r="C458" t="s">
        <v>1275</v>
      </c>
      <c r="D458" t="s">
        <v>81</v>
      </c>
      <c r="E458">
        <v>20000000</v>
      </c>
      <c r="H458">
        <v>8.5</v>
      </c>
      <c r="I458" t="s">
        <v>56</v>
      </c>
      <c r="J458">
        <v>8.5000000000000006E-4</v>
      </c>
      <c r="K458" t="s">
        <v>57</v>
      </c>
      <c r="S458">
        <v>1</v>
      </c>
      <c r="T458">
        <v>22</v>
      </c>
      <c r="V458">
        <v>50</v>
      </c>
      <c r="W458" t="s">
        <v>147</v>
      </c>
      <c r="X458" t="s">
        <v>114</v>
      </c>
      <c r="Y458">
        <v>30</v>
      </c>
      <c r="AB458">
        <v>3.5</v>
      </c>
      <c r="AC458" t="s">
        <v>85</v>
      </c>
      <c r="AD458" t="s">
        <v>332</v>
      </c>
      <c r="AE458" t="s">
        <v>63</v>
      </c>
      <c r="AI458">
        <v>5</v>
      </c>
      <c r="AT458" t="s">
        <v>150</v>
      </c>
      <c r="AV458" t="s">
        <v>88</v>
      </c>
    </row>
    <row r="459" spans="1:48" x14ac:dyDescent="0.3">
      <c r="A459" t="s">
        <v>1380</v>
      </c>
      <c r="C459" t="s">
        <v>1275</v>
      </c>
      <c r="D459" t="s">
        <v>81</v>
      </c>
      <c r="E459">
        <v>20000000</v>
      </c>
      <c r="H459">
        <v>8.5</v>
      </c>
      <c r="I459" t="s">
        <v>56</v>
      </c>
      <c r="J459">
        <v>8.5000000000000006E-4</v>
      </c>
      <c r="K459" t="s">
        <v>57</v>
      </c>
      <c r="S459">
        <v>1</v>
      </c>
      <c r="T459">
        <v>22</v>
      </c>
      <c r="V459">
        <v>50</v>
      </c>
      <c r="W459" t="s">
        <v>147</v>
      </c>
      <c r="X459" t="s">
        <v>114</v>
      </c>
      <c r="Y459">
        <v>30</v>
      </c>
      <c r="AB459">
        <v>5.3</v>
      </c>
      <c r="AC459" t="s">
        <v>85</v>
      </c>
      <c r="AD459" t="s">
        <v>340</v>
      </c>
      <c r="AE459" t="s">
        <v>63</v>
      </c>
      <c r="AI459">
        <v>5</v>
      </c>
      <c r="AT459" t="s">
        <v>150</v>
      </c>
      <c r="AV459" t="s">
        <v>88</v>
      </c>
    </row>
    <row r="460" spans="1:48" x14ac:dyDescent="0.3">
      <c r="A460" t="s">
        <v>1380</v>
      </c>
      <c r="C460" t="s">
        <v>1275</v>
      </c>
      <c r="D460" t="s">
        <v>81</v>
      </c>
      <c r="E460">
        <v>20000000</v>
      </c>
      <c r="H460">
        <v>8.5</v>
      </c>
      <c r="I460" t="s">
        <v>56</v>
      </c>
      <c r="J460">
        <v>8.5000000000000006E-4</v>
      </c>
      <c r="K460" t="s">
        <v>57</v>
      </c>
      <c r="S460">
        <v>1</v>
      </c>
      <c r="T460">
        <v>22</v>
      </c>
      <c r="V460">
        <v>50</v>
      </c>
      <c r="W460" t="s">
        <v>147</v>
      </c>
      <c r="X460" t="s">
        <v>114</v>
      </c>
      <c r="Y460">
        <v>30</v>
      </c>
      <c r="AB460">
        <v>3.5</v>
      </c>
      <c r="AC460" t="s">
        <v>85</v>
      </c>
      <c r="AD460" t="s">
        <v>480</v>
      </c>
      <c r="AE460" t="s">
        <v>63</v>
      </c>
      <c r="AI460">
        <v>5</v>
      </c>
      <c r="AT460" t="s">
        <v>150</v>
      </c>
      <c r="AV460" t="s">
        <v>88</v>
      </c>
    </row>
    <row r="461" spans="1:48" x14ac:dyDescent="0.3">
      <c r="A461" t="s">
        <v>1380</v>
      </c>
      <c r="C461" t="s">
        <v>1275</v>
      </c>
      <c r="D461" t="s">
        <v>81</v>
      </c>
      <c r="E461">
        <v>20000000</v>
      </c>
      <c r="H461">
        <v>8.5</v>
      </c>
      <c r="I461" t="s">
        <v>56</v>
      </c>
      <c r="J461">
        <v>8.5000000000000006E-4</v>
      </c>
      <c r="K461" t="s">
        <v>57</v>
      </c>
      <c r="S461">
        <v>1</v>
      </c>
      <c r="T461">
        <v>22</v>
      </c>
      <c r="V461">
        <v>50</v>
      </c>
      <c r="W461" t="s">
        <v>147</v>
      </c>
      <c r="X461" t="s">
        <v>114</v>
      </c>
      <c r="Y461">
        <v>30</v>
      </c>
      <c r="AB461">
        <v>2.6</v>
      </c>
      <c r="AC461" t="s">
        <v>85</v>
      </c>
      <c r="AD461" t="s">
        <v>626</v>
      </c>
      <c r="AE461" t="s">
        <v>63</v>
      </c>
      <c r="AI461">
        <v>5</v>
      </c>
      <c r="AT461" t="s">
        <v>150</v>
      </c>
      <c r="AV461" t="s">
        <v>88</v>
      </c>
    </row>
    <row r="462" spans="1:48" x14ac:dyDescent="0.3">
      <c r="A462" t="s">
        <v>1380</v>
      </c>
      <c r="C462" t="s">
        <v>1275</v>
      </c>
      <c r="D462" t="s">
        <v>81</v>
      </c>
      <c r="E462">
        <v>20000000</v>
      </c>
      <c r="H462">
        <v>8.5</v>
      </c>
      <c r="I462" t="s">
        <v>56</v>
      </c>
      <c r="J462">
        <v>8.5000000000000006E-4</v>
      </c>
      <c r="K462" t="s">
        <v>57</v>
      </c>
      <c r="S462">
        <v>1</v>
      </c>
      <c r="T462">
        <v>22</v>
      </c>
      <c r="V462">
        <v>50</v>
      </c>
      <c r="W462" t="s">
        <v>1381</v>
      </c>
      <c r="X462" t="s">
        <v>114</v>
      </c>
      <c r="Y462">
        <v>30</v>
      </c>
      <c r="AB462">
        <v>2.6</v>
      </c>
      <c r="AC462" t="s">
        <v>85</v>
      </c>
      <c r="AD462" t="s">
        <v>427</v>
      </c>
      <c r="AE462" t="s">
        <v>63</v>
      </c>
      <c r="AI462">
        <v>5</v>
      </c>
      <c r="AT462" t="s">
        <v>203</v>
      </c>
      <c r="AV462" t="s">
        <v>88</v>
      </c>
    </row>
    <row r="463" spans="1:48" x14ac:dyDescent="0.3">
      <c r="A463" t="s">
        <v>1380</v>
      </c>
      <c r="C463" t="s">
        <v>1275</v>
      </c>
      <c r="D463" t="s">
        <v>81</v>
      </c>
      <c r="E463">
        <v>20000000</v>
      </c>
      <c r="H463">
        <v>8.5</v>
      </c>
      <c r="I463" t="s">
        <v>56</v>
      </c>
      <c r="J463">
        <v>8.5000000000000006E-4</v>
      </c>
      <c r="K463" t="s">
        <v>57</v>
      </c>
      <c r="S463">
        <v>1</v>
      </c>
      <c r="T463">
        <v>22</v>
      </c>
      <c r="V463">
        <v>50</v>
      </c>
      <c r="W463" t="s">
        <v>1381</v>
      </c>
      <c r="X463" t="s">
        <v>114</v>
      </c>
      <c r="Y463">
        <v>30</v>
      </c>
      <c r="AB463">
        <v>4.2</v>
      </c>
      <c r="AC463" t="s">
        <v>85</v>
      </c>
      <c r="AD463" t="s">
        <v>525</v>
      </c>
      <c r="AE463" t="s">
        <v>63</v>
      </c>
      <c r="AI463">
        <v>5</v>
      </c>
      <c r="AT463" t="s">
        <v>203</v>
      </c>
      <c r="AV463" t="s">
        <v>88</v>
      </c>
    </row>
    <row r="464" spans="1:48" x14ac:dyDescent="0.3">
      <c r="A464" t="s">
        <v>1380</v>
      </c>
      <c r="C464" t="s">
        <v>1275</v>
      </c>
      <c r="D464" t="s">
        <v>81</v>
      </c>
      <c r="E464">
        <v>20000000</v>
      </c>
      <c r="H464">
        <v>8.5</v>
      </c>
      <c r="I464" t="s">
        <v>56</v>
      </c>
      <c r="J464">
        <v>8.5000000000000006E-4</v>
      </c>
      <c r="K464" t="s">
        <v>57</v>
      </c>
      <c r="S464">
        <v>1</v>
      </c>
      <c r="T464">
        <v>22</v>
      </c>
      <c r="V464">
        <v>50</v>
      </c>
      <c r="W464" t="s">
        <v>1381</v>
      </c>
      <c r="X464" t="s">
        <v>114</v>
      </c>
      <c r="Y464">
        <v>30</v>
      </c>
      <c r="AB464">
        <v>2.9</v>
      </c>
      <c r="AC464" t="s">
        <v>85</v>
      </c>
      <c r="AD464" t="s">
        <v>521</v>
      </c>
      <c r="AE464" t="s">
        <v>63</v>
      </c>
      <c r="AI464">
        <v>5</v>
      </c>
      <c r="AT464" t="s">
        <v>203</v>
      </c>
      <c r="AV464" t="s">
        <v>88</v>
      </c>
    </row>
    <row r="465" spans="1:48" x14ac:dyDescent="0.3">
      <c r="A465" t="s">
        <v>1380</v>
      </c>
      <c r="C465" t="s">
        <v>1275</v>
      </c>
      <c r="D465" t="s">
        <v>81</v>
      </c>
      <c r="E465">
        <v>20000000</v>
      </c>
      <c r="H465">
        <v>8.5</v>
      </c>
      <c r="I465" t="s">
        <v>56</v>
      </c>
      <c r="J465">
        <v>8.5000000000000006E-4</v>
      </c>
      <c r="K465" t="s">
        <v>57</v>
      </c>
      <c r="S465">
        <v>1</v>
      </c>
      <c r="T465">
        <v>22</v>
      </c>
      <c r="V465">
        <v>50</v>
      </c>
      <c r="W465" t="s">
        <v>1381</v>
      </c>
      <c r="X465" t="s">
        <v>114</v>
      </c>
      <c r="Y465">
        <v>30</v>
      </c>
      <c r="AB465">
        <v>2.6</v>
      </c>
      <c r="AC465" t="s">
        <v>85</v>
      </c>
      <c r="AD465" t="s">
        <v>106</v>
      </c>
      <c r="AE465" t="s">
        <v>63</v>
      </c>
      <c r="AI465">
        <v>5</v>
      </c>
      <c r="AT465" t="s">
        <v>203</v>
      </c>
      <c r="AV465" t="s">
        <v>88</v>
      </c>
    </row>
    <row r="466" spans="1:48" x14ac:dyDescent="0.3">
      <c r="A466" t="s">
        <v>1380</v>
      </c>
      <c r="C466" t="s">
        <v>1275</v>
      </c>
      <c r="D466" t="s">
        <v>81</v>
      </c>
      <c r="E466">
        <v>20000000</v>
      </c>
      <c r="H466">
        <v>8.5</v>
      </c>
      <c r="I466" t="s">
        <v>56</v>
      </c>
      <c r="J466">
        <v>8.5000000000000006E-4</v>
      </c>
      <c r="K466" t="s">
        <v>57</v>
      </c>
      <c r="S466">
        <v>1</v>
      </c>
      <c r="T466">
        <v>22</v>
      </c>
      <c r="V466">
        <v>50</v>
      </c>
      <c r="W466" t="s">
        <v>1381</v>
      </c>
      <c r="X466" t="s">
        <v>114</v>
      </c>
      <c r="Y466">
        <v>30</v>
      </c>
      <c r="AB466">
        <v>3.7</v>
      </c>
      <c r="AC466" t="s">
        <v>85</v>
      </c>
      <c r="AD466" t="s">
        <v>331</v>
      </c>
      <c r="AE466" t="s">
        <v>63</v>
      </c>
      <c r="AI466">
        <v>5</v>
      </c>
      <c r="AT466" t="s">
        <v>203</v>
      </c>
      <c r="AV466" t="s">
        <v>88</v>
      </c>
    </row>
    <row r="467" spans="1:48" x14ac:dyDescent="0.3">
      <c r="A467" t="s">
        <v>1380</v>
      </c>
      <c r="C467" t="s">
        <v>1275</v>
      </c>
      <c r="D467" t="s">
        <v>81</v>
      </c>
      <c r="E467">
        <v>20000000</v>
      </c>
      <c r="H467">
        <v>8.5</v>
      </c>
      <c r="I467" t="s">
        <v>56</v>
      </c>
      <c r="J467">
        <v>8.5000000000000006E-4</v>
      </c>
      <c r="K467" t="s">
        <v>57</v>
      </c>
      <c r="S467">
        <v>1</v>
      </c>
      <c r="T467">
        <v>22</v>
      </c>
      <c r="V467">
        <v>50</v>
      </c>
      <c r="W467" t="s">
        <v>1381</v>
      </c>
      <c r="X467" t="s">
        <v>114</v>
      </c>
      <c r="Y467">
        <v>30</v>
      </c>
      <c r="AB467">
        <v>3</v>
      </c>
      <c r="AC467" t="s">
        <v>85</v>
      </c>
      <c r="AD467" t="s">
        <v>626</v>
      </c>
      <c r="AE467" t="s">
        <v>63</v>
      </c>
      <c r="AI467">
        <v>5</v>
      </c>
      <c r="AT467" t="s">
        <v>203</v>
      </c>
      <c r="AV467" t="s">
        <v>88</v>
      </c>
    </row>
    <row r="468" spans="1:48" x14ac:dyDescent="0.3">
      <c r="A468" t="s">
        <v>1380</v>
      </c>
      <c r="C468" t="s">
        <v>1275</v>
      </c>
      <c r="D468" t="s">
        <v>81</v>
      </c>
      <c r="E468">
        <v>2000000</v>
      </c>
      <c r="H468">
        <v>8.5</v>
      </c>
      <c r="I468" t="s">
        <v>56</v>
      </c>
      <c r="J468">
        <v>8.5000000000000006E-4</v>
      </c>
      <c r="K468" t="s">
        <v>57</v>
      </c>
      <c r="S468">
        <v>1</v>
      </c>
      <c r="T468">
        <v>22</v>
      </c>
      <c r="V468">
        <v>50</v>
      </c>
      <c r="W468" t="s">
        <v>74</v>
      </c>
      <c r="X468" t="s">
        <v>114</v>
      </c>
      <c r="Y468">
        <v>30</v>
      </c>
      <c r="AB468">
        <v>2</v>
      </c>
      <c r="AC468" t="s">
        <v>85</v>
      </c>
      <c r="AD468" t="s">
        <v>440</v>
      </c>
      <c r="AE468" t="s">
        <v>63</v>
      </c>
      <c r="AI468">
        <v>5</v>
      </c>
      <c r="AT468" t="s">
        <v>75</v>
      </c>
      <c r="AV468" t="s">
        <v>88</v>
      </c>
    </row>
    <row r="469" spans="1:48" x14ac:dyDescent="0.3">
      <c r="A469" t="s">
        <v>1380</v>
      </c>
      <c r="C469" t="s">
        <v>1275</v>
      </c>
      <c r="D469" t="s">
        <v>81</v>
      </c>
      <c r="E469">
        <v>2000000</v>
      </c>
      <c r="H469">
        <v>8.5</v>
      </c>
      <c r="I469" t="s">
        <v>56</v>
      </c>
      <c r="J469">
        <v>8.5000000000000006E-4</v>
      </c>
      <c r="K469" t="s">
        <v>57</v>
      </c>
      <c r="S469">
        <v>1</v>
      </c>
      <c r="T469">
        <v>22</v>
      </c>
      <c r="V469">
        <v>50</v>
      </c>
      <c r="W469" t="s">
        <v>74</v>
      </c>
      <c r="X469" t="s">
        <v>114</v>
      </c>
      <c r="Y469">
        <v>30</v>
      </c>
      <c r="AB469">
        <v>3.7</v>
      </c>
      <c r="AC469" t="s">
        <v>85</v>
      </c>
      <c r="AD469" t="s">
        <v>649</v>
      </c>
      <c r="AE469" t="s">
        <v>63</v>
      </c>
      <c r="AI469">
        <v>5</v>
      </c>
      <c r="AT469" t="s">
        <v>75</v>
      </c>
      <c r="AV469" t="s">
        <v>88</v>
      </c>
    </row>
    <row r="470" spans="1:48" x14ac:dyDescent="0.3">
      <c r="A470" t="s">
        <v>1380</v>
      </c>
      <c r="C470" t="s">
        <v>1275</v>
      </c>
      <c r="D470" t="s">
        <v>81</v>
      </c>
      <c r="E470">
        <v>2000000</v>
      </c>
      <c r="H470">
        <v>8.5</v>
      </c>
      <c r="I470" t="s">
        <v>56</v>
      </c>
      <c r="J470">
        <v>8.5000000000000006E-4</v>
      </c>
      <c r="K470" t="s">
        <v>57</v>
      </c>
      <c r="S470">
        <v>1</v>
      </c>
      <c r="T470">
        <v>22</v>
      </c>
      <c r="V470">
        <v>50</v>
      </c>
      <c r="W470" t="s">
        <v>74</v>
      </c>
      <c r="X470" t="s">
        <v>114</v>
      </c>
      <c r="Y470">
        <v>30</v>
      </c>
      <c r="AB470">
        <v>2.2000000000000002</v>
      </c>
      <c r="AC470" t="s">
        <v>85</v>
      </c>
      <c r="AD470" t="s">
        <v>106</v>
      </c>
      <c r="AE470" t="s">
        <v>63</v>
      </c>
      <c r="AI470">
        <v>5</v>
      </c>
      <c r="AT470" t="s">
        <v>75</v>
      </c>
      <c r="AV470" t="s">
        <v>88</v>
      </c>
    </row>
    <row r="471" spans="1:48" x14ac:dyDescent="0.3">
      <c r="A471" t="s">
        <v>1380</v>
      </c>
      <c r="C471" t="s">
        <v>1275</v>
      </c>
      <c r="D471" t="s">
        <v>81</v>
      </c>
      <c r="E471">
        <v>2000000</v>
      </c>
      <c r="H471">
        <v>8.5</v>
      </c>
      <c r="I471" t="s">
        <v>56</v>
      </c>
      <c r="J471">
        <v>8.5000000000000006E-4</v>
      </c>
      <c r="K471" t="s">
        <v>57</v>
      </c>
      <c r="S471">
        <v>1</v>
      </c>
      <c r="T471">
        <v>22</v>
      </c>
      <c r="V471">
        <v>50</v>
      </c>
      <c r="W471" t="s">
        <v>74</v>
      </c>
      <c r="X471" t="s">
        <v>114</v>
      </c>
      <c r="Y471">
        <v>30</v>
      </c>
      <c r="AB471">
        <v>3</v>
      </c>
      <c r="AC471" t="s">
        <v>85</v>
      </c>
      <c r="AD471" t="s">
        <v>482</v>
      </c>
      <c r="AE471" t="s">
        <v>63</v>
      </c>
      <c r="AI471">
        <v>5</v>
      </c>
      <c r="AT471" t="s">
        <v>75</v>
      </c>
      <c r="AV471" t="s">
        <v>88</v>
      </c>
    </row>
    <row r="472" spans="1:48" x14ac:dyDescent="0.3">
      <c r="A472" t="s">
        <v>1380</v>
      </c>
      <c r="C472" t="s">
        <v>1275</v>
      </c>
      <c r="D472" t="s">
        <v>81</v>
      </c>
      <c r="E472">
        <v>2000000</v>
      </c>
      <c r="H472">
        <v>8.5</v>
      </c>
      <c r="I472" t="s">
        <v>56</v>
      </c>
      <c r="J472">
        <v>8.5000000000000006E-4</v>
      </c>
      <c r="K472" t="s">
        <v>57</v>
      </c>
      <c r="S472">
        <v>1</v>
      </c>
      <c r="T472">
        <v>22</v>
      </c>
      <c r="V472">
        <v>50</v>
      </c>
      <c r="W472" t="s">
        <v>74</v>
      </c>
      <c r="X472" t="s">
        <v>114</v>
      </c>
      <c r="Y472">
        <v>30</v>
      </c>
      <c r="AB472">
        <v>2.1</v>
      </c>
      <c r="AC472" t="s">
        <v>85</v>
      </c>
      <c r="AD472" t="s">
        <v>517</v>
      </c>
      <c r="AE472" t="s">
        <v>63</v>
      </c>
      <c r="AI472">
        <v>5</v>
      </c>
      <c r="AT472" t="s">
        <v>75</v>
      </c>
      <c r="AV472" t="s">
        <v>88</v>
      </c>
    </row>
    <row r="473" spans="1:48" x14ac:dyDescent="0.3">
      <c r="A473" t="s">
        <v>1380</v>
      </c>
      <c r="C473" t="s">
        <v>1275</v>
      </c>
      <c r="D473" t="s">
        <v>81</v>
      </c>
      <c r="E473">
        <v>2000000</v>
      </c>
      <c r="H473">
        <v>8.5</v>
      </c>
      <c r="I473" t="s">
        <v>56</v>
      </c>
      <c r="J473">
        <v>8.5000000000000006E-4</v>
      </c>
      <c r="K473" t="s">
        <v>57</v>
      </c>
      <c r="S473">
        <v>1</v>
      </c>
      <c r="T473">
        <v>22</v>
      </c>
      <c r="V473">
        <v>50</v>
      </c>
      <c r="W473" t="s">
        <v>74</v>
      </c>
      <c r="X473" t="s">
        <v>114</v>
      </c>
      <c r="Y473">
        <v>30</v>
      </c>
      <c r="AB473">
        <v>2.7</v>
      </c>
      <c r="AC473" t="s">
        <v>85</v>
      </c>
      <c r="AD473" t="s">
        <v>437</v>
      </c>
      <c r="AE473" t="s">
        <v>63</v>
      </c>
      <c r="AI473">
        <v>5</v>
      </c>
      <c r="AT473" t="s">
        <v>75</v>
      </c>
      <c r="AV473" t="s">
        <v>88</v>
      </c>
    </row>
    <row r="474" spans="1:48" x14ac:dyDescent="0.3">
      <c r="A474" t="s">
        <v>618</v>
      </c>
      <c r="C474" t="s">
        <v>1275</v>
      </c>
      <c r="D474" t="s">
        <v>81</v>
      </c>
      <c r="E474">
        <v>2000000</v>
      </c>
      <c r="H474">
        <v>2.54</v>
      </c>
      <c r="I474" t="s">
        <v>56</v>
      </c>
      <c r="J474">
        <v>2.5399999999999999E-4</v>
      </c>
      <c r="K474" t="s">
        <v>57</v>
      </c>
      <c r="L474" t="s">
        <v>112</v>
      </c>
      <c r="O474">
        <v>6350</v>
      </c>
      <c r="P474" t="s">
        <v>121</v>
      </c>
      <c r="T474">
        <v>25</v>
      </c>
      <c r="V474">
        <v>50</v>
      </c>
      <c r="W474" t="s">
        <v>73</v>
      </c>
      <c r="X474" t="s">
        <v>135</v>
      </c>
      <c r="AB474">
        <v>2.1321840709984498E-3</v>
      </c>
      <c r="AC474" t="s">
        <v>85</v>
      </c>
      <c r="AE474" t="s">
        <v>63</v>
      </c>
      <c r="AI474">
        <v>5</v>
      </c>
      <c r="AT474" t="s">
        <v>73</v>
      </c>
      <c r="AV474" t="s">
        <v>88</v>
      </c>
    </row>
    <row r="475" spans="1:48" x14ac:dyDescent="0.3">
      <c r="A475" t="s">
        <v>618</v>
      </c>
      <c r="C475" t="s">
        <v>1275</v>
      </c>
      <c r="D475" t="s">
        <v>81</v>
      </c>
      <c r="E475">
        <v>2000000</v>
      </c>
      <c r="H475">
        <v>2.54</v>
      </c>
      <c r="I475" t="s">
        <v>56</v>
      </c>
      <c r="J475">
        <v>2.5399999999999999E-4</v>
      </c>
      <c r="K475" t="s">
        <v>57</v>
      </c>
      <c r="L475" t="s">
        <v>112</v>
      </c>
      <c r="O475">
        <v>6350</v>
      </c>
      <c r="P475" t="s">
        <v>121</v>
      </c>
      <c r="T475">
        <v>25</v>
      </c>
      <c r="V475">
        <v>50</v>
      </c>
      <c r="W475" t="s">
        <v>73</v>
      </c>
      <c r="X475" t="s">
        <v>135</v>
      </c>
      <c r="Y475">
        <v>9.8506904080069813</v>
      </c>
      <c r="AB475">
        <v>5.6253366979510501E-3</v>
      </c>
      <c r="AC475" t="s">
        <v>85</v>
      </c>
      <c r="AE475" t="s">
        <v>63</v>
      </c>
      <c r="AI475">
        <v>5</v>
      </c>
      <c r="AT475" t="s">
        <v>73</v>
      </c>
      <c r="AV475" t="s">
        <v>88</v>
      </c>
    </row>
    <row r="476" spans="1:48" x14ac:dyDescent="0.3">
      <c r="A476" t="s">
        <v>618</v>
      </c>
      <c r="C476" t="s">
        <v>1275</v>
      </c>
      <c r="D476" t="s">
        <v>81</v>
      </c>
      <c r="E476">
        <v>1000000</v>
      </c>
      <c r="H476">
        <v>2.54</v>
      </c>
      <c r="I476" t="s">
        <v>56</v>
      </c>
      <c r="J476">
        <v>2.5399999999999999E-4</v>
      </c>
      <c r="K476" t="s">
        <v>57</v>
      </c>
      <c r="L476" t="s">
        <v>112</v>
      </c>
      <c r="O476">
        <v>6350</v>
      </c>
      <c r="P476" t="s">
        <v>121</v>
      </c>
      <c r="T476">
        <v>25</v>
      </c>
      <c r="V476">
        <v>50</v>
      </c>
      <c r="W476" t="s">
        <v>73</v>
      </c>
      <c r="X476" t="s">
        <v>135</v>
      </c>
      <c r="Y476">
        <v>30.184581360401399</v>
      </c>
      <c r="AB476">
        <v>0.45964444696475598</v>
      </c>
      <c r="AC476" t="s">
        <v>85</v>
      </c>
      <c r="AE476" t="s">
        <v>63</v>
      </c>
      <c r="AI476">
        <v>5</v>
      </c>
      <c r="AT476" t="s">
        <v>73</v>
      </c>
      <c r="AV476" t="s">
        <v>88</v>
      </c>
    </row>
    <row r="477" spans="1:48" x14ac:dyDescent="0.3">
      <c r="A477" t="s">
        <v>618</v>
      </c>
      <c r="C477" t="s">
        <v>1275</v>
      </c>
      <c r="D477" t="s">
        <v>81</v>
      </c>
      <c r="E477">
        <v>1000000</v>
      </c>
      <c r="H477">
        <v>2.54</v>
      </c>
      <c r="I477" t="s">
        <v>56</v>
      </c>
      <c r="J477">
        <v>2.5399999999999999E-4</v>
      </c>
      <c r="K477" t="s">
        <v>57</v>
      </c>
      <c r="L477" t="s">
        <v>112</v>
      </c>
      <c r="O477">
        <v>6350</v>
      </c>
      <c r="P477" t="s">
        <v>121</v>
      </c>
      <c r="T477">
        <v>25</v>
      </c>
      <c r="V477">
        <v>50</v>
      </c>
      <c r="W477" t="s">
        <v>73</v>
      </c>
      <c r="X477" t="s">
        <v>135</v>
      </c>
      <c r="Y477">
        <v>60.123507896452189</v>
      </c>
      <c r="AB477">
        <v>0.27877172587825</v>
      </c>
      <c r="AC477" t="s">
        <v>85</v>
      </c>
      <c r="AE477" t="s">
        <v>63</v>
      </c>
      <c r="AI477">
        <v>5</v>
      </c>
      <c r="AT477" t="s">
        <v>73</v>
      </c>
      <c r="AV477" t="s">
        <v>88</v>
      </c>
    </row>
    <row r="478" spans="1:48" x14ac:dyDescent="0.3">
      <c r="A478" t="s">
        <v>618</v>
      </c>
      <c r="C478" t="s">
        <v>1275</v>
      </c>
      <c r="D478" t="s">
        <v>81</v>
      </c>
      <c r="E478">
        <v>1000000</v>
      </c>
      <c r="H478">
        <v>2.54</v>
      </c>
      <c r="I478" t="s">
        <v>56</v>
      </c>
      <c r="J478">
        <v>2.5399999999999999E-4</v>
      </c>
      <c r="K478" t="s">
        <v>57</v>
      </c>
      <c r="L478" t="s">
        <v>112</v>
      </c>
      <c r="O478">
        <v>6350</v>
      </c>
      <c r="P478" t="s">
        <v>121</v>
      </c>
      <c r="T478">
        <v>25</v>
      </c>
      <c r="V478">
        <v>50</v>
      </c>
      <c r="W478" t="s">
        <v>73</v>
      </c>
      <c r="X478" t="s">
        <v>135</v>
      </c>
      <c r="AB478">
        <v>2.3363293543906202E-2</v>
      </c>
      <c r="AC478" t="s">
        <v>85</v>
      </c>
      <c r="AE478" t="s">
        <v>63</v>
      </c>
      <c r="AI478">
        <v>5</v>
      </c>
      <c r="AT478" t="s">
        <v>73</v>
      </c>
      <c r="AV478" t="s">
        <v>88</v>
      </c>
    </row>
    <row r="479" spans="1:48" x14ac:dyDescent="0.3">
      <c r="A479" t="s">
        <v>618</v>
      </c>
      <c r="C479" t="s">
        <v>1275</v>
      </c>
      <c r="D479" t="s">
        <v>81</v>
      </c>
      <c r="E479">
        <v>1000000</v>
      </c>
      <c r="H479">
        <v>2.54</v>
      </c>
      <c r="I479" t="s">
        <v>56</v>
      </c>
      <c r="J479">
        <v>2.5399999999999999E-4</v>
      </c>
      <c r="K479" t="s">
        <v>57</v>
      </c>
      <c r="L479" t="s">
        <v>112</v>
      </c>
      <c r="O479">
        <v>6350</v>
      </c>
      <c r="P479" t="s">
        <v>121</v>
      </c>
      <c r="T479">
        <v>25</v>
      </c>
      <c r="V479">
        <v>50</v>
      </c>
      <c r="W479" t="s">
        <v>73</v>
      </c>
      <c r="X479" t="s">
        <v>135</v>
      </c>
      <c r="Y479">
        <v>9.8275539425557792</v>
      </c>
      <c r="AB479">
        <v>1.45242564291587</v>
      </c>
      <c r="AC479" t="s">
        <v>85</v>
      </c>
      <c r="AE479" t="s">
        <v>63</v>
      </c>
      <c r="AI479">
        <v>5</v>
      </c>
      <c r="AT479" t="s">
        <v>73</v>
      </c>
      <c r="AV479" t="s">
        <v>88</v>
      </c>
    </row>
    <row r="480" spans="1:48" x14ac:dyDescent="0.3">
      <c r="A480" t="s">
        <v>618</v>
      </c>
      <c r="C480" t="s">
        <v>1275</v>
      </c>
      <c r="D480" t="s">
        <v>81</v>
      </c>
      <c r="E480">
        <v>1000000</v>
      </c>
      <c r="H480">
        <v>2.54</v>
      </c>
      <c r="I480" t="s">
        <v>56</v>
      </c>
      <c r="J480">
        <v>2.5399999999999999E-4</v>
      </c>
      <c r="K480" t="s">
        <v>57</v>
      </c>
      <c r="L480" t="s">
        <v>112</v>
      </c>
      <c r="O480">
        <v>6350</v>
      </c>
      <c r="P480" t="s">
        <v>121</v>
      </c>
      <c r="T480">
        <v>25</v>
      </c>
      <c r="V480">
        <v>50</v>
      </c>
      <c r="W480" t="s">
        <v>73</v>
      </c>
      <c r="X480" t="s">
        <v>135</v>
      </c>
      <c r="Y480">
        <v>29.769826192973941</v>
      </c>
      <c r="AB480">
        <v>2.3956675834302001</v>
      </c>
      <c r="AC480" t="s">
        <v>85</v>
      </c>
      <c r="AE480" t="s">
        <v>63</v>
      </c>
      <c r="AI480">
        <v>5</v>
      </c>
      <c r="AT480" t="s">
        <v>73</v>
      </c>
      <c r="AV480" t="s">
        <v>88</v>
      </c>
    </row>
    <row r="481" spans="1:48" x14ac:dyDescent="0.3">
      <c r="A481" t="s">
        <v>618</v>
      </c>
      <c r="C481" t="s">
        <v>1275</v>
      </c>
      <c r="D481" t="s">
        <v>81</v>
      </c>
      <c r="E481">
        <v>1000000</v>
      </c>
      <c r="H481">
        <v>2.54</v>
      </c>
      <c r="I481" t="s">
        <v>56</v>
      </c>
      <c r="J481">
        <v>2.5399999999999999E-4</v>
      </c>
      <c r="K481" t="s">
        <v>57</v>
      </c>
      <c r="L481" t="s">
        <v>112</v>
      </c>
      <c r="O481">
        <v>6350</v>
      </c>
      <c r="P481" t="s">
        <v>121</v>
      </c>
      <c r="T481">
        <v>25</v>
      </c>
      <c r="V481">
        <v>50</v>
      </c>
      <c r="W481" t="s">
        <v>73</v>
      </c>
      <c r="X481" t="s">
        <v>135</v>
      </c>
      <c r="Y481">
        <v>59.9554282797924</v>
      </c>
      <c r="AB481">
        <v>2.78935042104963</v>
      </c>
      <c r="AC481" t="s">
        <v>85</v>
      </c>
      <c r="AE481" t="s">
        <v>63</v>
      </c>
      <c r="AI481">
        <v>5</v>
      </c>
      <c r="AT481" t="s">
        <v>73</v>
      </c>
      <c r="AV481" t="s">
        <v>88</v>
      </c>
    </row>
    <row r="482" spans="1:48" x14ac:dyDescent="0.3">
      <c r="A482" t="s">
        <v>618</v>
      </c>
      <c r="C482" t="s">
        <v>1275</v>
      </c>
      <c r="D482" t="s">
        <v>81</v>
      </c>
      <c r="E482">
        <v>1000000</v>
      </c>
      <c r="H482">
        <v>2.54</v>
      </c>
      <c r="I482" t="s">
        <v>56</v>
      </c>
      <c r="J482">
        <v>2.5399999999999999E-4</v>
      </c>
      <c r="K482" t="s">
        <v>57</v>
      </c>
      <c r="L482" t="s">
        <v>112</v>
      </c>
      <c r="O482">
        <v>6350</v>
      </c>
      <c r="P482" t="s">
        <v>121</v>
      </c>
      <c r="T482">
        <v>25</v>
      </c>
      <c r="V482">
        <v>50</v>
      </c>
      <c r="W482" t="s">
        <v>620</v>
      </c>
      <c r="X482" t="s">
        <v>135</v>
      </c>
      <c r="AB482">
        <v>3.54767184035467E-2</v>
      </c>
      <c r="AC482" t="s">
        <v>85</v>
      </c>
      <c r="AE482" t="s">
        <v>63</v>
      </c>
      <c r="AI482">
        <v>5</v>
      </c>
      <c r="AT482" t="s">
        <v>65</v>
      </c>
      <c r="AV482" t="s">
        <v>88</v>
      </c>
    </row>
    <row r="483" spans="1:48" x14ac:dyDescent="0.3">
      <c r="A483" t="s">
        <v>618</v>
      </c>
      <c r="C483" t="s">
        <v>1275</v>
      </c>
      <c r="D483" t="s">
        <v>81</v>
      </c>
      <c r="E483">
        <v>1000000</v>
      </c>
      <c r="H483">
        <v>2.54</v>
      </c>
      <c r="I483" t="s">
        <v>56</v>
      </c>
      <c r="J483">
        <v>2.5399999999999999E-4</v>
      </c>
      <c r="K483" t="s">
        <v>57</v>
      </c>
      <c r="L483" t="s">
        <v>112</v>
      </c>
      <c r="O483">
        <v>6350</v>
      </c>
      <c r="P483" t="s">
        <v>121</v>
      </c>
      <c r="T483">
        <v>25</v>
      </c>
      <c r="V483">
        <v>50</v>
      </c>
      <c r="W483" t="s">
        <v>620</v>
      </c>
      <c r="X483" t="s">
        <v>135</v>
      </c>
      <c r="Y483">
        <v>9.7165991902832989</v>
      </c>
      <c r="AB483">
        <v>1.1884700665188299</v>
      </c>
      <c r="AC483" t="s">
        <v>85</v>
      </c>
      <c r="AE483" t="s">
        <v>63</v>
      </c>
      <c r="AI483">
        <v>5</v>
      </c>
      <c r="AT483" t="s">
        <v>65</v>
      </c>
      <c r="AV483" t="s">
        <v>88</v>
      </c>
    </row>
    <row r="484" spans="1:48" x14ac:dyDescent="0.3">
      <c r="A484" t="s">
        <v>618</v>
      </c>
      <c r="C484" t="s">
        <v>1275</v>
      </c>
      <c r="D484" t="s">
        <v>81</v>
      </c>
      <c r="E484">
        <v>1000000</v>
      </c>
      <c r="H484">
        <v>2.54</v>
      </c>
      <c r="I484" t="s">
        <v>56</v>
      </c>
      <c r="J484">
        <v>2.5399999999999999E-4</v>
      </c>
      <c r="K484" t="s">
        <v>57</v>
      </c>
      <c r="L484" t="s">
        <v>112</v>
      </c>
      <c r="O484">
        <v>6350</v>
      </c>
      <c r="P484" t="s">
        <v>121</v>
      </c>
      <c r="T484">
        <v>25</v>
      </c>
      <c r="V484">
        <v>50</v>
      </c>
      <c r="W484" t="s">
        <v>620</v>
      </c>
      <c r="X484" t="s">
        <v>135</v>
      </c>
      <c r="Y484">
        <v>29.878542510121381</v>
      </c>
      <c r="AB484">
        <v>4.8248337028824801</v>
      </c>
      <c r="AC484" t="s">
        <v>85</v>
      </c>
      <c r="AE484" t="s">
        <v>63</v>
      </c>
      <c r="AI484">
        <v>5</v>
      </c>
      <c r="AT484" t="s">
        <v>65</v>
      </c>
      <c r="AV484" t="s">
        <v>88</v>
      </c>
    </row>
    <row r="485" spans="1:48" x14ac:dyDescent="0.3">
      <c r="A485" t="s">
        <v>618</v>
      </c>
      <c r="C485" t="s">
        <v>1275</v>
      </c>
      <c r="D485" t="s">
        <v>81</v>
      </c>
      <c r="E485">
        <v>1000000</v>
      </c>
      <c r="H485">
        <v>2.54</v>
      </c>
      <c r="I485" t="s">
        <v>56</v>
      </c>
      <c r="J485">
        <v>2.5399999999999999E-4</v>
      </c>
      <c r="K485" t="s">
        <v>57</v>
      </c>
      <c r="L485" t="s">
        <v>112</v>
      </c>
      <c r="O485">
        <v>6350</v>
      </c>
      <c r="P485" t="s">
        <v>121</v>
      </c>
      <c r="T485">
        <v>25</v>
      </c>
      <c r="V485">
        <v>50</v>
      </c>
      <c r="W485" t="s">
        <v>620</v>
      </c>
      <c r="X485" t="s">
        <v>135</v>
      </c>
      <c r="Y485">
        <v>60.121457489878203</v>
      </c>
      <c r="AB485">
        <v>4.3813747228381201</v>
      </c>
      <c r="AC485" t="s">
        <v>85</v>
      </c>
      <c r="AE485" t="s">
        <v>63</v>
      </c>
      <c r="AI485">
        <v>5</v>
      </c>
      <c r="AT485" t="s">
        <v>65</v>
      </c>
      <c r="AV485" t="s">
        <v>88</v>
      </c>
    </row>
    <row r="486" spans="1:48" x14ac:dyDescent="0.3">
      <c r="A486" t="s">
        <v>618</v>
      </c>
      <c r="C486" t="s">
        <v>1275</v>
      </c>
      <c r="D486" t="s">
        <v>81</v>
      </c>
      <c r="E486">
        <v>10000</v>
      </c>
      <c r="H486">
        <v>2.54</v>
      </c>
      <c r="I486" t="s">
        <v>56</v>
      </c>
      <c r="J486">
        <v>2.5399999999999999E-4</v>
      </c>
      <c r="K486" t="s">
        <v>57</v>
      </c>
      <c r="L486" t="s">
        <v>112</v>
      </c>
      <c r="O486">
        <v>6350</v>
      </c>
      <c r="P486" t="s">
        <v>121</v>
      </c>
      <c r="T486">
        <v>25</v>
      </c>
      <c r="V486">
        <v>50</v>
      </c>
      <c r="W486" t="s">
        <v>620</v>
      </c>
      <c r="X486" t="s">
        <v>135</v>
      </c>
      <c r="AB486">
        <v>5.32150776053203E-2</v>
      </c>
      <c r="AC486" t="s">
        <v>85</v>
      </c>
      <c r="AE486" t="s">
        <v>63</v>
      </c>
      <c r="AI486">
        <v>5</v>
      </c>
      <c r="AT486" t="s">
        <v>65</v>
      </c>
      <c r="AV486" t="s">
        <v>88</v>
      </c>
    </row>
    <row r="487" spans="1:48" x14ac:dyDescent="0.3">
      <c r="A487" t="s">
        <v>618</v>
      </c>
      <c r="C487" t="s">
        <v>1275</v>
      </c>
      <c r="D487" t="s">
        <v>81</v>
      </c>
      <c r="E487">
        <v>10000</v>
      </c>
      <c r="H487">
        <v>2.54</v>
      </c>
      <c r="I487" t="s">
        <v>56</v>
      </c>
      <c r="J487">
        <v>2.5399999999999999E-4</v>
      </c>
      <c r="K487" t="s">
        <v>57</v>
      </c>
      <c r="L487" t="s">
        <v>112</v>
      </c>
      <c r="O487">
        <v>6350</v>
      </c>
      <c r="P487" t="s">
        <v>121</v>
      </c>
      <c r="T487">
        <v>25</v>
      </c>
      <c r="V487">
        <v>50</v>
      </c>
      <c r="W487" t="s">
        <v>620</v>
      </c>
      <c r="X487" t="s">
        <v>135</v>
      </c>
      <c r="Y487">
        <v>9.9595141700404799</v>
      </c>
      <c r="AB487">
        <v>1.17073170731707</v>
      </c>
      <c r="AC487" t="s">
        <v>85</v>
      </c>
      <c r="AE487" t="s">
        <v>63</v>
      </c>
      <c r="AI487">
        <v>5</v>
      </c>
      <c r="AT487" t="s">
        <v>65</v>
      </c>
      <c r="AV487" t="s">
        <v>88</v>
      </c>
    </row>
    <row r="488" spans="1:48" x14ac:dyDescent="0.3">
      <c r="A488" t="s">
        <v>618</v>
      </c>
      <c r="C488" t="s">
        <v>1275</v>
      </c>
      <c r="D488" t="s">
        <v>81</v>
      </c>
      <c r="E488">
        <v>950000</v>
      </c>
      <c r="H488">
        <v>2.54</v>
      </c>
      <c r="I488" t="s">
        <v>56</v>
      </c>
      <c r="J488">
        <v>2.5399999999999999E-4</v>
      </c>
      <c r="K488" t="s">
        <v>57</v>
      </c>
      <c r="L488" t="s">
        <v>112</v>
      </c>
      <c r="O488">
        <v>6350</v>
      </c>
      <c r="P488" t="s">
        <v>121</v>
      </c>
      <c r="T488">
        <v>25</v>
      </c>
      <c r="V488">
        <v>50</v>
      </c>
      <c r="W488" t="s">
        <v>620</v>
      </c>
      <c r="X488" t="s">
        <v>135</v>
      </c>
      <c r="Y488">
        <v>29.878542510121381</v>
      </c>
      <c r="AB488">
        <v>4.00886917960087</v>
      </c>
      <c r="AC488" t="s">
        <v>85</v>
      </c>
      <c r="AE488" t="s">
        <v>63</v>
      </c>
      <c r="AI488">
        <v>5</v>
      </c>
      <c r="AT488" t="s">
        <v>65</v>
      </c>
      <c r="AV488" t="s">
        <v>88</v>
      </c>
    </row>
    <row r="489" spans="1:48" x14ac:dyDescent="0.3">
      <c r="A489" t="s">
        <v>618</v>
      </c>
      <c r="C489" t="s">
        <v>1275</v>
      </c>
      <c r="D489" t="s">
        <v>81</v>
      </c>
      <c r="E489">
        <v>950000</v>
      </c>
      <c r="H489">
        <v>2.54</v>
      </c>
      <c r="I489" t="s">
        <v>56</v>
      </c>
      <c r="J489">
        <v>2.5399999999999999E-4</v>
      </c>
      <c r="K489" t="s">
        <v>57</v>
      </c>
      <c r="L489" t="s">
        <v>112</v>
      </c>
      <c r="O489">
        <v>6350</v>
      </c>
      <c r="P489" t="s">
        <v>121</v>
      </c>
      <c r="T489">
        <v>25</v>
      </c>
      <c r="V489">
        <v>50</v>
      </c>
      <c r="W489" t="s">
        <v>620</v>
      </c>
      <c r="X489" t="s">
        <v>135</v>
      </c>
      <c r="Y489">
        <v>60.121457489878203</v>
      </c>
      <c r="AB489">
        <v>4.8070953436807002</v>
      </c>
      <c r="AC489" t="s">
        <v>85</v>
      </c>
      <c r="AE489" t="s">
        <v>63</v>
      </c>
      <c r="AI489">
        <v>5</v>
      </c>
      <c r="AT489" t="s">
        <v>65</v>
      </c>
      <c r="AV489" t="s">
        <v>88</v>
      </c>
    </row>
    <row r="490" spans="1:48" x14ac:dyDescent="0.3">
      <c r="A490" t="s">
        <v>618</v>
      </c>
      <c r="C490" t="s">
        <v>1275</v>
      </c>
      <c r="D490" t="s">
        <v>81</v>
      </c>
      <c r="E490">
        <v>950000</v>
      </c>
      <c r="H490">
        <v>2.54</v>
      </c>
      <c r="I490" t="s">
        <v>56</v>
      </c>
      <c r="J490">
        <v>2.5399999999999999E-4</v>
      </c>
      <c r="K490" t="s">
        <v>57</v>
      </c>
      <c r="L490" t="s">
        <v>112</v>
      </c>
      <c r="O490">
        <v>6350</v>
      </c>
      <c r="P490" t="s">
        <v>121</v>
      </c>
      <c r="T490">
        <v>25</v>
      </c>
      <c r="V490">
        <v>50</v>
      </c>
      <c r="W490" t="s">
        <v>621</v>
      </c>
      <c r="X490" t="s">
        <v>135</v>
      </c>
      <c r="AB490">
        <v>-1.9230769230770401E-2</v>
      </c>
      <c r="AC490" t="s">
        <v>85</v>
      </c>
      <c r="AE490" t="s">
        <v>63</v>
      </c>
      <c r="AI490">
        <v>5</v>
      </c>
      <c r="AT490" t="s">
        <v>79</v>
      </c>
      <c r="AV490" t="s">
        <v>88</v>
      </c>
    </row>
    <row r="491" spans="1:48" x14ac:dyDescent="0.3">
      <c r="A491" t="s">
        <v>618</v>
      </c>
      <c r="C491" t="s">
        <v>1275</v>
      </c>
      <c r="D491" t="s">
        <v>81</v>
      </c>
      <c r="E491">
        <v>950000</v>
      </c>
      <c r="H491">
        <v>2.54</v>
      </c>
      <c r="I491" t="s">
        <v>56</v>
      </c>
      <c r="J491">
        <v>2.5399999999999999E-4</v>
      </c>
      <c r="K491" t="s">
        <v>57</v>
      </c>
      <c r="L491" t="s">
        <v>112</v>
      </c>
      <c r="O491">
        <v>6350</v>
      </c>
      <c r="P491" t="s">
        <v>121</v>
      </c>
      <c r="T491">
        <v>25</v>
      </c>
      <c r="V491">
        <v>50</v>
      </c>
      <c r="W491" t="s">
        <v>621</v>
      </c>
      <c r="X491" t="s">
        <v>135</v>
      </c>
      <c r="Y491">
        <v>9.8222738799661808</v>
      </c>
      <c r="AB491">
        <v>4.0961538461538298</v>
      </c>
      <c r="AC491" t="s">
        <v>85</v>
      </c>
      <c r="AE491" t="s">
        <v>63</v>
      </c>
      <c r="AI491">
        <v>5</v>
      </c>
      <c r="AT491" t="s">
        <v>79</v>
      </c>
      <c r="AV491" t="s">
        <v>88</v>
      </c>
    </row>
    <row r="492" spans="1:48" x14ac:dyDescent="0.3">
      <c r="A492" t="s">
        <v>618</v>
      </c>
      <c r="C492" t="s">
        <v>1275</v>
      </c>
      <c r="D492" t="s">
        <v>81</v>
      </c>
      <c r="E492">
        <v>950000</v>
      </c>
      <c r="H492">
        <v>2.54</v>
      </c>
      <c r="I492" t="s">
        <v>56</v>
      </c>
      <c r="J492">
        <v>2.5399999999999999E-4</v>
      </c>
      <c r="K492" t="s">
        <v>57</v>
      </c>
      <c r="L492" t="s">
        <v>112</v>
      </c>
      <c r="O492">
        <v>6350</v>
      </c>
      <c r="P492" t="s">
        <v>121</v>
      </c>
      <c r="T492">
        <v>25</v>
      </c>
      <c r="V492">
        <v>50</v>
      </c>
      <c r="W492" t="s">
        <v>621</v>
      </c>
      <c r="X492" t="s">
        <v>135</v>
      </c>
      <c r="Y492">
        <v>29.877324598478399</v>
      </c>
      <c r="AB492">
        <v>3.42307692307691</v>
      </c>
      <c r="AC492" t="s">
        <v>85</v>
      </c>
      <c r="AE492" t="s">
        <v>63</v>
      </c>
      <c r="AI492">
        <v>5</v>
      </c>
      <c r="AT492" t="s">
        <v>79</v>
      </c>
      <c r="AV492" t="s">
        <v>88</v>
      </c>
    </row>
    <row r="493" spans="1:48" x14ac:dyDescent="0.3">
      <c r="A493" t="s">
        <v>618</v>
      </c>
      <c r="C493" t="s">
        <v>1275</v>
      </c>
      <c r="D493" t="s">
        <v>81</v>
      </c>
      <c r="E493">
        <v>950000</v>
      </c>
      <c r="H493">
        <v>2.54</v>
      </c>
      <c r="I493" t="s">
        <v>56</v>
      </c>
      <c r="J493">
        <v>2.5399999999999999E-4</v>
      </c>
      <c r="K493" t="s">
        <v>57</v>
      </c>
      <c r="L493" t="s">
        <v>112</v>
      </c>
      <c r="O493">
        <v>6350</v>
      </c>
      <c r="P493" t="s">
        <v>121</v>
      </c>
      <c r="T493">
        <v>25</v>
      </c>
      <c r="V493">
        <v>50</v>
      </c>
      <c r="W493" t="s">
        <v>621</v>
      </c>
      <c r="X493" t="s">
        <v>135</v>
      </c>
      <c r="Y493">
        <v>60.230135249365802</v>
      </c>
      <c r="AB493">
        <v>2.0192307692307501</v>
      </c>
      <c r="AC493" t="s">
        <v>85</v>
      </c>
      <c r="AE493" t="s">
        <v>63</v>
      </c>
      <c r="AI493">
        <v>5</v>
      </c>
      <c r="AT493" t="s">
        <v>79</v>
      </c>
      <c r="AV493" t="s">
        <v>88</v>
      </c>
    </row>
    <row r="494" spans="1:48" x14ac:dyDescent="0.3">
      <c r="A494" t="s">
        <v>618</v>
      </c>
      <c r="C494" t="s">
        <v>1275</v>
      </c>
      <c r="D494" t="s">
        <v>81</v>
      </c>
      <c r="E494">
        <v>950000</v>
      </c>
      <c r="H494">
        <v>2.54</v>
      </c>
      <c r="I494" t="s">
        <v>56</v>
      </c>
      <c r="J494">
        <v>2.5399999999999999E-4</v>
      </c>
      <c r="K494" t="s">
        <v>57</v>
      </c>
      <c r="L494" t="s">
        <v>112</v>
      </c>
      <c r="O494">
        <v>6350</v>
      </c>
      <c r="P494" t="s">
        <v>121</v>
      </c>
      <c r="T494">
        <v>25</v>
      </c>
      <c r="V494">
        <v>50</v>
      </c>
      <c r="W494" t="s">
        <v>621</v>
      </c>
      <c r="X494" t="s">
        <v>135</v>
      </c>
      <c r="Y494">
        <v>0.39528740490278208</v>
      </c>
      <c r="AB494">
        <v>-1.33226762955018E-15</v>
      </c>
      <c r="AC494" t="s">
        <v>85</v>
      </c>
      <c r="AE494" t="s">
        <v>63</v>
      </c>
      <c r="AI494">
        <v>5</v>
      </c>
      <c r="AT494" t="s">
        <v>79</v>
      </c>
      <c r="AV494" t="s">
        <v>88</v>
      </c>
    </row>
    <row r="495" spans="1:48" x14ac:dyDescent="0.3">
      <c r="A495" t="s">
        <v>618</v>
      </c>
      <c r="C495" t="s">
        <v>1275</v>
      </c>
      <c r="D495" t="s">
        <v>81</v>
      </c>
      <c r="E495">
        <v>950000</v>
      </c>
      <c r="H495">
        <v>2.54</v>
      </c>
      <c r="I495" t="s">
        <v>56</v>
      </c>
      <c r="J495">
        <v>2.5399999999999999E-4</v>
      </c>
      <c r="K495" t="s">
        <v>57</v>
      </c>
      <c r="L495" t="s">
        <v>112</v>
      </c>
      <c r="O495">
        <v>6350</v>
      </c>
      <c r="P495" t="s">
        <v>121</v>
      </c>
      <c r="T495">
        <v>25</v>
      </c>
      <c r="V495">
        <v>50</v>
      </c>
      <c r="W495" t="s">
        <v>621</v>
      </c>
      <c r="X495" t="s">
        <v>135</v>
      </c>
      <c r="Y495">
        <v>9.9947168216398801</v>
      </c>
      <c r="AB495">
        <v>1.6346153846153699</v>
      </c>
      <c r="AC495" t="s">
        <v>85</v>
      </c>
      <c r="AE495" t="s">
        <v>63</v>
      </c>
      <c r="AI495">
        <v>5</v>
      </c>
      <c r="AT495" t="s">
        <v>79</v>
      </c>
      <c r="AV495" t="s">
        <v>88</v>
      </c>
    </row>
    <row r="496" spans="1:48" x14ac:dyDescent="0.3">
      <c r="A496" t="s">
        <v>618</v>
      </c>
      <c r="C496" t="s">
        <v>1275</v>
      </c>
      <c r="D496" t="s">
        <v>81</v>
      </c>
      <c r="E496">
        <v>950000</v>
      </c>
      <c r="H496">
        <v>2.54</v>
      </c>
      <c r="I496" t="s">
        <v>56</v>
      </c>
      <c r="J496">
        <v>2.5399999999999999E-4</v>
      </c>
      <c r="K496" t="s">
        <v>57</v>
      </c>
      <c r="L496" t="s">
        <v>112</v>
      </c>
      <c r="O496">
        <v>6350</v>
      </c>
      <c r="P496" t="s">
        <v>121</v>
      </c>
      <c r="T496">
        <v>25</v>
      </c>
      <c r="V496">
        <v>50</v>
      </c>
      <c r="W496" t="s">
        <v>621</v>
      </c>
      <c r="X496" t="s">
        <v>135</v>
      </c>
      <c r="Y496">
        <v>30.302726120033761</v>
      </c>
      <c r="AB496">
        <v>1.6153846153846101</v>
      </c>
      <c r="AC496" t="s">
        <v>85</v>
      </c>
      <c r="AE496" t="s">
        <v>63</v>
      </c>
      <c r="AI496">
        <v>5</v>
      </c>
      <c r="AT496" t="s">
        <v>79</v>
      </c>
      <c r="AV496" t="s">
        <v>88</v>
      </c>
    </row>
    <row r="497" spans="1:53" x14ac:dyDescent="0.3">
      <c r="A497" t="s">
        <v>618</v>
      </c>
      <c r="C497" t="s">
        <v>1275</v>
      </c>
      <c r="D497" t="s">
        <v>81</v>
      </c>
      <c r="E497">
        <v>950000</v>
      </c>
      <c r="H497">
        <v>2.54</v>
      </c>
      <c r="I497" t="s">
        <v>56</v>
      </c>
      <c r="J497">
        <v>2.5399999999999999E-4</v>
      </c>
      <c r="K497" t="s">
        <v>57</v>
      </c>
      <c r="L497" t="s">
        <v>112</v>
      </c>
      <c r="O497">
        <v>6350</v>
      </c>
      <c r="P497" t="s">
        <v>121</v>
      </c>
      <c r="T497">
        <v>25</v>
      </c>
      <c r="V497">
        <v>50</v>
      </c>
      <c r="W497" t="s">
        <v>621</v>
      </c>
      <c r="X497" t="s">
        <v>135</v>
      </c>
      <c r="Y497">
        <v>60.4780219780218</v>
      </c>
      <c r="AB497">
        <v>2.9807692307692202</v>
      </c>
      <c r="AC497" t="s">
        <v>85</v>
      </c>
      <c r="AE497" t="s">
        <v>63</v>
      </c>
      <c r="AI497">
        <v>5</v>
      </c>
      <c r="AT497" t="s">
        <v>79</v>
      </c>
      <c r="AV497" t="s">
        <v>88</v>
      </c>
    </row>
    <row r="498" spans="1:53" x14ac:dyDescent="0.3">
      <c r="A498" t="s">
        <v>618</v>
      </c>
      <c r="C498" t="s">
        <v>1275</v>
      </c>
      <c r="D498" t="s">
        <v>81</v>
      </c>
      <c r="E498">
        <v>950000</v>
      </c>
      <c r="H498">
        <v>2.54</v>
      </c>
      <c r="I498" t="s">
        <v>56</v>
      </c>
      <c r="J498">
        <v>2.5399999999999999E-4</v>
      </c>
      <c r="K498" t="s">
        <v>57</v>
      </c>
      <c r="L498" t="s">
        <v>112</v>
      </c>
      <c r="O498">
        <v>6350</v>
      </c>
      <c r="P498" t="s">
        <v>121</v>
      </c>
      <c r="T498">
        <v>25</v>
      </c>
      <c r="V498">
        <v>50</v>
      </c>
      <c r="W498" t="s">
        <v>622</v>
      </c>
      <c r="X498" t="s">
        <v>135</v>
      </c>
      <c r="AB498">
        <v>-5.93973509265706E-2</v>
      </c>
      <c r="AC498" t="s">
        <v>85</v>
      </c>
      <c r="AE498" t="s">
        <v>63</v>
      </c>
      <c r="AI498">
        <v>5</v>
      </c>
      <c r="AT498" t="s">
        <v>212</v>
      </c>
      <c r="AV498" t="s">
        <v>88</v>
      </c>
    </row>
    <row r="499" spans="1:53" x14ac:dyDescent="0.3">
      <c r="A499" t="s">
        <v>618</v>
      </c>
      <c r="C499" t="s">
        <v>1275</v>
      </c>
      <c r="D499" t="s">
        <v>81</v>
      </c>
      <c r="E499">
        <v>950000</v>
      </c>
      <c r="H499">
        <v>2.54</v>
      </c>
      <c r="I499" t="s">
        <v>56</v>
      </c>
      <c r="J499">
        <v>2.5399999999999999E-4</v>
      </c>
      <c r="K499" t="s">
        <v>57</v>
      </c>
      <c r="L499" t="s">
        <v>112</v>
      </c>
      <c r="O499">
        <v>6350</v>
      </c>
      <c r="P499" t="s">
        <v>121</v>
      </c>
      <c r="T499">
        <v>25</v>
      </c>
      <c r="V499">
        <v>50</v>
      </c>
      <c r="W499" t="s">
        <v>622</v>
      </c>
      <c r="X499" t="s">
        <v>135</v>
      </c>
      <c r="Y499">
        <v>10.03661895106368</v>
      </c>
      <c r="AB499">
        <v>0.39834962523580197</v>
      </c>
      <c r="AC499" t="s">
        <v>85</v>
      </c>
      <c r="AE499" t="s">
        <v>63</v>
      </c>
      <c r="AI499">
        <v>5</v>
      </c>
      <c r="AT499" t="s">
        <v>212</v>
      </c>
      <c r="AV499" t="s">
        <v>88</v>
      </c>
    </row>
    <row r="500" spans="1:53" x14ac:dyDescent="0.3">
      <c r="A500" t="s">
        <v>618</v>
      </c>
      <c r="C500" t="s">
        <v>1275</v>
      </c>
      <c r="D500" t="s">
        <v>81</v>
      </c>
      <c r="E500">
        <v>950000</v>
      </c>
      <c r="H500">
        <v>2.54</v>
      </c>
      <c r="I500" t="s">
        <v>56</v>
      </c>
      <c r="J500">
        <v>2.5399999999999999E-4</v>
      </c>
      <c r="K500" t="s">
        <v>57</v>
      </c>
      <c r="L500" t="s">
        <v>112</v>
      </c>
      <c r="O500">
        <v>6350</v>
      </c>
      <c r="P500" t="s">
        <v>121</v>
      </c>
      <c r="T500">
        <v>25</v>
      </c>
      <c r="V500">
        <v>50</v>
      </c>
      <c r="W500" t="s">
        <v>622</v>
      </c>
      <c r="X500" t="s">
        <v>135</v>
      </c>
      <c r="Y500">
        <v>29.855037375540899</v>
      </c>
      <c r="AB500">
        <v>0.86868625730109095</v>
      </c>
      <c r="AC500" t="s">
        <v>85</v>
      </c>
      <c r="AE500" t="s">
        <v>63</v>
      </c>
      <c r="AI500">
        <v>5</v>
      </c>
      <c r="AT500" t="s">
        <v>212</v>
      </c>
      <c r="AV500" t="s">
        <v>88</v>
      </c>
    </row>
    <row r="501" spans="1:53" x14ac:dyDescent="0.3">
      <c r="A501" t="s">
        <v>618</v>
      </c>
      <c r="C501" t="s">
        <v>1275</v>
      </c>
      <c r="D501" t="s">
        <v>81</v>
      </c>
      <c r="E501">
        <v>950000</v>
      </c>
      <c r="H501">
        <v>2.54</v>
      </c>
      <c r="I501" t="s">
        <v>56</v>
      </c>
      <c r="J501">
        <v>2.5399999999999999E-4</v>
      </c>
      <c r="K501" t="s">
        <v>57</v>
      </c>
      <c r="L501" t="s">
        <v>112</v>
      </c>
      <c r="O501">
        <v>6350</v>
      </c>
      <c r="P501" t="s">
        <v>121</v>
      </c>
      <c r="T501">
        <v>25</v>
      </c>
      <c r="V501">
        <v>50</v>
      </c>
      <c r="W501" t="s">
        <v>622</v>
      </c>
      <c r="X501" t="s">
        <v>135</v>
      </c>
      <c r="Y501">
        <v>60.239385043730401</v>
      </c>
      <c r="AB501">
        <v>1.29536260831845</v>
      </c>
      <c r="AC501" t="s">
        <v>85</v>
      </c>
      <c r="AE501" t="s">
        <v>63</v>
      </c>
      <c r="AI501">
        <v>5</v>
      </c>
      <c r="AT501" t="s">
        <v>212</v>
      </c>
      <c r="AV501" t="s">
        <v>88</v>
      </c>
    </row>
    <row r="502" spans="1:53" x14ac:dyDescent="0.3">
      <c r="A502" t="s">
        <v>618</v>
      </c>
      <c r="C502" t="s">
        <v>1275</v>
      </c>
      <c r="D502" t="s">
        <v>81</v>
      </c>
      <c r="E502">
        <v>950000</v>
      </c>
      <c r="H502">
        <v>2.54</v>
      </c>
      <c r="I502" t="s">
        <v>56</v>
      </c>
      <c r="J502">
        <v>2.5399999999999999E-4</v>
      </c>
      <c r="K502" t="s">
        <v>57</v>
      </c>
      <c r="L502" t="s">
        <v>112</v>
      </c>
      <c r="O502">
        <v>6350</v>
      </c>
      <c r="P502" t="s">
        <v>121</v>
      </c>
      <c r="T502">
        <v>25</v>
      </c>
      <c r="V502">
        <v>50</v>
      </c>
      <c r="W502" t="s">
        <v>622</v>
      </c>
      <c r="X502" t="s">
        <v>135</v>
      </c>
      <c r="AB502">
        <v>-7.7797617246214701E-2</v>
      </c>
      <c r="AC502" t="s">
        <v>85</v>
      </c>
      <c r="AE502" t="s">
        <v>63</v>
      </c>
      <c r="AI502">
        <v>5</v>
      </c>
      <c r="AT502" t="s">
        <v>212</v>
      </c>
      <c r="AV502" t="s">
        <v>88</v>
      </c>
    </row>
    <row r="503" spans="1:53" x14ac:dyDescent="0.3">
      <c r="A503" t="s">
        <v>618</v>
      </c>
      <c r="C503" t="s">
        <v>1275</v>
      </c>
      <c r="D503" t="s">
        <v>81</v>
      </c>
      <c r="E503">
        <v>950000</v>
      </c>
      <c r="H503">
        <v>2.54</v>
      </c>
      <c r="I503" t="s">
        <v>56</v>
      </c>
      <c r="J503">
        <v>2.5399999999999999E-4</v>
      </c>
      <c r="K503" t="s">
        <v>57</v>
      </c>
      <c r="L503" t="s">
        <v>112</v>
      </c>
      <c r="O503">
        <v>6350</v>
      </c>
      <c r="P503" t="s">
        <v>121</v>
      </c>
      <c r="T503">
        <v>25</v>
      </c>
      <c r="V503">
        <v>50</v>
      </c>
      <c r="W503" t="s">
        <v>622</v>
      </c>
      <c r="X503" t="s">
        <v>135</v>
      </c>
      <c r="Y503">
        <v>10.0202766092667</v>
      </c>
      <c r="AB503">
        <v>1.4006799221216599</v>
      </c>
      <c r="AC503" t="s">
        <v>85</v>
      </c>
      <c r="AE503" t="s">
        <v>63</v>
      </c>
      <c r="AI503">
        <v>5</v>
      </c>
      <c r="AT503" t="s">
        <v>212</v>
      </c>
      <c r="AV503" t="s">
        <v>88</v>
      </c>
    </row>
    <row r="504" spans="1:53" x14ac:dyDescent="0.3">
      <c r="A504" t="s">
        <v>618</v>
      </c>
      <c r="C504" t="s">
        <v>1275</v>
      </c>
      <c r="D504" t="s">
        <v>81</v>
      </c>
      <c r="E504">
        <v>1000000</v>
      </c>
      <c r="H504">
        <v>2.54</v>
      </c>
      <c r="I504" t="s">
        <v>56</v>
      </c>
      <c r="J504">
        <v>2.5399999999999999E-4</v>
      </c>
      <c r="K504" t="s">
        <v>57</v>
      </c>
      <c r="L504" t="s">
        <v>112</v>
      </c>
      <c r="O504">
        <v>6350</v>
      </c>
      <c r="P504" t="s">
        <v>121</v>
      </c>
      <c r="T504">
        <v>25</v>
      </c>
      <c r="V504">
        <v>50</v>
      </c>
      <c r="W504" t="s">
        <v>622</v>
      </c>
      <c r="X504" t="s">
        <v>135</v>
      </c>
      <c r="Y504">
        <v>29.8320370426413</v>
      </c>
      <c r="AB504">
        <v>2.27937334180714</v>
      </c>
      <c r="AC504" t="s">
        <v>85</v>
      </c>
      <c r="AE504" t="s">
        <v>63</v>
      </c>
      <c r="AI504">
        <v>5</v>
      </c>
      <c r="AT504" t="s">
        <v>212</v>
      </c>
      <c r="AV504" t="s">
        <v>88</v>
      </c>
    </row>
    <row r="505" spans="1:53" x14ac:dyDescent="0.3">
      <c r="A505" t="s">
        <v>618</v>
      </c>
      <c r="C505" t="s">
        <v>1275</v>
      </c>
      <c r="D505" t="s">
        <v>81</v>
      </c>
      <c r="E505">
        <v>1000000</v>
      </c>
      <c r="H505">
        <v>2.54</v>
      </c>
      <c r="I505" t="s">
        <v>56</v>
      </c>
      <c r="J505">
        <v>2.5399999999999999E-4</v>
      </c>
      <c r="K505" t="s">
        <v>57</v>
      </c>
      <c r="L505" t="s">
        <v>112</v>
      </c>
      <c r="O505">
        <v>6350</v>
      </c>
      <c r="P505" t="s">
        <v>121</v>
      </c>
      <c r="T505">
        <v>25</v>
      </c>
      <c r="V505">
        <v>50</v>
      </c>
      <c r="W505" t="s">
        <v>622</v>
      </c>
      <c r="X505" t="s">
        <v>135</v>
      </c>
      <c r="Y505">
        <v>60.088369700087398</v>
      </c>
      <c r="AB505">
        <v>2.5576370184305302</v>
      </c>
      <c r="AC505" t="s">
        <v>85</v>
      </c>
      <c r="AE505" t="s">
        <v>63</v>
      </c>
      <c r="AI505">
        <v>5</v>
      </c>
      <c r="AT505" t="s">
        <v>212</v>
      </c>
      <c r="AV505" t="s">
        <v>88</v>
      </c>
    </row>
    <row r="506" spans="1:53" x14ac:dyDescent="0.3">
      <c r="A506" t="s">
        <v>1382</v>
      </c>
      <c r="C506" t="s">
        <v>1275</v>
      </c>
      <c r="D506" t="s">
        <v>81</v>
      </c>
      <c r="E506">
        <v>1000000</v>
      </c>
      <c r="H506">
        <v>14.25</v>
      </c>
      <c r="I506" t="s">
        <v>56</v>
      </c>
      <c r="J506">
        <v>1.4250000000000001E-3</v>
      </c>
      <c r="K506" t="s">
        <v>57</v>
      </c>
      <c r="L506" t="s">
        <v>112</v>
      </c>
      <c r="O506">
        <v>6200</v>
      </c>
      <c r="P506" t="s">
        <v>121</v>
      </c>
      <c r="T506">
        <v>25</v>
      </c>
      <c r="V506">
        <v>50</v>
      </c>
      <c r="W506" t="s">
        <v>1254</v>
      </c>
      <c r="X506" t="s">
        <v>957</v>
      </c>
      <c r="AA506" t="s">
        <v>94</v>
      </c>
      <c r="AB506">
        <v>7.8</v>
      </c>
      <c r="AC506" t="s">
        <v>85</v>
      </c>
      <c r="AI506">
        <v>5</v>
      </c>
      <c r="AT506" t="s">
        <v>203</v>
      </c>
      <c r="AV506" t="s">
        <v>88</v>
      </c>
      <c r="AZ506">
        <v>0</v>
      </c>
      <c r="BA506">
        <v>7.8</v>
      </c>
    </row>
    <row r="507" spans="1:53" x14ac:dyDescent="0.3">
      <c r="A507" t="s">
        <v>1382</v>
      </c>
      <c r="C507" t="s">
        <v>1275</v>
      </c>
      <c r="D507" t="s">
        <v>81</v>
      </c>
      <c r="E507">
        <v>1000000</v>
      </c>
      <c r="H507">
        <v>14.25</v>
      </c>
      <c r="I507" t="s">
        <v>56</v>
      </c>
      <c r="J507">
        <v>1.4250000000000001E-3</v>
      </c>
      <c r="K507" t="s">
        <v>57</v>
      </c>
      <c r="L507" t="s">
        <v>112</v>
      </c>
      <c r="O507">
        <v>6200</v>
      </c>
      <c r="P507" t="s">
        <v>121</v>
      </c>
      <c r="T507">
        <v>25</v>
      </c>
      <c r="V507">
        <v>50</v>
      </c>
      <c r="W507" t="s">
        <v>1256</v>
      </c>
      <c r="X507" t="s">
        <v>957</v>
      </c>
      <c r="AB507">
        <v>3.6</v>
      </c>
      <c r="AC507" t="s">
        <v>85</v>
      </c>
      <c r="AI507">
        <v>5</v>
      </c>
      <c r="AT507" t="s">
        <v>1257</v>
      </c>
      <c r="AV507" t="s">
        <v>88</v>
      </c>
    </row>
    <row r="508" spans="1:53" x14ac:dyDescent="0.3">
      <c r="A508" t="s">
        <v>1382</v>
      </c>
      <c r="C508" t="s">
        <v>1275</v>
      </c>
      <c r="D508" t="s">
        <v>81</v>
      </c>
      <c r="E508">
        <v>1000000</v>
      </c>
      <c r="H508">
        <v>14.25</v>
      </c>
      <c r="I508" t="s">
        <v>56</v>
      </c>
      <c r="J508">
        <v>1.4250000000000001E-3</v>
      </c>
      <c r="K508" t="s">
        <v>57</v>
      </c>
      <c r="L508" t="s">
        <v>112</v>
      </c>
      <c r="O508">
        <v>6200</v>
      </c>
      <c r="P508" t="s">
        <v>121</v>
      </c>
      <c r="T508">
        <v>25</v>
      </c>
      <c r="V508">
        <v>50</v>
      </c>
      <c r="W508" t="s">
        <v>719</v>
      </c>
      <c r="X508" t="s">
        <v>957</v>
      </c>
      <c r="AA508" t="s">
        <v>94</v>
      </c>
      <c r="AB508">
        <v>7.91</v>
      </c>
      <c r="AC508" t="s">
        <v>85</v>
      </c>
      <c r="AI508">
        <v>5</v>
      </c>
      <c r="AV508" t="s">
        <v>88</v>
      </c>
      <c r="AZ508">
        <v>0</v>
      </c>
      <c r="BA508">
        <v>7.91</v>
      </c>
    </row>
    <row r="509" spans="1:53" x14ac:dyDescent="0.3">
      <c r="A509" t="s">
        <v>1382</v>
      </c>
      <c r="C509" t="s">
        <v>1275</v>
      </c>
      <c r="D509" t="s">
        <v>81</v>
      </c>
      <c r="E509">
        <v>1000000</v>
      </c>
      <c r="H509">
        <v>14.25</v>
      </c>
      <c r="I509" t="s">
        <v>56</v>
      </c>
      <c r="J509">
        <v>1.4250000000000001E-3</v>
      </c>
      <c r="K509" t="s">
        <v>57</v>
      </c>
      <c r="L509" t="s">
        <v>112</v>
      </c>
      <c r="O509">
        <v>6200</v>
      </c>
      <c r="P509" t="s">
        <v>121</v>
      </c>
      <c r="T509">
        <v>25</v>
      </c>
      <c r="V509">
        <v>50</v>
      </c>
      <c r="W509" t="s">
        <v>1259</v>
      </c>
      <c r="X509" t="s">
        <v>957</v>
      </c>
      <c r="AA509" t="s">
        <v>94</v>
      </c>
      <c r="AB509">
        <v>7</v>
      </c>
      <c r="AC509" t="s">
        <v>85</v>
      </c>
      <c r="AI509">
        <v>5</v>
      </c>
      <c r="AV509" t="s">
        <v>88</v>
      </c>
      <c r="AZ509">
        <v>0</v>
      </c>
      <c r="BA509">
        <v>7</v>
      </c>
    </row>
    <row r="510" spans="1:53" x14ac:dyDescent="0.3">
      <c r="A510" t="s">
        <v>1382</v>
      </c>
      <c r="C510" t="s">
        <v>1275</v>
      </c>
      <c r="D510" t="s">
        <v>81</v>
      </c>
      <c r="E510">
        <v>1000000</v>
      </c>
      <c r="H510">
        <v>3.5</v>
      </c>
      <c r="I510" t="s">
        <v>56</v>
      </c>
      <c r="J510">
        <v>3.5E-4</v>
      </c>
      <c r="K510" t="s">
        <v>57</v>
      </c>
      <c r="L510" t="s">
        <v>112</v>
      </c>
      <c r="O510">
        <v>6200</v>
      </c>
      <c r="P510" t="s">
        <v>121</v>
      </c>
      <c r="T510">
        <v>25</v>
      </c>
      <c r="V510">
        <v>50</v>
      </c>
      <c r="W510" t="s">
        <v>76</v>
      </c>
      <c r="X510" t="s">
        <v>957</v>
      </c>
      <c r="AB510">
        <v>6.27</v>
      </c>
      <c r="AC510" t="s">
        <v>85</v>
      </c>
      <c r="AI510">
        <v>5</v>
      </c>
      <c r="AT510" t="s">
        <v>77</v>
      </c>
      <c r="AV510" t="s">
        <v>88</v>
      </c>
    </row>
    <row r="511" spans="1:53" x14ac:dyDescent="0.3">
      <c r="A511" t="s">
        <v>1382</v>
      </c>
      <c r="C511" t="s">
        <v>1275</v>
      </c>
      <c r="D511" t="s">
        <v>81</v>
      </c>
      <c r="E511">
        <v>1000000</v>
      </c>
      <c r="H511">
        <v>14.25</v>
      </c>
      <c r="I511" t="s">
        <v>56</v>
      </c>
      <c r="J511">
        <v>1.4250000000000001E-3</v>
      </c>
      <c r="K511" t="s">
        <v>57</v>
      </c>
      <c r="L511" t="s">
        <v>112</v>
      </c>
      <c r="O511">
        <v>6200</v>
      </c>
      <c r="P511" t="s">
        <v>121</v>
      </c>
      <c r="T511">
        <v>25</v>
      </c>
      <c r="V511">
        <v>50</v>
      </c>
      <c r="W511" t="s">
        <v>1235</v>
      </c>
      <c r="X511" t="s">
        <v>957</v>
      </c>
      <c r="AA511" t="s">
        <v>94</v>
      </c>
      <c r="AB511">
        <v>6.91</v>
      </c>
      <c r="AC511" t="s">
        <v>85</v>
      </c>
      <c r="AI511">
        <v>5</v>
      </c>
      <c r="AT511" t="s">
        <v>1236</v>
      </c>
      <c r="AV511" t="s">
        <v>88</v>
      </c>
      <c r="AZ511">
        <v>0</v>
      </c>
      <c r="BA511">
        <v>6.91</v>
      </c>
    </row>
    <row r="512" spans="1:53" x14ac:dyDescent="0.3">
      <c r="A512" t="s">
        <v>1382</v>
      </c>
      <c r="C512" t="s">
        <v>1275</v>
      </c>
      <c r="D512" t="s">
        <v>81</v>
      </c>
      <c r="E512">
        <v>1000000</v>
      </c>
      <c r="H512">
        <v>14.25</v>
      </c>
      <c r="I512" t="s">
        <v>56</v>
      </c>
      <c r="J512">
        <v>1.4250000000000001E-3</v>
      </c>
      <c r="K512" t="s">
        <v>57</v>
      </c>
      <c r="L512" t="s">
        <v>112</v>
      </c>
      <c r="O512">
        <v>6200</v>
      </c>
      <c r="P512" t="s">
        <v>121</v>
      </c>
      <c r="T512">
        <v>25</v>
      </c>
      <c r="V512">
        <v>50</v>
      </c>
      <c r="W512" t="s">
        <v>1255</v>
      </c>
      <c r="X512" t="s">
        <v>957</v>
      </c>
      <c r="AA512" t="s">
        <v>94</v>
      </c>
      <c r="AB512">
        <v>7.62</v>
      </c>
      <c r="AC512" t="s">
        <v>85</v>
      </c>
      <c r="AI512">
        <v>5</v>
      </c>
      <c r="AT512" t="s">
        <v>203</v>
      </c>
      <c r="AV512" t="s">
        <v>88</v>
      </c>
      <c r="AZ512">
        <v>0</v>
      </c>
      <c r="BA512">
        <v>7.62</v>
      </c>
    </row>
    <row r="513" spans="1:53" x14ac:dyDescent="0.3">
      <c r="A513" t="s">
        <v>1382</v>
      </c>
      <c r="C513" t="s">
        <v>1275</v>
      </c>
      <c r="D513" t="s">
        <v>81</v>
      </c>
      <c r="E513">
        <v>1000000</v>
      </c>
      <c r="H513">
        <v>14.25</v>
      </c>
      <c r="I513" t="s">
        <v>56</v>
      </c>
      <c r="J513">
        <v>1.4250000000000001E-3</v>
      </c>
      <c r="K513" t="s">
        <v>57</v>
      </c>
      <c r="L513" t="s">
        <v>112</v>
      </c>
      <c r="O513">
        <v>6200</v>
      </c>
      <c r="P513" t="s">
        <v>121</v>
      </c>
      <c r="T513">
        <v>25</v>
      </c>
      <c r="V513">
        <v>50</v>
      </c>
      <c r="W513" t="s">
        <v>1258</v>
      </c>
      <c r="X513" t="s">
        <v>957</v>
      </c>
      <c r="AB513">
        <v>1.9</v>
      </c>
      <c r="AC513" t="s">
        <v>85</v>
      </c>
      <c r="AI513">
        <v>5</v>
      </c>
      <c r="AT513" t="s">
        <v>75</v>
      </c>
      <c r="AV513" t="s">
        <v>88</v>
      </c>
    </row>
    <row r="514" spans="1:53" x14ac:dyDescent="0.3">
      <c r="A514" t="s">
        <v>1382</v>
      </c>
      <c r="C514" t="s">
        <v>1275</v>
      </c>
      <c r="D514" t="s">
        <v>81</v>
      </c>
      <c r="E514">
        <v>1000000</v>
      </c>
      <c r="H514">
        <v>14.25</v>
      </c>
      <c r="I514" t="s">
        <v>56</v>
      </c>
      <c r="J514">
        <v>1.4250000000000001E-3</v>
      </c>
      <c r="K514" t="s">
        <v>57</v>
      </c>
      <c r="L514" t="s">
        <v>112</v>
      </c>
      <c r="O514">
        <v>6200</v>
      </c>
      <c r="P514" t="s">
        <v>121</v>
      </c>
      <c r="T514">
        <v>25</v>
      </c>
      <c r="V514">
        <v>50</v>
      </c>
      <c r="W514" t="s">
        <v>443</v>
      </c>
      <c r="X514" t="s">
        <v>957</v>
      </c>
      <c r="AA514" t="s">
        <v>94</v>
      </c>
      <c r="AB514">
        <v>7.73</v>
      </c>
      <c r="AC514" t="s">
        <v>85</v>
      </c>
      <c r="AI514">
        <v>5</v>
      </c>
      <c r="AT514" t="s">
        <v>65</v>
      </c>
      <c r="AV514" t="s">
        <v>88</v>
      </c>
      <c r="AZ514">
        <v>0</v>
      </c>
      <c r="BA514">
        <v>7.73</v>
      </c>
    </row>
    <row r="515" spans="1:53" x14ac:dyDescent="0.3">
      <c r="A515" t="s">
        <v>1382</v>
      </c>
      <c r="C515" t="s">
        <v>1275</v>
      </c>
      <c r="D515" t="s">
        <v>81</v>
      </c>
      <c r="E515">
        <v>1000000</v>
      </c>
      <c r="H515">
        <v>14.25</v>
      </c>
      <c r="I515" t="s">
        <v>56</v>
      </c>
      <c r="J515">
        <v>1.4250000000000001E-3</v>
      </c>
      <c r="K515" t="s">
        <v>57</v>
      </c>
      <c r="L515" t="s">
        <v>112</v>
      </c>
      <c r="O515">
        <v>6200</v>
      </c>
      <c r="P515" t="s">
        <v>121</v>
      </c>
      <c r="T515">
        <v>25</v>
      </c>
      <c r="V515">
        <v>50</v>
      </c>
      <c r="W515" t="s">
        <v>147</v>
      </c>
      <c r="X515" t="s">
        <v>957</v>
      </c>
      <c r="AA515" t="s">
        <v>94</v>
      </c>
      <c r="AB515">
        <v>7.81</v>
      </c>
      <c r="AC515" t="s">
        <v>85</v>
      </c>
      <c r="AI515">
        <v>5</v>
      </c>
      <c r="AT515" t="s">
        <v>150</v>
      </c>
      <c r="AV515" t="s">
        <v>88</v>
      </c>
      <c r="AZ515">
        <v>0</v>
      </c>
      <c r="BA515">
        <v>7.81</v>
      </c>
    </row>
    <row r="516" spans="1:53" x14ac:dyDescent="0.3">
      <c r="A516" t="s">
        <v>1382</v>
      </c>
      <c r="C516" t="s">
        <v>1275</v>
      </c>
      <c r="D516" t="s">
        <v>81</v>
      </c>
      <c r="E516">
        <v>1000000</v>
      </c>
      <c r="H516">
        <v>14.25</v>
      </c>
      <c r="I516" t="s">
        <v>56</v>
      </c>
      <c r="J516">
        <v>1.4250000000000001E-3</v>
      </c>
      <c r="K516" t="s">
        <v>57</v>
      </c>
      <c r="L516" t="s">
        <v>112</v>
      </c>
      <c r="O516">
        <v>0</v>
      </c>
      <c r="T516">
        <v>25</v>
      </c>
      <c r="V516">
        <v>50</v>
      </c>
      <c r="W516" t="s">
        <v>1254</v>
      </c>
      <c r="X516" t="s">
        <v>957</v>
      </c>
      <c r="AA516" t="s">
        <v>94</v>
      </c>
      <c r="AB516">
        <v>7.68</v>
      </c>
      <c r="AC516" t="s">
        <v>85</v>
      </c>
      <c r="AI516">
        <v>5</v>
      </c>
      <c r="AT516" t="s">
        <v>203</v>
      </c>
      <c r="AV516" t="s">
        <v>88</v>
      </c>
      <c r="AZ516">
        <v>0</v>
      </c>
      <c r="BA516">
        <v>7.68</v>
      </c>
    </row>
    <row r="517" spans="1:53" x14ac:dyDescent="0.3">
      <c r="A517" t="s">
        <v>1382</v>
      </c>
      <c r="C517" t="s">
        <v>1275</v>
      </c>
      <c r="D517" t="s">
        <v>81</v>
      </c>
      <c r="E517">
        <v>1000000</v>
      </c>
      <c r="H517">
        <v>14.25</v>
      </c>
      <c r="I517" t="s">
        <v>56</v>
      </c>
      <c r="J517">
        <v>1.4250000000000001E-3</v>
      </c>
      <c r="K517" t="s">
        <v>57</v>
      </c>
      <c r="L517" t="s">
        <v>112</v>
      </c>
      <c r="O517">
        <v>0</v>
      </c>
      <c r="T517">
        <v>25</v>
      </c>
      <c r="V517">
        <v>50</v>
      </c>
      <c r="W517" t="s">
        <v>1255</v>
      </c>
      <c r="X517" t="s">
        <v>957</v>
      </c>
      <c r="AA517" t="s">
        <v>94</v>
      </c>
      <c r="AB517">
        <v>7.59</v>
      </c>
      <c r="AC517" t="s">
        <v>85</v>
      </c>
      <c r="AI517">
        <v>5</v>
      </c>
      <c r="AT517" t="s">
        <v>203</v>
      </c>
      <c r="AV517" t="s">
        <v>88</v>
      </c>
      <c r="AZ517">
        <v>0</v>
      </c>
      <c r="BA517">
        <v>7.59</v>
      </c>
    </row>
    <row r="518" spans="1:53" x14ac:dyDescent="0.3">
      <c r="A518" t="s">
        <v>1382</v>
      </c>
      <c r="C518" t="s">
        <v>1275</v>
      </c>
      <c r="D518" t="s">
        <v>81</v>
      </c>
      <c r="E518">
        <v>1000000</v>
      </c>
      <c r="H518">
        <v>14.25</v>
      </c>
      <c r="I518" t="s">
        <v>56</v>
      </c>
      <c r="J518">
        <v>1.4250000000000001E-3</v>
      </c>
      <c r="K518" t="s">
        <v>57</v>
      </c>
      <c r="L518" t="s">
        <v>112</v>
      </c>
      <c r="O518">
        <v>0</v>
      </c>
      <c r="T518">
        <v>25</v>
      </c>
      <c r="V518">
        <v>50</v>
      </c>
      <c r="W518" t="s">
        <v>1258</v>
      </c>
      <c r="X518" t="s">
        <v>957</v>
      </c>
      <c r="AA518" t="s">
        <v>94</v>
      </c>
      <c r="AB518">
        <v>6.97</v>
      </c>
      <c r="AC518" t="s">
        <v>85</v>
      </c>
      <c r="AI518">
        <v>5</v>
      </c>
      <c r="AT518" t="s">
        <v>75</v>
      </c>
      <c r="AV518" t="s">
        <v>88</v>
      </c>
      <c r="AZ518">
        <v>0</v>
      </c>
      <c r="BA518">
        <v>6.97</v>
      </c>
    </row>
    <row r="519" spans="1:53" x14ac:dyDescent="0.3">
      <c r="A519" t="s">
        <v>1382</v>
      </c>
      <c r="C519" t="s">
        <v>1275</v>
      </c>
      <c r="D519" t="s">
        <v>81</v>
      </c>
      <c r="E519">
        <v>1000000</v>
      </c>
      <c r="H519">
        <v>14.25</v>
      </c>
      <c r="I519" t="s">
        <v>56</v>
      </c>
      <c r="J519">
        <v>1.4250000000000001E-3</v>
      </c>
      <c r="K519" t="s">
        <v>57</v>
      </c>
      <c r="L519" t="s">
        <v>112</v>
      </c>
      <c r="O519">
        <v>0</v>
      </c>
      <c r="T519">
        <v>25</v>
      </c>
      <c r="V519">
        <v>50</v>
      </c>
      <c r="W519" t="s">
        <v>443</v>
      </c>
      <c r="X519" t="s">
        <v>957</v>
      </c>
      <c r="AA519" t="s">
        <v>94</v>
      </c>
      <c r="AB519">
        <v>7.67</v>
      </c>
      <c r="AC519" t="s">
        <v>85</v>
      </c>
      <c r="AI519">
        <v>5</v>
      </c>
      <c r="AT519" t="s">
        <v>65</v>
      </c>
      <c r="AV519" t="s">
        <v>88</v>
      </c>
      <c r="AZ519">
        <v>0</v>
      </c>
      <c r="BA519">
        <v>7.67</v>
      </c>
    </row>
    <row r="520" spans="1:53" x14ac:dyDescent="0.3">
      <c r="A520" t="s">
        <v>1382</v>
      </c>
      <c r="C520" t="s">
        <v>1275</v>
      </c>
      <c r="D520" t="s">
        <v>81</v>
      </c>
      <c r="E520">
        <v>1000000</v>
      </c>
      <c r="H520">
        <v>3.5</v>
      </c>
      <c r="I520" t="s">
        <v>56</v>
      </c>
      <c r="J520">
        <v>3.5E-4</v>
      </c>
      <c r="K520" t="s">
        <v>57</v>
      </c>
      <c r="L520" t="s">
        <v>112</v>
      </c>
      <c r="O520">
        <v>0</v>
      </c>
      <c r="T520">
        <v>25</v>
      </c>
      <c r="V520">
        <v>50</v>
      </c>
      <c r="W520" t="s">
        <v>76</v>
      </c>
      <c r="X520" t="s">
        <v>957</v>
      </c>
      <c r="AA520" t="s">
        <v>94</v>
      </c>
      <c r="AB520">
        <v>6.93</v>
      </c>
      <c r="AC520" t="s">
        <v>85</v>
      </c>
      <c r="AI520">
        <v>5</v>
      </c>
      <c r="AT520" t="s">
        <v>77</v>
      </c>
      <c r="AV520" t="s">
        <v>88</v>
      </c>
      <c r="AZ520">
        <v>0</v>
      </c>
      <c r="BA520">
        <v>6.93</v>
      </c>
    </row>
    <row r="521" spans="1:53" x14ac:dyDescent="0.3">
      <c r="A521" t="s">
        <v>1382</v>
      </c>
      <c r="C521" t="s">
        <v>1275</v>
      </c>
      <c r="D521" t="s">
        <v>81</v>
      </c>
      <c r="E521">
        <v>10000000</v>
      </c>
      <c r="H521">
        <v>14.25</v>
      </c>
      <c r="I521" t="s">
        <v>56</v>
      </c>
      <c r="J521">
        <v>1.4250000000000001E-3</v>
      </c>
      <c r="K521" t="s">
        <v>57</v>
      </c>
      <c r="L521" t="s">
        <v>112</v>
      </c>
      <c r="O521">
        <v>0</v>
      </c>
      <c r="T521">
        <v>25</v>
      </c>
      <c r="V521">
        <v>50</v>
      </c>
      <c r="W521" t="s">
        <v>1235</v>
      </c>
      <c r="X521" t="s">
        <v>957</v>
      </c>
      <c r="AA521" t="s">
        <v>94</v>
      </c>
      <c r="AB521">
        <v>7.4</v>
      </c>
      <c r="AC521" t="s">
        <v>85</v>
      </c>
      <c r="AI521">
        <v>5</v>
      </c>
      <c r="AT521" t="s">
        <v>1236</v>
      </c>
      <c r="AV521" t="s">
        <v>88</v>
      </c>
      <c r="AZ521">
        <v>0</v>
      </c>
      <c r="BA521">
        <v>7.4</v>
      </c>
    </row>
    <row r="522" spans="1:53" x14ac:dyDescent="0.3">
      <c r="A522" t="s">
        <v>1382</v>
      </c>
      <c r="C522" t="s">
        <v>1275</v>
      </c>
      <c r="D522" t="s">
        <v>81</v>
      </c>
      <c r="E522">
        <v>10000000</v>
      </c>
      <c r="H522">
        <v>14.25</v>
      </c>
      <c r="I522" t="s">
        <v>56</v>
      </c>
      <c r="J522">
        <v>1.4250000000000001E-3</v>
      </c>
      <c r="K522" t="s">
        <v>57</v>
      </c>
      <c r="L522" t="s">
        <v>112</v>
      </c>
      <c r="O522">
        <v>0</v>
      </c>
      <c r="T522">
        <v>25</v>
      </c>
      <c r="V522">
        <v>50</v>
      </c>
      <c r="W522" t="s">
        <v>1256</v>
      </c>
      <c r="X522" t="s">
        <v>957</v>
      </c>
      <c r="AA522" t="s">
        <v>94</v>
      </c>
      <c r="AB522">
        <v>7.58</v>
      </c>
      <c r="AC522" t="s">
        <v>85</v>
      </c>
      <c r="AI522">
        <v>5</v>
      </c>
      <c r="AT522" t="s">
        <v>1257</v>
      </c>
      <c r="AV522" t="s">
        <v>88</v>
      </c>
      <c r="AZ522">
        <v>0</v>
      </c>
      <c r="BA522">
        <v>7.58</v>
      </c>
    </row>
    <row r="523" spans="1:53" x14ac:dyDescent="0.3">
      <c r="A523" t="s">
        <v>1382</v>
      </c>
      <c r="C523" t="s">
        <v>1275</v>
      </c>
      <c r="D523" t="s">
        <v>81</v>
      </c>
      <c r="E523">
        <v>10000000</v>
      </c>
      <c r="H523">
        <v>14.25</v>
      </c>
      <c r="I523" t="s">
        <v>56</v>
      </c>
      <c r="J523">
        <v>1.4250000000000001E-3</v>
      </c>
      <c r="K523" t="s">
        <v>57</v>
      </c>
      <c r="L523" t="s">
        <v>112</v>
      </c>
      <c r="O523">
        <v>0</v>
      </c>
      <c r="T523">
        <v>25</v>
      </c>
      <c r="V523">
        <v>50</v>
      </c>
      <c r="W523" t="s">
        <v>147</v>
      </c>
      <c r="X523" t="s">
        <v>957</v>
      </c>
      <c r="AA523" t="s">
        <v>94</v>
      </c>
      <c r="AB523">
        <v>7.74</v>
      </c>
      <c r="AC523" t="s">
        <v>85</v>
      </c>
      <c r="AI523">
        <v>5</v>
      </c>
      <c r="AT523" t="s">
        <v>150</v>
      </c>
      <c r="AV523" t="s">
        <v>88</v>
      </c>
      <c r="AZ523">
        <v>0</v>
      </c>
      <c r="BA523">
        <v>7.74</v>
      </c>
    </row>
    <row r="524" spans="1:53" x14ac:dyDescent="0.3">
      <c r="A524" t="s">
        <v>1382</v>
      </c>
      <c r="C524" t="s">
        <v>1275</v>
      </c>
      <c r="D524" t="s">
        <v>81</v>
      </c>
      <c r="E524">
        <v>10000000</v>
      </c>
      <c r="H524">
        <v>14.25</v>
      </c>
      <c r="I524" t="s">
        <v>56</v>
      </c>
      <c r="J524">
        <v>1.4250000000000001E-3</v>
      </c>
      <c r="K524" t="s">
        <v>57</v>
      </c>
      <c r="L524" t="s">
        <v>112</v>
      </c>
      <c r="O524">
        <v>0</v>
      </c>
      <c r="T524">
        <v>25</v>
      </c>
      <c r="V524">
        <v>50</v>
      </c>
      <c r="W524" t="s">
        <v>1259</v>
      </c>
      <c r="X524" t="s">
        <v>957</v>
      </c>
      <c r="AA524" t="s">
        <v>94</v>
      </c>
      <c r="AB524">
        <v>6.8</v>
      </c>
      <c r="AC524" t="s">
        <v>85</v>
      </c>
      <c r="AI524">
        <v>5</v>
      </c>
      <c r="AV524" t="s">
        <v>88</v>
      </c>
      <c r="AZ524">
        <v>0</v>
      </c>
      <c r="BA524">
        <v>6.8</v>
      </c>
    </row>
    <row r="525" spans="1:53" x14ac:dyDescent="0.3">
      <c r="A525" t="s">
        <v>1382</v>
      </c>
      <c r="C525" t="s">
        <v>1275</v>
      </c>
      <c r="D525" t="s">
        <v>81</v>
      </c>
      <c r="E525">
        <v>10000000</v>
      </c>
      <c r="H525">
        <v>14.25</v>
      </c>
      <c r="I525" t="s">
        <v>56</v>
      </c>
      <c r="J525">
        <v>1.4250000000000001E-3</v>
      </c>
      <c r="K525" t="s">
        <v>57</v>
      </c>
      <c r="L525" t="s">
        <v>112</v>
      </c>
      <c r="O525">
        <v>0</v>
      </c>
      <c r="T525">
        <v>25</v>
      </c>
      <c r="V525">
        <v>50</v>
      </c>
      <c r="W525" t="s">
        <v>719</v>
      </c>
      <c r="X525" t="s">
        <v>957</v>
      </c>
      <c r="AA525" t="s">
        <v>94</v>
      </c>
      <c r="AB525">
        <v>7.8</v>
      </c>
      <c r="AC525" t="s">
        <v>85</v>
      </c>
      <c r="AI525">
        <v>5</v>
      </c>
      <c r="AV525" t="s">
        <v>88</v>
      </c>
      <c r="AZ525">
        <v>0</v>
      </c>
      <c r="BA525">
        <v>7.8</v>
      </c>
    </row>
    <row r="526" spans="1:53" x14ac:dyDescent="0.3">
      <c r="A526" t="s">
        <v>1382</v>
      </c>
      <c r="C526" t="s">
        <v>1275</v>
      </c>
      <c r="D526" t="s">
        <v>81</v>
      </c>
      <c r="E526">
        <v>10000000</v>
      </c>
      <c r="H526">
        <v>14.25</v>
      </c>
      <c r="I526" t="s">
        <v>56</v>
      </c>
      <c r="J526">
        <v>1.4250000000000001E-3</v>
      </c>
      <c r="K526" t="s">
        <v>57</v>
      </c>
      <c r="L526" t="s">
        <v>112</v>
      </c>
      <c r="O526">
        <v>0</v>
      </c>
      <c r="T526">
        <v>25</v>
      </c>
      <c r="V526">
        <v>50</v>
      </c>
      <c r="W526" t="s">
        <v>443</v>
      </c>
      <c r="X526" t="s">
        <v>957</v>
      </c>
      <c r="AA526" t="s">
        <v>94</v>
      </c>
      <c r="AB526">
        <v>7.64</v>
      </c>
      <c r="AC526" t="s">
        <v>85</v>
      </c>
      <c r="AI526">
        <v>5</v>
      </c>
      <c r="AT526" t="s">
        <v>65</v>
      </c>
      <c r="AV526" t="s">
        <v>88</v>
      </c>
      <c r="AZ526">
        <v>0</v>
      </c>
      <c r="BA526">
        <v>7.64</v>
      </c>
    </row>
    <row r="527" spans="1:53" x14ac:dyDescent="0.3">
      <c r="A527" t="s">
        <v>1382</v>
      </c>
      <c r="C527" t="s">
        <v>1275</v>
      </c>
      <c r="D527" t="s">
        <v>81</v>
      </c>
      <c r="E527">
        <v>10000000</v>
      </c>
      <c r="H527">
        <v>14.25</v>
      </c>
      <c r="I527" t="s">
        <v>56</v>
      </c>
      <c r="J527">
        <v>1.4250000000000001E-3</v>
      </c>
      <c r="K527" t="s">
        <v>57</v>
      </c>
      <c r="L527" t="s">
        <v>112</v>
      </c>
      <c r="O527">
        <v>0</v>
      </c>
      <c r="T527">
        <v>25</v>
      </c>
      <c r="V527">
        <v>50</v>
      </c>
      <c r="W527" t="s">
        <v>1255</v>
      </c>
      <c r="X527" t="s">
        <v>957</v>
      </c>
      <c r="AA527" t="s">
        <v>94</v>
      </c>
      <c r="AB527">
        <v>7.32</v>
      </c>
      <c r="AC527" t="s">
        <v>85</v>
      </c>
      <c r="AI527">
        <v>5</v>
      </c>
      <c r="AT527" t="s">
        <v>203</v>
      </c>
      <c r="AV527" t="s">
        <v>88</v>
      </c>
      <c r="AZ527">
        <v>0</v>
      </c>
      <c r="BA527">
        <v>7.32</v>
      </c>
    </row>
    <row r="528" spans="1:53" x14ac:dyDescent="0.3">
      <c r="A528" t="s">
        <v>1382</v>
      </c>
      <c r="C528" t="s">
        <v>1275</v>
      </c>
      <c r="D528" t="s">
        <v>81</v>
      </c>
      <c r="E528">
        <v>10000000</v>
      </c>
      <c r="H528">
        <v>3.5</v>
      </c>
      <c r="I528" t="s">
        <v>56</v>
      </c>
      <c r="J528">
        <v>3.5E-4</v>
      </c>
      <c r="K528" t="s">
        <v>57</v>
      </c>
      <c r="L528" t="s">
        <v>112</v>
      </c>
      <c r="O528">
        <v>0</v>
      </c>
      <c r="T528">
        <v>25</v>
      </c>
      <c r="V528">
        <v>50</v>
      </c>
      <c r="W528" t="s">
        <v>76</v>
      </c>
      <c r="X528" t="s">
        <v>957</v>
      </c>
      <c r="AB528">
        <v>4</v>
      </c>
      <c r="AC528" t="s">
        <v>85</v>
      </c>
      <c r="AI528">
        <v>5</v>
      </c>
      <c r="AT528" t="s">
        <v>77</v>
      </c>
      <c r="AV528" t="s">
        <v>88</v>
      </c>
    </row>
    <row r="529" spans="1:53" x14ac:dyDescent="0.3">
      <c r="A529" t="s">
        <v>1382</v>
      </c>
      <c r="C529" t="s">
        <v>1275</v>
      </c>
      <c r="D529" t="s">
        <v>81</v>
      </c>
      <c r="E529">
        <v>10000000</v>
      </c>
      <c r="H529">
        <v>14.25</v>
      </c>
      <c r="I529" t="s">
        <v>56</v>
      </c>
      <c r="J529">
        <v>1.4250000000000001E-3</v>
      </c>
      <c r="K529" t="s">
        <v>57</v>
      </c>
      <c r="L529" t="s">
        <v>112</v>
      </c>
      <c r="O529">
        <v>0</v>
      </c>
      <c r="T529">
        <v>25</v>
      </c>
      <c r="V529">
        <v>50</v>
      </c>
      <c r="W529" t="s">
        <v>1235</v>
      </c>
      <c r="X529" t="s">
        <v>957</v>
      </c>
      <c r="AA529" t="s">
        <v>94</v>
      </c>
      <c r="AB529">
        <v>7.25</v>
      </c>
      <c r="AC529" t="s">
        <v>85</v>
      </c>
      <c r="AI529">
        <v>5</v>
      </c>
      <c r="AT529" t="s">
        <v>1236</v>
      </c>
      <c r="AV529" t="s">
        <v>88</v>
      </c>
      <c r="AZ529">
        <v>0</v>
      </c>
      <c r="BA529">
        <v>7.25</v>
      </c>
    </row>
    <row r="530" spans="1:53" x14ac:dyDescent="0.3">
      <c r="A530" t="s">
        <v>1382</v>
      </c>
      <c r="C530" t="s">
        <v>1275</v>
      </c>
      <c r="D530" t="s">
        <v>81</v>
      </c>
      <c r="E530">
        <v>10000000</v>
      </c>
      <c r="H530">
        <v>14.25</v>
      </c>
      <c r="I530" t="s">
        <v>56</v>
      </c>
      <c r="J530">
        <v>1.4250000000000001E-3</v>
      </c>
      <c r="K530" t="s">
        <v>57</v>
      </c>
      <c r="L530" t="s">
        <v>112</v>
      </c>
      <c r="O530">
        <v>0</v>
      </c>
      <c r="T530">
        <v>25</v>
      </c>
      <c r="V530">
        <v>50</v>
      </c>
      <c r="W530" t="s">
        <v>1256</v>
      </c>
      <c r="X530" t="s">
        <v>957</v>
      </c>
      <c r="AB530">
        <v>2.97</v>
      </c>
      <c r="AC530" t="s">
        <v>85</v>
      </c>
      <c r="AI530">
        <v>5</v>
      </c>
      <c r="AT530" t="s">
        <v>1257</v>
      </c>
      <c r="AV530" t="s">
        <v>88</v>
      </c>
    </row>
    <row r="531" spans="1:53" x14ac:dyDescent="0.3">
      <c r="A531" t="s">
        <v>1382</v>
      </c>
      <c r="C531" t="s">
        <v>1275</v>
      </c>
      <c r="D531" t="s">
        <v>81</v>
      </c>
      <c r="E531">
        <v>10000000</v>
      </c>
      <c r="H531">
        <v>14.25</v>
      </c>
      <c r="I531" t="s">
        <v>56</v>
      </c>
      <c r="J531">
        <v>1.4250000000000001E-3</v>
      </c>
      <c r="K531" t="s">
        <v>57</v>
      </c>
      <c r="L531" t="s">
        <v>112</v>
      </c>
      <c r="O531">
        <v>0</v>
      </c>
      <c r="T531">
        <v>25</v>
      </c>
      <c r="V531">
        <v>50</v>
      </c>
      <c r="W531" t="s">
        <v>147</v>
      </c>
      <c r="X531" t="s">
        <v>957</v>
      </c>
      <c r="AA531" t="s">
        <v>94</v>
      </c>
      <c r="AB531">
        <v>7.78</v>
      </c>
      <c r="AC531" t="s">
        <v>85</v>
      </c>
      <c r="AI531">
        <v>5</v>
      </c>
      <c r="AT531" t="s">
        <v>150</v>
      </c>
      <c r="AV531" t="s">
        <v>88</v>
      </c>
      <c r="AZ531">
        <v>0</v>
      </c>
      <c r="BA531">
        <v>7.78</v>
      </c>
    </row>
    <row r="532" spans="1:53" x14ac:dyDescent="0.3">
      <c r="A532" t="s">
        <v>1382</v>
      </c>
      <c r="C532" t="s">
        <v>1275</v>
      </c>
      <c r="D532" t="s">
        <v>81</v>
      </c>
      <c r="E532">
        <v>10000000</v>
      </c>
      <c r="H532">
        <v>14.25</v>
      </c>
      <c r="I532" t="s">
        <v>56</v>
      </c>
      <c r="J532">
        <v>1.4250000000000001E-3</v>
      </c>
      <c r="K532" t="s">
        <v>57</v>
      </c>
      <c r="L532" t="s">
        <v>112</v>
      </c>
      <c r="O532">
        <v>0</v>
      </c>
      <c r="T532">
        <v>25</v>
      </c>
      <c r="V532">
        <v>50</v>
      </c>
      <c r="W532" t="s">
        <v>1254</v>
      </c>
      <c r="X532" t="s">
        <v>957</v>
      </c>
      <c r="AA532" t="s">
        <v>94</v>
      </c>
      <c r="AB532">
        <v>7.67</v>
      </c>
      <c r="AC532" t="s">
        <v>85</v>
      </c>
      <c r="AI532">
        <v>5</v>
      </c>
      <c r="AT532" t="s">
        <v>203</v>
      </c>
      <c r="AV532" t="s">
        <v>88</v>
      </c>
      <c r="AZ532">
        <v>0</v>
      </c>
      <c r="BA532">
        <v>7.67</v>
      </c>
    </row>
    <row r="533" spans="1:53" x14ac:dyDescent="0.3">
      <c r="A533" t="s">
        <v>1382</v>
      </c>
      <c r="C533" t="s">
        <v>1275</v>
      </c>
      <c r="D533" t="s">
        <v>81</v>
      </c>
      <c r="E533">
        <v>10000000</v>
      </c>
      <c r="H533">
        <v>14.25</v>
      </c>
      <c r="I533" t="s">
        <v>56</v>
      </c>
      <c r="J533">
        <v>1.4250000000000001E-3</v>
      </c>
      <c r="K533" t="s">
        <v>57</v>
      </c>
      <c r="L533" t="s">
        <v>112</v>
      </c>
      <c r="O533">
        <v>0</v>
      </c>
      <c r="T533">
        <v>25</v>
      </c>
      <c r="V533">
        <v>50</v>
      </c>
      <c r="W533" t="s">
        <v>719</v>
      </c>
      <c r="X533" t="s">
        <v>957</v>
      </c>
      <c r="AA533" t="s">
        <v>94</v>
      </c>
      <c r="AB533">
        <v>7.8</v>
      </c>
      <c r="AC533" t="s">
        <v>85</v>
      </c>
      <c r="AI533">
        <v>5</v>
      </c>
      <c r="AV533" t="s">
        <v>88</v>
      </c>
      <c r="AZ533">
        <v>0</v>
      </c>
      <c r="BA533">
        <v>7.8</v>
      </c>
    </row>
    <row r="534" spans="1:53" x14ac:dyDescent="0.3">
      <c r="A534" t="s">
        <v>1382</v>
      </c>
      <c r="C534" t="s">
        <v>1275</v>
      </c>
      <c r="D534" t="s">
        <v>81</v>
      </c>
      <c r="E534">
        <v>10000000</v>
      </c>
      <c r="H534">
        <v>14.25</v>
      </c>
      <c r="I534" t="s">
        <v>56</v>
      </c>
      <c r="J534">
        <v>1.4250000000000001E-3</v>
      </c>
      <c r="K534" t="s">
        <v>57</v>
      </c>
      <c r="L534" t="s">
        <v>112</v>
      </c>
      <c r="O534">
        <v>0</v>
      </c>
      <c r="T534">
        <v>25</v>
      </c>
      <c r="V534">
        <v>50</v>
      </c>
      <c r="W534" t="s">
        <v>1258</v>
      </c>
      <c r="X534" t="s">
        <v>957</v>
      </c>
      <c r="AB534">
        <v>1.91</v>
      </c>
      <c r="AC534" t="s">
        <v>85</v>
      </c>
      <c r="AI534">
        <v>5</v>
      </c>
      <c r="AT534" t="s">
        <v>75</v>
      </c>
      <c r="AV534" t="s">
        <v>88</v>
      </c>
    </row>
    <row r="535" spans="1:53" x14ac:dyDescent="0.3">
      <c r="A535" t="s">
        <v>1382</v>
      </c>
      <c r="C535" t="s">
        <v>1275</v>
      </c>
      <c r="D535" t="s">
        <v>81</v>
      </c>
      <c r="E535">
        <v>10000000</v>
      </c>
      <c r="H535">
        <v>14.25</v>
      </c>
      <c r="I535" t="s">
        <v>56</v>
      </c>
      <c r="J535">
        <v>1.4250000000000001E-3</v>
      </c>
      <c r="K535" t="s">
        <v>57</v>
      </c>
      <c r="L535" t="s">
        <v>112</v>
      </c>
      <c r="O535">
        <v>0</v>
      </c>
      <c r="T535">
        <v>25</v>
      </c>
      <c r="V535">
        <v>50</v>
      </c>
      <c r="W535" t="s">
        <v>1259</v>
      </c>
      <c r="X535" t="s">
        <v>957</v>
      </c>
      <c r="AA535" t="s">
        <v>94</v>
      </c>
      <c r="AB535">
        <v>6.94</v>
      </c>
      <c r="AC535" t="s">
        <v>85</v>
      </c>
      <c r="AI535">
        <v>5</v>
      </c>
      <c r="AV535" t="s">
        <v>88</v>
      </c>
      <c r="AZ535">
        <v>0</v>
      </c>
      <c r="BA535">
        <v>6.94</v>
      </c>
    </row>
    <row r="536" spans="1:53" x14ac:dyDescent="0.3">
      <c r="A536" t="s">
        <v>1382</v>
      </c>
      <c r="C536" t="s">
        <v>1275</v>
      </c>
      <c r="D536" t="s">
        <v>81</v>
      </c>
      <c r="E536">
        <v>10000000</v>
      </c>
      <c r="H536">
        <v>14.25</v>
      </c>
      <c r="I536" t="s">
        <v>56</v>
      </c>
      <c r="J536">
        <v>1.4250000000000001E-3</v>
      </c>
      <c r="K536" t="s">
        <v>57</v>
      </c>
      <c r="L536" t="s">
        <v>112</v>
      </c>
      <c r="O536">
        <v>0</v>
      </c>
      <c r="T536">
        <v>25</v>
      </c>
      <c r="V536">
        <v>50</v>
      </c>
      <c r="W536" t="s">
        <v>1256</v>
      </c>
      <c r="X536" t="s">
        <v>957</v>
      </c>
      <c r="AB536">
        <v>1.63</v>
      </c>
      <c r="AC536" t="s">
        <v>85</v>
      </c>
      <c r="AI536">
        <v>5</v>
      </c>
      <c r="AT536" t="s">
        <v>1257</v>
      </c>
      <c r="AV536" t="s">
        <v>88</v>
      </c>
    </row>
    <row r="537" spans="1:53" x14ac:dyDescent="0.3">
      <c r="A537" t="s">
        <v>1382</v>
      </c>
      <c r="C537" t="s">
        <v>1275</v>
      </c>
      <c r="D537" t="s">
        <v>81</v>
      </c>
      <c r="E537">
        <v>10000000</v>
      </c>
      <c r="H537">
        <v>14.25</v>
      </c>
      <c r="I537" t="s">
        <v>56</v>
      </c>
      <c r="J537">
        <v>1.4250000000000001E-3</v>
      </c>
      <c r="K537" t="s">
        <v>57</v>
      </c>
      <c r="L537" t="s">
        <v>112</v>
      </c>
      <c r="O537">
        <v>0</v>
      </c>
      <c r="T537">
        <v>25</v>
      </c>
      <c r="V537">
        <v>50</v>
      </c>
      <c r="W537" t="s">
        <v>719</v>
      </c>
      <c r="X537" t="s">
        <v>957</v>
      </c>
      <c r="AA537" t="s">
        <v>94</v>
      </c>
      <c r="AB537">
        <v>7.75</v>
      </c>
      <c r="AC537" t="s">
        <v>85</v>
      </c>
      <c r="AI537">
        <v>5</v>
      </c>
      <c r="AV537" t="s">
        <v>88</v>
      </c>
      <c r="AZ537">
        <v>0</v>
      </c>
      <c r="BA537">
        <v>7.75</v>
      </c>
    </row>
    <row r="538" spans="1:53" x14ac:dyDescent="0.3">
      <c r="A538" t="s">
        <v>1382</v>
      </c>
      <c r="C538" t="s">
        <v>1275</v>
      </c>
      <c r="D538" t="s">
        <v>81</v>
      </c>
      <c r="E538">
        <v>10000000</v>
      </c>
      <c r="H538">
        <v>14.25</v>
      </c>
      <c r="I538" t="s">
        <v>56</v>
      </c>
      <c r="J538">
        <v>1.4250000000000001E-3</v>
      </c>
      <c r="K538" t="s">
        <v>57</v>
      </c>
      <c r="L538" t="s">
        <v>112</v>
      </c>
      <c r="O538">
        <v>0</v>
      </c>
      <c r="T538">
        <v>25</v>
      </c>
      <c r="V538">
        <v>50</v>
      </c>
      <c r="W538" t="s">
        <v>147</v>
      </c>
      <c r="X538" t="s">
        <v>957</v>
      </c>
      <c r="AA538" t="s">
        <v>94</v>
      </c>
      <c r="AB538">
        <v>7.79</v>
      </c>
      <c r="AC538" t="s">
        <v>85</v>
      </c>
      <c r="AI538">
        <v>5</v>
      </c>
      <c r="AT538" t="s">
        <v>150</v>
      </c>
      <c r="AV538" t="s">
        <v>88</v>
      </c>
      <c r="AZ538">
        <v>0</v>
      </c>
      <c r="BA538">
        <v>7.79</v>
      </c>
    </row>
    <row r="539" spans="1:53" x14ac:dyDescent="0.3">
      <c r="A539" t="s">
        <v>1382</v>
      </c>
      <c r="C539" t="s">
        <v>1275</v>
      </c>
      <c r="D539" t="s">
        <v>81</v>
      </c>
      <c r="E539">
        <v>10000000</v>
      </c>
      <c r="H539">
        <v>14.25</v>
      </c>
      <c r="I539" t="s">
        <v>56</v>
      </c>
      <c r="J539">
        <v>1.4250000000000001E-3</v>
      </c>
      <c r="K539" t="s">
        <v>57</v>
      </c>
      <c r="L539" t="s">
        <v>112</v>
      </c>
      <c r="O539">
        <v>0</v>
      </c>
      <c r="T539">
        <v>25</v>
      </c>
      <c r="V539">
        <v>50</v>
      </c>
      <c r="W539" t="s">
        <v>1235</v>
      </c>
      <c r="X539" t="s">
        <v>957</v>
      </c>
      <c r="AA539" t="s">
        <v>94</v>
      </c>
      <c r="AB539">
        <v>7.28</v>
      </c>
      <c r="AC539" t="s">
        <v>85</v>
      </c>
      <c r="AI539">
        <v>5</v>
      </c>
      <c r="AT539" t="s">
        <v>1236</v>
      </c>
      <c r="AV539" t="s">
        <v>88</v>
      </c>
      <c r="AZ539">
        <v>0</v>
      </c>
      <c r="BA539">
        <v>7.28</v>
      </c>
    </row>
    <row r="540" spans="1:53" x14ac:dyDescent="0.3">
      <c r="A540" t="s">
        <v>1382</v>
      </c>
      <c r="C540" t="s">
        <v>1275</v>
      </c>
      <c r="D540" t="s">
        <v>81</v>
      </c>
      <c r="E540">
        <v>10000000</v>
      </c>
      <c r="H540">
        <v>14.25</v>
      </c>
      <c r="I540" t="s">
        <v>56</v>
      </c>
      <c r="J540">
        <v>1.4250000000000001E-3</v>
      </c>
      <c r="K540" t="s">
        <v>57</v>
      </c>
      <c r="L540" t="s">
        <v>112</v>
      </c>
      <c r="O540">
        <v>0</v>
      </c>
      <c r="T540">
        <v>25</v>
      </c>
      <c r="V540">
        <v>50</v>
      </c>
      <c r="W540" t="s">
        <v>1254</v>
      </c>
      <c r="X540" t="s">
        <v>957</v>
      </c>
      <c r="AA540" t="s">
        <v>94</v>
      </c>
      <c r="AB540">
        <v>7.78</v>
      </c>
      <c r="AC540" t="s">
        <v>85</v>
      </c>
      <c r="AI540">
        <v>5</v>
      </c>
      <c r="AT540" t="s">
        <v>203</v>
      </c>
      <c r="AV540" t="s">
        <v>88</v>
      </c>
      <c r="AZ540">
        <v>0</v>
      </c>
      <c r="BA540">
        <v>7.78</v>
      </c>
    </row>
    <row r="541" spans="1:53" x14ac:dyDescent="0.3">
      <c r="A541" t="s">
        <v>1382</v>
      </c>
      <c r="C541" t="s">
        <v>1275</v>
      </c>
      <c r="D541" t="s">
        <v>81</v>
      </c>
      <c r="E541">
        <v>10000000</v>
      </c>
      <c r="H541">
        <v>14.25</v>
      </c>
      <c r="I541" t="s">
        <v>56</v>
      </c>
      <c r="J541">
        <v>1.4250000000000001E-3</v>
      </c>
      <c r="K541" t="s">
        <v>57</v>
      </c>
      <c r="L541" t="s">
        <v>112</v>
      </c>
      <c r="O541">
        <v>0</v>
      </c>
      <c r="T541">
        <v>25</v>
      </c>
      <c r="V541">
        <v>50</v>
      </c>
      <c r="W541" t="s">
        <v>443</v>
      </c>
      <c r="X541" t="s">
        <v>957</v>
      </c>
      <c r="AA541" t="s">
        <v>94</v>
      </c>
      <c r="AB541">
        <v>7.61</v>
      </c>
      <c r="AC541" t="s">
        <v>85</v>
      </c>
      <c r="AI541">
        <v>5</v>
      </c>
      <c r="AT541" t="s">
        <v>65</v>
      </c>
      <c r="AV541" t="s">
        <v>88</v>
      </c>
      <c r="AZ541">
        <v>0</v>
      </c>
      <c r="BA541">
        <v>7.61</v>
      </c>
    </row>
    <row r="542" spans="1:53" x14ac:dyDescent="0.3">
      <c r="A542" t="s">
        <v>1382</v>
      </c>
      <c r="C542" t="s">
        <v>1275</v>
      </c>
      <c r="D542" t="s">
        <v>81</v>
      </c>
      <c r="E542">
        <v>10000000</v>
      </c>
      <c r="H542">
        <v>14.25</v>
      </c>
      <c r="I542" t="s">
        <v>56</v>
      </c>
      <c r="J542">
        <v>1.4250000000000001E-3</v>
      </c>
      <c r="K542" t="s">
        <v>57</v>
      </c>
      <c r="L542" t="s">
        <v>112</v>
      </c>
      <c r="O542">
        <v>0</v>
      </c>
      <c r="T542">
        <v>25</v>
      </c>
      <c r="V542">
        <v>50</v>
      </c>
      <c r="W542" t="s">
        <v>1258</v>
      </c>
      <c r="X542" t="s">
        <v>957</v>
      </c>
      <c r="AB542">
        <v>0.82</v>
      </c>
      <c r="AC542" t="s">
        <v>85</v>
      </c>
      <c r="AI542">
        <v>5</v>
      </c>
      <c r="AT542" t="s">
        <v>75</v>
      </c>
      <c r="AV542" t="s">
        <v>88</v>
      </c>
    </row>
    <row r="543" spans="1:53" x14ac:dyDescent="0.3">
      <c r="A543" t="s">
        <v>1382</v>
      </c>
      <c r="C543" t="s">
        <v>1275</v>
      </c>
      <c r="D543" t="s">
        <v>81</v>
      </c>
      <c r="E543">
        <v>10000000</v>
      </c>
      <c r="H543">
        <v>14.25</v>
      </c>
      <c r="I543" t="s">
        <v>56</v>
      </c>
      <c r="J543">
        <v>1.4250000000000001E-3</v>
      </c>
      <c r="K543" t="s">
        <v>57</v>
      </c>
      <c r="L543" t="s">
        <v>112</v>
      </c>
      <c r="O543">
        <v>0</v>
      </c>
      <c r="T543">
        <v>25</v>
      </c>
      <c r="V543">
        <v>50</v>
      </c>
      <c r="W543" t="s">
        <v>1255</v>
      </c>
      <c r="X543" t="s">
        <v>957</v>
      </c>
      <c r="AA543" t="s">
        <v>94</v>
      </c>
      <c r="AB543">
        <v>7.51</v>
      </c>
      <c r="AC543" t="s">
        <v>85</v>
      </c>
      <c r="AI543">
        <v>5</v>
      </c>
      <c r="AT543" t="s">
        <v>203</v>
      </c>
      <c r="AV543" t="s">
        <v>88</v>
      </c>
      <c r="AZ543">
        <v>0</v>
      </c>
      <c r="BA543">
        <v>7.51</v>
      </c>
    </row>
    <row r="544" spans="1:53" x14ac:dyDescent="0.3">
      <c r="A544" t="s">
        <v>1382</v>
      </c>
      <c r="C544" t="s">
        <v>1275</v>
      </c>
      <c r="D544" t="s">
        <v>81</v>
      </c>
      <c r="E544">
        <v>10000000</v>
      </c>
      <c r="H544">
        <v>3.5</v>
      </c>
      <c r="I544" t="s">
        <v>56</v>
      </c>
      <c r="J544">
        <v>3.5E-4</v>
      </c>
      <c r="K544" t="s">
        <v>57</v>
      </c>
      <c r="L544" t="s">
        <v>112</v>
      </c>
      <c r="O544">
        <v>0</v>
      </c>
      <c r="T544">
        <v>25</v>
      </c>
      <c r="V544">
        <v>50</v>
      </c>
      <c r="W544" t="s">
        <v>76</v>
      </c>
      <c r="X544" t="s">
        <v>957</v>
      </c>
      <c r="AA544" t="s">
        <v>94</v>
      </c>
      <c r="AB544">
        <v>7.14</v>
      </c>
      <c r="AC544" t="s">
        <v>85</v>
      </c>
      <c r="AI544">
        <v>5</v>
      </c>
      <c r="AT544" t="s">
        <v>77</v>
      </c>
      <c r="AV544" t="s">
        <v>88</v>
      </c>
      <c r="AZ544">
        <v>0</v>
      </c>
      <c r="BA544">
        <v>7.14</v>
      </c>
    </row>
    <row r="545" spans="1:53" x14ac:dyDescent="0.3">
      <c r="A545" t="s">
        <v>1382</v>
      </c>
      <c r="C545" t="s">
        <v>1275</v>
      </c>
      <c r="D545" t="s">
        <v>81</v>
      </c>
      <c r="E545">
        <v>10000000</v>
      </c>
      <c r="H545">
        <v>14.25</v>
      </c>
      <c r="I545" t="s">
        <v>56</v>
      </c>
      <c r="J545">
        <v>1.4250000000000001E-3</v>
      </c>
      <c r="K545" t="s">
        <v>57</v>
      </c>
      <c r="L545" t="s">
        <v>112</v>
      </c>
      <c r="O545">
        <v>0</v>
      </c>
      <c r="T545">
        <v>25</v>
      </c>
      <c r="V545">
        <v>50</v>
      </c>
      <c r="W545" t="s">
        <v>1259</v>
      </c>
      <c r="X545" t="s">
        <v>957</v>
      </c>
      <c r="AA545" t="s">
        <v>94</v>
      </c>
      <c r="AB545">
        <v>6.99</v>
      </c>
      <c r="AC545" t="s">
        <v>85</v>
      </c>
      <c r="AI545">
        <v>5</v>
      </c>
      <c r="AV545" t="s">
        <v>88</v>
      </c>
      <c r="AZ545">
        <v>0</v>
      </c>
      <c r="BA545">
        <v>6.99</v>
      </c>
    </row>
    <row r="546" spans="1:53" x14ac:dyDescent="0.3">
      <c r="A546" t="s">
        <v>1382</v>
      </c>
      <c r="C546" t="s">
        <v>1275</v>
      </c>
      <c r="D546" t="s">
        <v>81</v>
      </c>
      <c r="E546">
        <v>10000000</v>
      </c>
      <c r="H546">
        <v>14.25</v>
      </c>
      <c r="I546" t="s">
        <v>56</v>
      </c>
      <c r="J546">
        <v>1.4250000000000001E-3</v>
      </c>
      <c r="K546" t="s">
        <v>57</v>
      </c>
      <c r="L546" t="s">
        <v>112</v>
      </c>
      <c r="O546">
        <v>0</v>
      </c>
      <c r="T546">
        <v>25</v>
      </c>
      <c r="V546">
        <v>50</v>
      </c>
      <c r="W546" t="s">
        <v>1256</v>
      </c>
      <c r="X546" t="s">
        <v>957</v>
      </c>
      <c r="AB546">
        <v>7.22</v>
      </c>
      <c r="AC546" t="s">
        <v>85</v>
      </c>
      <c r="AI546">
        <v>5</v>
      </c>
      <c r="AT546" t="s">
        <v>1257</v>
      </c>
      <c r="AV546" t="s">
        <v>88</v>
      </c>
    </row>
    <row r="547" spans="1:53" x14ac:dyDescent="0.3">
      <c r="A547" t="s">
        <v>1382</v>
      </c>
      <c r="C547" t="s">
        <v>1275</v>
      </c>
      <c r="D547" t="s">
        <v>81</v>
      </c>
      <c r="E547">
        <v>10000000</v>
      </c>
      <c r="H547">
        <v>14.25</v>
      </c>
      <c r="I547" t="s">
        <v>56</v>
      </c>
      <c r="J547">
        <v>1.4250000000000001E-3</v>
      </c>
      <c r="K547" t="s">
        <v>57</v>
      </c>
      <c r="L547" t="s">
        <v>112</v>
      </c>
      <c r="O547">
        <v>0</v>
      </c>
      <c r="T547">
        <v>25</v>
      </c>
      <c r="V547">
        <v>50</v>
      </c>
      <c r="W547" t="s">
        <v>1258</v>
      </c>
      <c r="X547" t="s">
        <v>957</v>
      </c>
      <c r="AA547" t="s">
        <v>94</v>
      </c>
      <c r="AB547">
        <v>6.99</v>
      </c>
      <c r="AC547" t="s">
        <v>85</v>
      </c>
      <c r="AI547">
        <v>5</v>
      </c>
      <c r="AT547" t="s">
        <v>75</v>
      </c>
      <c r="AV547" t="s">
        <v>88</v>
      </c>
      <c r="AZ547">
        <v>0</v>
      </c>
      <c r="BA547">
        <v>6.99</v>
      </c>
    </row>
    <row r="548" spans="1:53" x14ac:dyDescent="0.3">
      <c r="A548" t="s">
        <v>1382</v>
      </c>
      <c r="C548" t="s">
        <v>1275</v>
      </c>
      <c r="D548" t="s">
        <v>81</v>
      </c>
      <c r="E548">
        <v>10000000</v>
      </c>
      <c r="H548">
        <v>14.25</v>
      </c>
      <c r="I548" t="s">
        <v>56</v>
      </c>
      <c r="J548">
        <v>1.4250000000000001E-3</v>
      </c>
      <c r="K548" t="s">
        <v>57</v>
      </c>
      <c r="L548" t="s">
        <v>112</v>
      </c>
      <c r="O548">
        <v>0</v>
      </c>
      <c r="T548">
        <v>25</v>
      </c>
      <c r="V548">
        <v>50</v>
      </c>
      <c r="W548" t="s">
        <v>1259</v>
      </c>
      <c r="X548" t="s">
        <v>957</v>
      </c>
      <c r="AA548" t="s">
        <v>94</v>
      </c>
      <c r="AB548">
        <v>6.65</v>
      </c>
      <c r="AC548" t="s">
        <v>85</v>
      </c>
      <c r="AI548">
        <v>5</v>
      </c>
      <c r="AV548" t="s">
        <v>88</v>
      </c>
      <c r="AZ548">
        <v>0</v>
      </c>
      <c r="BA548">
        <v>6.65</v>
      </c>
    </row>
    <row r="549" spans="1:53" x14ac:dyDescent="0.3">
      <c r="A549" t="s">
        <v>1382</v>
      </c>
      <c r="C549" t="s">
        <v>1275</v>
      </c>
      <c r="D549" t="s">
        <v>81</v>
      </c>
      <c r="E549">
        <v>10000000</v>
      </c>
      <c r="H549">
        <v>14.25</v>
      </c>
      <c r="I549" t="s">
        <v>56</v>
      </c>
      <c r="J549">
        <v>1.4250000000000001E-3</v>
      </c>
      <c r="K549" t="s">
        <v>57</v>
      </c>
      <c r="L549" t="s">
        <v>112</v>
      </c>
      <c r="O549">
        <v>0</v>
      </c>
      <c r="T549">
        <v>25</v>
      </c>
      <c r="V549">
        <v>50</v>
      </c>
      <c r="W549" t="s">
        <v>1254</v>
      </c>
      <c r="X549" t="s">
        <v>957</v>
      </c>
      <c r="AA549" t="s">
        <v>94</v>
      </c>
      <c r="AB549">
        <v>7.71</v>
      </c>
      <c r="AC549" t="s">
        <v>85</v>
      </c>
      <c r="AI549">
        <v>5</v>
      </c>
      <c r="AT549" t="s">
        <v>203</v>
      </c>
      <c r="AV549" t="s">
        <v>88</v>
      </c>
      <c r="AZ549">
        <v>0</v>
      </c>
      <c r="BA549">
        <v>7.71</v>
      </c>
    </row>
    <row r="550" spans="1:53" x14ac:dyDescent="0.3">
      <c r="A550" t="s">
        <v>1382</v>
      </c>
      <c r="C550" t="s">
        <v>1275</v>
      </c>
      <c r="D550" t="s">
        <v>81</v>
      </c>
      <c r="E550">
        <v>10000000</v>
      </c>
      <c r="H550">
        <v>14.25</v>
      </c>
      <c r="I550" t="s">
        <v>56</v>
      </c>
      <c r="J550">
        <v>1.4250000000000001E-3</v>
      </c>
      <c r="K550" t="s">
        <v>57</v>
      </c>
      <c r="L550" t="s">
        <v>112</v>
      </c>
      <c r="O550">
        <v>0</v>
      </c>
      <c r="T550">
        <v>25</v>
      </c>
      <c r="V550">
        <v>50</v>
      </c>
      <c r="W550" t="s">
        <v>1255</v>
      </c>
      <c r="X550" t="s">
        <v>957</v>
      </c>
      <c r="AA550" t="s">
        <v>94</v>
      </c>
      <c r="AB550">
        <v>7.42</v>
      </c>
      <c r="AC550" t="s">
        <v>85</v>
      </c>
      <c r="AI550">
        <v>5</v>
      </c>
      <c r="AT550" t="s">
        <v>203</v>
      </c>
      <c r="AV550" t="s">
        <v>88</v>
      </c>
      <c r="AZ550">
        <v>0</v>
      </c>
      <c r="BA550">
        <v>7.42</v>
      </c>
    </row>
    <row r="551" spans="1:53" x14ac:dyDescent="0.3">
      <c r="A551" t="s">
        <v>1382</v>
      </c>
      <c r="C551" t="s">
        <v>1275</v>
      </c>
      <c r="D551" t="s">
        <v>81</v>
      </c>
      <c r="E551">
        <v>10000000</v>
      </c>
      <c r="H551">
        <v>14.25</v>
      </c>
      <c r="I551" t="s">
        <v>56</v>
      </c>
      <c r="J551">
        <v>1.4250000000000001E-3</v>
      </c>
      <c r="K551" t="s">
        <v>57</v>
      </c>
      <c r="L551" t="s">
        <v>112</v>
      </c>
      <c r="O551">
        <v>0</v>
      </c>
      <c r="T551">
        <v>25</v>
      </c>
      <c r="V551">
        <v>50</v>
      </c>
      <c r="W551" t="s">
        <v>719</v>
      </c>
      <c r="X551" t="s">
        <v>957</v>
      </c>
      <c r="AA551" t="s">
        <v>94</v>
      </c>
      <c r="AB551">
        <v>7.82</v>
      </c>
      <c r="AC551" t="s">
        <v>85</v>
      </c>
      <c r="AI551">
        <v>5</v>
      </c>
      <c r="AV551" t="s">
        <v>88</v>
      </c>
      <c r="AZ551">
        <v>0</v>
      </c>
      <c r="BA551">
        <v>7.82</v>
      </c>
    </row>
    <row r="552" spans="1:53" x14ac:dyDescent="0.3">
      <c r="A552" t="s">
        <v>1382</v>
      </c>
      <c r="C552" t="s">
        <v>1275</v>
      </c>
      <c r="D552" t="s">
        <v>81</v>
      </c>
      <c r="E552">
        <v>10000000</v>
      </c>
      <c r="H552">
        <v>14.25</v>
      </c>
      <c r="I552" t="s">
        <v>56</v>
      </c>
      <c r="J552">
        <v>1.4250000000000001E-3</v>
      </c>
      <c r="K552" t="s">
        <v>57</v>
      </c>
      <c r="L552" t="s">
        <v>112</v>
      </c>
      <c r="O552">
        <v>0</v>
      </c>
      <c r="T552">
        <v>25</v>
      </c>
      <c r="V552">
        <v>50</v>
      </c>
      <c r="W552" t="s">
        <v>147</v>
      </c>
      <c r="X552" t="s">
        <v>957</v>
      </c>
      <c r="AA552" t="s">
        <v>94</v>
      </c>
      <c r="AB552">
        <v>7.76</v>
      </c>
      <c r="AC552" t="s">
        <v>85</v>
      </c>
      <c r="AI552">
        <v>5</v>
      </c>
      <c r="AT552" t="s">
        <v>150</v>
      </c>
      <c r="AV552" t="s">
        <v>88</v>
      </c>
      <c r="AZ552">
        <v>0</v>
      </c>
      <c r="BA552">
        <v>7.76</v>
      </c>
    </row>
    <row r="553" spans="1:53" x14ac:dyDescent="0.3">
      <c r="A553" t="s">
        <v>1382</v>
      </c>
      <c r="C553" t="s">
        <v>1275</v>
      </c>
      <c r="D553" t="s">
        <v>81</v>
      </c>
      <c r="E553">
        <v>10000000</v>
      </c>
      <c r="H553">
        <v>14.25</v>
      </c>
      <c r="I553" t="s">
        <v>56</v>
      </c>
      <c r="J553">
        <v>1.4250000000000001E-3</v>
      </c>
      <c r="K553" t="s">
        <v>57</v>
      </c>
      <c r="L553" t="s">
        <v>112</v>
      </c>
      <c r="O553">
        <v>0</v>
      </c>
      <c r="T553">
        <v>25</v>
      </c>
      <c r="V553">
        <v>50</v>
      </c>
      <c r="W553" t="s">
        <v>443</v>
      </c>
      <c r="X553" t="s">
        <v>957</v>
      </c>
      <c r="AA553" t="s">
        <v>94</v>
      </c>
      <c r="AB553">
        <v>6.69</v>
      </c>
      <c r="AC553" t="s">
        <v>85</v>
      </c>
      <c r="AI553">
        <v>5</v>
      </c>
      <c r="AT553" t="s">
        <v>65</v>
      </c>
      <c r="AV553" t="s">
        <v>88</v>
      </c>
      <c r="AZ553">
        <v>0</v>
      </c>
      <c r="BA553">
        <v>6.69</v>
      </c>
    </row>
    <row r="554" spans="1:53" x14ac:dyDescent="0.3">
      <c r="A554" t="s">
        <v>1382</v>
      </c>
      <c r="C554" t="s">
        <v>1275</v>
      </c>
      <c r="D554" t="s">
        <v>81</v>
      </c>
      <c r="E554">
        <v>10000000</v>
      </c>
      <c r="H554">
        <v>14.25</v>
      </c>
      <c r="I554" t="s">
        <v>56</v>
      </c>
      <c r="J554">
        <v>1.4250000000000001E-3</v>
      </c>
      <c r="K554" t="s">
        <v>57</v>
      </c>
      <c r="L554" t="s">
        <v>112</v>
      </c>
      <c r="O554">
        <v>0</v>
      </c>
      <c r="T554">
        <v>25</v>
      </c>
      <c r="V554">
        <v>50</v>
      </c>
      <c r="W554" t="s">
        <v>1235</v>
      </c>
      <c r="X554" t="s">
        <v>957</v>
      </c>
      <c r="AB554">
        <v>3.81</v>
      </c>
      <c r="AC554" t="s">
        <v>85</v>
      </c>
      <c r="AI554">
        <v>5</v>
      </c>
      <c r="AT554" t="s">
        <v>1236</v>
      </c>
      <c r="AV554" t="s">
        <v>88</v>
      </c>
    </row>
    <row r="555" spans="1:53" x14ac:dyDescent="0.3">
      <c r="A555" t="s">
        <v>1382</v>
      </c>
      <c r="C555" t="s">
        <v>1275</v>
      </c>
      <c r="D555" t="s">
        <v>81</v>
      </c>
      <c r="E555">
        <v>10000000</v>
      </c>
      <c r="H555">
        <v>3.5</v>
      </c>
      <c r="I555" t="s">
        <v>56</v>
      </c>
      <c r="J555">
        <v>3.5E-4</v>
      </c>
      <c r="K555" t="s">
        <v>57</v>
      </c>
      <c r="L555" t="s">
        <v>112</v>
      </c>
      <c r="O555">
        <v>0</v>
      </c>
      <c r="T555">
        <v>25</v>
      </c>
      <c r="V555">
        <v>50</v>
      </c>
      <c r="W555" t="s">
        <v>76</v>
      </c>
      <c r="X555" t="s">
        <v>957</v>
      </c>
      <c r="AB555">
        <v>1.39</v>
      </c>
      <c r="AC555" t="s">
        <v>85</v>
      </c>
      <c r="AI555">
        <v>5</v>
      </c>
      <c r="AT555" t="s">
        <v>77</v>
      </c>
      <c r="AV555" t="s">
        <v>88</v>
      </c>
    </row>
    <row r="556" spans="1:53" x14ac:dyDescent="0.3">
      <c r="A556" t="s">
        <v>1382</v>
      </c>
      <c r="C556" t="s">
        <v>1275</v>
      </c>
      <c r="D556" t="s">
        <v>81</v>
      </c>
      <c r="E556">
        <v>10000000</v>
      </c>
      <c r="H556">
        <v>14.25</v>
      </c>
      <c r="I556" t="s">
        <v>56</v>
      </c>
      <c r="J556">
        <v>1.4250000000000001E-3</v>
      </c>
      <c r="K556" t="s">
        <v>57</v>
      </c>
      <c r="L556" t="s">
        <v>112</v>
      </c>
      <c r="O556">
        <v>0</v>
      </c>
      <c r="T556">
        <v>25</v>
      </c>
      <c r="V556">
        <v>50</v>
      </c>
      <c r="W556" t="s">
        <v>719</v>
      </c>
      <c r="X556" t="s">
        <v>957</v>
      </c>
      <c r="AB556">
        <v>7.17</v>
      </c>
      <c r="AC556" t="s">
        <v>85</v>
      </c>
      <c r="AI556">
        <v>5</v>
      </c>
      <c r="AV556" t="s">
        <v>88</v>
      </c>
    </row>
    <row r="557" spans="1:53" x14ac:dyDescent="0.3">
      <c r="A557" t="s">
        <v>1382</v>
      </c>
      <c r="C557" t="s">
        <v>1275</v>
      </c>
      <c r="D557" t="s">
        <v>81</v>
      </c>
      <c r="E557">
        <v>10000000</v>
      </c>
      <c r="H557">
        <v>14.25</v>
      </c>
      <c r="I557" t="s">
        <v>56</v>
      </c>
      <c r="J557">
        <v>1.4250000000000001E-3</v>
      </c>
      <c r="K557" t="s">
        <v>57</v>
      </c>
      <c r="L557" t="s">
        <v>112</v>
      </c>
      <c r="O557">
        <v>0</v>
      </c>
      <c r="T557">
        <v>25</v>
      </c>
      <c r="V557">
        <v>50</v>
      </c>
      <c r="W557" t="s">
        <v>1259</v>
      </c>
      <c r="X557" t="s">
        <v>957</v>
      </c>
      <c r="AA557" t="s">
        <v>94</v>
      </c>
      <c r="AB557">
        <v>7.39</v>
      </c>
      <c r="AC557" t="s">
        <v>85</v>
      </c>
      <c r="AI557">
        <v>5</v>
      </c>
      <c r="AV557" t="s">
        <v>88</v>
      </c>
      <c r="AZ557">
        <v>0</v>
      </c>
      <c r="BA557">
        <v>7.39</v>
      </c>
    </row>
    <row r="558" spans="1:53" x14ac:dyDescent="0.3">
      <c r="A558" t="s">
        <v>1382</v>
      </c>
      <c r="C558" t="s">
        <v>1275</v>
      </c>
      <c r="D558" t="s">
        <v>81</v>
      </c>
      <c r="E558">
        <v>10000000</v>
      </c>
      <c r="H558">
        <v>14.25</v>
      </c>
      <c r="I558" t="s">
        <v>56</v>
      </c>
      <c r="J558">
        <v>1.4250000000000001E-3</v>
      </c>
      <c r="K558" t="s">
        <v>57</v>
      </c>
      <c r="L558" t="s">
        <v>112</v>
      </c>
      <c r="O558">
        <v>0</v>
      </c>
      <c r="T558">
        <v>25</v>
      </c>
      <c r="V558">
        <v>50</v>
      </c>
      <c r="W558" t="s">
        <v>147</v>
      </c>
      <c r="X558" t="s">
        <v>957</v>
      </c>
      <c r="AB558">
        <v>7.36</v>
      </c>
      <c r="AC558" t="s">
        <v>85</v>
      </c>
      <c r="AI558">
        <v>5</v>
      </c>
      <c r="AT558" t="s">
        <v>150</v>
      </c>
      <c r="AV558" t="s">
        <v>88</v>
      </c>
    </row>
    <row r="559" spans="1:53" x14ac:dyDescent="0.3">
      <c r="A559" t="s">
        <v>1382</v>
      </c>
      <c r="C559" t="s">
        <v>1275</v>
      </c>
      <c r="D559" t="s">
        <v>81</v>
      </c>
      <c r="E559">
        <v>10000000</v>
      </c>
      <c r="H559">
        <v>14.25</v>
      </c>
      <c r="I559" t="s">
        <v>56</v>
      </c>
      <c r="J559">
        <v>1.4250000000000001E-3</v>
      </c>
      <c r="K559" t="s">
        <v>57</v>
      </c>
      <c r="L559" t="s">
        <v>112</v>
      </c>
      <c r="O559">
        <v>0</v>
      </c>
      <c r="T559">
        <v>25</v>
      </c>
      <c r="V559">
        <v>50</v>
      </c>
      <c r="W559" t="s">
        <v>443</v>
      </c>
      <c r="X559" t="s">
        <v>957</v>
      </c>
      <c r="AB559">
        <v>7.28</v>
      </c>
      <c r="AC559" t="s">
        <v>85</v>
      </c>
      <c r="AI559">
        <v>5</v>
      </c>
      <c r="AT559" t="s">
        <v>65</v>
      </c>
      <c r="AV559" t="s">
        <v>88</v>
      </c>
    </row>
    <row r="560" spans="1:53" x14ac:dyDescent="0.3">
      <c r="A560" t="s">
        <v>1382</v>
      </c>
      <c r="C560" t="s">
        <v>1275</v>
      </c>
      <c r="D560" t="s">
        <v>81</v>
      </c>
      <c r="E560">
        <v>10000000</v>
      </c>
      <c r="H560">
        <v>3.5</v>
      </c>
      <c r="I560" t="s">
        <v>56</v>
      </c>
      <c r="J560">
        <v>3.5E-4</v>
      </c>
      <c r="K560" t="s">
        <v>57</v>
      </c>
      <c r="L560" t="s">
        <v>112</v>
      </c>
      <c r="O560">
        <v>0</v>
      </c>
      <c r="T560">
        <v>25</v>
      </c>
      <c r="V560">
        <v>50</v>
      </c>
      <c r="W560" t="s">
        <v>76</v>
      </c>
      <c r="X560" t="s">
        <v>957</v>
      </c>
      <c r="AB560">
        <v>1.02</v>
      </c>
      <c r="AC560" t="s">
        <v>85</v>
      </c>
      <c r="AI560">
        <v>5</v>
      </c>
      <c r="AT560" t="s">
        <v>77</v>
      </c>
      <c r="AV560" t="s">
        <v>88</v>
      </c>
    </row>
    <row r="561" spans="1:53" x14ac:dyDescent="0.3">
      <c r="A561" t="s">
        <v>1382</v>
      </c>
      <c r="C561" t="s">
        <v>1275</v>
      </c>
      <c r="D561" t="s">
        <v>81</v>
      </c>
      <c r="E561">
        <v>10000000</v>
      </c>
      <c r="H561">
        <v>14.25</v>
      </c>
      <c r="I561" t="s">
        <v>56</v>
      </c>
      <c r="J561">
        <v>1.4250000000000001E-3</v>
      </c>
      <c r="K561" t="s">
        <v>57</v>
      </c>
      <c r="L561" t="s">
        <v>112</v>
      </c>
      <c r="O561">
        <v>0</v>
      </c>
      <c r="T561">
        <v>25</v>
      </c>
      <c r="V561">
        <v>50</v>
      </c>
      <c r="W561" t="s">
        <v>1256</v>
      </c>
      <c r="X561" t="s">
        <v>957</v>
      </c>
      <c r="AB561">
        <v>2.56</v>
      </c>
      <c r="AC561" t="s">
        <v>85</v>
      </c>
      <c r="AI561">
        <v>5</v>
      </c>
      <c r="AT561" t="s">
        <v>1257</v>
      </c>
      <c r="AV561" t="s">
        <v>88</v>
      </c>
    </row>
    <row r="562" spans="1:53" x14ac:dyDescent="0.3">
      <c r="A562" t="s">
        <v>1382</v>
      </c>
      <c r="C562" t="s">
        <v>1275</v>
      </c>
      <c r="D562" t="s">
        <v>81</v>
      </c>
      <c r="E562">
        <v>10000000</v>
      </c>
      <c r="H562">
        <v>14.25</v>
      </c>
      <c r="I562" t="s">
        <v>56</v>
      </c>
      <c r="J562">
        <v>1.4250000000000001E-3</v>
      </c>
      <c r="K562" t="s">
        <v>57</v>
      </c>
      <c r="L562" t="s">
        <v>112</v>
      </c>
      <c r="O562">
        <v>0</v>
      </c>
      <c r="T562">
        <v>25</v>
      </c>
      <c r="V562">
        <v>50</v>
      </c>
      <c r="W562" t="s">
        <v>1235</v>
      </c>
      <c r="X562" t="s">
        <v>957</v>
      </c>
      <c r="AA562" t="s">
        <v>94</v>
      </c>
      <c r="AB562">
        <v>7.27</v>
      </c>
      <c r="AC562" t="s">
        <v>85</v>
      </c>
      <c r="AI562">
        <v>5</v>
      </c>
      <c r="AT562" t="s">
        <v>1236</v>
      </c>
      <c r="AV562" t="s">
        <v>88</v>
      </c>
      <c r="AZ562">
        <v>0</v>
      </c>
      <c r="BA562">
        <v>7.27</v>
      </c>
    </row>
    <row r="563" spans="1:53" x14ac:dyDescent="0.3">
      <c r="A563" t="s">
        <v>1382</v>
      </c>
      <c r="C563" t="s">
        <v>1275</v>
      </c>
      <c r="D563" t="s">
        <v>81</v>
      </c>
      <c r="E563">
        <v>10000000</v>
      </c>
      <c r="H563">
        <v>14.25</v>
      </c>
      <c r="I563" t="s">
        <v>56</v>
      </c>
      <c r="J563">
        <v>1.4250000000000001E-3</v>
      </c>
      <c r="K563" t="s">
        <v>57</v>
      </c>
      <c r="L563" t="s">
        <v>112</v>
      </c>
      <c r="O563">
        <v>0</v>
      </c>
      <c r="T563">
        <v>25</v>
      </c>
      <c r="V563">
        <v>50</v>
      </c>
      <c r="W563" t="s">
        <v>1258</v>
      </c>
      <c r="X563" t="s">
        <v>957</v>
      </c>
      <c r="AB563">
        <v>6.06</v>
      </c>
      <c r="AC563" t="s">
        <v>85</v>
      </c>
      <c r="AI563">
        <v>5</v>
      </c>
      <c r="AT563" t="s">
        <v>75</v>
      </c>
      <c r="AV563" t="s">
        <v>88</v>
      </c>
    </row>
    <row r="564" spans="1:53" x14ac:dyDescent="0.3">
      <c r="A564" t="s">
        <v>1382</v>
      </c>
      <c r="C564" t="s">
        <v>1275</v>
      </c>
      <c r="D564" t="s">
        <v>81</v>
      </c>
      <c r="E564">
        <v>10000000</v>
      </c>
      <c r="H564">
        <v>14.25</v>
      </c>
      <c r="I564" t="s">
        <v>56</v>
      </c>
      <c r="J564">
        <v>1.4250000000000001E-3</v>
      </c>
      <c r="K564" t="s">
        <v>57</v>
      </c>
      <c r="L564" t="s">
        <v>112</v>
      </c>
      <c r="O564">
        <v>0</v>
      </c>
      <c r="T564">
        <v>25</v>
      </c>
      <c r="V564">
        <v>50</v>
      </c>
      <c r="W564" t="s">
        <v>1254</v>
      </c>
      <c r="X564" t="s">
        <v>957</v>
      </c>
      <c r="AA564" t="s">
        <v>94</v>
      </c>
      <c r="AB564">
        <v>7.72</v>
      </c>
      <c r="AC564" t="s">
        <v>85</v>
      </c>
      <c r="AI564">
        <v>5</v>
      </c>
      <c r="AT564" t="s">
        <v>203</v>
      </c>
      <c r="AV564" t="s">
        <v>88</v>
      </c>
      <c r="AZ564">
        <v>0</v>
      </c>
      <c r="BA564">
        <v>7.72</v>
      </c>
    </row>
    <row r="565" spans="1:53" x14ac:dyDescent="0.3">
      <c r="A565" t="s">
        <v>1382</v>
      </c>
      <c r="C565" t="s">
        <v>1275</v>
      </c>
      <c r="D565" t="s">
        <v>81</v>
      </c>
      <c r="E565">
        <v>10000000</v>
      </c>
      <c r="H565">
        <v>14.25</v>
      </c>
      <c r="I565" t="s">
        <v>56</v>
      </c>
      <c r="J565">
        <v>1.4250000000000001E-3</v>
      </c>
      <c r="K565" t="s">
        <v>57</v>
      </c>
      <c r="L565" t="s">
        <v>112</v>
      </c>
      <c r="O565">
        <v>0</v>
      </c>
      <c r="T565">
        <v>25</v>
      </c>
      <c r="V565">
        <v>50</v>
      </c>
      <c r="W565" t="s">
        <v>1255</v>
      </c>
      <c r="X565" t="s">
        <v>957</v>
      </c>
      <c r="AA565" t="s">
        <v>94</v>
      </c>
      <c r="AB565">
        <v>7.57</v>
      </c>
      <c r="AC565" t="s">
        <v>85</v>
      </c>
      <c r="AI565">
        <v>5</v>
      </c>
      <c r="AT565" t="s">
        <v>203</v>
      </c>
      <c r="AV565" t="s">
        <v>88</v>
      </c>
      <c r="AZ565">
        <v>0</v>
      </c>
      <c r="BA565">
        <v>7.57</v>
      </c>
    </row>
    <row r="566" spans="1:53" x14ac:dyDescent="0.3">
      <c r="A566" t="s">
        <v>667</v>
      </c>
      <c r="C566" t="s">
        <v>1275</v>
      </c>
      <c r="D566" t="s">
        <v>81</v>
      </c>
      <c r="E566">
        <v>10000000</v>
      </c>
      <c r="H566">
        <v>14.25</v>
      </c>
      <c r="I566" t="s">
        <v>56</v>
      </c>
      <c r="J566">
        <v>1.4250000000000001E-3</v>
      </c>
      <c r="K566" t="s">
        <v>57</v>
      </c>
      <c r="L566" t="s">
        <v>112</v>
      </c>
      <c r="O566">
        <v>0.5</v>
      </c>
      <c r="P566" t="s">
        <v>1383</v>
      </c>
      <c r="S566">
        <v>0.62</v>
      </c>
      <c r="T566">
        <v>18.91</v>
      </c>
      <c r="U566" t="s">
        <v>1384</v>
      </c>
      <c r="V566">
        <v>51.16</v>
      </c>
      <c r="W566" t="s">
        <v>75</v>
      </c>
      <c r="X566" t="s">
        <v>1284</v>
      </c>
      <c r="Y566">
        <v>10080</v>
      </c>
      <c r="AA566" t="s">
        <v>94</v>
      </c>
      <c r="AB566">
        <v>7.89</v>
      </c>
      <c r="AC566" t="s">
        <v>85</v>
      </c>
      <c r="AD566" t="s">
        <v>232</v>
      </c>
      <c r="AE566" t="s">
        <v>138</v>
      </c>
      <c r="AI566">
        <v>5</v>
      </c>
      <c r="AK566">
        <v>6</v>
      </c>
      <c r="AL566" t="s">
        <v>82</v>
      </c>
      <c r="AM566">
        <v>6</v>
      </c>
      <c r="AN566" t="s">
        <v>82</v>
      </c>
      <c r="AT566" t="s">
        <v>75</v>
      </c>
      <c r="AU566">
        <v>4.2105263157894726</v>
      </c>
      <c r="AV566" t="s">
        <v>115</v>
      </c>
      <c r="AZ566">
        <v>0</v>
      </c>
      <c r="BA566">
        <v>7.89</v>
      </c>
    </row>
    <row r="567" spans="1:53" x14ac:dyDescent="0.3">
      <c r="A567" t="s">
        <v>667</v>
      </c>
      <c r="C567" t="s">
        <v>1275</v>
      </c>
      <c r="D567" t="s">
        <v>81</v>
      </c>
      <c r="E567">
        <v>10000000</v>
      </c>
      <c r="H567">
        <v>14.25</v>
      </c>
      <c r="I567" t="s">
        <v>56</v>
      </c>
      <c r="J567">
        <v>1.4250000000000001E-3</v>
      </c>
      <c r="K567" t="s">
        <v>57</v>
      </c>
      <c r="L567" t="s">
        <v>112</v>
      </c>
      <c r="O567">
        <v>0.5</v>
      </c>
      <c r="P567" t="s">
        <v>1383</v>
      </c>
      <c r="S567">
        <v>0.62</v>
      </c>
      <c r="T567">
        <v>18.91</v>
      </c>
      <c r="U567" t="s">
        <v>1384</v>
      </c>
      <c r="V567">
        <v>51.16</v>
      </c>
      <c r="W567" t="s">
        <v>75</v>
      </c>
      <c r="X567" t="s">
        <v>1284</v>
      </c>
      <c r="Y567">
        <v>10080</v>
      </c>
      <c r="AA567" t="s">
        <v>94</v>
      </c>
      <c r="AB567">
        <v>7.92</v>
      </c>
      <c r="AC567" t="s">
        <v>85</v>
      </c>
      <c r="AD567" t="s">
        <v>232</v>
      </c>
      <c r="AE567" t="s">
        <v>138</v>
      </c>
      <c r="AI567">
        <v>5</v>
      </c>
      <c r="AK567">
        <v>6</v>
      </c>
      <c r="AL567" t="s">
        <v>82</v>
      </c>
      <c r="AM567">
        <v>6</v>
      </c>
      <c r="AN567" t="s">
        <v>82</v>
      </c>
      <c r="AT567" t="s">
        <v>75</v>
      </c>
      <c r="AU567">
        <v>4.2105263157894726</v>
      </c>
      <c r="AV567" t="s">
        <v>115</v>
      </c>
      <c r="AZ567">
        <v>0</v>
      </c>
      <c r="BA567">
        <v>7.92</v>
      </c>
    </row>
    <row r="568" spans="1:53" x14ac:dyDescent="0.3">
      <c r="A568" t="s">
        <v>667</v>
      </c>
      <c r="C568" t="s">
        <v>1275</v>
      </c>
      <c r="D568" t="s">
        <v>81</v>
      </c>
      <c r="E568">
        <v>10000000</v>
      </c>
      <c r="H568">
        <v>14.25</v>
      </c>
      <c r="I568" t="s">
        <v>56</v>
      </c>
      <c r="J568">
        <v>1.4250000000000001E-3</v>
      </c>
      <c r="K568" t="s">
        <v>57</v>
      </c>
      <c r="L568" t="s">
        <v>112</v>
      </c>
      <c r="O568">
        <v>0.5</v>
      </c>
      <c r="P568" t="s">
        <v>1383</v>
      </c>
      <c r="S568">
        <v>0.62</v>
      </c>
      <c r="T568">
        <v>18.91</v>
      </c>
      <c r="U568" t="s">
        <v>1384</v>
      </c>
      <c r="V568">
        <v>51.16</v>
      </c>
      <c r="W568" t="s">
        <v>75</v>
      </c>
      <c r="X568" t="s">
        <v>1284</v>
      </c>
      <c r="Y568">
        <v>10080</v>
      </c>
      <c r="AA568" t="s">
        <v>94</v>
      </c>
      <c r="AB568">
        <v>8.18</v>
      </c>
      <c r="AC568" t="s">
        <v>85</v>
      </c>
      <c r="AD568" t="s">
        <v>418</v>
      </c>
      <c r="AE568" t="s">
        <v>138</v>
      </c>
      <c r="AI568">
        <v>5</v>
      </c>
      <c r="AK568">
        <v>6</v>
      </c>
      <c r="AL568" t="s">
        <v>82</v>
      </c>
      <c r="AM568">
        <v>6</v>
      </c>
      <c r="AN568" t="s">
        <v>82</v>
      </c>
      <c r="AT568" t="s">
        <v>75</v>
      </c>
      <c r="AU568">
        <v>4.2105263157894726</v>
      </c>
      <c r="AV568" t="s">
        <v>115</v>
      </c>
      <c r="AZ568">
        <v>0</v>
      </c>
      <c r="BA568">
        <v>8.18</v>
      </c>
    </row>
    <row r="569" spans="1:53" x14ac:dyDescent="0.3">
      <c r="A569" t="s">
        <v>667</v>
      </c>
      <c r="C569" t="s">
        <v>1275</v>
      </c>
      <c r="D569" t="s">
        <v>81</v>
      </c>
      <c r="E569">
        <v>10000000</v>
      </c>
      <c r="H569">
        <v>14.25</v>
      </c>
      <c r="I569" t="s">
        <v>56</v>
      </c>
      <c r="J569">
        <v>1.4250000000000001E-3</v>
      </c>
      <c r="K569" t="s">
        <v>57</v>
      </c>
      <c r="L569" t="s">
        <v>112</v>
      </c>
      <c r="O569">
        <v>0.5</v>
      </c>
      <c r="P569" t="s">
        <v>1383</v>
      </c>
      <c r="S569">
        <v>0.62</v>
      </c>
      <c r="T569">
        <v>18.91</v>
      </c>
      <c r="U569" t="s">
        <v>1384</v>
      </c>
      <c r="V569">
        <v>51.16</v>
      </c>
      <c r="W569" t="s">
        <v>75</v>
      </c>
      <c r="X569" t="s">
        <v>1284</v>
      </c>
      <c r="Y569">
        <v>10080</v>
      </c>
      <c r="AA569" t="s">
        <v>94</v>
      </c>
      <c r="AB569">
        <v>8.3699999999999903</v>
      </c>
      <c r="AC569" t="s">
        <v>85</v>
      </c>
      <c r="AD569" t="s">
        <v>314</v>
      </c>
      <c r="AE569" t="s">
        <v>138</v>
      </c>
      <c r="AI569">
        <v>5</v>
      </c>
      <c r="AK569">
        <v>6</v>
      </c>
      <c r="AL569" t="s">
        <v>82</v>
      </c>
      <c r="AM569">
        <v>6</v>
      </c>
      <c r="AN569" t="s">
        <v>82</v>
      </c>
      <c r="AT569" t="s">
        <v>75</v>
      </c>
      <c r="AU569">
        <v>4.2105263157894726</v>
      </c>
      <c r="AV569" t="s">
        <v>115</v>
      </c>
      <c r="AZ569">
        <v>0</v>
      </c>
      <c r="BA569">
        <v>8.3699999999999903</v>
      </c>
    </row>
    <row r="570" spans="1:53" x14ac:dyDescent="0.3">
      <c r="A570" t="s">
        <v>667</v>
      </c>
      <c r="C570" t="s">
        <v>1275</v>
      </c>
      <c r="D570" t="s">
        <v>81</v>
      </c>
      <c r="E570">
        <v>10000000</v>
      </c>
      <c r="H570">
        <v>14.25</v>
      </c>
      <c r="I570" t="s">
        <v>56</v>
      </c>
      <c r="J570">
        <v>1.4250000000000001E-3</v>
      </c>
      <c r="K570" t="s">
        <v>57</v>
      </c>
      <c r="L570" t="s">
        <v>112</v>
      </c>
      <c r="O570">
        <v>0.5</v>
      </c>
      <c r="P570" t="s">
        <v>1383</v>
      </c>
      <c r="S570">
        <v>0.62</v>
      </c>
      <c r="T570">
        <v>18.91</v>
      </c>
      <c r="U570" t="s">
        <v>1384</v>
      </c>
      <c r="V570">
        <v>51.16</v>
      </c>
      <c r="W570" t="s">
        <v>75</v>
      </c>
      <c r="X570" t="s">
        <v>1284</v>
      </c>
      <c r="Y570">
        <v>10080</v>
      </c>
      <c r="AA570" t="s">
        <v>94</v>
      </c>
      <c r="AB570">
        <v>7.65</v>
      </c>
      <c r="AC570" t="s">
        <v>85</v>
      </c>
      <c r="AD570" t="s">
        <v>231</v>
      </c>
      <c r="AE570" t="s">
        <v>138</v>
      </c>
      <c r="AI570">
        <v>5</v>
      </c>
      <c r="AK570">
        <v>6</v>
      </c>
      <c r="AL570" t="s">
        <v>82</v>
      </c>
      <c r="AM570">
        <v>6</v>
      </c>
      <c r="AN570" t="s">
        <v>82</v>
      </c>
      <c r="AT570" t="s">
        <v>75</v>
      </c>
      <c r="AU570">
        <v>4.2105263157894726</v>
      </c>
      <c r="AV570" t="s">
        <v>115</v>
      </c>
      <c r="AZ570">
        <v>0</v>
      </c>
      <c r="BA570">
        <v>7.65</v>
      </c>
    </row>
    <row r="571" spans="1:53" x14ac:dyDescent="0.3">
      <c r="A571" t="s">
        <v>667</v>
      </c>
      <c r="C571" t="s">
        <v>1275</v>
      </c>
      <c r="D571" t="s">
        <v>81</v>
      </c>
      <c r="E571">
        <v>10000000</v>
      </c>
      <c r="H571">
        <v>14.25</v>
      </c>
      <c r="I571" t="s">
        <v>56</v>
      </c>
      <c r="J571">
        <v>1.4250000000000001E-3</v>
      </c>
      <c r="K571" t="s">
        <v>57</v>
      </c>
      <c r="L571" t="s">
        <v>112</v>
      </c>
      <c r="O571">
        <v>0.5</v>
      </c>
      <c r="P571" t="s">
        <v>1383</v>
      </c>
      <c r="S571">
        <v>0.62</v>
      </c>
      <c r="T571">
        <v>18.91</v>
      </c>
      <c r="U571" t="s">
        <v>1384</v>
      </c>
      <c r="V571">
        <v>51.16</v>
      </c>
      <c r="W571" t="s">
        <v>75</v>
      </c>
      <c r="X571" t="s">
        <v>1284</v>
      </c>
      <c r="Y571">
        <v>10080</v>
      </c>
      <c r="AA571" t="s">
        <v>94</v>
      </c>
      <c r="AB571">
        <v>7.74</v>
      </c>
      <c r="AC571" t="s">
        <v>85</v>
      </c>
      <c r="AD571" t="s">
        <v>236</v>
      </c>
      <c r="AE571" t="s">
        <v>138</v>
      </c>
      <c r="AI571">
        <v>5</v>
      </c>
      <c r="AK571">
        <v>6</v>
      </c>
      <c r="AL571" t="s">
        <v>82</v>
      </c>
      <c r="AM571">
        <v>6</v>
      </c>
      <c r="AN571" t="s">
        <v>82</v>
      </c>
      <c r="AT571" t="s">
        <v>75</v>
      </c>
      <c r="AU571">
        <v>4.2105263157894726</v>
      </c>
      <c r="AV571" t="s">
        <v>115</v>
      </c>
      <c r="AZ571">
        <v>0</v>
      </c>
      <c r="BA571">
        <v>7.74</v>
      </c>
    </row>
    <row r="572" spans="1:53" x14ac:dyDescent="0.3">
      <c r="A572" t="s">
        <v>667</v>
      </c>
      <c r="C572" t="s">
        <v>1275</v>
      </c>
      <c r="D572" t="s">
        <v>81</v>
      </c>
      <c r="E572">
        <v>10000000</v>
      </c>
      <c r="H572">
        <v>14.25</v>
      </c>
      <c r="I572" t="s">
        <v>56</v>
      </c>
      <c r="J572">
        <v>1.4250000000000001E-3</v>
      </c>
      <c r="K572" t="s">
        <v>57</v>
      </c>
      <c r="L572" t="s">
        <v>112</v>
      </c>
      <c r="O572">
        <v>0.5</v>
      </c>
      <c r="P572" t="s">
        <v>1383</v>
      </c>
      <c r="S572">
        <v>0.62</v>
      </c>
      <c r="T572">
        <v>18.91</v>
      </c>
      <c r="U572" t="s">
        <v>1384</v>
      </c>
      <c r="V572">
        <v>51.16</v>
      </c>
      <c r="W572" t="s">
        <v>75</v>
      </c>
      <c r="X572" t="s">
        <v>1284</v>
      </c>
      <c r="Y572">
        <v>10080</v>
      </c>
      <c r="AA572" t="s">
        <v>94</v>
      </c>
      <c r="AB572">
        <v>8.1199999999999903</v>
      </c>
      <c r="AC572" t="s">
        <v>85</v>
      </c>
      <c r="AD572" t="s">
        <v>487</v>
      </c>
      <c r="AE572" t="s">
        <v>138</v>
      </c>
      <c r="AI572">
        <v>5</v>
      </c>
      <c r="AK572">
        <v>6</v>
      </c>
      <c r="AL572" t="s">
        <v>82</v>
      </c>
      <c r="AM572">
        <v>6</v>
      </c>
      <c r="AN572" t="s">
        <v>82</v>
      </c>
      <c r="AT572" t="s">
        <v>75</v>
      </c>
      <c r="AU572">
        <v>4.2105263157894726</v>
      </c>
      <c r="AV572" t="s">
        <v>115</v>
      </c>
      <c r="AZ572">
        <v>0</v>
      </c>
      <c r="BA572">
        <v>8.1199999999999903</v>
      </c>
    </row>
    <row r="573" spans="1:53" x14ac:dyDescent="0.3">
      <c r="A573" t="s">
        <v>667</v>
      </c>
      <c r="C573" t="s">
        <v>1275</v>
      </c>
      <c r="D573" t="s">
        <v>81</v>
      </c>
      <c r="E573">
        <v>10000000</v>
      </c>
      <c r="H573">
        <v>14.25</v>
      </c>
      <c r="I573" t="s">
        <v>56</v>
      </c>
      <c r="J573">
        <v>1.4250000000000001E-3</v>
      </c>
      <c r="K573" t="s">
        <v>57</v>
      </c>
      <c r="L573" t="s">
        <v>112</v>
      </c>
      <c r="O573">
        <v>0.5</v>
      </c>
      <c r="P573" t="s">
        <v>1383</v>
      </c>
      <c r="S573">
        <v>0.62</v>
      </c>
      <c r="T573">
        <v>18.91</v>
      </c>
      <c r="U573" t="s">
        <v>1384</v>
      </c>
      <c r="V573">
        <v>51.16</v>
      </c>
      <c r="W573" t="s">
        <v>75</v>
      </c>
      <c r="X573" t="s">
        <v>1284</v>
      </c>
      <c r="Y573">
        <v>10080</v>
      </c>
      <c r="AA573" t="s">
        <v>94</v>
      </c>
      <c r="AB573">
        <v>8.32</v>
      </c>
      <c r="AC573" t="s">
        <v>85</v>
      </c>
      <c r="AD573" t="s">
        <v>239</v>
      </c>
      <c r="AE573" t="s">
        <v>138</v>
      </c>
      <c r="AI573">
        <v>5</v>
      </c>
      <c r="AK573">
        <v>6</v>
      </c>
      <c r="AL573" t="s">
        <v>82</v>
      </c>
      <c r="AM573">
        <v>6</v>
      </c>
      <c r="AN573" t="s">
        <v>82</v>
      </c>
      <c r="AT573" t="s">
        <v>75</v>
      </c>
      <c r="AU573">
        <v>4.2105263157894726</v>
      </c>
      <c r="AV573" t="s">
        <v>115</v>
      </c>
      <c r="AZ573">
        <v>0</v>
      </c>
      <c r="BA573">
        <v>8.32</v>
      </c>
    </row>
    <row r="574" spans="1:53" x14ac:dyDescent="0.3">
      <c r="A574" t="s">
        <v>667</v>
      </c>
      <c r="C574" t="s">
        <v>1275</v>
      </c>
      <c r="D574" t="s">
        <v>81</v>
      </c>
      <c r="E574">
        <v>10000000</v>
      </c>
      <c r="H574">
        <v>14.25</v>
      </c>
      <c r="I574" t="s">
        <v>56</v>
      </c>
      <c r="J574">
        <v>1.4250000000000001E-3</v>
      </c>
      <c r="K574" t="s">
        <v>57</v>
      </c>
      <c r="L574" t="s">
        <v>112</v>
      </c>
      <c r="O574">
        <v>0.5</v>
      </c>
      <c r="P574" t="s">
        <v>1383</v>
      </c>
      <c r="S574">
        <v>0.32</v>
      </c>
      <c r="T574">
        <v>20.309999999999899</v>
      </c>
      <c r="U574" t="s">
        <v>1304</v>
      </c>
      <c r="V574">
        <v>40.840000000000003</v>
      </c>
      <c r="W574" t="s">
        <v>75</v>
      </c>
      <c r="X574" t="s">
        <v>1284</v>
      </c>
      <c r="Y574">
        <v>10080</v>
      </c>
      <c r="AB574">
        <v>5.63</v>
      </c>
      <c r="AC574" t="s">
        <v>85</v>
      </c>
      <c r="AD574" t="s">
        <v>327</v>
      </c>
      <c r="AE574" t="s">
        <v>138</v>
      </c>
      <c r="AI574">
        <v>5</v>
      </c>
      <c r="AK574">
        <v>12</v>
      </c>
      <c r="AL574" t="s">
        <v>1385</v>
      </c>
      <c r="AT574" t="s">
        <v>75</v>
      </c>
      <c r="AU574">
        <v>0</v>
      </c>
      <c r="AV574" t="s">
        <v>1386</v>
      </c>
    </row>
    <row r="575" spans="1:53" x14ac:dyDescent="0.3">
      <c r="A575" t="s">
        <v>667</v>
      </c>
      <c r="C575" t="s">
        <v>1275</v>
      </c>
      <c r="D575" t="s">
        <v>81</v>
      </c>
      <c r="E575">
        <v>10000000</v>
      </c>
      <c r="H575">
        <v>14.25</v>
      </c>
      <c r="I575" t="s">
        <v>56</v>
      </c>
      <c r="J575">
        <v>1.4250000000000001E-3</v>
      </c>
      <c r="K575" t="s">
        <v>57</v>
      </c>
      <c r="L575" t="s">
        <v>112</v>
      </c>
      <c r="O575">
        <v>0.5</v>
      </c>
      <c r="P575" t="s">
        <v>1383</v>
      </c>
      <c r="S575">
        <v>0.24</v>
      </c>
      <c r="T575">
        <v>18.63</v>
      </c>
      <c r="U575" t="s">
        <v>1387</v>
      </c>
      <c r="V575">
        <v>63.57</v>
      </c>
      <c r="W575" t="s">
        <v>75</v>
      </c>
      <c r="X575" t="s">
        <v>1284</v>
      </c>
      <c r="Y575">
        <v>10080</v>
      </c>
      <c r="AB575">
        <v>5.35</v>
      </c>
      <c r="AC575" t="s">
        <v>85</v>
      </c>
      <c r="AD575" t="s">
        <v>1388</v>
      </c>
      <c r="AE575" t="s">
        <v>138</v>
      </c>
      <c r="AI575">
        <v>5</v>
      </c>
      <c r="AK575">
        <v>16</v>
      </c>
      <c r="AL575" t="s">
        <v>1385</v>
      </c>
      <c r="AT575" t="s">
        <v>75</v>
      </c>
      <c r="AU575">
        <v>0</v>
      </c>
      <c r="AV575" t="s">
        <v>1386</v>
      </c>
    </row>
    <row r="576" spans="1:53" x14ac:dyDescent="0.3">
      <c r="A576" t="s">
        <v>667</v>
      </c>
      <c r="C576" t="s">
        <v>1275</v>
      </c>
      <c r="D576" t="s">
        <v>81</v>
      </c>
      <c r="E576">
        <v>10000000</v>
      </c>
      <c r="H576">
        <v>14.25</v>
      </c>
      <c r="I576" t="s">
        <v>56</v>
      </c>
      <c r="J576">
        <v>1.4250000000000001E-3</v>
      </c>
      <c r="K576" t="s">
        <v>57</v>
      </c>
      <c r="L576" t="s">
        <v>112</v>
      </c>
      <c r="O576">
        <v>1</v>
      </c>
      <c r="P576" t="s">
        <v>1383</v>
      </c>
      <c r="S576">
        <v>0.45</v>
      </c>
      <c r="T576">
        <v>18.95</v>
      </c>
      <c r="U576" t="s">
        <v>1126</v>
      </c>
      <c r="V576">
        <v>63.6</v>
      </c>
      <c r="W576" t="s">
        <v>75</v>
      </c>
      <c r="X576" t="s">
        <v>1284</v>
      </c>
      <c r="Y576">
        <v>10080</v>
      </c>
      <c r="AA576" t="s">
        <v>94</v>
      </c>
      <c r="AB576">
        <v>4.49</v>
      </c>
      <c r="AC576" t="s">
        <v>85</v>
      </c>
      <c r="AD576" t="s">
        <v>1389</v>
      </c>
      <c r="AE576" t="s">
        <v>138</v>
      </c>
      <c r="AI576">
        <v>5</v>
      </c>
      <c r="AK576">
        <v>16</v>
      </c>
      <c r="AL576" t="s">
        <v>1385</v>
      </c>
      <c r="AT576" t="s">
        <v>75</v>
      </c>
      <c r="AU576">
        <v>0</v>
      </c>
      <c r="AV576" t="s">
        <v>1386</v>
      </c>
      <c r="AZ576">
        <v>0</v>
      </c>
      <c r="BA576">
        <v>4.49</v>
      </c>
    </row>
    <row r="577" spans="1:53" x14ac:dyDescent="0.3">
      <c r="A577" t="s">
        <v>667</v>
      </c>
      <c r="C577" t="s">
        <v>1275</v>
      </c>
      <c r="D577" t="s">
        <v>81</v>
      </c>
      <c r="E577">
        <v>10000000</v>
      </c>
      <c r="H577">
        <v>14.25</v>
      </c>
      <c r="I577" t="s">
        <v>56</v>
      </c>
      <c r="J577">
        <v>1.4250000000000001E-3</v>
      </c>
      <c r="K577" t="s">
        <v>57</v>
      </c>
      <c r="L577" t="s">
        <v>112</v>
      </c>
      <c r="O577">
        <v>1</v>
      </c>
      <c r="P577" t="s">
        <v>1383</v>
      </c>
      <c r="S577">
        <v>0.45</v>
      </c>
      <c r="T577">
        <v>18.95</v>
      </c>
      <c r="U577" t="s">
        <v>1126</v>
      </c>
      <c r="V577">
        <v>63.6</v>
      </c>
      <c r="W577" t="s">
        <v>77</v>
      </c>
      <c r="X577" t="s">
        <v>1284</v>
      </c>
      <c r="Y577">
        <v>10080</v>
      </c>
      <c r="AA577" t="s">
        <v>94</v>
      </c>
      <c r="AB577">
        <v>5.98</v>
      </c>
      <c r="AC577" t="s">
        <v>85</v>
      </c>
      <c r="AD577" t="s">
        <v>104</v>
      </c>
      <c r="AE577" t="s">
        <v>138</v>
      </c>
      <c r="AI577">
        <v>5</v>
      </c>
      <c r="AK577">
        <v>16</v>
      </c>
      <c r="AL577" t="s">
        <v>1385</v>
      </c>
      <c r="AT577" t="s">
        <v>77</v>
      </c>
      <c r="AU577">
        <v>0</v>
      </c>
      <c r="AV577" t="s">
        <v>1386</v>
      </c>
      <c r="AZ577">
        <v>0</v>
      </c>
      <c r="BA577">
        <v>5.98</v>
      </c>
    </row>
    <row r="578" spans="1:53" x14ac:dyDescent="0.3">
      <c r="A578" t="s">
        <v>667</v>
      </c>
      <c r="C578" t="s">
        <v>1275</v>
      </c>
      <c r="D578" t="s">
        <v>81</v>
      </c>
      <c r="E578">
        <v>10000000</v>
      </c>
      <c r="H578">
        <v>14.25</v>
      </c>
      <c r="I578" t="s">
        <v>56</v>
      </c>
      <c r="J578">
        <v>1.4250000000000001E-3</v>
      </c>
      <c r="K578" t="s">
        <v>57</v>
      </c>
      <c r="L578" t="s">
        <v>112</v>
      </c>
      <c r="O578">
        <v>1</v>
      </c>
      <c r="P578" t="s">
        <v>1383</v>
      </c>
      <c r="S578">
        <v>0.3</v>
      </c>
      <c r="T578">
        <v>19.28</v>
      </c>
      <c r="U578" t="s">
        <v>1390</v>
      </c>
      <c r="V578">
        <v>60.79</v>
      </c>
      <c r="W578" t="s">
        <v>77</v>
      </c>
      <c r="X578" t="s">
        <v>1284</v>
      </c>
      <c r="Y578">
        <v>4320</v>
      </c>
      <c r="AA578" t="s">
        <v>94</v>
      </c>
      <c r="AB578">
        <v>6.54</v>
      </c>
      <c r="AC578" t="s">
        <v>85</v>
      </c>
      <c r="AD578" t="s">
        <v>232</v>
      </c>
      <c r="AE578" t="s">
        <v>138</v>
      </c>
      <c r="AI578">
        <v>5</v>
      </c>
      <c r="AK578">
        <v>16</v>
      </c>
      <c r="AL578" t="s">
        <v>1385</v>
      </c>
      <c r="AT578" t="s">
        <v>77</v>
      </c>
      <c r="AU578">
        <v>0</v>
      </c>
      <c r="AV578" t="s">
        <v>1386</v>
      </c>
      <c r="AZ578">
        <v>0</v>
      </c>
      <c r="BA578">
        <v>6.54</v>
      </c>
    </row>
    <row r="579" spans="1:53" x14ac:dyDescent="0.3">
      <c r="A579" t="s">
        <v>667</v>
      </c>
      <c r="C579" t="s">
        <v>1275</v>
      </c>
      <c r="D579" t="s">
        <v>81</v>
      </c>
      <c r="E579">
        <v>10000000</v>
      </c>
      <c r="H579">
        <v>14.25</v>
      </c>
      <c r="I579" t="s">
        <v>56</v>
      </c>
      <c r="J579">
        <v>1.4250000000000001E-3</v>
      </c>
      <c r="K579" t="s">
        <v>57</v>
      </c>
      <c r="L579" t="s">
        <v>112</v>
      </c>
      <c r="O579">
        <v>1</v>
      </c>
      <c r="P579" t="s">
        <v>1383</v>
      </c>
      <c r="S579">
        <v>0.31</v>
      </c>
      <c r="T579">
        <v>19.91</v>
      </c>
      <c r="U579" t="s">
        <v>992</v>
      </c>
      <c r="V579">
        <v>54.72</v>
      </c>
      <c r="W579" t="s">
        <v>77</v>
      </c>
      <c r="X579" t="s">
        <v>1284</v>
      </c>
      <c r="Y579">
        <v>4320</v>
      </c>
      <c r="AB579">
        <v>6.05</v>
      </c>
      <c r="AC579" t="s">
        <v>85</v>
      </c>
      <c r="AD579" t="s">
        <v>497</v>
      </c>
      <c r="AE579" t="s">
        <v>138</v>
      </c>
      <c r="AI579">
        <v>5</v>
      </c>
      <c r="AK579">
        <v>8</v>
      </c>
      <c r="AL579" t="s">
        <v>1385</v>
      </c>
      <c r="AT579" t="s">
        <v>77</v>
      </c>
      <c r="AU579">
        <v>0</v>
      </c>
      <c r="AV579" t="s">
        <v>1386</v>
      </c>
    </row>
    <row r="580" spans="1:53" x14ac:dyDescent="0.3">
      <c r="A580" t="s">
        <v>667</v>
      </c>
      <c r="C580" t="s">
        <v>1275</v>
      </c>
      <c r="D580" t="s">
        <v>81</v>
      </c>
      <c r="E580">
        <v>10000000</v>
      </c>
      <c r="H580">
        <v>14.25</v>
      </c>
      <c r="I580" t="s">
        <v>56</v>
      </c>
      <c r="J580">
        <v>1.4250000000000001E-3</v>
      </c>
      <c r="K580" t="s">
        <v>57</v>
      </c>
      <c r="L580" t="s">
        <v>112</v>
      </c>
      <c r="O580">
        <v>1</v>
      </c>
      <c r="P580" t="s">
        <v>1383</v>
      </c>
      <c r="S580">
        <v>0.26</v>
      </c>
      <c r="T580">
        <v>20.190000000000001</v>
      </c>
      <c r="U580" t="s">
        <v>356</v>
      </c>
      <c r="V580">
        <v>55.83</v>
      </c>
      <c r="W580" t="s">
        <v>77</v>
      </c>
      <c r="X580" t="s">
        <v>1284</v>
      </c>
      <c r="Y580">
        <v>4320</v>
      </c>
      <c r="AB580">
        <v>4.2300000000000004</v>
      </c>
      <c r="AC580" t="s">
        <v>85</v>
      </c>
      <c r="AD580" t="s">
        <v>659</v>
      </c>
      <c r="AE580" t="s">
        <v>138</v>
      </c>
      <c r="AI580">
        <v>5</v>
      </c>
      <c r="AK580">
        <v>12</v>
      </c>
      <c r="AL580" t="s">
        <v>1385</v>
      </c>
      <c r="AT580" t="s">
        <v>77</v>
      </c>
      <c r="AU580">
        <v>0</v>
      </c>
      <c r="AV580" t="s">
        <v>1386</v>
      </c>
    </row>
    <row r="581" spans="1:53" x14ac:dyDescent="0.3">
      <c r="A581" t="s">
        <v>667</v>
      </c>
      <c r="C581" t="s">
        <v>1275</v>
      </c>
      <c r="D581" t="s">
        <v>81</v>
      </c>
      <c r="E581">
        <v>10000000</v>
      </c>
      <c r="H581">
        <v>14.25</v>
      </c>
      <c r="I581" t="s">
        <v>56</v>
      </c>
      <c r="J581">
        <v>1.4250000000000001E-3</v>
      </c>
      <c r="K581" t="s">
        <v>57</v>
      </c>
      <c r="L581" t="s">
        <v>112</v>
      </c>
      <c r="O581">
        <v>1</v>
      </c>
      <c r="P581" t="s">
        <v>1383</v>
      </c>
      <c r="S581">
        <v>0.64</v>
      </c>
      <c r="T581">
        <v>19.93</v>
      </c>
      <c r="U581" t="s">
        <v>1391</v>
      </c>
      <c r="V581">
        <v>51.95</v>
      </c>
      <c r="W581" t="s">
        <v>77</v>
      </c>
      <c r="X581" t="s">
        <v>1284</v>
      </c>
      <c r="Y581">
        <v>1440</v>
      </c>
      <c r="AA581" t="s">
        <v>94</v>
      </c>
      <c r="AB581">
        <v>6.68</v>
      </c>
      <c r="AC581" t="s">
        <v>85</v>
      </c>
      <c r="AD581" t="s">
        <v>237</v>
      </c>
      <c r="AE581" t="s">
        <v>138</v>
      </c>
      <c r="AI581">
        <v>5</v>
      </c>
      <c r="AK581">
        <v>16</v>
      </c>
      <c r="AL581" t="s">
        <v>1385</v>
      </c>
      <c r="AT581" t="s">
        <v>77</v>
      </c>
      <c r="AU581">
        <v>0</v>
      </c>
      <c r="AV581" t="s">
        <v>1386</v>
      </c>
      <c r="AZ581">
        <v>0</v>
      </c>
      <c r="BA581">
        <v>6.68</v>
      </c>
    </row>
    <row r="582" spans="1:53" x14ac:dyDescent="0.3">
      <c r="A582" t="s">
        <v>667</v>
      </c>
      <c r="C582" t="s">
        <v>1275</v>
      </c>
      <c r="D582" t="s">
        <v>81</v>
      </c>
      <c r="E582">
        <v>10000000</v>
      </c>
      <c r="H582">
        <v>14.25</v>
      </c>
      <c r="I582" t="s">
        <v>56</v>
      </c>
      <c r="J582">
        <v>1.4250000000000001E-3</v>
      </c>
      <c r="K582" t="s">
        <v>57</v>
      </c>
      <c r="L582" t="s">
        <v>112</v>
      </c>
      <c r="O582">
        <v>1</v>
      </c>
      <c r="P582" t="s">
        <v>1383</v>
      </c>
      <c r="S582">
        <v>0.39</v>
      </c>
      <c r="T582">
        <v>20.37</v>
      </c>
      <c r="U582" t="s">
        <v>1392</v>
      </c>
      <c r="V582">
        <v>50.98</v>
      </c>
      <c r="W582" t="s">
        <v>77</v>
      </c>
      <c r="X582" t="s">
        <v>1284</v>
      </c>
      <c r="Y582">
        <v>1440</v>
      </c>
      <c r="AA582" t="s">
        <v>94</v>
      </c>
      <c r="AB582">
        <v>6.75</v>
      </c>
      <c r="AC582" t="s">
        <v>85</v>
      </c>
      <c r="AD582" t="s">
        <v>503</v>
      </c>
      <c r="AE582" t="s">
        <v>138</v>
      </c>
      <c r="AI582">
        <v>5</v>
      </c>
      <c r="AK582">
        <v>16</v>
      </c>
      <c r="AL582" t="s">
        <v>1385</v>
      </c>
      <c r="AT582" t="s">
        <v>77</v>
      </c>
      <c r="AU582">
        <v>0</v>
      </c>
      <c r="AV582" t="s">
        <v>1386</v>
      </c>
      <c r="AZ582">
        <v>0</v>
      </c>
      <c r="BA582">
        <v>6.75</v>
      </c>
    </row>
    <row r="583" spans="1:53" x14ac:dyDescent="0.3">
      <c r="A583" t="s">
        <v>667</v>
      </c>
      <c r="C583" t="s">
        <v>1275</v>
      </c>
      <c r="D583" t="s">
        <v>81</v>
      </c>
      <c r="E583">
        <v>10000000</v>
      </c>
      <c r="H583">
        <v>14.25</v>
      </c>
      <c r="I583" t="s">
        <v>56</v>
      </c>
      <c r="J583">
        <v>1.4250000000000001E-3</v>
      </c>
      <c r="K583" t="s">
        <v>57</v>
      </c>
      <c r="L583" t="s">
        <v>112</v>
      </c>
      <c r="O583">
        <v>1</v>
      </c>
      <c r="P583" t="s">
        <v>1383</v>
      </c>
      <c r="T583">
        <v>25</v>
      </c>
      <c r="V583">
        <v>50</v>
      </c>
      <c r="W583" t="s">
        <v>77</v>
      </c>
      <c r="X583" t="s">
        <v>1284</v>
      </c>
      <c r="Y583">
        <v>1440</v>
      </c>
      <c r="AB583">
        <v>5.92</v>
      </c>
      <c r="AC583" t="s">
        <v>85</v>
      </c>
      <c r="AD583" t="s">
        <v>653</v>
      </c>
      <c r="AE583" t="s">
        <v>138</v>
      </c>
      <c r="AI583">
        <v>5</v>
      </c>
      <c r="AK583">
        <v>8</v>
      </c>
      <c r="AL583" t="s">
        <v>1385</v>
      </c>
      <c r="AT583" t="s">
        <v>77</v>
      </c>
      <c r="AU583">
        <v>0</v>
      </c>
      <c r="AV583" t="s">
        <v>1386</v>
      </c>
    </row>
    <row r="584" spans="1:53" x14ac:dyDescent="0.3">
      <c r="A584" t="s">
        <v>667</v>
      </c>
      <c r="C584" t="s">
        <v>1275</v>
      </c>
      <c r="D584" t="s">
        <v>81</v>
      </c>
      <c r="E584">
        <v>10000000</v>
      </c>
      <c r="H584">
        <v>14.25</v>
      </c>
      <c r="I584" t="s">
        <v>56</v>
      </c>
      <c r="J584">
        <v>1.4250000000000001E-3</v>
      </c>
      <c r="K584" t="s">
        <v>57</v>
      </c>
      <c r="L584" t="s">
        <v>112</v>
      </c>
      <c r="O584">
        <v>0.5</v>
      </c>
      <c r="P584" t="s">
        <v>1383</v>
      </c>
      <c r="S584">
        <v>0.38</v>
      </c>
      <c r="T584">
        <v>20.29</v>
      </c>
      <c r="U584" t="s">
        <v>1393</v>
      </c>
      <c r="V584">
        <v>44.34</v>
      </c>
      <c r="W584" t="s">
        <v>77</v>
      </c>
      <c r="X584" t="s">
        <v>1284</v>
      </c>
      <c r="Y584">
        <v>4320</v>
      </c>
      <c r="AA584" t="s">
        <v>94</v>
      </c>
      <c r="AB584">
        <v>6.71</v>
      </c>
      <c r="AC584" t="s">
        <v>85</v>
      </c>
      <c r="AD584" t="s">
        <v>103</v>
      </c>
      <c r="AE584" t="s">
        <v>138</v>
      </c>
      <c r="AI584">
        <v>5</v>
      </c>
      <c r="AK584">
        <v>16</v>
      </c>
      <c r="AL584" t="s">
        <v>1385</v>
      </c>
      <c r="AT584" t="s">
        <v>77</v>
      </c>
      <c r="AU584">
        <v>0</v>
      </c>
      <c r="AV584" t="s">
        <v>1386</v>
      </c>
      <c r="AZ584">
        <v>0</v>
      </c>
      <c r="BA584">
        <v>6.71</v>
      </c>
    </row>
    <row r="585" spans="1:53" x14ac:dyDescent="0.3">
      <c r="A585" t="s">
        <v>667</v>
      </c>
      <c r="C585" t="s">
        <v>1275</v>
      </c>
      <c r="D585" t="s">
        <v>81</v>
      </c>
      <c r="E585">
        <v>10000000</v>
      </c>
      <c r="H585">
        <v>14.25</v>
      </c>
      <c r="I585" t="s">
        <v>56</v>
      </c>
      <c r="J585">
        <v>1.4250000000000001E-3</v>
      </c>
      <c r="K585" t="s">
        <v>57</v>
      </c>
      <c r="L585" t="s">
        <v>112</v>
      </c>
      <c r="O585">
        <v>0.5</v>
      </c>
      <c r="P585" t="s">
        <v>1383</v>
      </c>
      <c r="S585">
        <v>0.32</v>
      </c>
      <c r="T585">
        <v>20.309999999999899</v>
      </c>
      <c r="U585" t="s">
        <v>1304</v>
      </c>
      <c r="V585">
        <v>40.840000000000003</v>
      </c>
      <c r="W585" t="s">
        <v>77</v>
      </c>
      <c r="X585" t="s">
        <v>1284</v>
      </c>
      <c r="Y585">
        <v>10080</v>
      </c>
      <c r="AB585">
        <v>5.62</v>
      </c>
      <c r="AC585" t="s">
        <v>85</v>
      </c>
      <c r="AD585" t="s">
        <v>1355</v>
      </c>
      <c r="AE585" t="s">
        <v>138</v>
      </c>
      <c r="AI585">
        <v>5</v>
      </c>
      <c r="AK585">
        <v>12</v>
      </c>
      <c r="AL585" t="s">
        <v>1385</v>
      </c>
      <c r="AT585" t="s">
        <v>77</v>
      </c>
      <c r="AU585">
        <v>0</v>
      </c>
      <c r="AV585" t="s">
        <v>1386</v>
      </c>
    </row>
    <row r="586" spans="1:53" x14ac:dyDescent="0.3">
      <c r="A586" t="s">
        <v>667</v>
      </c>
      <c r="C586" t="s">
        <v>1275</v>
      </c>
      <c r="D586" t="s">
        <v>81</v>
      </c>
      <c r="E586">
        <v>10000000</v>
      </c>
      <c r="H586">
        <v>14.25</v>
      </c>
      <c r="I586" t="s">
        <v>56</v>
      </c>
      <c r="J586">
        <v>1.4250000000000001E-3</v>
      </c>
      <c r="K586" t="s">
        <v>57</v>
      </c>
      <c r="L586" t="s">
        <v>112</v>
      </c>
      <c r="O586">
        <v>0.5</v>
      </c>
      <c r="P586" t="s">
        <v>1383</v>
      </c>
      <c r="S586">
        <v>0.24</v>
      </c>
      <c r="T586">
        <v>18.63</v>
      </c>
      <c r="U586" t="s">
        <v>1387</v>
      </c>
      <c r="V586">
        <v>63.57</v>
      </c>
      <c r="W586" t="s">
        <v>77</v>
      </c>
      <c r="X586" t="s">
        <v>1284</v>
      </c>
      <c r="Y586">
        <v>10080</v>
      </c>
      <c r="AB586">
        <v>6.55</v>
      </c>
      <c r="AC586" t="s">
        <v>85</v>
      </c>
      <c r="AD586" t="s">
        <v>480</v>
      </c>
      <c r="AE586" t="s">
        <v>138</v>
      </c>
      <c r="AI586">
        <v>5</v>
      </c>
      <c r="AK586">
        <v>16</v>
      </c>
      <c r="AL586" t="s">
        <v>1385</v>
      </c>
      <c r="AT586" t="s">
        <v>77</v>
      </c>
      <c r="AU586">
        <v>0</v>
      </c>
      <c r="AV586" t="s">
        <v>1386</v>
      </c>
    </row>
    <row r="587" spans="1:53" x14ac:dyDescent="0.3">
      <c r="A587" t="s">
        <v>667</v>
      </c>
      <c r="C587" t="s">
        <v>1275</v>
      </c>
      <c r="D587" t="s">
        <v>81</v>
      </c>
      <c r="E587">
        <v>10000000</v>
      </c>
      <c r="H587">
        <v>14.25</v>
      </c>
      <c r="I587" t="s">
        <v>56</v>
      </c>
      <c r="J587">
        <v>1.4250000000000001E-3</v>
      </c>
      <c r="K587" t="s">
        <v>57</v>
      </c>
      <c r="L587" t="s">
        <v>112</v>
      </c>
      <c r="O587">
        <v>1</v>
      </c>
      <c r="P587" t="s">
        <v>1383</v>
      </c>
      <c r="S587">
        <v>0.45</v>
      </c>
      <c r="T587">
        <v>18.95</v>
      </c>
      <c r="U587" t="s">
        <v>1126</v>
      </c>
      <c r="V587">
        <v>63.6</v>
      </c>
      <c r="W587" t="s">
        <v>1257</v>
      </c>
      <c r="X587" t="s">
        <v>1284</v>
      </c>
      <c r="Y587">
        <v>10080</v>
      </c>
      <c r="AB587">
        <v>5.24</v>
      </c>
      <c r="AC587" t="s">
        <v>85</v>
      </c>
      <c r="AD587" t="s">
        <v>516</v>
      </c>
      <c r="AE587" t="s">
        <v>138</v>
      </c>
      <c r="AI587">
        <v>5</v>
      </c>
      <c r="AK587">
        <v>16</v>
      </c>
      <c r="AL587" t="s">
        <v>1385</v>
      </c>
      <c r="AT587" t="s">
        <v>1257</v>
      </c>
      <c r="AU587">
        <v>0</v>
      </c>
      <c r="AV587" t="s">
        <v>1386</v>
      </c>
    </row>
    <row r="588" spans="1:53" x14ac:dyDescent="0.3">
      <c r="A588" t="s">
        <v>667</v>
      </c>
      <c r="C588" t="s">
        <v>1275</v>
      </c>
      <c r="D588" t="s">
        <v>81</v>
      </c>
      <c r="E588">
        <v>10000000</v>
      </c>
      <c r="H588">
        <v>14.25</v>
      </c>
      <c r="I588" t="s">
        <v>56</v>
      </c>
      <c r="J588">
        <v>1.4250000000000001E-3</v>
      </c>
      <c r="K588" t="s">
        <v>57</v>
      </c>
      <c r="L588" t="s">
        <v>112</v>
      </c>
      <c r="O588">
        <v>1</v>
      </c>
      <c r="P588" t="s">
        <v>1383</v>
      </c>
      <c r="S588">
        <v>0.3</v>
      </c>
      <c r="T588">
        <v>19.28</v>
      </c>
      <c r="U588" t="s">
        <v>1390</v>
      </c>
      <c r="V588">
        <v>60.79</v>
      </c>
      <c r="W588" t="s">
        <v>1257</v>
      </c>
      <c r="X588" t="s">
        <v>1284</v>
      </c>
      <c r="Y588">
        <v>4320</v>
      </c>
      <c r="AB588">
        <v>6.69</v>
      </c>
      <c r="AC588" t="s">
        <v>85</v>
      </c>
      <c r="AD588" t="s">
        <v>328</v>
      </c>
      <c r="AE588" t="s">
        <v>138</v>
      </c>
      <c r="AI588">
        <v>5</v>
      </c>
      <c r="AK588">
        <v>16</v>
      </c>
      <c r="AL588" t="s">
        <v>1385</v>
      </c>
      <c r="AT588" t="s">
        <v>1257</v>
      </c>
      <c r="AU588">
        <v>0</v>
      </c>
      <c r="AV588" t="s">
        <v>1386</v>
      </c>
    </row>
    <row r="589" spans="1:53" x14ac:dyDescent="0.3">
      <c r="A589" t="s">
        <v>667</v>
      </c>
      <c r="C589" t="s">
        <v>1275</v>
      </c>
      <c r="D589" t="s">
        <v>81</v>
      </c>
      <c r="E589">
        <v>10000000</v>
      </c>
      <c r="H589">
        <v>14.25</v>
      </c>
      <c r="I589" t="s">
        <v>56</v>
      </c>
      <c r="J589">
        <v>1.4250000000000001E-3</v>
      </c>
      <c r="K589" t="s">
        <v>57</v>
      </c>
      <c r="L589" t="s">
        <v>112</v>
      </c>
      <c r="O589">
        <v>1</v>
      </c>
      <c r="P589" t="s">
        <v>1383</v>
      </c>
      <c r="S589">
        <v>0.31</v>
      </c>
      <c r="T589">
        <v>19.91</v>
      </c>
      <c r="U589" t="s">
        <v>992</v>
      </c>
      <c r="V589">
        <v>54.72</v>
      </c>
      <c r="W589" t="s">
        <v>1257</v>
      </c>
      <c r="X589" t="s">
        <v>1284</v>
      </c>
      <c r="Y589">
        <v>4320</v>
      </c>
      <c r="AB589">
        <v>4.09</v>
      </c>
      <c r="AC589" t="s">
        <v>85</v>
      </c>
      <c r="AD589" t="s">
        <v>504</v>
      </c>
      <c r="AE589" t="s">
        <v>138</v>
      </c>
      <c r="AI589">
        <v>5</v>
      </c>
      <c r="AK589">
        <v>8</v>
      </c>
      <c r="AL589" t="s">
        <v>1385</v>
      </c>
      <c r="AT589" t="s">
        <v>1257</v>
      </c>
      <c r="AU589">
        <v>0</v>
      </c>
      <c r="AV589" t="s">
        <v>1386</v>
      </c>
    </row>
    <row r="590" spans="1:53" x14ac:dyDescent="0.3">
      <c r="A590" t="s">
        <v>667</v>
      </c>
      <c r="C590" t="s">
        <v>1275</v>
      </c>
      <c r="D590" t="s">
        <v>81</v>
      </c>
      <c r="E590">
        <v>10000000</v>
      </c>
      <c r="H590">
        <v>14.25</v>
      </c>
      <c r="I590" t="s">
        <v>56</v>
      </c>
      <c r="J590">
        <v>1.4250000000000001E-3</v>
      </c>
      <c r="K590" t="s">
        <v>57</v>
      </c>
      <c r="L590" t="s">
        <v>112</v>
      </c>
      <c r="O590">
        <v>1</v>
      </c>
      <c r="P590" t="s">
        <v>1383</v>
      </c>
      <c r="S590">
        <v>0.26</v>
      </c>
      <c r="T590">
        <v>20.190000000000001</v>
      </c>
      <c r="U590" t="s">
        <v>356</v>
      </c>
      <c r="V590">
        <v>55.83</v>
      </c>
      <c r="W590" t="s">
        <v>1257</v>
      </c>
      <c r="X590" t="s">
        <v>1284</v>
      </c>
      <c r="Y590">
        <v>4320</v>
      </c>
      <c r="AB590">
        <v>4.7699999999999898</v>
      </c>
      <c r="AC590" t="s">
        <v>85</v>
      </c>
      <c r="AD590" t="s">
        <v>516</v>
      </c>
      <c r="AE590" t="s">
        <v>138</v>
      </c>
      <c r="AI590">
        <v>5</v>
      </c>
      <c r="AK590">
        <v>12</v>
      </c>
      <c r="AL590" t="s">
        <v>1385</v>
      </c>
      <c r="AT590" t="s">
        <v>1257</v>
      </c>
      <c r="AU590">
        <v>0</v>
      </c>
      <c r="AV590" t="s">
        <v>1386</v>
      </c>
    </row>
    <row r="591" spans="1:53" x14ac:dyDescent="0.3">
      <c r="A591" t="s">
        <v>667</v>
      </c>
      <c r="C591" t="s">
        <v>1275</v>
      </c>
      <c r="D591" t="s">
        <v>81</v>
      </c>
      <c r="E591">
        <v>10000000</v>
      </c>
      <c r="H591">
        <v>14.25</v>
      </c>
      <c r="I591" t="s">
        <v>56</v>
      </c>
      <c r="J591">
        <v>1.4250000000000001E-3</v>
      </c>
      <c r="K591" t="s">
        <v>57</v>
      </c>
      <c r="L591" t="s">
        <v>112</v>
      </c>
      <c r="O591">
        <v>1</v>
      </c>
      <c r="P591" t="s">
        <v>1383</v>
      </c>
      <c r="S591">
        <v>0.64</v>
      </c>
      <c r="T591">
        <v>19.93</v>
      </c>
      <c r="U591" t="s">
        <v>1391</v>
      </c>
      <c r="V591">
        <v>51.95</v>
      </c>
      <c r="W591" t="s">
        <v>1257</v>
      </c>
      <c r="X591" t="s">
        <v>1284</v>
      </c>
      <c r="Y591">
        <v>1440</v>
      </c>
      <c r="AB591">
        <v>5.4</v>
      </c>
      <c r="AC591" t="s">
        <v>85</v>
      </c>
      <c r="AD591" t="s">
        <v>655</v>
      </c>
      <c r="AE591" t="s">
        <v>138</v>
      </c>
      <c r="AI591">
        <v>5</v>
      </c>
      <c r="AK591">
        <v>16</v>
      </c>
      <c r="AL591" t="s">
        <v>1385</v>
      </c>
      <c r="AT591" t="s">
        <v>1257</v>
      </c>
      <c r="AU591">
        <v>0</v>
      </c>
      <c r="AV591" t="s">
        <v>1386</v>
      </c>
    </row>
    <row r="592" spans="1:53" x14ac:dyDescent="0.3">
      <c r="A592" t="s">
        <v>667</v>
      </c>
      <c r="C592" t="s">
        <v>1275</v>
      </c>
      <c r="D592" t="s">
        <v>81</v>
      </c>
      <c r="E592">
        <v>10000000</v>
      </c>
      <c r="H592">
        <v>14.25</v>
      </c>
      <c r="I592" t="s">
        <v>56</v>
      </c>
      <c r="J592">
        <v>1.4250000000000001E-3</v>
      </c>
      <c r="K592" t="s">
        <v>57</v>
      </c>
      <c r="L592" t="s">
        <v>112</v>
      </c>
      <c r="O592">
        <v>1</v>
      </c>
      <c r="P592" t="s">
        <v>1383</v>
      </c>
      <c r="S592">
        <v>0.39</v>
      </c>
      <c r="T592">
        <v>20.37</v>
      </c>
      <c r="U592" t="s">
        <v>1392</v>
      </c>
      <c r="V592">
        <v>50.98</v>
      </c>
      <c r="W592" t="s">
        <v>1257</v>
      </c>
      <c r="X592" t="s">
        <v>1284</v>
      </c>
      <c r="Y592">
        <v>1440</v>
      </c>
      <c r="AB592">
        <v>6.67</v>
      </c>
      <c r="AC592" t="s">
        <v>85</v>
      </c>
      <c r="AD592" t="s">
        <v>427</v>
      </c>
      <c r="AE592" t="s">
        <v>138</v>
      </c>
      <c r="AI592">
        <v>5</v>
      </c>
      <c r="AK592">
        <v>16</v>
      </c>
      <c r="AL592" t="s">
        <v>1385</v>
      </c>
      <c r="AT592" t="s">
        <v>1257</v>
      </c>
      <c r="AU592">
        <v>0</v>
      </c>
      <c r="AV592" t="s">
        <v>1386</v>
      </c>
    </row>
    <row r="593" spans="1:53" x14ac:dyDescent="0.3">
      <c r="A593" t="s">
        <v>667</v>
      </c>
      <c r="C593" t="s">
        <v>1275</v>
      </c>
      <c r="D593" t="s">
        <v>81</v>
      </c>
      <c r="E593">
        <v>10000000</v>
      </c>
      <c r="H593">
        <v>14.25</v>
      </c>
      <c r="I593" t="s">
        <v>56</v>
      </c>
      <c r="J593">
        <v>1.4250000000000001E-3</v>
      </c>
      <c r="K593" t="s">
        <v>57</v>
      </c>
      <c r="L593" t="s">
        <v>112</v>
      </c>
      <c r="O593">
        <v>1</v>
      </c>
      <c r="P593" t="s">
        <v>1383</v>
      </c>
      <c r="T593">
        <v>25</v>
      </c>
      <c r="V593">
        <v>50</v>
      </c>
      <c r="W593" t="s">
        <v>1257</v>
      </c>
      <c r="X593" t="s">
        <v>1284</v>
      </c>
      <c r="Y593">
        <v>1440</v>
      </c>
      <c r="AB593">
        <v>4.8499999999999899</v>
      </c>
      <c r="AC593" t="s">
        <v>85</v>
      </c>
      <c r="AD593" t="s">
        <v>1394</v>
      </c>
      <c r="AE593" t="s">
        <v>138</v>
      </c>
      <c r="AI593">
        <v>5</v>
      </c>
      <c r="AK593">
        <v>8</v>
      </c>
      <c r="AL593" t="s">
        <v>1385</v>
      </c>
      <c r="AT593" t="s">
        <v>1257</v>
      </c>
      <c r="AU593">
        <v>0</v>
      </c>
      <c r="AV593" t="s">
        <v>1386</v>
      </c>
    </row>
    <row r="594" spans="1:53" x14ac:dyDescent="0.3">
      <c r="A594" t="s">
        <v>667</v>
      </c>
      <c r="C594" t="s">
        <v>1275</v>
      </c>
      <c r="D594" t="s">
        <v>81</v>
      </c>
      <c r="E594">
        <v>10000000</v>
      </c>
      <c r="H594">
        <v>14.25</v>
      </c>
      <c r="I594" t="s">
        <v>56</v>
      </c>
      <c r="J594">
        <v>1.4250000000000001E-3</v>
      </c>
      <c r="K594" t="s">
        <v>57</v>
      </c>
      <c r="L594" t="s">
        <v>112</v>
      </c>
      <c r="O594">
        <v>0.5</v>
      </c>
      <c r="P594" t="s">
        <v>1383</v>
      </c>
      <c r="S594">
        <v>0.38</v>
      </c>
      <c r="T594">
        <v>20.29</v>
      </c>
      <c r="U594" t="s">
        <v>1393</v>
      </c>
      <c r="V594">
        <v>44.34</v>
      </c>
      <c r="W594" t="s">
        <v>1257</v>
      </c>
      <c r="X594" t="s">
        <v>1284</v>
      </c>
      <c r="Y594">
        <v>4320</v>
      </c>
      <c r="AB594">
        <v>6.36</v>
      </c>
      <c r="AC594" t="s">
        <v>85</v>
      </c>
      <c r="AD594" t="s">
        <v>90</v>
      </c>
      <c r="AE594" t="s">
        <v>138</v>
      </c>
      <c r="AI594">
        <v>5</v>
      </c>
      <c r="AK594">
        <v>16</v>
      </c>
      <c r="AL594" t="s">
        <v>1385</v>
      </c>
      <c r="AT594" t="s">
        <v>1257</v>
      </c>
      <c r="AU594">
        <v>0</v>
      </c>
      <c r="AV594" t="s">
        <v>1386</v>
      </c>
    </row>
    <row r="595" spans="1:53" x14ac:dyDescent="0.3">
      <c r="A595" t="s">
        <v>667</v>
      </c>
      <c r="C595" t="s">
        <v>1275</v>
      </c>
      <c r="D595" t="s">
        <v>81</v>
      </c>
      <c r="E595">
        <v>10000000</v>
      </c>
      <c r="H595">
        <v>14.25</v>
      </c>
      <c r="I595" t="s">
        <v>56</v>
      </c>
      <c r="J595">
        <v>1.4250000000000001E-3</v>
      </c>
      <c r="K595" t="s">
        <v>57</v>
      </c>
      <c r="L595" t="s">
        <v>112</v>
      </c>
      <c r="O595">
        <v>0.5</v>
      </c>
      <c r="P595" t="s">
        <v>1383</v>
      </c>
      <c r="S595">
        <v>0.32</v>
      </c>
      <c r="T595">
        <v>20.309999999999899</v>
      </c>
      <c r="U595" t="s">
        <v>1304</v>
      </c>
      <c r="V595">
        <v>40.840000000000003</v>
      </c>
      <c r="W595" t="s">
        <v>1257</v>
      </c>
      <c r="X595" t="s">
        <v>1284</v>
      </c>
      <c r="Y595">
        <v>10080</v>
      </c>
      <c r="AA595" t="s">
        <v>94</v>
      </c>
      <c r="AB595">
        <v>7.26</v>
      </c>
      <c r="AC595" t="s">
        <v>85</v>
      </c>
      <c r="AD595" t="s">
        <v>248</v>
      </c>
      <c r="AE595" t="s">
        <v>138</v>
      </c>
      <c r="AI595">
        <v>5</v>
      </c>
      <c r="AK595">
        <v>12</v>
      </c>
      <c r="AL595" t="s">
        <v>1385</v>
      </c>
      <c r="AT595" t="s">
        <v>1257</v>
      </c>
      <c r="AU595">
        <v>0</v>
      </c>
      <c r="AV595" t="s">
        <v>1386</v>
      </c>
      <c r="AZ595">
        <v>0</v>
      </c>
      <c r="BA595">
        <v>7.26</v>
      </c>
    </row>
    <row r="596" spans="1:53" x14ac:dyDescent="0.3">
      <c r="A596" t="s">
        <v>667</v>
      </c>
      <c r="C596" t="s">
        <v>1275</v>
      </c>
      <c r="D596" t="s">
        <v>81</v>
      </c>
      <c r="E596">
        <v>10000000</v>
      </c>
      <c r="H596">
        <v>14.25</v>
      </c>
      <c r="I596" t="s">
        <v>56</v>
      </c>
      <c r="J596">
        <v>1.4250000000000001E-3</v>
      </c>
      <c r="K596" t="s">
        <v>57</v>
      </c>
      <c r="L596" t="s">
        <v>112</v>
      </c>
      <c r="O596">
        <v>0.5</v>
      </c>
      <c r="P596" t="s">
        <v>1383</v>
      </c>
      <c r="S596">
        <v>0.24</v>
      </c>
      <c r="T596">
        <v>18.63</v>
      </c>
      <c r="U596" t="s">
        <v>1387</v>
      </c>
      <c r="V596">
        <v>63.57</v>
      </c>
      <c r="W596" t="s">
        <v>1257</v>
      </c>
      <c r="X596" t="s">
        <v>1284</v>
      </c>
      <c r="Y596">
        <v>10080</v>
      </c>
      <c r="AB596">
        <v>5.91</v>
      </c>
      <c r="AC596" t="s">
        <v>85</v>
      </c>
      <c r="AD596" t="s">
        <v>429</v>
      </c>
      <c r="AE596" t="s">
        <v>138</v>
      </c>
      <c r="AI596">
        <v>5</v>
      </c>
      <c r="AK596">
        <v>16</v>
      </c>
      <c r="AL596" t="s">
        <v>1385</v>
      </c>
      <c r="AT596" t="s">
        <v>1257</v>
      </c>
      <c r="AU596">
        <v>0</v>
      </c>
      <c r="AV596" t="s">
        <v>1386</v>
      </c>
    </row>
    <row r="597" spans="1:53" x14ac:dyDescent="0.3">
      <c r="A597" t="s">
        <v>667</v>
      </c>
      <c r="C597" t="s">
        <v>1275</v>
      </c>
      <c r="D597" t="s">
        <v>81</v>
      </c>
      <c r="E597">
        <v>10000000</v>
      </c>
      <c r="H597">
        <v>14.25</v>
      </c>
      <c r="I597" t="s">
        <v>56</v>
      </c>
      <c r="J597">
        <v>1.4250000000000001E-3</v>
      </c>
      <c r="K597" t="s">
        <v>57</v>
      </c>
      <c r="L597" t="s">
        <v>112</v>
      </c>
      <c r="O597">
        <v>1</v>
      </c>
      <c r="P597" t="s">
        <v>1383</v>
      </c>
      <c r="S597">
        <v>0.45</v>
      </c>
      <c r="T597">
        <v>18.95</v>
      </c>
      <c r="U597" t="s">
        <v>1126</v>
      </c>
      <c r="V597">
        <v>63.6</v>
      </c>
      <c r="W597" t="s">
        <v>1236</v>
      </c>
      <c r="X597" t="s">
        <v>1284</v>
      </c>
      <c r="Y597">
        <v>10080</v>
      </c>
      <c r="AA597" t="s">
        <v>94</v>
      </c>
      <c r="AB597">
        <v>6.59</v>
      </c>
      <c r="AC597" t="s">
        <v>85</v>
      </c>
      <c r="AD597" t="s">
        <v>482</v>
      </c>
      <c r="AE597" t="s">
        <v>138</v>
      </c>
      <c r="AI597">
        <v>5</v>
      </c>
      <c r="AK597">
        <v>16</v>
      </c>
      <c r="AL597" t="s">
        <v>1385</v>
      </c>
      <c r="AT597" t="s">
        <v>1236</v>
      </c>
      <c r="AU597">
        <v>0</v>
      </c>
      <c r="AV597" t="s">
        <v>1386</v>
      </c>
      <c r="AZ597">
        <v>0</v>
      </c>
      <c r="BA597">
        <v>6.59</v>
      </c>
    </row>
    <row r="598" spans="1:53" x14ac:dyDescent="0.3">
      <c r="A598" t="s">
        <v>667</v>
      </c>
      <c r="C598" t="s">
        <v>1275</v>
      </c>
      <c r="D598" t="s">
        <v>81</v>
      </c>
      <c r="E598">
        <v>10000000</v>
      </c>
      <c r="H598">
        <v>14.25</v>
      </c>
      <c r="I598" t="s">
        <v>56</v>
      </c>
      <c r="J598">
        <v>1.4250000000000001E-3</v>
      </c>
      <c r="K598" t="s">
        <v>57</v>
      </c>
      <c r="L598" t="s">
        <v>112</v>
      </c>
      <c r="O598">
        <v>1</v>
      </c>
      <c r="P598" t="s">
        <v>1383</v>
      </c>
      <c r="S598">
        <v>0.3</v>
      </c>
      <c r="T598">
        <v>19.28</v>
      </c>
      <c r="U598" t="s">
        <v>1390</v>
      </c>
      <c r="V598">
        <v>60.79</v>
      </c>
      <c r="W598" t="s">
        <v>1236</v>
      </c>
      <c r="X598" t="s">
        <v>1284</v>
      </c>
      <c r="Y598">
        <v>4320</v>
      </c>
      <c r="AB598">
        <v>6.69</v>
      </c>
      <c r="AC598" t="s">
        <v>85</v>
      </c>
      <c r="AD598" t="s">
        <v>102</v>
      </c>
      <c r="AE598" t="s">
        <v>138</v>
      </c>
      <c r="AI598">
        <v>5</v>
      </c>
      <c r="AK598">
        <v>16</v>
      </c>
      <c r="AL598" t="s">
        <v>1385</v>
      </c>
      <c r="AT598" t="s">
        <v>1236</v>
      </c>
      <c r="AU598">
        <v>0</v>
      </c>
      <c r="AV598" t="s">
        <v>1386</v>
      </c>
    </row>
    <row r="599" spans="1:53" x14ac:dyDescent="0.3">
      <c r="A599" t="s">
        <v>667</v>
      </c>
      <c r="C599" t="s">
        <v>1275</v>
      </c>
      <c r="D599" t="s">
        <v>81</v>
      </c>
      <c r="E599">
        <v>10000000</v>
      </c>
      <c r="H599">
        <v>14.25</v>
      </c>
      <c r="I599" t="s">
        <v>56</v>
      </c>
      <c r="J599">
        <v>1.4250000000000001E-3</v>
      </c>
      <c r="K599" t="s">
        <v>57</v>
      </c>
      <c r="L599" t="s">
        <v>112</v>
      </c>
      <c r="O599">
        <v>1</v>
      </c>
      <c r="P599" t="s">
        <v>1383</v>
      </c>
      <c r="S599">
        <v>0.31</v>
      </c>
      <c r="T599">
        <v>19.91</v>
      </c>
      <c r="U599" t="s">
        <v>992</v>
      </c>
      <c r="V599">
        <v>54.72</v>
      </c>
      <c r="W599" t="s">
        <v>1236</v>
      </c>
      <c r="X599" t="s">
        <v>1284</v>
      </c>
      <c r="Y599">
        <v>4320</v>
      </c>
      <c r="AA599" t="s">
        <v>94</v>
      </c>
      <c r="AB599">
        <v>7.61</v>
      </c>
      <c r="AC599" t="s">
        <v>85</v>
      </c>
      <c r="AD599" t="s">
        <v>236</v>
      </c>
      <c r="AE599" t="s">
        <v>138</v>
      </c>
      <c r="AI599">
        <v>5</v>
      </c>
      <c r="AK599">
        <v>8</v>
      </c>
      <c r="AL599" t="s">
        <v>1385</v>
      </c>
      <c r="AT599" t="s">
        <v>1236</v>
      </c>
      <c r="AU599">
        <v>0</v>
      </c>
      <c r="AV599" t="s">
        <v>1386</v>
      </c>
      <c r="AZ599">
        <v>0</v>
      </c>
      <c r="BA599">
        <v>7.61</v>
      </c>
    </row>
    <row r="600" spans="1:53" x14ac:dyDescent="0.3">
      <c r="A600" t="s">
        <v>667</v>
      </c>
      <c r="C600" t="s">
        <v>1275</v>
      </c>
      <c r="D600" t="s">
        <v>81</v>
      </c>
      <c r="E600">
        <v>10000000</v>
      </c>
      <c r="H600">
        <v>14.25</v>
      </c>
      <c r="I600" t="s">
        <v>56</v>
      </c>
      <c r="J600">
        <v>1.4250000000000001E-3</v>
      </c>
      <c r="K600" t="s">
        <v>57</v>
      </c>
      <c r="L600" t="s">
        <v>112</v>
      </c>
      <c r="O600">
        <v>1</v>
      </c>
      <c r="P600" t="s">
        <v>1383</v>
      </c>
      <c r="S600">
        <v>0.26</v>
      </c>
      <c r="T600">
        <v>20.190000000000001</v>
      </c>
      <c r="U600" t="s">
        <v>356</v>
      </c>
      <c r="V600">
        <v>55.83</v>
      </c>
      <c r="W600" t="s">
        <v>1236</v>
      </c>
      <c r="X600" t="s">
        <v>1284</v>
      </c>
      <c r="Y600">
        <v>4320</v>
      </c>
      <c r="AB600">
        <v>5</v>
      </c>
      <c r="AC600" t="s">
        <v>85</v>
      </c>
      <c r="AD600" t="s">
        <v>1300</v>
      </c>
      <c r="AE600" t="s">
        <v>138</v>
      </c>
      <c r="AI600">
        <v>5</v>
      </c>
      <c r="AK600">
        <v>12</v>
      </c>
      <c r="AL600" t="s">
        <v>1385</v>
      </c>
      <c r="AT600" t="s">
        <v>1236</v>
      </c>
      <c r="AU600">
        <v>0</v>
      </c>
      <c r="AV600" t="s">
        <v>1386</v>
      </c>
    </row>
    <row r="601" spans="1:53" x14ac:dyDescent="0.3">
      <c r="A601" t="s">
        <v>667</v>
      </c>
      <c r="C601" t="s">
        <v>1275</v>
      </c>
      <c r="D601" t="s">
        <v>81</v>
      </c>
      <c r="E601">
        <v>10000000</v>
      </c>
      <c r="H601">
        <v>14.25</v>
      </c>
      <c r="I601" t="s">
        <v>56</v>
      </c>
      <c r="J601">
        <v>1.4250000000000001E-3</v>
      </c>
      <c r="K601" t="s">
        <v>57</v>
      </c>
      <c r="L601" t="s">
        <v>112</v>
      </c>
      <c r="O601">
        <v>1</v>
      </c>
      <c r="P601" t="s">
        <v>1383</v>
      </c>
      <c r="S601">
        <v>0.64</v>
      </c>
      <c r="T601">
        <v>19.93</v>
      </c>
      <c r="U601" t="s">
        <v>1391</v>
      </c>
      <c r="V601">
        <v>51.95</v>
      </c>
      <c r="W601" t="s">
        <v>1236</v>
      </c>
      <c r="X601" t="s">
        <v>1284</v>
      </c>
      <c r="Y601">
        <v>1440</v>
      </c>
      <c r="AB601">
        <v>7</v>
      </c>
      <c r="AC601" t="s">
        <v>85</v>
      </c>
      <c r="AD601" t="s">
        <v>536</v>
      </c>
      <c r="AE601" t="s">
        <v>138</v>
      </c>
      <c r="AI601">
        <v>5</v>
      </c>
      <c r="AK601">
        <v>16</v>
      </c>
      <c r="AL601" t="s">
        <v>1385</v>
      </c>
      <c r="AT601" t="s">
        <v>1236</v>
      </c>
      <c r="AU601">
        <v>0</v>
      </c>
      <c r="AV601" t="s">
        <v>1386</v>
      </c>
    </row>
    <row r="602" spans="1:53" x14ac:dyDescent="0.3">
      <c r="A602" t="s">
        <v>667</v>
      </c>
      <c r="C602" t="s">
        <v>1275</v>
      </c>
      <c r="D602" t="s">
        <v>81</v>
      </c>
      <c r="E602">
        <v>10000000</v>
      </c>
      <c r="H602">
        <v>14.25</v>
      </c>
      <c r="I602" t="s">
        <v>56</v>
      </c>
      <c r="J602">
        <v>1.4250000000000001E-3</v>
      </c>
      <c r="K602" t="s">
        <v>57</v>
      </c>
      <c r="L602" t="s">
        <v>112</v>
      </c>
      <c r="O602">
        <v>1</v>
      </c>
      <c r="P602" t="s">
        <v>1383</v>
      </c>
      <c r="S602">
        <v>0.39</v>
      </c>
      <c r="T602">
        <v>20.37</v>
      </c>
      <c r="U602" t="s">
        <v>1392</v>
      </c>
      <c r="V602">
        <v>50.98</v>
      </c>
      <c r="W602" t="s">
        <v>1236</v>
      </c>
      <c r="X602" t="s">
        <v>1284</v>
      </c>
      <c r="Y602">
        <v>1440</v>
      </c>
      <c r="AB602">
        <v>5.67</v>
      </c>
      <c r="AC602" t="s">
        <v>85</v>
      </c>
      <c r="AD602" t="s">
        <v>339</v>
      </c>
      <c r="AE602" t="s">
        <v>138</v>
      </c>
      <c r="AI602">
        <v>5</v>
      </c>
      <c r="AK602">
        <v>16</v>
      </c>
      <c r="AL602" t="s">
        <v>1385</v>
      </c>
      <c r="AT602" t="s">
        <v>1236</v>
      </c>
      <c r="AU602">
        <v>0</v>
      </c>
      <c r="AV602" t="s">
        <v>1386</v>
      </c>
    </row>
    <row r="603" spans="1:53" x14ac:dyDescent="0.3">
      <c r="A603" t="s">
        <v>667</v>
      </c>
      <c r="C603" t="s">
        <v>1275</v>
      </c>
      <c r="D603" t="s">
        <v>81</v>
      </c>
      <c r="E603">
        <v>10000000</v>
      </c>
      <c r="H603">
        <v>14.25</v>
      </c>
      <c r="I603" t="s">
        <v>56</v>
      </c>
      <c r="J603">
        <v>1.4250000000000001E-3</v>
      </c>
      <c r="K603" t="s">
        <v>57</v>
      </c>
      <c r="L603" t="s">
        <v>112</v>
      </c>
      <c r="O603">
        <v>1</v>
      </c>
      <c r="P603" t="s">
        <v>1383</v>
      </c>
      <c r="T603">
        <v>25</v>
      </c>
      <c r="V603">
        <v>50</v>
      </c>
      <c r="W603" t="s">
        <v>1236</v>
      </c>
      <c r="X603" t="s">
        <v>1284</v>
      </c>
      <c r="Y603">
        <v>1440</v>
      </c>
      <c r="AB603">
        <v>6.56</v>
      </c>
      <c r="AC603" t="s">
        <v>85</v>
      </c>
      <c r="AD603" t="s">
        <v>1395</v>
      </c>
      <c r="AE603" t="s">
        <v>138</v>
      </c>
      <c r="AI603">
        <v>5</v>
      </c>
      <c r="AK603">
        <v>8</v>
      </c>
      <c r="AL603" t="s">
        <v>1385</v>
      </c>
      <c r="AT603" t="s">
        <v>1236</v>
      </c>
      <c r="AU603">
        <v>0</v>
      </c>
      <c r="AV603" t="s">
        <v>1386</v>
      </c>
    </row>
    <row r="604" spans="1:53" x14ac:dyDescent="0.3">
      <c r="A604" t="s">
        <v>667</v>
      </c>
      <c r="C604" t="s">
        <v>1275</v>
      </c>
      <c r="D604" t="s">
        <v>81</v>
      </c>
      <c r="E604">
        <v>10000000</v>
      </c>
      <c r="H604">
        <v>14.25</v>
      </c>
      <c r="I604" t="s">
        <v>56</v>
      </c>
      <c r="J604">
        <v>1.4250000000000001E-3</v>
      </c>
      <c r="K604" t="s">
        <v>57</v>
      </c>
      <c r="L604" t="s">
        <v>112</v>
      </c>
      <c r="O604">
        <v>0.5</v>
      </c>
      <c r="P604" t="s">
        <v>1383</v>
      </c>
      <c r="S604">
        <v>0.38</v>
      </c>
      <c r="T604">
        <v>20.29</v>
      </c>
      <c r="U604" t="s">
        <v>1393</v>
      </c>
      <c r="V604">
        <v>44.34</v>
      </c>
      <c r="W604" t="s">
        <v>1236</v>
      </c>
      <c r="X604" t="s">
        <v>1284</v>
      </c>
      <c r="Y604">
        <v>4320</v>
      </c>
      <c r="AB604">
        <v>7.09</v>
      </c>
      <c r="AC604" t="s">
        <v>85</v>
      </c>
      <c r="AD604" t="s">
        <v>480</v>
      </c>
      <c r="AE604" t="s">
        <v>138</v>
      </c>
      <c r="AI604">
        <v>5</v>
      </c>
      <c r="AK604">
        <v>16</v>
      </c>
      <c r="AL604" t="s">
        <v>1385</v>
      </c>
      <c r="AT604" t="s">
        <v>1236</v>
      </c>
      <c r="AU604">
        <v>0</v>
      </c>
      <c r="AV604" t="s">
        <v>1386</v>
      </c>
    </row>
    <row r="605" spans="1:53" x14ac:dyDescent="0.3">
      <c r="A605" t="s">
        <v>667</v>
      </c>
      <c r="C605" t="s">
        <v>1275</v>
      </c>
      <c r="D605" t="s">
        <v>81</v>
      </c>
      <c r="E605">
        <v>10000000</v>
      </c>
      <c r="H605">
        <v>14.25</v>
      </c>
      <c r="I605" t="s">
        <v>56</v>
      </c>
      <c r="J605">
        <v>1.4250000000000001E-3</v>
      </c>
      <c r="K605" t="s">
        <v>57</v>
      </c>
      <c r="L605" t="s">
        <v>112</v>
      </c>
      <c r="O605">
        <v>0.5</v>
      </c>
      <c r="P605" t="s">
        <v>1383</v>
      </c>
      <c r="S605">
        <v>0.32</v>
      </c>
      <c r="T605">
        <v>20.309999999999899</v>
      </c>
      <c r="U605" t="s">
        <v>1304</v>
      </c>
      <c r="V605">
        <v>40.840000000000003</v>
      </c>
      <c r="W605" t="s">
        <v>1236</v>
      </c>
      <c r="X605" t="s">
        <v>1284</v>
      </c>
      <c r="Y605">
        <v>10080</v>
      </c>
      <c r="AB605">
        <v>5.4</v>
      </c>
      <c r="AC605" t="s">
        <v>85</v>
      </c>
      <c r="AD605" t="s">
        <v>528</v>
      </c>
      <c r="AE605" t="s">
        <v>138</v>
      </c>
      <c r="AI605">
        <v>5</v>
      </c>
      <c r="AK605">
        <v>12</v>
      </c>
      <c r="AL605" t="s">
        <v>1385</v>
      </c>
      <c r="AT605" t="s">
        <v>1236</v>
      </c>
      <c r="AU605">
        <v>0</v>
      </c>
      <c r="AV605" t="s">
        <v>1386</v>
      </c>
    </row>
    <row r="606" spans="1:53" x14ac:dyDescent="0.3">
      <c r="A606" t="s">
        <v>667</v>
      </c>
      <c r="C606" t="s">
        <v>1275</v>
      </c>
      <c r="D606" t="s">
        <v>81</v>
      </c>
      <c r="E606">
        <v>10000000</v>
      </c>
      <c r="H606">
        <v>14.25</v>
      </c>
      <c r="I606" t="s">
        <v>56</v>
      </c>
      <c r="J606">
        <v>1.4250000000000001E-3</v>
      </c>
      <c r="K606" t="s">
        <v>57</v>
      </c>
      <c r="L606" t="s">
        <v>112</v>
      </c>
      <c r="O606">
        <v>0.5</v>
      </c>
      <c r="P606" t="s">
        <v>1383</v>
      </c>
      <c r="S606">
        <v>0.24</v>
      </c>
      <c r="T606">
        <v>18.63</v>
      </c>
      <c r="U606" t="s">
        <v>1387</v>
      </c>
      <c r="V606">
        <v>63.57</v>
      </c>
      <c r="W606" t="s">
        <v>1236</v>
      </c>
      <c r="X606" t="s">
        <v>1284</v>
      </c>
      <c r="Y606">
        <v>10080</v>
      </c>
      <c r="AA606" t="s">
        <v>94</v>
      </c>
      <c r="AB606">
        <v>5.96</v>
      </c>
      <c r="AC606" t="s">
        <v>85</v>
      </c>
      <c r="AD606" t="s">
        <v>494</v>
      </c>
      <c r="AE606" t="s">
        <v>138</v>
      </c>
      <c r="AI606">
        <v>5</v>
      </c>
      <c r="AK606">
        <v>16</v>
      </c>
      <c r="AL606" t="s">
        <v>1385</v>
      </c>
      <c r="AT606" t="s">
        <v>1236</v>
      </c>
      <c r="AU606">
        <v>0</v>
      </c>
      <c r="AV606" t="s">
        <v>1386</v>
      </c>
      <c r="AZ606">
        <v>0</v>
      </c>
      <c r="BA606">
        <v>5.96</v>
      </c>
    </row>
    <row r="607" spans="1:53" x14ac:dyDescent="0.3">
      <c r="A607" t="s">
        <v>667</v>
      </c>
      <c r="C607" t="s">
        <v>1275</v>
      </c>
      <c r="D607" t="s">
        <v>81</v>
      </c>
      <c r="E607">
        <v>10000000</v>
      </c>
      <c r="H607">
        <v>14.25</v>
      </c>
      <c r="I607" t="s">
        <v>56</v>
      </c>
      <c r="J607">
        <v>1.4250000000000001E-3</v>
      </c>
      <c r="K607" t="s">
        <v>57</v>
      </c>
      <c r="L607" t="s">
        <v>112</v>
      </c>
      <c r="O607">
        <v>0.5</v>
      </c>
      <c r="P607" t="s">
        <v>1383</v>
      </c>
      <c r="S607">
        <v>0.24</v>
      </c>
      <c r="T607">
        <v>18.63</v>
      </c>
      <c r="U607" t="s">
        <v>1387</v>
      </c>
      <c r="V607">
        <v>63.57</v>
      </c>
      <c r="W607" t="s">
        <v>1236</v>
      </c>
      <c r="X607" t="s">
        <v>1284</v>
      </c>
      <c r="Y607">
        <v>10080</v>
      </c>
      <c r="AB607">
        <v>0</v>
      </c>
      <c r="AC607" t="s">
        <v>85</v>
      </c>
      <c r="AD607" t="s">
        <v>194</v>
      </c>
      <c r="AE607" t="s">
        <v>138</v>
      </c>
      <c r="AI607">
        <v>5</v>
      </c>
      <c r="AK607">
        <v>16</v>
      </c>
      <c r="AL607" t="s">
        <v>1385</v>
      </c>
      <c r="AT607" t="s">
        <v>1236</v>
      </c>
      <c r="AU607">
        <v>0</v>
      </c>
      <c r="AV607" t="s">
        <v>1386</v>
      </c>
    </row>
    <row r="608" spans="1:53" x14ac:dyDescent="0.3">
      <c r="A608" t="s">
        <v>667</v>
      </c>
      <c r="C608" t="s">
        <v>1275</v>
      </c>
      <c r="D608" t="s">
        <v>81</v>
      </c>
      <c r="E608">
        <v>10000000</v>
      </c>
      <c r="H608">
        <v>14.25</v>
      </c>
      <c r="I608" t="s">
        <v>56</v>
      </c>
      <c r="J608">
        <v>1.4250000000000001E-3</v>
      </c>
      <c r="K608" t="s">
        <v>57</v>
      </c>
      <c r="L608" t="s">
        <v>112</v>
      </c>
      <c r="O608">
        <v>0.5</v>
      </c>
      <c r="P608" t="s">
        <v>1383</v>
      </c>
      <c r="S608">
        <v>0.24</v>
      </c>
      <c r="T608">
        <v>18.63</v>
      </c>
      <c r="U608" t="s">
        <v>1387</v>
      </c>
      <c r="V608">
        <v>63.57</v>
      </c>
      <c r="W608" t="s">
        <v>1236</v>
      </c>
      <c r="X608" t="s">
        <v>1284</v>
      </c>
      <c r="Y608">
        <v>10080</v>
      </c>
      <c r="AA608" t="s">
        <v>94</v>
      </c>
      <c r="AB608">
        <v>5.65</v>
      </c>
      <c r="AC608" t="s">
        <v>85</v>
      </c>
      <c r="AD608" t="s">
        <v>508</v>
      </c>
      <c r="AE608" t="s">
        <v>138</v>
      </c>
      <c r="AI608">
        <v>5</v>
      </c>
      <c r="AK608">
        <v>16</v>
      </c>
      <c r="AL608" t="s">
        <v>1385</v>
      </c>
      <c r="AT608" t="s">
        <v>1236</v>
      </c>
      <c r="AU608">
        <v>0</v>
      </c>
      <c r="AV608" t="s">
        <v>1386</v>
      </c>
      <c r="AZ608">
        <v>0</v>
      </c>
      <c r="BA608">
        <v>5.65</v>
      </c>
    </row>
    <row r="609" spans="1:53" x14ac:dyDescent="0.3">
      <c r="A609" t="s">
        <v>667</v>
      </c>
      <c r="C609" t="s">
        <v>1275</v>
      </c>
      <c r="D609" t="s">
        <v>81</v>
      </c>
      <c r="E609">
        <v>10000000</v>
      </c>
      <c r="H609">
        <v>14.25</v>
      </c>
      <c r="I609" t="s">
        <v>56</v>
      </c>
      <c r="J609">
        <v>1.4250000000000001E-3</v>
      </c>
      <c r="K609" t="s">
        <v>57</v>
      </c>
      <c r="L609" t="s">
        <v>112</v>
      </c>
      <c r="O609">
        <v>1</v>
      </c>
      <c r="P609" t="s">
        <v>1383</v>
      </c>
      <c r="S609">
        <v>0.45</v>
      </c>
      <c r="T609">
        <v>18.95</v>
      </c>
      <c r="U609" t="s">
        <v>1126</v>
      </c>
      <c r="V609">
        <v>63.6</v>
      </c>
      <c r="W609" t="s">
        <v>1236</v>
      </c>
      <c r="X609" t="s">
        <v>1284</v>
      </c>
      <c r="Y609">
        <v>10080</v>
      </c>
      <c r="AA609" t="s">
        <v>94</v>
      </c>
      <c r="AB609">
        <v>2.46</v>
      </c>
      <c r="AC609" t="s">
        <v>85</v>
      </c>
      <c r="AD609" t="s">
        <v>1294</v>
      </c>
      <c r="AE609" t="s">
        <v>138</v>
      </c>
      <c r="AI609">
        <v>5</v>
      </c>
      <c r="AK609">
        <v>16</v>
      </c>
      <c r="AL609" t="s">
        <v>1385</v>
      </c>
      <c r="AT609" t="s">
        <v>1236</v>
      </c>
      <c r="AU609">
        <v>0</v>
      </c>
      <c r="AV609" t="s">
        <v>1386</v>
      </c>
      <c r="AZ609">
        <v>0</v>
      </c>
      <c r="BA609">
        <v>2.46</v>
      </c>
    </row>
    <row r="610" spans="1:53" x14ac:dyDescent="0.3">
      <c r="A610" t="s">
        <v>667</v>
      </c>
      <c r="C610" t="s">
        <v>1275</v>
      </c>
      <c r="D610" t="s">
        <v>81</v>
      </c>
      <c r="E610">
        <v>10000000</v>
      </c>
      <c r="H610">
        <v>14.25</v>
      </c>
      <c r="I610" t="s">
        <v>56</v>
      </c>
      <c r="J610">
        <v>1.4250000000000001E-3</v>
      </c>
      <c r="K610" t="s">
        <v>57</v>
      </c>
      <c r="L610" t="s">
        <v>112</v>
      </c>
      <c r="O610">
        <v>1</v>
      </c>
      <c r="P610" t="s">
        <v>1383</v>
      </c>
      <c r="S610">
        <v>0.45</v>
      </c>
      <c r="T610">
        <v>18.95</v>
      </c>
      <c r="U610" t="s">
        <v>1126</v>
      </c>
      <c r="V610">
        <v>63.6</v>
      </c>
      <c r="W610" t="s">
        <v>1236</v>
      </c>
      <c r="X610" t="s">
        <v>1284</v>
      </c>
      <c r="Y610">
        <v>10080</v>
      </c>
      <c r="AB610">
        <v>0</v>
      </c>
      <c r="AC610" t="s">
        <v>85</v>
      </c>
      <c r="AD610" t="s">
        <v>194</v>
      </c>
      <c r="AE610" t="s">
        <v>138</v>
      </c>
      <c r="AI610">
        <v>5</v>
      </c>
      <c r="AK610">
        <v>16</v>
      </c>
      <c r="AL610" t="s">
        <v>1385</v>
      </c>
      <c r="AT610" t="s">
        <v>1236</v>
      </c>
      <c r="AU610">
        <v>0</v>
      </c>
      <c r="AV610" t="s">
        <v>1386</v>
      </c>
    </row>
    <row r="611" spans="1:53" x14ac:dyDescent="0.3">
      <c r="A611" t="s">
        <v>667</v>
      </c>
      <c r="C611" t="s">
        <v>1275</v>
      </c>
      <c r="D611" t="s">
        <v>81</v>
      </c>
      <c r="E611">
        <v>10000000</v>
      </c>
      <c r="H611">
        <v>14.25</v>
      </c>
      <c r="I611" t="s">
        <v>56</v>
      </c>
      <c r="J611">
        <v>1.4250000000000001E-3</v>
      </c>
      <c r="K611" t="s">
        <v>57</v>
      </c>
      <c r="L611" t="s">
        <v>112</v>
      </c>
      <c r="O611">
        <v>1</v>
      </c>
      <c r="P611" t="s">
        <v>1383</v>
      </c>
      <c r="S611">
        <v>0.45</v>
      </c>
      <c r="T611">
        <v>18.95</v>
      </c>
      <c r="U611" t="s">
        <v>1126</v>
      </c>
      <c r="V611">
        <v>63.6</v>
      </c>
      <c r="W611" t="s">
        <v>75</v>
      </c>
      <c r="X611" t="s">
        <v>1284</v>
      </c>
      <c r="Y611">
        <v>10080</v>
      </c>
      <c r="AA611" t="s">
        <v>94</v>
      </c>
      <c r="AB611">
        <v>5.65</v>
      </c>
      <c r="AC611" t="s">
        <v>85</v>
      </c>
      <c r="AD611" t="s">
        <v>508</v>
      </c>
      <c r="AE611" t="s">
        <v>138</v>
      </c>
      <c r="AI611">
        <v>5</v>
      </c>
      <c r="AK611">
        <v>16</v>
      </c>
      <c r="AL611" t="s">
        <v>1385</v>
      </c>
      <c r="AT611" t="s">
        <v>75</v>
      </c>
      <c r="AU611">
        <v>0</v>
      </c>
      <c r="AV611" t="s">
        <v>1386</v>
      </c>
      <c r="AZ611">
        <v>0</v>
      </c>
      <c r="BA611">
        <v>5.65</v>
      </c>
    </row>
    <row r="612" spans="1:53" x14ac:dyDescent="0.3">
      <c r="A612" t="s">
        <v>667</v>
      </c>
      <c r="C612" t="s">
        <v>1275</v>
      </c>
      <c r="D612" t="s">
        <v>81</v>
      </c>
      <c r="E612">
        <v>10000000</v>
      </c>
      <c r="H612">
        <v>14.25</v>
      </c>
      <c r="I612" t="s">
        <v>56</v>
      </c>
      <c r="J612">
        <v>1.4250000000000001E-3</v>
      </c>
      <c r="K612" t="s">
        <v>57</v>
      </c>
      <c r="L612" t="s">
        <v>112</v>
      </c>
      <c r="O612">
        <v>1</v>
      </c>
      <c r="P612" t="s">
        <v>1383</v>
      </c>
      <c r="S612">
        <v>0.3</v>
      </c>
      <c r="T612">
        <v>19.28</v>
      </c>
      <c r="U612" t="s">
        <v>1390</v>
      </c>
      <c r="V612">
        <v>60.79</v>
      </c>
      <c r="W612" t="s">
        <v>75</v>
      </c>
      <c r="X612" t="s">
        <v>1284</v>
      </c>
      <c r="Y612">
        <v>4320</v>
      </c>
      <c r="AA612" t="s">
        <v>94</v>
      </c>
      <c r="AB612">
        <v>6.8</v>
      </c>
      <c r="AC612" t="s">
        <v>85</v>
      </c>
      <c r="AD612" t="s">
        <v>490</v>
      </c>
      <c r="AE612" t="s">
        <v>138</v>
      </c>
      <c r="AI612">
        <v>5</v>
      </c>
      <c r="AK612">
        <v>16</v>
      </c>
      <c r="AL612" t="s">
        <v>1385</v>
      </c>
      <c r="AT612" t="s">
        <v>75</v>
      </c>
      <c r="AU612">
        <v>0</v>
      </c>
      <c r="AV612" t="s">
        <v>1386</v>
      </c>
      <c r="AZ612">
        <v>0</v>
      </c>
      <c r="BA612">
        <v>6.8</v>
      </c>
    </row>
    <row r="613" spans="1:53" x14ac:dyDescent="0.3">
      <c r="A613" t="s">
        <v>667</v>
      </c>
      <c r="C613" t="s">
        <v>1275</v>
      </c>
      <c r="D613" t="s">
        <v>81</v>
      </c>
      <c r="E613">
        <v>10000000</v>
      </c>
      <c r="H613">
        <v>14.25</v>
      </c>
      <c r="I613" t="s">
        <v>56</v>
      </c>
      <c r="J613">
        <v>1.4250000000000001E-3</v>
      </c>
      <c r="K613" t="s">
        <v>57</v>
      </c>
      <c r="L613" t="s">
        <v>112</v>
      </c>
      <c r="O613">
        <v>1</v>
      </c>
      <c r="P613" t="s">
        <v>1383</v>
      </c>
      <c r="S613">
        <v>0.31</v>
      </c>
      <c r="T613">
        <v>19.91</v>
      </c>
      <c r="U613" t="s">
        <v>992</v>
      </c>
      <c r="V613">
        <v>54.72</v>
      </c>
      <c r="W613" t="s">
        <v>75</v>
      </c>
      <c r="X613" t="s">
        <v>1284</v>
      </c>
      <c r="Y613">
        <v>4320</v>
      </c>
      <c r="AA613" t="s">
        <v>94</v>
      </c>
      <c r="AB613">
        <v>7</v>
      </c>
      <c r="AC613" t="s">
        <v>85</v>
      </c>
      <c r="AD613" t="s">
        <v>314</v>
      </c>
      <c r="AE613" t="s">
        <v>138</v>
      </c>
      <c r="AI613">
        <v>5</v>
      </c>
      <c r="AK613">
        <v>8</v>
      </c>
      <c r="AL613" t="s">
        <v>1385</v>
      </c>
      <c r="AT613" t="s">
        <v>75</v>
      </c>
      <c r="AU613">
        <v>0</v>
      </c>
      <c r="AV613" t="s">
        <v>1386</v>
      </c>
      <c r="AZ613">
        <v>0</v>
      </c>
      <c r="BA613">
        <v>7</v>
      </c>
    </row>
    <row r="614" spans="1:53" x14ac:dyDescent="0.3">
      <c r="A614" t="s">
        <v>667</v>
      </c>
      <c r="C614" t="s">
        <v>1275</v>
      </c>
      <c r="D614" t="s">
        <v>81</v>
      </c>
      <c r="E614">
        <v>10000000</v>
      </c>
      <c r="H614">
        <v>14.25</v>
      </c>
      <c r="I614" t="s">
        <v>56</v>
      </c>
      <c r="J614">
        <v>1.4250000000000001E-3</v>
      </c>
      <c r="K614" t="s">
        <v>57</v>
      </c>
      <c r="L614" t="s">
        <v>112</v>
      </c>
      <c r="O614">
        <v>1</v>
      </c>
      <c r="P614" t="s">
        <v>1383</v>
      </c>
      <c r="S614">
        <v>0.26</v>
      </c>
      <c r="T614">
        <v>20.190000000000001</v>
      </c>
      <c r="U614" t="s">
        <v>356</v>
      </c>
      <c r="V614">
        <v>55.83</v>
      </c>
      <c r="W614" t="s">
        <v>75</v>
      </c>
      <c r="X614" t="s">
        <v>1284</v>
      </c>
      <c r="Y614">
        <v>4320</v>
      </c>
      <c r="AA614" t="s">
        <v>94</v>
      </c>
      <c r="AB614">
        <v>5.75</v>
      </c>
      <c r="AC614" t="s">
        <v>85</v>
      </c>
      <c r="AD614" t="s">
        <v>239</v>
      </c>
      <c r="AE614" t="s">
        <v>138</v>
      </c>
      <c r="AI614">
        <v>5</v>
      </c>
      <c r="AK614">
        <v>12</v>
      </c>
      <c r="AL614" t="s">
        <v>1385</v>
      </c>
      <c r="AT614" t="s">
        <v>75</v>
      </c>
      <c r="AU614">
        <v>0</v>
      </c>
      <c r="AV614" t="s">
        <v>1386</v>
      </c>
      <c r="AZ614">
        <v>0</v>
      </c>
      <c r="BA614">
        <v>5.75</v>
      </c>
    </row>
    <row r="615" spans="1:53" x14ac:dyDescent="0.3">
      <c r="A615" t="s">
        <v>667</v>
      </c>
      <c r="C615" t="s">
        <v>1275</v>
      </c>
      <c r="D615" t="s">
        <v>81</v>
      </c>
      <c r="E615">
        <v>10000000</v>
      </c>
      <c r="H615">
        <v>14.25</v>
      </c>
      <c r="I615" t="s">
        <v>56</v>
      </c>
      <c r="J615">
        <v>1.4250000000000001E-3</v>
      </c>
      <c r="K615" t="s">
        <v>57</v>
      </c>
      <c r="L615" t="s">
        <v>112</v>
      </c>
      <c r="O615">
        <v>1</v>
      </c>
      <c r="P615" t="s">
        <v>1383</v>
      </c>
      <c r="S615">
        <v>0.64</v>
      </c>
      <c r="T615">
        <v>19.93</v>
      </c>
      <c r="U615" t="s">
        <v>1391</v>
      </c>
      <c r="V615">
        <v>51.95</v>
      </c>
      <c r="W615" t="s">
        <v>75</v>
      </c>
      <c r="X615" t="s">
        <v>1284</v>
      </c>
      <c r="Y615">
        <v>1440</v>
      </c>
      <c r="AB615">
        <v>6.71</v>
      </c>
      <c r="AC615" t="s">
        <v>85</v>
      </c>
      <c r="AD615" t="s">
        <v>480</v>
      </c>
      <c r="AE615" t="s">
        <v>138</v>
      </c>
      <c r="AI615">
        <v>5</v>
      </c>
      <c r="AK615">
        <v>16</v>
      </c>
      <c r="AL615" t="s">
        <v>1385</v>
      </c>
      <c r="AT615" t="s">
        <v>75</v>
      </c>
      <c r="AU615">
        <v>0</v>
      </c>
      <c r="AV615" t="s">
        <v>1386</v>
      </c>
    </row>
    <row r="616" spans="1:53" x14ac:dyDescent="0.3">
      <c r="A616" t="s">
        <v>667</v>
      </c>
      <c r="C616" t="s">
        <v>1275</v>
      </c>
      <c r="D616" t="s">
        <v>81</v>
      </c>
      <c r="E616">
        <v>10000000</v>
      </c>
      <c r="H616">
        <v>14.25</v>
      </c>
      <c r="I616" t="s">
        <v>56</v>
      </c>
      <c r="J616">
        <v>1.4250000000000001E-3</v>
      </c>
      <c r="K616" t="s">
        <v>57</v>
      </c>
      <c r="L616" t="s">
        <v>112</v>
      </c>
      <c r="O616">
        <v>1</v>
      </c>
      <c r="P616" t="s">
        <v>1383</v>
      </c>
      <c r="S616">
        <v>0.39</v>
      </c>
      <c r="T616">
        <v>20.37</v>
      </c>
      <c r="U616" t="s">
        <v>1392</v>
      </c>
      <c r="V616">
        <v>50.98</v>
      </c>
      <c r="W616" t="s">
        <v>75</v>
      </c>
      <c r="X616" t="s">
        <v>1284</v>
      </c>
      <c r="Y616">
        <v>1440</v>
      </c>
      <c r="AA616" t="s">
        <v>94</v>
      </c>
      <c r="AB616">
        <v>7.3</v>
      </c>
      <c r="AC616" t="s">
        <v>85</v>
      </c>
      <c r="AD616" t="s">
        <v>511</v>
      </c>
      <c r="AE616" t="s">
        <v>138</v>
      </c>
      <c r="AI616">
        <v>5</v>
      </c>
      <c r="AK616">
        <v>16</v>
      </c>
      <c r="AL616" t="s">
        <v>1385</v>
      </c>
      <c r="AT616" t="s">
        <v>75</v>
      </c>
      <c r="AU616">
        <v>0</v>
      </c>
      <c r="AV616" t="s">
        <v>1386</v>
      </c>
      <c r="AZ616">
        <v>0</v>
      </c>
      <c r="BA616">
        <v>7.3</v>
      </c>
    </row>
    <row r="617" spans="1:53" x14ac:dyDescent="0.3">
      <c r="A617" t="s">
        <v>667</v>
      </c>
      <c r="C617" t="s">
        <v>1275</v>
      </c>
      <c r="D617" t="s">
        <v>81</v>
      </c>
      <c r="E617">
        <v>10000000</v>
      </c>
      <c r="H617">
        <v>14.25</v>
      </c>
      <c r="I617" t="s">
        <v>56</v>
      </c>
      <c r="J617">
        <v>1.4250000000000001E-3</v>
      </c>
      <c r="K617" t="s">
        <v>57</v>
      </c>
      <c r="L617" t="s">
        <v>112</v>
      </c>
      <c r="O617">
        <v>1</v>
      </c>
      <c r="P617" t="s">
        <v>1383</v>
      </c>
      <c r="T617">
        <v>25</v>
      </c>
      <c r="V617">
        <v>50</v>
      </c>
      <c r="W617" t="s">
        <v>75</v>
      </c>
      <c r="X617" t="s">
        <v>1284</v>
      </c>
      <c r="Y617">
        <v>1440</v>
      </c>
      <c r="AB617">
        <v>5.03</v>
      </c>
      <c r="AC617" t="s">
        <v>85</v>
      </c>
      <c r="AD617" t="s">
        <v>332</v>
      </c>
      <c r="AE617" t="s">
        <v>138</v>
      </c>
      <c r="AI617">
        <v>5</v>
      </c>
      <c r="AK617">
        <v>8</v>
      </c>
      <c r="AL617" t="s">
        <v>1385</v>
      </c>
      <c r="AT617" t="s">
        <v>75</v>
      </c>
      <c r="AU617">
        <v>0</v>
      </c>
      <c r="AV617" t="s">
        <v>1386</v>
      </c>
    </row>
    <row r="618" spans="1:53" x14ac:dyDescent="0.3">
      <c r="A618" t="s">
        <v>667</v>
      </c>
      <c r="C618" t="s">
        <v>1275</v>
      </c>
      <c r="D618" t="s">
        <v>81</v>
      </c>
      <c r="E618">
        <v>10000000</v>
      </c>
      <c r="H618">
        <v>14.25</v>
      </c>
      <c r="I618" t="s">
        <v>56</v>
      </c>
      <c r="J618">
        <v>1.4250000000000001E-3</v>
      </c>
      <c r="K618" t="s">
        <v>57</v>
      </c>
      <c r="L618" t="s">
        <v>112</v>
      </c>
      <c r="O618">
        <v>0.5</v>
      </c>
      <c r="P618" t="s">
        <v>1383</v>
      </c>
      <c r="S618">
        <v>0.38</v>
      </c>
      <c r="T618">
        <v>20.29</v>
      </c>
      <c r="U618" t="s">
        <v>1393</v>
      </c>
      <c r="V618">
        <v>44.34</v>
      </c>
      <c r="W618" t="s">
        <v>75</v>
      </c>
      <c r="X618" t="s">
        <v>1284</v>
      </c>
      <c r="Y618">
        <v>4320</v>
      </c>
      <c r="AB618">
        <v>4.83</v>
      </c>
      <c r="AC618" t="s">
        <v>85</v>
      </c>
      <c r="AD618" t="s">
        <v>438</v>
      </c>
      <c r="AE618" t="s">
        <v>138</v>
      </c>
      <c r="AI618">
        <v>5</v>
      </c>
      <c r="AK618">
        <v>16</v>
      </c>
      <c r="AL618" t="s">
        <v>1385</v>
      </c>
      <c r="AT618" t="s">
        <v>75</v>
      </c>
      <c r="AU618">
        <v>0</v>
      </c>
      <c r="AV618" t="s">
        <v>1386</v>
      </c>
    </row>
    <row r="619" spans="1:53" x14ac:dyDescent="0.3">
      <c r="A619" t="s">
        <v>667</v>
      </c>
      <c r="C619" t="s">
        <v>1275</v>
      </c>
      <c r="D619" t="s">
        <v>81</v>
      </c>
      <c r="E619">
        <v>10000000</v>
      </c>
      <c r="H619">
        <v>14.25</v>
      </c>
      <c r="I619" t="s">
        <v>56</v>
      </c>
      <c r="J619">
        <v>1.4250000000000001E-3</v>
      </c>
      <c r="K619" t="s">
        <v>57</v>
      </c>
      <c r="L619" t="s">
        <v>112</v>
      </c>
      <c r="O619">
        <v>0.5</v>
      </c>
      <c r="P619" t="s">
        <v>1383</v>
      </c>
      <c r="S619">
        <v>0.32</v>
      </c>
      <c r="T619">
        <v>20.309999999999899</v>
      </c>
      <c r="U619" t="s">
        <v>1304</v>
      </c>
      <c r="V619">
        <v>40.840000000000003</v>
      </c>
      <c r="W619" t="s">
        <v>75</v>
      </c>
      <c r="X619" t="s">
        <v>1284</v>
      </c>
      <c r="Y619">
        <v>10080</v>
      </c>
      <c r="AB619">
        <v>5.63</v>
      </c>
      <c r="AC619" t="s">
        <v>85</v>
      </c>
      <c r="AD619" t="s">
        <v>646</v>
      </c>
      <c r="AE619" t="s">
        <v>138</v>
      </c>
      <c r="AI619">
        <v>5</v>
      </c>
      <c r="AK619">
        <v>12</v>
      </c>
      <c r="AL619" t="s">
        <v>1385</v>
      </c>
      <c r="AT619" t="s">
        <v>75</v>
      </c>
      <c r="AU619">
        <v>0</v>
      </c>
      <c r="AV619" t="s">
        <v>1386</v>
      </c>
    </row>
    <row r="620" spans="1:53" x14ac:dyDescent="0.3">
      <c r="A620" t="s">
        <v>667</v>
      </c>
      <c r="C620" t="s">
        <v>1275</v>
      </c>
      <c r="D620" t="s">
        <v>81</v>
      </c>
      <c r="E620">
        <v>10000000</v>
      </c>
      <c r="H620">
        <v>14.25</v>
      </c>
      <c r="I620" t="s">
        <v>56</v>
      </c>
      <c r="J620">
        <v>1.4250000000000001E-3</v>
      </c>
      <c r="K620" t="s">
        <v>57</v>
      </c>
      <c r="L620" t="s">
        <v>112</v>
      </c>
      <c r="O620">
        <v>0.5</v>
      </c>
      <c r="P620" t="s">
        <v>1383</v>
      </c>
      <c r="S620">
        <v>0.24</v>
      </c>
      <c r="T620">
        <v>18.63</v>
      </c>
      <c r="U620" t="s">
        <v>1387</v>
      </c>
      <c r="V620">
        <v>63.57</v>
      </c>
      <c r="W620" t="s">
        <v>75</v>
      </c>
      <c r="X620" t="s">
        <v>1284</v>
      </c>
      <c r="Y620">
        <v>10080</v>
      </c>
      <c r="AB620">
        <v>5.53</v>
      </c>
      <c r="AC620" t="s">
        <v>85</v>
      </c>
      <c r="AD620" t="s">
        <v>328</v>
      </c>
      <c r="AE620" t="s">
        <v>138</v>
      </c>
      <c r="AI620">
        <v>5</v>
      </c>
      <c r="AK620">
        <v>16</v>
      </c>
      <c r="AL620" t="s">
        <v>1385</v>
      </c>
      <c r="AT620" t="s">
        <v>75</v>
      </c>
      <c r="AU620">
        <v>0</v>
      </c>
      <c r="AV620" t="s">
        <v>1386</v>
      </c>
    </row>
    <row r="621" spans="1:53" x14ac:dyDescent="0.3">
      <c r="A621" t="s">
        <v>667</v>
      </c>
      <c r="C621" t="s">
        <v>1275</v>
      </c>
      <c r="D621" t="s">
        <v>81</v>
      </c>
      <c r="E621">
        <v>10000000</v>
      </c>
      <c r="H621">
        <v>14.25</v>
      </c>
      <c r="I621" t="s">
        <v>56</v>
      </c>
      <c r="J621">
        <v>1.4250000000000001E-3</v>
      </c>
      <c r="K621" t="s">
        <v>57</v>
      </c>
      <c r="L621" t="s">
        <v>112</v>
      </c>
      <c r="O621">
        <v>0.5</v>
      </c>
      <c r="P621" t="s">
        <v>1383</v>
      </c>
      <c r="S621">
        <v>0.24</v>
      </c>
      <c r="T621">
        <v>18.63</v>
      </c>
      <c r="U621" t="s">
        <v>1387</v>
      </c>
      <c r="V621">
        <v>63.57</v>
      </c>
      <c r="W621" t="s">
        <v>75</v>
      </c>
      <c r="X621" t="s">
        <v>1284</v>
      </c>
      <c r="Y621">
        <v>10080</v>
      </c>
      <c r="AA621" t="s">
        <v>94</v>
      </c>
      <c r="AB621">
        <v>5.73</v>
      </c>
      <c r="AC621" t="s">
        <v>85</v>
      </c>
      <c r="AD621" t="s">
        <v>92</v>
      </c>
      <c r="AE621" t="s">
        <v>138</v>
      </c>
      <c r="AI621">
        <v>5</v>
      </c>
      <c r="AK621">
        <v>16</v>
      </c>
      <c r="AL621" t="s">
        <v>1385</v>
      </c>
      <c r="AT621" t="s">
        <v>75</v>
      </c>
      <c r="AU621">
        <v>0</v>
      </c>
      <c r="AV621" t="s">
        <v>1386</v>
      </c>
      <c r="AZ621">
        <v>0</v>
      </c>
      <c r="BA621">
        <v>5.73</v>
      </c>
    </row>
    <row r="622" spans="1:53" x14ac:dyDescent="0.3">
      <c r="A622" t="s">
        <v>667</v>
      </c>
      <c r="C622" t="s">
        <v>1275</v>
      </c>
      <c r="D622" t="s">
        <v>81</v>
      </c>
      <c r="E622">
        <v>10000000</v>
      </c>
      <c r="H622">
        <v>14.25</v>
      </c>
      <c r="I622" t="s">
        <v>56</v>
      </c>
      <c r="J622">
        <v>1.4250000000000001E-3</v>
      </c>
      <c r="K622" t="s">
        <v>57</v>
      </c>
      <c r="L622" t="s">
        <v>112</v>
      </c>
      <c r="O622">
        <v>1</v>
      </c>
      <c r="P622" t="s">
        <v>1383</v>
      </c>
      <c r="S622">
        <v>0.45</v>
      </c>
      <c r="T622">
        <v>18.95</v>
      </c>
      <c r="U622" t="s">
        <v>1126</v>
      </c>
      <c r="V622">
        <v>63.6</v>
      </c>
      <c r="W622" t="s">
        <v>77</v>
      </c>
      <c r="X622" t="s">
        <v>1284</v>
      </c>
      <c r="Y622">
        <v>10080</v>
      </c>
      <c r="AB622">
        <v>4.1500000000000004</v>
      </c>
      <c r="AC622" t="s">
        <v>85</v>
      </c>
      <c r="AD622" t="s">
        <v>439</v>
      </c>
      <c r="AE622" t="s">
        <v>138</v>
      </c>
      <c r="AI622">
        <v>5</v>
      </c>
      <c r="AK622">
        <v>16</v>
      </c>
      <c r="AL622" t="s">
        <v>1385</v>
      </c>
      <c r="AT622" t="s">
        <v>77</v>
      </c>
      <c r="AU622">
        <v>0</v>
      </c>
      <c r="AV622" t="s">
        <v>1386</v>
      </c>
    </row>
    <row r="623" spans="1:53" x14ac:dyDescent="0.3">
      <c r="A623" t="s">
        <v>667</v>
      </c>
      <c r="C623" t="s">
        <v>1275</v>
      </c>
      <c r="D623" t="s">
        <v>81</v>
      </c>
      <c r="E623">
        <v>10000000</v>
      </c>
      <c r="H623">
        <v>14.25</v>
      </c>
      <c r="I623" t="s">
        <v>56</v>
      </c>
      <c r="J623">
        <v>1.4250000000000001E-3</v>
      </c>
      <c r="K623" t="s">
        <v>57</v>
      </c>
      <c r="L623" t="s">
        <v>112</v>
      </c>
      <c r="O623">
        <v>1</v>
      </c>
      <c r="P623" t="s">
        <v>1383</v>
      </c>
      <c r="S623">
        <v>0.3</v>
      </c>
      <c r="T623">
        <v>19.28</v>
      </c>
      <c r="U623" t="s">
        <v>1390</v>
      </c>
      <c r="V623">
        <v>60.79</v>
      </c>
      <c r="W623" t="s">
        <v>77</v>
      </c>
      <c r="X623" t="s">
        <v>1284</v>
      </c>
      <c r="Y623">
        <v>4320</v>
      </c>
      <c r="AA623" t="s">
        <v>94</v>
      </c>
      <c r="AB623">
        <v>6.4</v>
      </c>
      <c r="AC623" t="s">
        <v>85</v>
      </c>
      <c r="AD623" t="s">
        <v>494</v>
      </c>
      <c r="AE623" t="s">
        <v>138</v>
      </c>
      <c r="AI623">
        <v>5</v>
      </c>
      <c r="AK623">
        <v>16</v>
      </c>
      <c r="AL623" t="s">
        <v>1385</v>
      </c>
      <c r="AT623" t="s">
        <v>77</v>
      </c>
      <c r="AU623">
        <v>0</v>
      </c>
      <c r="AV623" t="s">
        <v>1386</v>
      </c>
      <c r="AZ623">
        <v>0</v>
      </c>
      <c r="BA623">
        <v>6.4</v>
      </c>
    </row>
    <row r="624" spans="1:53" x14ac:dyDescent="0.3">
      <c r="A624" t="s">
        <v>667</v>
      </c>
      <c r="C624" t="s">
        <v>1275</v>
      </c>
      <c r="D624" t="s">
        <v>81</v>
      </c>
      <c r="E624">
        <v>10000000</v>
      </c>
      <c r="H624">
        <v>14.25</v>
      </c>
      <c r="I624" t="s">
        <v>56</v>
      </c>
      <c r="J624">
        <v>1.4250000000000001E-3</v>
      </c>
      <c r="K624" t="s">
        <v>57</v>
      </c>
      <c r="L624" t="s">
        <v>112</v>
      </c>
      <c r="O624">
        <v>1</v>
      </c>
      <c r="P624" t="s">
        <v>1383</v>
      </c>
      <c r="S624">
        <v>0.31</v>
      </c>
      <c r="T624">
        <v>19.91</v>
      </c>
      <c r="U624" t="s">
        <v>992</v>
      </c>
      <c r="V624">
        <v>54.72</v>
      </c>
      <c r="W624" t="s">
        <v>77</v>
      </c>
      <c r="X624" t="s">
        <v>1284</v>
      </c>
      <c r="Y624">
        <v>4320</v>
      </c>
      <c r="AB624">
        <v>2.75</v>
      </c>
      <c r="AC624" t="s">
        <v>85</v>
      </c>
      <c r="AD624" t="s">
        <v>108</v>
      </c>
      <c r="AE624" t="s">
        <v>138</v>
      </c>
      <c r="AI624">
        <v>5</v>
      </c>
      <c r="AK624">
        <v>8</v>
      </c>
      <c r="AL624" t="s">
        <v>1385</v>
      </c>
      <c r="AT624" t="s">
        <v>77</v>
      </c>
      <c r="AU624">
        <v>0</v>
      </c>
      <c r="AV624" t="s">
        <v>1386</v>
      </c>
    </row>
    <row r="625" spans="1:48" x14ac:dyDescent="0.3">
      <c r="A625" t="s">
        <v>667</v>
      </c>
      <c r="C625" t="s">
        <v>1275</v>
      </c>
      <c r="D625" t="s">
        <v>81</v>
      </c>
      <c r="E625">
        <v>10000000</v>
      </c>
      <c r="H625">
        <v>14.25</v>
      </c>
      <c r="I625" t="s">
        <v>56</v>
      </c>
      <c r="J625">
        <v>1.4250000000000001E-3</v>
      </c>
      <c r="K625" t="s">
        <v>57</v>
      </c>
      <c r="L625" t="s">
        <v>112</v>
      </c>
      <c r="O625">
        <v>1</v>
      </c>
      <c r="P625" t="s">
        <v>1383</v>
      </c>
      <c r="S625">
        <v>0.26</v>
      </c>
      <c r="T625">
        <v>20.190000000000001</v>
      </c>
      <c r="U625" t="s">
        <v>356</v>
      </c>
      <c r="V625">
        <v>55.83</v>
      </c>
      <c r="W625" t="s">
        <v>77</v>
      </c>
      <c r="X625" t="s">
        <v>1284</v>
      </c>
      <c r="Y625">
        <v>4320</v>
      </c>
      <c r="AB625">
        <v>3.53</v>
      </c>
      <c r="AC625" t="s">
        <v>85</v>
      </c>
      <c r="AD625" t="s">
        <v>534</v>
      </c>
      <c r="AE625" t="s">
        <v>138</v>
      </c>
      <c r="AI625">
        <v>5</v>
      </c>
      <c r="AK625">
        <v>12</v>
      </c>
      <c r="AL625" t="s">
        <v>1385</v>
      </c>
      <c r="AT625" t="s">
        <v>77</v>
      </c>
      <c r="AU625">
        <v>0</v>
      </c>
      <c r="AV625" t="s">
        <v>1386</v>
      </c>
    </row>
    <row r="626" spans="1:48" x14ac:dyDescent="0.3">
      <c r="A626" t="s">
        <v>667</v>
      </c>
      <c r="C626" t="s">
        <v>1275</v>
      </c>
      <c r="D626" t="s">
        <v>81</v>
      </c>
      <c r="E626">
        <v>10000000</v>
      </c>
      <c r="H626">
        <v>14.25</v>
      </c>
      <c r="I626" t="s">
        <v>56</v>
      </c>
      <c r="J626">
        <v>1.4250000000000001E-3</v>
      </c>
      <c r="K626" t="s">
        <v>57</v>
      </c>
      <c r="L626" t="s">
        <v>112</v>
      </c>
      <c r="O626">
        <v>1</v>
      </c>
      <c r="P626" t="s">
        <v>1383</v>
      </c>
      <c r="S626">
        <v>0.64</v>
      </c>
      <c r="T626">
        <v>19.93</v>
      </c>
      <c r="U626" t="s">
        <v>1391</v>
      </c>
      <c r="V626">
        <v>51.95</v>
      </c>
      <c r="W626" t="s">
        <v>77</v>
      </c>
      <c r="X626" t="s">
        <v>1284</v>
      </c>
      <c r="Y626">
        <v>1440</v>
      </c>
      <c r="AB626">
        <v>4.5199999999999898</v>
      </c>
      <c r="AC626" t="s">
        <v>85</v>
      </c>
      <c r="AD626" t="s">
        <v>1388</v>
      </c>
      <c r="AE626" t="s">
        <v>138</v>
      </c>
      <c r="AI626">
        <v>5</v>
      </c>
      <c r="AK626">
        <v>16</v>
      </c>
      <c r="AL626" t="s">
        <v>1385</v>
      </c>
      <c r="AT626" t="s">
        <v>77</v>
      </c>
      <c r="AU626">
        <v>0</v>
      </c>
      <c r="AV626" t="s">
        <v>1386</v>
      </c>
    </row>
    <row r="627" spans="1:48" x14ac:dyDescent="0.3">
      <c r="A627" t="s">
        <v>667</v>
      </c>
      <c r="C627" t="s">
        <v>1275</v>
      </c>
      <c r="D627" t="s">
        <v>81</v>
      </c>
      <c r="E627">
        <v>10000000</v>
      </c>
      <c r="H627">
        <v>14.25</v>
      </c>
      <c r="I627" t="s">
        <v>56</v>
      </c>
      <c r="J627">
        <v>1.4250000000000001E-3</v>
      </c>
      <c r="K627" t="s">
        <v>57</v>
      </c>
      <c r="L627" t="s">
        <v>112</v>
      </c>
      <c r="O627">
        <v>1</v>
      </c>
      <c r="P627" t="s">
        <v>1383</v>
      </c>
      <c r="S627">
        <v>0.39</v>
      </c>
      <c r="T627">
        <v>20.37</v>
      </c>
      <c r="U627" t="s">
        <v>1392</v>
      </c>
      <c r="V627">
        <v>50.98</v>
      </c>
      <c r="W627" t="s">
        <v>77</v>
      </c>
      <c r="X627" t="s">
        <v>1284</v>
      </c>
      <c r="Y627">
        <v>1440</v>
      </c>
      <c r="AB627">
        <v>4.41</v>
      </c>
      <c r="AC627" t="s">
        <v>85</v>
      </c>
      <c r="AD627" t="s">
        <v>431</v>
      </c>
      <c r="AE627" t="s">
        <v>138</v>
      </c>
      <c r="AI627">
        <v>5</v>
      </c>
      <c r="AK627">
        <v>16</v>
      </c>
      <c r="AL627" t="s">
        <v>1385</v>
      </c>
      <c r="AT627" t="s">
        <v>77</v>
      </c>
      <c r="AU627">
        <v>0</v>
      </c>
      <c r="AV627" t="s">
        <v>1386</v>
      </c>
    </row>
    <row r="628" spans="1:48" x14ac:dyDescent="0.3">
      <c r="A628" t="s">
        <v>667</v>
      </c>
      <c r="C628" t="s">
        <v>1275</v>
      </c>
      <c r="D628" t="s">
        <v>81</v>
      </c>
      <c r="E628">
        <v>10000000</v>
      </c>
      <c r="H628">
        <v>14.25</v>
      </c>
      <c r="I628" t="s">
        <v>56</v>
      </c>
      <c r="J628">
        <v>1.4250000000000001E-3</v>
      </c>
      <c r="K628" t="s">
        <v>57</v>
      </c>
      <c r="L628" t="s">
        <v>112</v>
      </c>
      <c r="O628">
        <v>1</v>
      </c>
      <c r="P628" t="s">
        <v>1383</v>
      </c>
      <c r="T628">
        <v>25</v>
      </c>
      <c r="V628">
        <v>50</v>
      </c>
      <c r="W628" t="s">
        <v>77</v>
      </c>
      <c r="X628" t="s">
        <v>1284</v>
      </c>
      <c r="Y628">
        <v>1440</v>
      </c>
      <c r="AB628">
        <v>3.68</v>
      </c>
      <c r="AC628" t="s">
        <v>85</v>
      </c>
      <c r="AD628" t="s">
        <v>1396</v>
      </c>
      <c r="AE628" t="s">
        <v>138</v>
      </c>
      <c r="AI628">
        <v>5</v>
      </c>
      <c r="AK628">
        <v>8</v>
      </c>
      <c r="AL628" t="s">
        <v>1385</v>
      </c>
      <c r="AT628" t="s">
        <v>77</v>
      </c>
      <c r="AU628">
        <v>0</v>
      </c>
      <c r="AV628" t="s">
        <v>1386</v>
      </c>
    </row>
    <row r="629" spans="1:48" x14ac:dyDescent="0.3">
      <c r="A629" t="s">
        <v>667</v>
      </c>
      <c r="C629" t="s">
        <v>1275</v>
      </c>
      <c r="D629" t="s">
        <v>81</v>
      </c>
      <c r="E629">
        <v>10000000</v>
      </c>
      <c r="H629">
        <v>14.25</v>
      </c>
      <c r="I629" t="s">
        <v>56</v>
      </c>
      <c r="J629">
        <v>1.4250000000000001E-3</v>
      </c>
      <c r="K629" t="s">
        <v>57</v>
      </c>
      <c r="L629" t="s">
        <v>112</v>
      </c>
      <c r="O629">
        <v>0.5</v>
      </c>
      <c r="P629" t="s">
        <v>1383</v>
      </c>
      <c r="S629">
        <v>0.38</v>
      </c>
      <c r="T629">
        <v>20.29</v>
      </c>
      <c r="U629" t="s">
        <v>1393</v>
      </c>
      <c r="V629">
        <v>44.34</v>
      </c>
      <c r="W629" t="s">
        <v>77</v>
      </c>
      <c r="X629" t="s">
        <v>1284</v>
      </c>
      <c r="Y629">
        <v>4320</v>
      </c>
      <c r="AB629">
        <v>5.0199999999999898</v>
      </c>
      <c r="AC629" t="s">
        <v>85</v>
      </c>
      <c r="AD629" t="s">
        <v>646</v>
      </c>
      <c r="AE629" t="s">
        <v>138</v>
      </c>
      <c r="AI629">
        <v>5</v>
      </c>
      <c r="AK629">
        <v>16</v>
      </c>
      <c r="AL629" t="s">
        <v>1385</v>
      </c>
      <c r="AT629" t="s">
        <v>77</v>
      </c>
      <c r="AU629">
        <v>0</v>
      </c>
      <c r="AV629" t="s">
        <v>1386</v>
      </c>
    </row>
    <row r="630" spans="1:48" x14ac:dyDescent="0.3">
      <c r="A630" t="s">
        <v>667</v>
      </c>
      <c r="C630" t="s">
        <v>1275</v>
      </c>
      <c r="D630" t="s">
        <v>81</v>
      </c>
      <c r="E630">
        <v>10000000</v>
      </c>
      <c r="H630">
        <v>14.25</v>
      </c>
      <c r="I630" t="s">
        <v>56</v>
      </c>
      <c r="J630">
        <v>1.4250000000000001E-3</v>
      </c>
      <c r="K630" t="s">
        <v>57</v>
      </c>
      <c r="L630" t="s">
        <v>112</v>
      </c>
      <c r="O630">
        <v>0.5</v>
      </c>
      <c r="P630" t="s">
        <v>1383</v>
      </c>
      <c r="S630">
        <v>0.32</v>
      </c>
      <c r="T630">
        <v>20.309999999999899</v>
      </c>
      <c r="U630" t="s">
        <v>1304</v>
      </c>
      <c r="V630">
        <v>40.840000000000003</v>
      </c>
      <c r="W630" t="s">
        <v>77</v>
      </c>
      <c r="X630" t="s">
        <v>1284</v>
      </c>
      <c r="Y630">
        <v>10080</v>
      </c>
      <c r="AB630">
        <v>1.29</v>
      </c>
      <c r="AC630" t="s">
        <v>85</v>
      </c>
      <c r="AD630" t="s">
        <v>521</v>
      </c>
      <c r="AE630" t="s">
        <v>138</v>
      </c>
      <c r="AI630">
        <v>5</v>
      </c>
      <c r="AK630">
        <v>12</v>
      </c>
      <c r="AL630" t="s">
        <v>1385</v>
      </c>
      <c r="AT630" t="s">
        <v>77</v>
      </c>
      <c r="AU630">
        <v>0</v>
      </c>
      <c r="AV630" t="s">
        <v>1386</v>
      </c>
    </row>
    <row r="631" spans="1:48" x14ac:dyDescent="0.3">
      <c r="A631" t="s">
        <v>667</v>
      </c>
      <c r="C631" t="s">
        <v>1275</v>
      </c>
      <c r="D631" t="s">
        <v>81</v>
      </c>
      <c r="E631">
        <v>10000000</v>
      </c>
      <c r="H631">
        <v>14.25</v>
      </c>
      <c r="I631" t="s">
        <v>56</v>
      </c>
      <c r="J631">
        <v>1.4250000000000001E-3</v>
      </c>
      <c r="K631" t="s">
        <v>57</v>
      </c>
      <c r="L631" t="s">
        <v>112</v>
      </c>
      <c r="O631">
        <v>0.5</v>
      </c>
      <c r="P631" t="s">
        <v>1383</v>
      </c>
      <c r="S631">
        <v>0.24</v>
      </c>
      <c r="T631">
        <v>18.63</v>
      </c>
      <c r="U631" t="s">
        <v>1387</v>
      </c>
      <c r="V631">
        <v>63.57</v>
      </c>
      <c r="W631" t="s">
        <v>77</v>
      </c>
      <c r="X631" t="s">
        <v>1284</v>
      </c>
      <c r="Y631">
        <v>10080</v>
      </c>
      <c r="AB631">
        <v>1.25</v>
      </c>
      <c r="AC631" t="s">
        <v>85</v>
      </c>
      <c r="AD631" t="s">
        <v>482</v>
      </c>
      <c r="AE631" t="s">
        <v>138</v>
      </c>
      <c r="AI631">
        <v>5</v>
      </c>
      <c r="AK631">
        <v>16</v>
      </c>
      <c r="AL631" t="s">
        <v>1385</v>
      </c>
      <c r="AT631" t="s">
        <v>77</v>
      </c>
      <c r="AU631">
        <v>0</v>
      </c>
      <c r="AV631" t="s">
        <v>1386</v>
      </c>
    </row>
    <row r="632" spans="1:48" x14ac:dyDescent="0.3">
      <c r="A632" t="s">
        <v>667</v>
      </c>
      <c r="C632" t="s">
        <v>1275</v>
      </c>
      <c r="D632" t="s">
        <v>81</v>
      </c>
      <c r="E632">
        <v>10000000</v>
      </c>
      <c r="H632">
        <v>14.25</v>
      </c>
      <c r="I632" t="s">
        <v>56</v>
      </c>
      <c r="J632">
        <v>1.4250000000000001E-3</v>
      </c>
      <c r="K632" t="s">
        <v>57</v>
      </c>
      <c r="L632" t="s">
        <v>112</v>
      </c>
      <c r="O632">
        <v>0.5</v>
      </c>
      <c r="P632" t="s">
        <v>1383</v>
      </c>
      <c r="S632">
        <v>0.24</v>
      </c>
      <c r="T632">
        <v>18.63</v>
      </c>
      <c r="U632" t="s">
        <v>1387</v>
      </c>
      <c r="V632">
        <v>63.57</v>
      </c>
      <c r="W632" t="s">
        <v>77</v>
      </c>
      <c r="X632" t="s">
        <v>1284</v>
      </c>
      <c r="Y632">
        <v>10080</v>
      </c>
      <c r="AB632">
        <v>1.93</v>
      </c>
      <c r="AC632" t="s">
        <v>85</v>
      </c>
      <c r="AD632" t="s">
        <v>509</v>
      </c>
      <c r="AE632" t="s">
        <v>138</v>
      </c>
      <c r="AI632">
        <v>5</v>
      </c>
      <c r="AK632">
        <v>16</v>
      </c>
      <c r="AL632" t="s">
        <v>1385</v>
      </c>
      <c r="AT632" t="s">
        <v>77</v>
      </c>
      <c r="AU632">
        <v>0</v>
      </c>
      <c r="AV632" t="s">
        <v>1386</v>
      </c>
    </row>
    <row r="633" spans="1:48" x14ac:dyDescent="0.3">
      <c r="A633" t="s">
        <v>667</v>
      </c>
      <c r="C633" t="s">
        <v>1275</v>
      </c>
      <c r="D633" t="s">
        <v>81</v>
      </c>
      <c r="E633">
        <v>10000000</v>
      </c>
      <c r="H633">
        <v>14.25</v>
      </c>
      <c r="I633" t="s">
        <v>56</v>
      </c>
      <c r="J633">
        <v>1.4250000000000001E-3</v>
      </c>
      <c r="K633" t="s">
        <v>57</v>
      </c>
      <c r="L633" t="s">
        <v>112</v>
      </c>
      <c r="O633">
        <v>1</v>
      </c>
      <c r="P633" t="s">
        <v>1383</v>
      </c>
      <c r="S633">
        <v>0.45</v>
      </c>
      <c r="T633">
        <v>18.95</v>
      </c>
      <c r="U633" t="s">
        <v>1126</v>
      </c>
      <c r="V633">
        <v>63.6</v>
      </c>
      <c r="W633" t="s">
        <v>1257</v>
      </c>
      <c r="X633" t="s">
        <v>1284</v>
      </c>
      <c r="Y633">
        <v>10080</v>
      </c>
      <c r="AB633">
        <v>2.91</v>
      </c>
      <c r="AC633" t="s">
        <v>85</v>
      </c>
      <c r="AD633" t="s">
        <v>496</v>
      </c>
      <c r="AE633" t="s">
        <v>138</v>
      </c>
      <c r="AI633">
        <v>5</v>
      </c>
      <c r="AK633">
        <v>16</v>
      </c>
      <c r="AL633" t="s">
        <v>1385</v>
      </c>
      <c r="AT633" t="s">
        <v>1257</v>
      </c>
      <c r="AU633">
        <v>0</v>
      </c>
      <c r="AV633" t="s">
        <v>1386</v>
      </c>
    </row>
    <row r="634" spans="1:48" x14ac:dyDescent="0.3">
      <c r="A634" t="s">
        <v>667</v>
      </c>
      <c r="C634" t="s">
        <v>1275</v>
      </c>
      <c r="D634" t="s">
        <v>81</v>
      </c>
      <c r="E634">
        <v>10000000</v>
      </c>
      <c r="H634">
        <v>14.25</v>
      </c>
      <c r="I634" t="s">
        <v>56</v>
      </c>
      <c r="J634">
        <v>1.4250000000000001E-3</v>
      </c>
      <c r="K634" t="s">
        <v>57</v>
      </c>
      <c r="L634" t="s">
        <v>112</v>
      </c>
      <c r="O634">
        <v>1</v>
      </c>
      <c r="P634" t="s">
        <v>1383</v>
      </c>
      <c r="S634">
        <v>0.3</v>
      </c>
      <c r="T634">
        <v>19.28</v>
      </c>
      <c r="U634" t="s">
        <v>1390</v>
      </c>
      <c r="V634">
        <v>60.79</v>
      </c>
      <c r="W634" t="s">
        <v>1257</v>
      </c>
      <c r="X634" t="s">
        <v>1284</v>
      </c>
      <c r="Y634">
        <v>4320</v>
      </c>
      <c r="AB634">
        <v>2.08</v>
      </c>
      <c r="AC634" t="s">
        <v>85</v>
      </c>
      <c r="AD634" t="s">
        <v>241</v>
      </c>
      <c r="AE634" t="s">
        <v>138</v>
      </c>
      <c r="AI634">
        <v>5</v>
      </c>
      <c r="AK634">
        <v>16</v>
      </c>
      <c r="AL634" t="s">
        <v>1385</v>
      </c>
      <c r="AT634" t="s">
        <v>1257</v>
      </c>
      <c r="AU634">
        <v>0</v>
      </c>
      <c r="AV634" t="s">
        <v>1386</v>
      </c>
    </row>
    <row r="635" spans="1:48" x14ac:dyDescent="0.3">
      <c r="A635" t="s">
        <v>667</v>
      </c>
      <c r="C635" t="s">
        <v>1275</v>
      </c>
      <c r="D635" t="s">
        <v>81</v>
      </c>
      <c r="E635">
        <v>10000000</v>
      </c>
      <c r="H635">
        <v>14.25</v>
      </c>
      <c r="I635" t="s">
        <v>56</v>
      </c>
      <c r="J635">
        <v>1.4250000000000001E-3</v>
      </c>
      <c r="K635" t="s">
        <v>57</v>
      </c>
      <c r="L635" t="s">
        <v>112</v>
      </c>
      <c r="O635">
        <v>1</v>
      </c>
      <c r="P635" t="s">
        <v>1383</v>
      </c>
      <c r="S635">
        <v>0.31</v>
      </c>
      <c r="T635">
        <v>19.91</v>
      </c>
      <c r="U635" t="s">
        <v>992</v>
      </c>
      <c r="V635">
        <v>54.72</v>
      </c>
      <c r="W635" t="s">
        <v>1257</v>
      </c>
      <c r="X635" t="s">
        <v>1284</v>
      </c>
      <c r="Y635">
        <v>4320</v>
      </c>
      <c r="AB635">
        <v>0.73</v>
      </c>
      <c r="AC635" t="s">
        <v>85</v>
      </c>
      <c r="AD635" t="s">
        <v>433</v>
      </c>
      <c r="AE635" t="s">
        <v>138</v>
      </c>
      <c r="AI635">
        <v>5</v>
      </c>
      <c r="AK635">
        <v>8</v>
      </c>
      <c r="AL635" t="s">
        <v>1385</v>
      </c>
      <c r="AT635" t="s">
        <v>1257</v>
      </c>
      <c r="AU635">
        <v>0</v>
      </c>
      <c r="AV635" t="s">
        <v>1386</v>
      </c>
    </row>
    <row r="636" spans="1:48" x14ac:dyDescent="0.3">
      <c r="A636" t="s">
        <v>667</v>
      </c>
      <c r="C636" t="s">
        <v>1275</v>
      </c>
      <c r="D636" t="s">
        <v>81</v>
      </c>
      <c r="E636">
        <v>10000000</v>
      </c>
      <c r="H636">
        <v>14.25</v>
      </c>
      <c r="I636" t="s">
        <v>56</v>
      </c>
      <c r="J636">
        <v>1.4250000000000001E-3</v>
      </c>
      <c r="K636" t="s">
        <v>57</v>
      </c>
      <c r="L636" t="s">
        <v>112</v>
      </c>
      <c r="O636">
        <v>1</v>
      </c>
      <c r="P636" t="s">
        <v>1383</v>
      </c>
      <c r="S636">
        <v>0.26</v>
      </c>
      <c r="T636">
        <v>20.190000000000001</v>
      </c>
      <c r="U636" t="s">
        <v>356</v>
      </c>
      <c r="V636">
        <v>55.83</v>
      </c>
      <c r="W636" t="s">
        <v>1257</v>
      </c>
      <c r="X636" t="s">
        <v>1284</v>
      </c>
      <c r="Y636">
        <v>4320</v>
      </c>
      <c r="AB636">
        <v>0.94</v>
      </c>
      <c r="AC636" t="s">
        <v>85</v>
      </c>
      <c r="AD636" t="s">
        <v>553</v>
      </c>
      <c r="AE636" t="s">
        <v>138</v>
      </c>
      <c r="AI636">
        <v>5</v>
      </c>
      <c r="AK636">
        <v>12</v>
      </c>
      <c r="AL636" t="s">
        <v>1385</v>
      </c>
      <c r="AT636" t="s">
        <v>1257</v>
      </c>
      <c r="AU636">
        <v>0</v>
      </c>
      <c r="AV636" t="s">
        <v>1386</v>
      </c>
    </row>
    <row r="637" spans="1:48" x14ac:dyDescent="0.3">
      <c r="A637" t="s">
        <v>667</v>
      </c>
      <c r="C637" t="s">
        <v>1275</v>
      </c>
      <c r="D637" t="s">
        <v>81</v>
      </c>
      <c r="E637">
        <v>10000000</v>
      </c>
      <c r="H637">
        <v>14.25</v>
      </c>
      <c r="I637" t="s">
        <v>56</v>
      </c>
      <c r="J637">
        <v>1.4250000000000001E-3</v>
      </c>
      <c r="K637" t="s">
        <v>57</v>
      </c>
      <c r="L637" t="s">
        <v>112</v>
      </c>
      <c r="O637">
        <v>1</v>
      </c>
      <c r="P637" t="s">
        <v>1383</v>
      </c>
      <c r="S637">
        <v>0.64</v>
      </c>
      <c r="T637">
        <v>19.93</v>
      </c>
      <c r="U637" t="s">
        <v>1391</v>
      </c>
      <c r="V637">
        <v>51.95</v>
      </c>
      <c r="W637" t="s">
        <v>1257</v>
      </c>
      <c r="X637" t="s">
        <v>1284</v>
      </c>
      <c r="Y637">
        <v>1440</v>
      </c>
      <c r="AB637">
        <v>2.91</v>
      </c>
      <c r="AC637" t="s">
        <v>85</v>
      </c>
      <c r="AD637" t="s">
        <v>433</v>
      </c>
      <c r="AE637" t="s">
        <v>138</v>
      </c>
      <c r="AI637">
        <v>5</v>
      </c>
      <c r="AK637">
        <v>16</v>
      </c>
      <c r="AL637" t="s">
        <v>1385</v>
      </c>
      <c r="AT637" t="s">
        <v>1257</v>
      </c>
      <c r="AU637">
        <v>0</v>
      </c>
      <c r="AV637" t="s">
        <v>1386</v>
      </c>
    </row>
    <row r="638" spans="1:48" x14ac:dyDescent="0.3">
      <c r="A638" t="s">
        <v>667</v>
      </c>
      <c r="C638" t="s">
        <v>1275</v>
      </c>
      <c r="D638" t="s">
        <v>81</v>
      </c>
      <c r="E638">
        <v>10000000</v>
      </c>
      <c r="H638">
        <v>14.25</v>
      </c>
      <c r="I638" t="s">
        <v>56</v>
      </c>
      <c r="J638">
        <v>1.4250000000000001E-3</v>
      </c>
      <c r="K638" t="s">
        <v>57</v>
      </c>
      <c r="L638" t="s">
        <v>112</v>
      </c>
      <c r="O638">
        <v>1</v>
      </c>
      <c r="P638" t="s">
        <v>1383</v>
      </c>
      <c r="S638">
        <v>0.39</v>
      </c>
      <c r="T638">
        <v>20.37</v>
      </c>
      <c r="U638" t="s">
        <v>1392</v>
      </c>
      <c r="V638">
        <v>50.98</v>
      </c>
      <c r="W638" t="s">
        <v>1257</v>
      </c>
      <c r="X638" t="s">
        <v>1284</v>
      </c>
      <c r="Y638">
        <v>1440</v>
      </c>
      <c r="AB638">
        <v>0.78</v>
      </c>
      <c r="AC638" t="s">
        <v>85</v>
      </c>
      <c r="AD638" t="s">
        <v>525</v>
      </c>
      <c r="AE638" t="s">
        <v>138</v>
      </c>
      <c r="AI638">
        <v>5</v>
      </c>
      <c r="AK638">
        <v>16</v>
      </c>
      <c r="AL638" t="s">
        <v>1385</v>
      </c>
      <c r="AT638" t="s">
        <v>1257</v>
      </c>
      <c r="AU638">
        <v>0</v>
      </c>
      <c r="AV638" t="s">
        <v>1386</v>
      </c>
    </row>
    <row r="639" spans="1:48" x14ac:dyDescent="0.3">
      <c r="A639" t="s">
        <v>667</v>
      </c>
      <c r="C639" t="s">
        <v>1275</v>
      </c>
      <c r="D639" t="s">
        <v>81</v>
      </c>
      <c r="E639">
        <v>10000000</v>
      </c>
      <c r="H639">
        <v>14.25</v>
      </c>
      <c r="I639" t="s">
        <v>56</v>
      </c>
      <c r="J639">
        <v>1.4250000000000001E-3</v>
      </c>
      <c r="K639" t="s">
        <v>57</v>
      </c>
      <c r="L639" t="s">
        <v>112</v>
      </c>
      <c r="O639">
        <v>1</v>
      </c>
      <c r="P639" t="s">
        <v>1383</v>
      </c>
      <c r="T639">
        <v>25</v>
      </c>
      <c r="V639">
        <v>50</v>
      </c>
      <c r="W639" t="s">
        <v>1257</v>
      </c>
      <c r="X639" t="s">
        <v>1284</v>
      </c>
      <c r="Y639">
        <v>1440</v>
      </c>
      <c r="AB639">
        <v>0.74</v>
      </c>
      <c r="AC639" t="s">
        <v>85</v>
      </c>
      <c r="AD639" t="s">
        <v>645</v>
      </c>
      <c r="AE639" t="s">
        <v>138</v>
      </c>
      <c r="AI639">
        <v>5</v>
      </c>
      <c r="AK639">
        <v>8</v>
      </c>
      <c r="AL639" t="s">
        <v>1385</v>
      </c>
      <c r="AT639" t="s">
        <v>1257</v>
      </c>
      <c r="AU639">
        <v>0</v>
      </c>
      <c r="AV639" t="s">
        <v>1386</v>
      </c>
    </row>
    <row r="640" spans="1:48" x14ac:dyDescent="0.3">
      <c r="A640" t="s">
        <v>667</v>
      </c>
      <c r="C640" t="s">
        <v>1275</v>
      </c>
      <c r="D640" t="s">
        <v>81</v>
      </c>
      <c r="E640">
        <v>10000000</v>
      </c>
      <c r="H640">
        <v>14.25</v>
      </c>
      <c r="I640" t="s">
        <v>56</v>
      </c>
      <c r="J640">
        <v>1.4250000000000001E-3</v>
      </c>
      <c r="K640" t="s">
        <v>57</v>
      </c>
      <c r="L640" t="s">
        <v>112</v>
      </c>
      <c r="O640">
        <v>0.5</v>
      </c>
      <c r="P640" t="s">
        <v>1383</v>
      </c>
      <c r="S640">
        <v>0.38</v>
      </c>
      <c r="T640">
        <v>20.29</v>
      </c>
      <c r="U640" t="s">
        <v>1393</v>
      </c>
      <c r="V640">
        <v>44.34</v>
      </c>
      <c r="W640" t="s">
        <v>1257</v>
      </c>
      <c r="X640" t="s">
        <v>1284</v>
      </c>
      <c r="Y640">
        <v>4320</v>
      </c>
      <c r="AB640">
        <v>2.11</v>
      </c>
      <c r="AC640" t="s">
        <v>85</v>
      </c>
      <c r="AD640" t="s">
        <v>590</v>
      </c>
      <c r="AE640" t="s">
        <v>138</v>
      </c>
      <c r="AI640">
        <v>5</v>
      </c>
      <c r="AK640">
        <v>16</v>
      </c>
      <c r="AL640" t="s">
        <v>1385</v>
      </c>
      <c r="AT640" t="s">
        <v>1257</v>
      </c>
      <c r="AU640">
        <v>0</v>
      </c>
      <c r="AV640" t="s">
        <v>1386</v>
      </c>
    </row>
    <row r="641" spans="1:53" x14ac:dyDescent="0.3">
      <c r="A641" t="s">
        <v>667</v>
      </c>
      <c r="C641" t="s">
        <v>1275</v>
      </c>
      <c r="D641" t="s">
        <v>81</v>
      </c>
      <c r="E641">
        <v>10000000</v>
      </c>
      <c r="H641">
        <v>14.25</v>
      </c>
      <c r="I641" t="s">
        <v>56</v>
      </c>
      <c r="J641">
        <v>1.4250000000000001E-3</v>
      </c>
      <c r="K641" t="s">
        <v>57</v>
      </c>
      <c r="L641" t="s">
        <v>112</v>
      </c>
      <c r="O641">
        <v>0.5</v>
      </c>
      <c r="P641" t="s">
        <v>1383</v>
      </c>
      <c r="S641">
        <v>0.32</v>
      </c>
      <c r="T641">
        <v>20.309999999999899</v>
      </c>
      <c r="U641" t="s">
        <v>1304</v>
      </c>
      <c r="V641">
        <v>40.840000000000003</v>
      </c>
      <c r="W641" t="s">
        <v>1257</v>
      </c>
      <c r="X641" t="s">
        <v>1284</v>
      </c>
      <c r="Y641">
        <v>10080</v>
      </c>
      <c r="AB641">
        <v>5.51</v>
      </c>
      <c r="AC641" t="s">
        <v>85</v>
      </c>
      <c r="AD641" t="s">
        <v>649</v>
      </c>
      <c r="AE641" t="s">
        <v>138</v>
      </c>
      <c r="AI641">
        <v>5</v>
      </c>
      <c r="AK641">
        <v>12</v>
      </c>
      <c r="AL641" t="s">
        <v>1385</v>
      </c>
      <c r="AT641" t="s">
        <v>1257</v>
      </c>
      <c r="AU641">
        <v>0</v>
      </c>
      <c r="AV641" t="s">
        <v>1386</v>
      </c>
    </row>
    <row r="642" spans="1:53" x14ac:dyDescent="0.3">
      <c r="A642" t="s">
        <v>667</v>
      </c>
      <c r="C642" t="s">
        <v>1275</v>
      </c>
      <c r="D642" t="s">
        <v>81</v>
      </c>
      <c r="E642">
        <v>10000000</v>
      </c>
      <c r="H642">
        <v>14.25</v>
      </c>
      <c r="I642" t="s">
        <v>56</v>
      </c>
      <c r="J642">
        <v>1.4250000000000001E-3</v>
      </c>
      <c r="K642" t="s">
        <v>57</v>
      </c>
      <c r="L642" t="s">
        <v>112</v>
      </c>
      <c r="O642">
        <v>0.5</v>
      </c>
      <c r="P642" t="s">
        <v>1383</v>
      </c>
      <c r="S642">
        <v>0.24</v>
      </c>
      <c r="T642">
        <v>18.63</v>
      </c>
      <c r="U642" t="s">
        <v>1387</v>
      </c>
      <c r="V642">
        <v>63.57</v>
      </c>
      <c r="W642" t="s">
        <v>1257</v>
      </c>
      <c r="X642" t="s">
        <v>1284</v>
      </c>
      <c r="Y642">
        <v>10080</v>
      </c>
      <c r="AB642">
        <v>4.88</v>
      </c>
      <c r="AC642" t="s">
        <v>85</v>
      </c>
      <c r="AD642" t="s">
        <v>665</v>
      </c>
      <c r="AE642" t="s">
        <v>138</v>
      </c>
      <c r="AI642">
        <v>5</v>
      </c>
      <c r="AK642">
        <v>16</v>
      </c>
      <c r="AL642" t="s">
        <v>1385</v>
      </c>
      <c r="AT642" t="s">
        <v>1257</v>
      </c>
      <c r="AU642">
        <v>0</v>
      </c>
      <c r="AV642" t="s">
        <v>1386</v>
      </c>
    </row>
    <row r="643" spans="1:53" x14ac:dyDescent="0.3">
      <c r="A643" t="s">
        <v>667</v>
      </c>
      <c r="C643" t="s">
        <v>1275</v>
      </c>
      <c r="D643" t="s">
        <v>81</v>
      </c>
      <c r="E643">
        <v>10000000</v>
      </c>
      <c r="H643">
        <v>14.25</v>
      </c>
      <c r="I643" t="s">
        <v>56</v>
      </c>
      <c r="J643">
        <v>1.4250000000000001E-3</v>
      </c>
      <c r="K643" t="s">
        <v>57</v>
      </c>
      <c r="L643" t="s">
        <v>112</v>
      </c>
      <c r="O643">
        <v>1</v>
      </c>
      <c r="P643" t="s">
        <v>1383</v>
      </c>
      <c r="S643">
        <v>0.45</v>
      </c>
      <c r="T643">
        <v>18.95</v>
      </c>
      <c r="U643" t="s">
        <v>1126</v>
      </c>
      <c r="V643">
        <v>63.6</v>
      </c>
      <c r="W643" t="s">
        <v>1236</v>
      </c>
      <c r="X643" t="s">
        <v>1284</v>
      </c>
      <c r="Y643">
        <v>10080</v>
      </c>
      <c r="AB643">
        <v>5.1100000000000003</v>
      </c>
      <c r="AC643" t="s">
        <v>85</v>
      </c>
      <c r="AD643" t="s">
        <v>557</v>
      </c>
      <c r="AE643" t="s">
        <v>138</v>
      </c>
      <c r="AI643">
        <v>5</v>
      </c>
      <c r="AK643">
        <v>16</v>
      </c>
      <c r="AL643" t="s">
        <v>1385</v>
      </c>
      <c r="AT643" t="s">
        <v>1236</v>
      </c>
      <c r="AU643">
        <v>0</v>
      </c>
      <c r="AV643" t="s">
        <v>1386</v>
      </c>
    </row>
    <row r="644" spans="1:53" x14ac:dyDescent="0.3">
      <c r="A644" t="s">
        <v>667</v>
      </c>
      <c r="C644" t="s">
        <v>1275</v>
      </c>
      <c r="D644" t="s">
        <v>81</v>
      </c>
      <c r="E644">
        <v>10000000</v>
      </c>
      <c r="H644">
        <v>14.25</v>
      </c>
      <c r="I644" t="s">
        <v>56</v>
      </c>
      <c r="J644">
        <v>1.4250000000000001E-3</v>
      </c>
      <c r="K644" t="s">
        <v>57</v>
      </c>
      <c r="L644" t="s">
        <v>112</v>
      </c>
      <c r="O644">
        <v>1</v>
      </c>
      <c r="P644" t="s">
        <v>1383</v>
      </c>
      <c r="S644">
        <v>0.3</v>
      </c>
      <c r="T644">
        <v>19.28</v>
      </c>
      <c r="U644" t="s">
        <v>1390</v>
      </c>
      <c r="V644">
        <v>60.79</v>
      </c>
      <c r="W644" t="s">
        <v>1236</v>
      </c>
      <c r="X644" t="s">
        <v>1284</v>
      </c>
      <c r="Y644">
        <v>4320</v>
      </c>
      <c r="AB644">
        <v>4.53</v>
      </c>
      <c r="AC644" t="s">
        <v>85</v>
      </c>
      <c r="AD644" t="s">
        <v>1397</v>
      </c>
      <c r="AE644" t="s">
        <v>138</v>
      </c>
      <c r="AI644">
        <v>5</v>
      </c>
      <c r="AK644">
        <v>16</v>
      </c>
      <c r="AL644" t="s">
        <v>1385</v>
      </c>
      <c r="AT644" t="s">
        <v>1236</v>
      </c>
      <c r="AU644">
        <v>0</v>
      </c>
      <c r="AV644" t="s">
        <v>1386</v>
      </c>
    </row>
    <row r="645" spans="1:53" x14ac:dyDescent="0.3">
      <c r="A645" t="s">
        <v>667</v>
      </c>
      <c r="C645" t="s">
        <v>1275</v>
      </c>
      <c r="D645" t="s">
        <v>81</v>
      </c>
      <c r="E645">
        <v>10000000</v>
      </c>
      <c r="H645">
        <v>14.25</v>
      </c>
      <c r="I645" t="s">
        <v>56</v>
      </c>
      <c r="J645">
        <v>1.4250000000000001E-3</v>
      </c>
      <c r="K645" t="s">
        <v>57</v>
      </c>
      <c r="L645" t="s">
        <v>112</v>
      </c>
      <c r="O645">
        <v>1</v>
      </c>
      <c r="P645" t="s">
        <v>1383</v>
      </c>
      <c r="S645">
        <v>0.31</v>
      </c>
      <c r="T645">
        <v>19.91</v>
      </c>
      <c r="U645" t="s">
        <v>992</v>
      </c>
      <c r="V645">
        <v>54.72</v>
      </c>
      <c r="W645" t="s">
        <v>1236</v>
      </c>
      <c r="X645" t="s">
        <v>1284</v>
      </c>
      <c r="Y645">
        <v>4320</v>
      </c>
      <c r="AB645">
        <v>3.48</v>
      </c>
      <c r="AC645" t="s">
        <v>85</v>
      </c>
      <c r="AD645" t="s">
        <v>440</v>
      </c>
      <c r="AE645" t="s">
        <v>138</v>
      </c>
      <c r="AI645">
        <v>5</v>
      </c>
      <c r="AK645">
        <v>8</v>
      </c>
      <c r="AL645" t="s">
        <v>1385</v>
      </c>
      <c r="AT645" t="s">
        <v>1236</v>
      </c>
      <c r="AU645">
        <v>0</v>
      </c>
      <c r="AV645" t="s">
        <v>1386</v>
      </c>
    </row>
    <row r="646" spans="1:53" x14ac:dyDescent="0.3">
      <c r="A646" t="s">
        <v>667</v>
      </c>
      <c r="C646" t="s">
        <v>1275</v>
      </c>
      <c r="D646" t="s">
        <v>81</v>
      </c>
      <c r="E646">
        <v>10000000</v>
      </c>
      <c r="H646">
        <v>14.25</v>
      </c>
      <c r="I646" t="s">
        <v>56</v>
      </c>
      <c r="J646">
        <v>1.4250000000000001E-3</v>
      </c>
      <c r="K646" t="s">
        <v>57</v>
      </c>
      <c r="L646" t="s">
        <v>112</v>
      </c>
      <c r="O646">
        <v>1</v>
      </c>
      <c r="P646" t="s">
        <v>1383</v>
      </c>
      <c r="S646">
        <v>0.26</v>
      </c>
      <c r="T646">
        <v>20.190000000000001</v>
      </c>
      <c r="U646" t="s">
        <v>356</v>
      </c>
      <c r="V646">
        <v>55.83</v>
      </c>
      <c r="W646" t="s">
        <v>1236</v>
      </c>
      <c r="X646" t="s">
        <v>1284</v>
      </c>
      <c r="Y646">
        <v>4320</v>
      </c>
      <c r="AB646">
        <v>3.36</v>
      </c>
      <c r="AC646" t="s">
        <v>85</v>
      </c>
      <c r="AD646" t="s">
        <v>604</v>
      </c>
      <c r="AE646" t="s">
        <v>138</v>
      </c>
      <c r="AI646">
        <v>5</v>
      </c>
      <c r="AK646">
        <v>12</v>
      </c>
      <c r="AL646" t="s">
        <v>1385</v>
      </c>
      <c r="AT646" t="s">
        <v>1236</v>
      </c>
      <c r="AU646">
        <v>0</v>
      </c>
      <c r="AV646" t="s">
        <v>1386</v>
      </c>
    </row>
    <row r="647" spans="1:53" x14ac:dyDescent="0.3">
      <c r="A647" t="s">
        <v>667</v>
      </c>
      <c r="C647" t="s">
        <v>1275</v>
      </c>
      <c r="D647" t="s">
        <v>81</v>
      </c>
      <c r="E647">
        <v>10000000</v>
      </c>
      <c r="H647">
        <v>14.25</v>
      </c>
      <c r="I647" t="s">
        <v>56</v>
      </c>
      <c r="J647">
        <v>1.4250000000000001E-3</v>
      </c>
      <c r="K647" t="s">
        <v>57</v>
      </c>
      <c r="L647" t="s">
        <v>112</v>
      </c>
      <c r="O647">
        <v>1</v>
      </c>
      <c r="P647" t="s">
        <v>1383</v>
      </c>
      <c r="S647">
        <v>0.64</v>
      </c>
      <c r="T647">
        <v>19.93</v>
      </c>
      <c r="U647" t="s">
        <v>1391</v>
      </c>
      <c r="V647">
        <v>51.95</v>
      </c>
      <c r="W647" t="s">
        <v>1236</v>
      </c>
      <c r="X647" t="s">
        <v>1284</v>
      </c>
      <c r="Y647">
        <v>1440</v>
      </c>
      <c r="AB647">
        <v>6.75</v>
      </c>
      <c r="AC647" t="s">
        <v>85</v>
      </c>
      <c r="AD647" t="s">
        <v>504</v>
      </c>
      <c r="AE647" t="s">
        <v>138</v>
      </c>
      <c r="AI647">
        <v>5</v>
      </c>
      <c r="AK647">
        <v>16</v>
      </c>
      <c r="AL647" t="s">
        <v>1385</v>
      </c>
      <c r="AT647" t="s">
        <v>1236</v>
      </c>
      <c r="AU647">
        <v>0</v>
      </c>
      <c r="AV647" t="s">
        <v>1386</v>
      </c>
    </row>
    <row r="648" spans="1:53" x14ac:dyDescent="0.3">
      <c r="A648" t="s">
        <v>667</v>
      </c>
      <c r="C648" t="s">
        <v>1275</v>
      </c>
      <c r="D648" t="s">
        <v>81</v>
      </c>
      <c r="E648">
        <v>10000000</v>
      </c>
      <c r="H648">
        <v>14.25</v>
      </c>
      <c r="I648" t="s">
        <v>56</v>
      </c>
      <c r="J648">
        <v>1.4250000000000001E-3</v>
      </c>
      <c r="K648" t="s">
        <v>57</v>
      </c>
      <c r="L648" t="s">
        <v>112</v>
      </c>
      <c r="O648">
        <v>1</v>
      </c>
      <c r="P648" t="s">
        <v>1383</v>
      </c>
      <c r="S648">
        <v>0.39</v>
      </c>
      <c r="T648">
        <v>20.37</v>
      </c>
      <c r="U648" t="s">
        <v>1392</v>
      </c>
      <c r="V648">
        <v>50.98</v>
      </c>
      <c r="W648" t="s">
        <v>1236</v>
      </c>
      <c r="X648" t="s">
        <v>1284</v>
      </c>
      <c r="Y648">
        <v>1440</v>
      </c>
      <c r="AB648">
        <v>5.47</v>
      </c>
      <c r="AC648" t="s">
        <v>85</v>
      </c>
      <c r="AD648" t="s">
        <v>439</v>
      </c>
      <c r="AE648" t="s">
        <v>138</v>
      </c>
      <c r="AI648">
        <v>5</v>
      </c>
      <c r="AK648">
        <v>16</v>
      </c>
      <c r="AL648" t="s">
        <v>1385</v>
      </c>
      <c r="AT648" t="s">
        <v>1236</v>
      </c>
      <c r="AU648">
        <v>0</v>
      </c>
      <c r="AV648" t="s">
        <v>1386</v>
      </c>
    </row>
    <row r="649" spans="1:53" x14ac:dyDescent="0.3">
      <c r="A649" t="s">
        <v>667</v>
      </c>
      <c r="C649" t="s">
        <v>1275</v>
      </c>
      <c r="D649" t="s">
        <v>81</v>
      </c>
      <c r="E649">
        <v>10000000</v>
      </c>
      <c r="H649">
        <v>14.25</v>
      </c>
      <c r="I649" t="s">
        <v>56</v>
      </c>
      <c r="J649">
        <v>1.4250000000000001E-3</v>
      </c>
      <c r="K649" t="s">
        <v>57</v>
      </c>
      <c r="L649" t="s">
        <v>112</v>
      </c>
      <c r="O649">
        <v>1</v>
      </c>
      <c r="P649" t="s">
        <v>1383</v>
      </c>
      <c r="T649">
        <v>25</v>
      </c>
      <c r="V649">
        <v>50</v>
      </c>
      <c r="W649" t="s">
        <v>1236</v>
      </c>
      <c r="X649" t="s">
        <v>1284</v>
      </c>
      <c r="Y649">
        <v>1440</v>
      </c>
      <c r="AB649">
        <v>4.3499999999999899</v>
      </c>
      <c r="AC649" t="s">
        <v>85</v>
      </c>
      <c r="AD649" t="s">
        <v>659</v>
      </c>
      <c r="AE649" t="s">
        <v>138</v>
      </c>
      <c r="AI649">
        <v>5</v>
      </c>
      <c r="AK649">
        <v>8</v>
      </c>
      <c r="AL649" t="s">
        <v>1385</v>
      </c>
      <c r="AT649" t="s">
        <v>1236</v>
      </c>
      <c r="AU649">
        <v>0</v>
      </c>
      <c r="AV649" t="s">
        <v>1386</v>
      </c>
    </row>
    <row r="650" spans="1:53" x14ac:dyDescent="0.3">
      <c r="A650" t="s">
        <v>667</v>
      </c>
      <c r="C650" t="s">
        <v>1275</v>
      </c>
      <c r="D650" t="s">
        <v>81</v>
      </c>
      <c r="E650">
        <v>10000000</v>
      </c>
      <c r="H650">
        <v>14.25</v>
      </c>
      <c r="I650" t="s">
        <v>56</v>
      </c>
      <c r="J650">
        <v>1.4250000000000001E-3</v>
      </c>
      <c r="K650" t="s">
        <v>57</v>
      </c>
      <c r="L650" t="s">
        <v>112</v>
      </c>
      <c r="O650">
        <v>0.5</v>
      </c>
      <c r="P650" t="s">
        <v>1383</v>
      </c>
      <c r="S650">
        <v>0.38</v>
      </c>
      <c r="T650">
        <v>20.29</v>
      </c>
      <c r="U650" t="s">
        <v>1393</v>
      </c>
      <c r="V650">
        <v>44.34</v>
      </c>
      <c r="W650" t="s">
        <v>1236</v>
      </c>
      <c r="X650" t="s">
        <v>1284</v>
      </c>
      <c r="Y650">
        <v>4320</v>
      </c>
      <c r="AB650">
        <v>4.28</v>
      </c>
      <c r="AC650" t="s">
        <v>85</v>
      </c>
      <c r="AD650" t="s">
        <v>102</v>
      </c>
      <c r="AE650" t="s">
        <v>138</v>
      </c>
      <c r="AI650">
        <v>5</v>
      </c>
      <c r="AK650">
        <v>16</v>
      </c>
      <c r="AL650" t="s">
        <v>1385</v>
      </c>
      <c r="AT650" t="s">
        <v>1236</v>
      </c>
      <c r="AU650">
        <v>0</v>
      </c>
      <c r="AV650" t="s">
        <v>1386</v>
      </c>
    </row>
    <row r="651" spans="1:53" x14ac:dyDescent="0.3">
      <c r="A651" t="s">
        <v>667</v>
      </c>
      <c r="C651" t="s">
        <v>1275</v>
      </c>
      <c r="D651" t="s">
        <v>81</v>
      </c>
      <c r="E651">
        <v>10000000</v>
      </c>
      <c r="H651">
        <v>14.25</v>
      </c>
      <c r="I651" t="s">
        <v>56</v>
      </c>
      <c r="J651">
        <v>1.4250000000000001E-3</v>
      </c>
      <c r="K651" t="s">
        <v>57</v>
      </c>
      <c r="L651" t="s">
        <v>112</v>
      </c>
      <c r="O651">
        <v>0.5</v>
      </c>
      <c r="P651" t="s">
        <v>1383</v>
      </c>
      <c r="S651">
        <v>0.32</v>
      </c>
      <c r="T651">
        <v>20.309999999999899</v>
      </c>
      <c r="U651" t="s">
        <v>1304</v>
      </c>
      <c r="V651">
        <v>40.840000000000003</v>
      </c>
      <c r="W651" t="s">
        <v>1236</v>
      </c>
      <c r="X651" t="s">
        <v>1284</v>
      </c>
      <c r="Y651">
        <v>10080</v>
      </c>
      <c r="AB651">
        <v>4.92</v>
      </c>
      <c r="AC651" t="s">
        <v>85</v>
      </c>
      <c r="AD651" t="s">
        <v>556</v>
      </c>
      <c r="AE651" t="s">
        <v>138</v>
      </c>
      <c r="AI651">
        <v>5</v>
      </c>
      <c r="AK651">
        <v>12</v>
      </c>
      <c r="AL651" t="s">
        <v>1385</v>
      </c>
      <c r="AT651" t="s">
        <v>1236</v>
      </c>
      <c r="AU651">
        <v>0</v>
      </c>
      <c r="AV651" t="s">
        <v>1386</v>
      </c>
    </row>
    <row r="652" spans="1:53" x14ac:dyDescent="0.3">
      <c r="A652" t="s">
        <v>667</v>
      </c>
      <c r="C652" t="s">
        <v>1275</v>
      </c>
      <c r="D652" t="s">
        <v>81</v>
      </c>
      <c r="E652">
        <v>10000000</v>
      </c>
      <c r="H652">
        <v>14.25</v>
      </c>
      <c r="I652" t="s">
        <v>56</v>
      </c>
      <c r="J652">
        <v>1.4250000000000001E-3</v>
      </c>
      <c r="K652" t="s">
        <v>57</v>
      </c>
      <c r="L652" t="s">
        <v>112</v>
      </c>
      <c r="O652">
        <v>0.5</v>
      </c>
      <c r="P652" t="s">
        <v>1383</v>
      </c>
      <c r="S652">
        <v>0.24</v>
      </c>
      <c r="T652">
        <v>18.63</v>
      </c>
      <c r="U652" t="s">
        <v>1387</v>
      </c>
      <c r="V652">
        <v>63.57</v>
      </c>
      <c r="W652" t="s">
        <v>1236</v>
      </c>
      <c r="X652" t="s">
        <v>1284</v>
      </c>
      <c r="Y652">
        <v>10080</v>
      </c>
      <c r="AA652" t="s">
        <v>94</v>
      </c>
      <c r="AB652">
        <v>6.64</v>
      </c>
      <c r="AC652" t="s">
        <v>85</v>
      </c>
      <c r="AD652" t="s">
        <v>231</v>
      </c>
      <c r="AE652" t="s">
        <v>138</v>
      </c>
      <c r="AI652">
        <v>5</v>
      </c>
      <c r="AK652">
        <v>16</v>
      </c>
      <c r="AL652" t="s">
        <v>1385</v>
      </c>
      <c r="AT652" t="s">
        <v>1236</v>
      </c>
      <c r="AU652">
        <v>0</v>
      </c>
      <c r="AV652" t="s">
        <v>1386</v>
      </c>
      <c r="AZ652">
        <v>0</v>
      </c>
      <c r="BA652">
        <v>6.64</v>
      </c>
    </row>
    <row r="653" spans="1:53" x14ac:dyDescent="0.3">
      <c r="A653" t="s">
        <v>667</v>
      </c>
      <c r="C653" t="s">
        <v>1275</v>
      </c>
      <c r="D653" t="s">
        <v>81</v>
      </c>
      <c r="E653">
        <v>10000000</v>
      </c>
      <c r="H653">
        <v>14.25</v>
      </c>
      <c r="I653" t="s">
        <v>56</v>
      </c>
      <c r="J653">
        <v>1.4250000000000001E-3</v>
      </c>
      <c r="K653" t="s">
        <v>57</v>
      </c>
      <c r="L653" t="s">
        <v>112</v>
      </c>
      <c r="O653">
        <v>1</v>
      </c>
      <c r="P653" t="s">
        <v>1383</v>
      </c>
      <c r="S653">
        <v>0.45</v>
      </c>
      <c r="T653">
        <v>18.95</v>
      </c>
      <c r="U653" t="s">
        <v>1126</v>
      </c>
      <c r="V653">
        <v>63.6</v>
      </c>
      <c r="W653" t="s">
        <v>1236</v>
      </c>
      <c r="X653" t="s">
        <v>1284</v>
      </c>
      <c r="Y653">
        <v>10080</v>
      </c>
      <c r="AA653" t="s">
        <v>94</v>
      </c>
      <c r="AB653">
        <v>5.87</v>
      </c>
      <c r="AC653" t="s">
        <v>85</v>
      </c>
      <c r="AD653" t="s">
        <v>553</v>
      </c>
      <c r="AE653" t="s">
        <v>138</v>
      </c>
      <c r="AI653">
        <v>5</v>
      </c>
      <c r="AK653">
        <v>16</v>
      </c>
      <c r="AL653" t="s">
        <v>1385</v>
      </c>
      <c r="AT653" t="s">
        <v>1236</v>
      </c>
      <c r="AU653">
        <v>0</v>
      </c>
      <c r="AV653" t="s">
        <v>1386</v>
      </c>
      <c r="AZ653">
        <v>0</v>
      </c>
      <c r="BA653">
        <v>5.87</v>
      </c>
    </row>
    <row r="654" spans="1:53" x14ac:dyDescent="0.3">
      <c r="A654" t="s">
        <v>667</v>
      </c>
      <c r="C654" t="s">
        <v>1275</v>
      </c>
      <c r="D654" t="s">
        <v>81</v>
      </c>
      <c r="E654">
        <v>10000000</v>
      </c>
      <c r="H654">
        <v>14.25</v>
      </c>
      <c r="I654" t="s">
        <v>56</v>
      </c>
      <c r="J654">
        <v>1.4250000000000001E-3</v>
      </c>
      <c r="K654" t="s">
        <v>57</v>
      </c>
      <c r="L654" t="s">
        <v>112</v>
      </c>
      <c r="O654">
        <v>1</v>
      </c>
      <c r="P654" t="s">
        <v>1383</v>
      </c>
      <c r="S654">
        <v>0.45</v>
      </c>
      <c r="T654">
        <v>18.95</v>
      </c>
      <c r="U654" t="s">
        <v>1126</v>
      </c>
      <c r="V654">
        <v>63.6</v>
      </c>
      <c r="W654" t="s">
        <v>1236</v>
      </c>
      <c r="X654" t="s">
        <v>1284</v>
      </c>
      <c r="Y654">
        <v>10080</v>
      </c>
      <c r="AA654" t="s">
        <v>94</v>
      </c>
      <c r="AB654">
        <v>1.1000000000000001</v>
      </c>
      <c r="AC654" t="s">
        <v>85</v>
      </c>
      <c r="AD654" t="s">
        <v>1398</v>
      </c>
      <c r="AE654" t="s">
        <v>138</v>
      </c>
      <c r="AI654">
        <v>5</v>
      </c>
      <c r="AK654">
        <v>16</v>
      </c>
      <c r="AL654" t="s">
        <v>1385</v>
      </c>
      <c r="AT654" t="s">
        <v>1236</v>
      </c>
      <c r="AU654">
        <v>0</v>
      </c>
      <c r="AV654" t="s">
        <v>1386</v>
      </c>
      <c r="AZ654">
        <v>0</v>
      </c>
      <c r="BA654">
        <v>1.1000000000000001</v>
      </c>
    </row>
    <row r="655" spans="1:53" x14ac:dyDescent="0.3">
      <c r="A655" t="s">
        <v>667</v>
      </c>
      <c r="C655" t="s">
        <v>1275</v>
      </c>
      <c r="D655" t="s">
        <v>81</v>
      </c>
      <c r="E655">
        <v>10000000</v>
      </c>
      <c r="H655">
        <v>14.25</v>
      </c>
      <c r="I655" t="s">
        <v>56</v>
      </c>
      <c r="J655">
        <v>1.4250000000000001E-3</v>
      </c>
      <c r="K655" t="s">
        <v>57</v>
      </c>
      <c r="L655" t="s">
        <v>112</v>
      </c>
      <c r="O655">
        <v>1</v>
      </c>
      <c r="P655" t="s">
        <v>1383</v>
      </c>
      <c r="S655">
        <v>0.45</v>
      </c>
      <c r="T655">
        <v>18.95</v>
      </c>
      <c r="U655" t="s">
        <v>1126</v>
      </c>
      <c r="V655">
        <v>63.6</v>
      </c>
      <c r="W655" t="s">
        <v>1236</v>
      </c>
      <c r="X655" t="s">
        <v>1284</v>
      </c>
      <c r="Y655">
        <v>10080</v>
      </c>
      <c r="AB655">
        <v>6.76</v>
      </c>
      <c r="AC655" t="s">
        <v>85</v>
      </c>
      <c r="AD655" t="s">
        <v>480</v>
      </c>
      <c r="AE655" t="s">
        <v>138</v>
      </c>
      <c r="AI655">
        <v>5</v>
      </c>
      <c r="AK655">
        <v>16</v>
      </c>
      <c r="AL655" t="s">
        <v>1385</v>
      </c>
      <c r="AT655" t="s">
        <v>1236</v>
      </c>
      <c r="AU655">
        <v>0</v>
      </c>
      <c r="AV655" t="s">
        <v>1386</v>
      </c>
    </row>
    <row r="656" spans="1:53" x14ac:dyDescent="0.3">
      <c r="A656" t="s">
        <v>667</v>
      </c>
      <c r="C656" t="s">
        <v>1275</v>
      </c>
      <c r="D656" t="s">
        <v>81</v>
      </c>
      <c r="E656">
        <v>10000000</v>
      </c>
      <c r="H656">
        <v>14.25</v>
      </c>
      <c r="I656" t="s">
        <v>56</v>
      </c>
      <c r="J656">
        <v>1.4250000000000001E-3</v>
      </c>
      <c r="K656" t="s">
        <v>57</v>
      </c>
      <c r="L656" t="s">
        <v>112</v>
      </c>
      <c r="O656">
        <v>1</v>
      </c>
      <c r="P656" t="s">
        <v>1383</v>
      </c>
      <c r="S656">
        <v>0.3</v>
      </c>
      <c r="T656">
        <v>19.28</v>
      </c>
      <c r="U656" t="s">
        <v>1390</v>
      </c>
      <c r="V656">
        <v>60.79</v>
      </c>
      <c r="W656" t="s">
        <v>1236</v>
      </c>
      <c r="X656" t="s">
        <v>1284</v>
      </c>
      <c r="Y656">
        <v>4320</v>
      </c>
      <c r="AA656" t="s">
        <v>94</v>
      </c>
      <c r="AB656">
        <v>6.94</v>
      </c>
      <c r="AC656" t="s">
        <v>85</v>
      </c>
      <c r="AD656" t="s">
        <v>511</v>
      </c>
      <c r="AE656" t="s">
        <v>138</v>
      </c>
      <c r="AI656">
        <v>5</v>
      </c>
      <c r="AK656">
        <v>16</v>
      </c>
      <c r="AL656" t="s">
        <v>1385</v>
      </c>
      <c r="AT656" t="s">
        <v>1236</v>
      </c>
      <c r="AU656">
        <v>0</v>
      </c>
      <c r="AV656" t="s">
        <v>1386</v>
      </c>
      <c r="AZ656">
        <v>0</v>
      </c>
      <c r="BA656">
        <v>6.94</v>
      </c>
    </row>
    <row r="657" spans="1:53" x14ac:dyDescent="0.3">
      <c r="A657" t="s">
        <v>667</v>
      </c>
      <c r="C657" t="s">
        <v>1275</v>
      </c>
      <c r="D657" t="s">
        <v>81</v>
      </c>
      <c r="E657">
        <v>10000000</v>
      </c>
      <c r="H657">
        <v>14.25</v>
      </c>
      <c r="I657" t="s">
        <v>56</v>
      </c>
      <c r="J657">
        <v>1.4250000000000001E-3</v>
      </c>
      <c r="K657" t="s">
        <v>57</v>
      </c>
      <c r="L657" t="s">
        <v>112</v>
      </c>
      <c r="O657">
        <v>1</v>
      </c>
      <c r="P657" t="s">
        <v>1383</v>
      </c>
      <c r="S657">
        <v>0.31</v>
      </c>
      <c r="T657">
        <v>19.91</v>
      </c>
      <c r="U657" t="s">
        <v>992</v>
      </c>
      <c r="V657">
        <v>54.72</v>
      </c>
      <c r="W657" t="s">
        <v>1236</v>
      </c>
      <c r="X657" t="s">
        <v>1284</v>
      </c>
      <c r="Y657">
        <v>4320</v>
      </c>
      <c r="AB657">
        <v>6.4</v>
      </c>
      <c r="AC657" t="s">
        <v>85</v>
      </c>
      <c r="AD657" t="s">
        <v>480</v>
      </c>
      <c r="AE657" t="s">
        <v>138</v>
      </c>
      <c r="AI657">
        <v>5</v>
      </c>
      <c r="AK657">
        <v>8</v>
      </c>
      <c r="AL657" t="s">
        <v>1385</v>
      </c>
      <c r="AT657" t="s">
        <v>1236</v>
      </c>
      <c r="AU657">
        <v>0</v>
      </c>
      <c r="AV657" t="s">
        <v>1386</v>
      </c>
    </row>
    <row r="658" spans="1:53" x14ac:dyDescent="0.3">
      <c r="A658" t="s">
        <v>667</v>
      </c>
      <c r="C658" t="s">
        <v>1275</v>
      </c>
      <c r="D658" t="s">
        <v>81</v>
      </c>
      <c r="E658">
        <v>10000000</v>
      </c>
      <c r="H658">
        <v>14.25</v>
      </c>
      <c r="I658" t="s">
        <v>56</v>
      </c>
      <c r="J658">
        <v>1.4250000000000001E-3</v>
      </c>
      <c r="K658" t="s">
        <v>57</v>
      </c>
      <c r="L658" t="s">
        <v>112</v>
      </c>
      <c r="O658">
        <v>1</v>
      </c>
      <c r="P658" t="s">
        <v>1383</v>
      </c>
      <c r="S658">
        <v>0.26</v>
      </c>
      <c r="T658">
        <v>20.190000000000001</v>
      </c>
      <c r="U658" t="s">
        <v>356</v>
      </c>
      <c r="V658">
        <v>55.83</v>
      </c>
      <c r="W658" t="s">
        <v>1236</v>
      </c>
      <c r="X658" t="s">
        <v>1284</v>
      </c>
      <c r="Y658">
        <v>4320</v>
      </c>
      <c r="AA658" t="s">
        <v>94</v>
      </c>
      <c r="AB658">
        <v>6.13</v>
      </c>
      <c r="AC658" t="s">
        <v>85</v>
      </c>
      <c r="AD658" t="s">
        <v>436</v>
      </c>
      <c r="AE658" t="s">
        <v>138</v>
      </c>
      <c r="AI658">
        <v>5</v>
      </c>
      <c r="AK658">
        <v>12</v>
      </c>
      <c r="AL658" t="s">
        <v>1385</v>
      </c>
      <c r="AT658" t="s">
        <v>1236</v>
      </c>
      <c r="AU658">
        <v>0</v>
      </c>
      <c r="AV658" t="s">
        <v>1386</v>
      </c>
      <c r="AZ658">
        <v>0</v>
      </c>
      <c r="BA658">
        <v>6.13</v>
      </c>
    </row>
    <row r="659" spans="1:53" x14ac:dyDescent="0.3">
      <c r="A659" t="s">
        <v>667</v>
      </c>
      <c r="C659" t="s">
        <v>1275</v>
      </c>
      <c r="D659" t="s">
        <v>81</v>
      </c>
      <c r="E659">
        <v>10000000</v>
      </c>
      <c r="H659">
        <v>14.25</v>
      </c>
      <c r="I659" t="s">
        <v>56</v>
      </c>
      <c r="J659">
        <v>1.4250000000000001E-3</v>
      </c>
      <c r="K659" t="s">
        <v>57</v>
      </c>
      <c r="L659" t="s">
        <v>112</v>
      </c>
      <c r="O659">
        <v>1</v>
      </c>
      <c r="P659" t="s">
        <v>1383</v>
      </c>
      <c r="S659">
        <v>0.64</v>
      </c>
      <c r="T659">
        <v>19.93</v>
      </c>
      <c r="U659" t="s">
        <v>1391</v>
      </c>
      <c r="V659">
        <v>51.95</v>
      </c>
      <c r="W659" t="s">
        <v>1236</v>
      </c>
      <c r="X659" t="s">
        <v>1284</v>
      </c>
      <c r="Y659">
        <v>1440</v>
      </c>
      <c r="AA659" t="s">
        <v>94</v>
      </c>
      <c r="AB659">
        <v>6.99</v>
      </c>
      <c r="AC659" t="s">
        <v>85</v>
      </c>
      <c r="AD659" t="s">
        <v>365</v>
      </c>
      <c r="AE659" t="s">
        <v>138</v>
      </c>
      <c r="AI659">
        <v>5</v>
      </c>
      <c r="AK659">
        <v>16</v>
      </c>
      <c r="AL659" t="s">
        <v>1385</v>
      </c>
      <c r="AT659" t="s">
        <v>1236</v>
      </c>
      <c r="AU659">
        <v>0</v>
      </c>
      <c r="AV659" t="s">
        <v>1386</v>
      </c>
      <c r="AZ659">
        <v>0</v>
      </c>
      <c r="BA659">
        <v>6.99</v>
      </c>
    </row>
    <row r="660" spans="1:53" x14ac:dyDescent="0.3">
      <c r="A660" t="s">
        <v>667</v>
      </c>
      <c r="C660" t="s">
        <v>1275</v>
      </c>
      <c r="D660" t="s">
        <v>81</v>
      </c>
      <c r="E660">
        <v>10000000</v>
      </c>
      <c r="H660">
        <v>14.25</v>
      </c>
      <c r="I660" t="s">
        <v>56</v>
      </c>
      <c r="J660">
        <v>1.4250000000000001E-3</v>
      </c>
      <c r="K660" t="s">
        <v>57</v>
      </c>
      <c r="L660" t="s">
        <v>112</v>
      </c>
      <c r="O660">
        <v>1</v>
      </c>
      <c r="P660" t="s">
        <v>1383</v>
      </c>
      <c r="S660">
        <v>0.39</v>
      </c>
      <c r="T660">
        <v>20.37</v>
      </c>
      <c r="U660" t="s">
        <v>1392</v>
      </c>
      <c r="V660">
        <v>50.98</v>
      </c>
      <c r="W660" t="s">
        <v>1236</v>
      </c>
      <c r="X660" t="s">
        <v>1284</v>
      </c>
      <c r="Y660">
        <v>1440</v>
      </c>
      <c r="AB660">
        <v>6.83</v>
      </c>
      <c r="AC660" t="s">
        <v>85</v>
      </c>
      <c r="AD660" t="s">
        <v>432</v>
      </c>
      <c r="AE660" t="s">
        <v>138</v>
      </c>
      <c r="AI660">
        <v>5</v>
      </c>
      <c r="AK660">
        <v>16</v>
      </c>
      <c r="AL660" t="s">
        <v>1385</v>
      </c>
      <c r="AT660" t="s">
        <v>1236</v>
      </c>
      <c r="AU660">
        <v>0</v>
      </c>
      <c r="AV660" t="s">
        <v>1386</v>
      </c>
    </row>
    <row r="661" spans="1:53" x14ac:dyDescent="0.3">
      <c r="A661" t="s">
        <v>667</v>
      </c>
      <c r="C661" t="s">
        <v>1275</v>
      </c>
      <c r="D661" t="s">
        <v>81</v>
      </c>
      <c r="E661">
        <v>10000000</v>
      </c>
      <c r="H661">
        <v>14.25</v>
      </c>
      <c r="I661" t="s">
        <v>56</v>
      </c>
      <c r="J661">
        <v>1.4250000000000001E-3</v>
      </c>
      <c r="K661" t="s">
        <v>57</v>
      </c>
      <c r="L661" t="s">
        <v>112</v>
      </c>
      <c r="O661">
        <v>1</v>
      </c>
      <c r="P661" t="s">
        <v>1383</v>
      </c>
      <c r="T661">
        <v>25</v>
      </c>
      <c r="V661">
        <v>50</v>
      </c>
      <c r="W661" t="s">
        <v>1236</v>
      </c>
      <c r="X661" t="s">
        <v>1284</v>
      </c>
      <c r="Y661">
        <v>1440</v>
      </c>
      <c r="AA661" t="s">
        <v>94</v>
      </c>
      <c r="AB661">
        <v>6.83</v>
      </c>
      <c r="AC661" t="s">
        <v>85</v>
      </c>
      <c r="AD661" t="s">
        <v>487</v>
      </c>
      <c r="AE661" t="s">
        <v>138</v>
      </c>
      <c r="AI661">
        <v>5</v>
      </c>
      <c r="AK661">
        <v>8</v>
      </c>
      <c r="AL661" t="s">
        <v>1385</v>
      </c>
      <c r="AT661" t="s">
        <v>1236</v>
      </c>
      <c r="AU661">
        <v>0</v>
      </c>
      <c r="AV661" t="s">
        <v>1386</v>
      </c>
      <c r="AZ661">
        <v>0</v>
      </c>
      <c r="BA661">
        <v>6.83</v>
      </c>
    </row>
    <row r="662" spans="1:53" x14ac:dyDescent="0.3">
      <c r="A662" t="s">
        <v>667</v>
      </c>
      <c r="C662" t="s">
        <v>1275</v>
      </c>
      <c r="D662" t="s">
        <v>81</v>
      </c>
      <c r="E662">
        <v>10000000</v>
      </c>
      <c r="H662">
        <v>14.25</v>
      </c>
      <c r="I662" t="s">
        <v>56</v>
      </c>
      <c r="J662">
        <v>1.4250000000000001E-3</v>
      </c>
      <c r="K662" t="s">
        <v>57</v>
      </c>
      <c r="L662" t="s">
        <v>112</v>
      </c>
      <c r="O662">
        <v>0.5</v>
      </c>
      <c r="P662" t="s">
        <v>1383</v>
      </c>
      <c r="S662">
        <v>0.38</v>
      </c>
      <c r="T662">
        <v>20.29</v>
      </c>
      <c r="U662" t="s">
        <v>1393</v>
      </c>
      <c r="V662">
        <v>44.34</v>
      </c>
      <c r="W662" t="s">
        <v>1236</v>
      </c>
      <c r="X662" t="s">
        <v>1284</v>
      </c>
      <c r="Y662">
        <v>4320</v>
      </c>
      <c r="AB662">
        <v>6.39</v>
      </c>
      <c r="AC662" t="s">
        <v>85</v>
      </c>
      <c r="AD662" t="s">
        <v>940</v>
      </c>
      <c r="AE662" t="s">
        <v>138</v>
      </c>
      <c r="AI662">
        <v>5</v>
      </c>
      <c r="AK662">
        <v>16</v>
      </c>
      <c r="AL662" t="s">
        <v>1385</v>
      </c>
      <c r="AT662" t="s">
        <v>1236</v>
      </c>
      <c r="AU662">
        <v>0</v>
      </c>
      <c r="AV662" t="s">
        <v>1386</v>
      </c>
    </row>
    <row r="663" spans="1:53" x14ac:dyDescent="0.3">
      <c r="A663" t="s">
        <v>1249</v>
      </c>
      <c r="C663" t="s">
        <v>1275</v>
      </c>
      <c r="D663" t="s">
        <v>81</v>
      </c>
      <c r="E663">
        <v>10000000</v>
      </c>
      <c r="H663">
        <v>14.25</v>
      </c>
      <c r="I663" t="s">
        <v>56</v>
      </c>
      <c r="J663">
        <v>1.4250000000000001E-3</v>
      </c>
      <c r="K663" t="s">
        <v>57</v>
      </c>
      <c r="L663" t="s">
        <v>112</v>
      </c>
      <c r="O663">
        <v>190</v>
      </c>
      <c r="P663" t="s">
        <v>277</v>
      </c>
      <c r="T663">
        <v>22.5</v>
      </c>
      <c r="V663">
        <v>40</v>
      </c>
      <c r="W663" t="s">
        <v>460</v>
      </c>
      <c r="X663" t="s">
        <v>114</v>
      </c>
      <c r="Y663">
        <v>10</v>
      </c>
      <c r="AB663">
        <v>1.83</v>
      </c>
      <c r="AC663" t="s">
        <v>85</v>
      </c>
      <c r="AD663" t="s">
        <v>241</v>
      </c>
      <c r="AE663" t="s">
        <v>138</v>
      </c>
      <c r="AI663">
        <v>5</v>
      </c>
      <c r="AJ663" t="s">
        <v>201</v>
      </c>
      <c r="AK663">
        <v>0.19</v>
      </c>
      <c r="AL663" t="s">
        <v>409</v>
      </c>
      <c r="AO663">
        <v>0</v>
      </c>
      <c r="AT663" t="s">
        <v>73</v>
      </c>
      <c r="AU663">
        <v>0.1333333333333333</v>
      </c>
      <c r="AV663" t="s">
        <v>1250</v>
      </c>
    </row>
    <row r="664" spans="1:53" x14ac:dyDescent="0.3">
      <c r="A664" t="s">
        <v>1249</v>
      </c>
      <c r="C664" t="s">
        <v>1275</v>
      </c>
      <c r="D664" t="s">
        <v>81</v>
      </c>
      <c r="E664">
        <v>10000000</v>
      </c>
      <c r="H664">
        <v>14.25</v>
      </c>
      <c r="I664" t="s">
        <v>56</v>
      </c>
      <c r="J664">
        <v>1.4250000000000001E-3</v>
      </c>
      <c r="K664" t="s">
        <v>57</v>
      </c>
      <c r="L664" t="s">
        <v>112</v>
      </c>
      <c r="O664">
        <v>190</v>
      </c>
      <c r="P664" t="s">
        <v>277</v>
      </c>
      <c r="T664">
        <v>22.5</v>
      </c>
      <c r="V664">
        <v>40</v>
      </c>
      <c r="W664" t="s">
        <v>463</v>
      </c>
      <c r="X664" t="s">
        <v>114</v>
      </c>
      <c r="Y664">
        <v>10</v>
      </c>
      <c r="AB664">
        <v>2.59</v>
      </c>
      <c r="AC664" t="s">
        <v>85</v>
      </c>
      <c r="AD664" t="s">
        <v>234</v>
      </c>
      <c r="AE664" t="s">
        <v>138</v>
      </c>
      <c r="AI664">
        <v>5</v>
      </c>
      <c r="AJ664" t="s">
        <v>201</v>
      </c>
      <c r="AK664">
        <v>0.1</v>
      </c>
      <c r="AL664" t="s">
        <v>409</v>
      </c>
      <c r="AO664">
        <v>0</v>
      </c>
      <c r="AT664" t="s">
        <v>360</v>
      </c>
      <c r="AU664">
        <v>7.0175438596491224E-2</v>
      </c>
      <c r="AV664" t="s">
        <v>1250</v>
      </c>
    </row>
    <row r="665" spans="1:53" x14ac:dyDescent="0.3">
      <c r="A665" t="s">
        <v>1249</v>
      </c>
      <c r="C665" t="s">
        <v>1275</v>
      </c>
      <c r="D665" t="s">
        <v>81</v>
      </c>
      <c r="E665">
        <v>10000000</v>
      </c>
      <c r="H665">
        <v>14.25</v>
      </c>
      <c r="I665" t="s">
        <v>56</v>
      </c>
      <c r="J665">
        <v>1.4250000000000001E-3</v>
      </c>
      <c r="K665" t="s">
        <v>57</v>
      </c>
      <c r="L665" t="s">
        <v>112</v>
      </c>
      <c r="O665">
        <v>190</v>
      </c>
      <c r="P665" t="s">
        <v>277</v>
      </c>
      <c r="T665">
        <v>22.5</v>
      </c>
      <c r="V665">
        <v>40</v>
      </c>
      <c r="W665" t="s">
        <v>464</v>
      </c>
      <c r="X665" t="s">
        <v>114</v>
      </c>
      <c r="Y665">
        <v>10</v>
      </c>
      <c r="AB665">
        <v>0.95</v>
      </c>
      <c r="AC665" t="s">
        <v>85</v>
      </c>
      <c r="AD665" t="s">
        <v>248</v>
      </c>
      <c r="AE665" t="s">
        <v>138</v>
      </c>
      <c r="AI665">
        <v>5</v>
      </c>
      <c r="AJ665" t="s">
        <v>201</v>
      </c>
      <c r="AK665">
        <v>0.34</v>
      </c>
      <c r="AL665" t="s">
        <v>409</v>
      </c>
      <c r="AO665">
        <v>0</v>
      </c>
      <c r="AT665" t="s">
        <v>65</v>
      </c>
      <c r="AU665">
        <v>0.2385964912280702</v>
      </c>
      <c r="AV665" t="s">
        <v>1250</v>
      </c>
    </row>
    <row r="666" spans="1:53" x14ac:dyDescent="0.3">
      <c r="A666" t="s">
        <v>1249</v>
      </c>
      <c r="C666" t="s">
        <v>1275</v>
      </c>
      <c r="D666" t="s">
        <v>81</v>
      </c>
      <c r="E666">
        <v>10000000</v>
      </c>
      <c r="H666">
        <v>14.25</v>
      </c>
      <c r="I666" t="s">
        <v>56</v>
      </c>
      <c r="J666">
        <v>1.4250000000000001E-3</v>
      </c>
      <c r="K666" t="s">
        <v>57</v>
      </c>
      <c r="L666" t="s">
        <v>112</v>
      </c>
      <c r="O666">
        <v>190</v>
      </c>
      <c r="P666" t="s">
        <v>277</v>
      </c>
      <c r="T666">
        <v>22.5</v>
      </c>
      <c r="V666">
        <v>40</v>
      </c>
      <c r="W666" t="s">
        <v>465</v>
      </c>
      <c r="X666" t="s">
        <v>114</v>
      </c>
      <c r="Y666">
        <v>10</v>
      </c>
      <c r="AB666">
        <v>0.7</v>
      </c>
      <c r="AC666" t="s">
        <v>85</v>
      </c>
      <c r="AD666" t="s">
        <v>240</v>
      </c>
      <c r="AE666" t="s">
        <v>138</v>
      </c>
      <c r="AI666">
        <v>5</v>
      </c>
      <c r="AJ666" t="s">
        <v>201</v>
      </c>
      <c r="AK666">
        <v>7.0000000000000007E-2</v>
      </c>
      <c r="AL666" t="s">
        <v>409</v>
      </c>
      <c r="AO666">
        <v>0</v>
      </c>
      <c r="AT666" t="s">
        <v>79</v>
      </c>
      <c r="AU666">
        <v>4.912280701754386E-2</v>
      </c>
      <c r="AV666" t="s">
        <v>1250</v>
      </c>
    </row>
    <row r="667" spans="1:53" x14ac:dyDescent="0.3">
      <c r="A667" t="s">
        <v>1249</v>
      </c>
      <c r="C667" t="s">
        <v>1275</v>
      </c>
      <c r="D667" t="s">
        <v>81</v>
      </c>
      <c r="E667">
        <v>10000000</v>
      </c>
      <c r="H667">
        <v>14.25</v>
      </c>
      <c r="I667" t="s">
        <v>56</v>
      </c>
      <c r="J667">
        <v>1.4250000000000001E-3</v>
      </c>
      <c r="K667" t="s">
        <v>57</v>
      </c>
      <c r="L667" t="s">
        <v>112</v>
      </c>
      <c r="O667">
        <v>190</v>
      </c>
      <c r="P667" t="s">
        <v>277</v>
      </c>
      <c r="T667">
        <v>22.5</v>
      </c>
      <c r="V667">
        <v>40</v>
      </c>
      <c r="W667" t="s">
        <v>1251</v>
      </c>
      <c r="X667" t="s">
        <v>114</v>
      </c>
      <c r="Y667">
        <v>10</v>
      </c>
      <c r="AB667">
        <v>1.77</v>
      </c>
      <c r="AC667" t="s">
        <v>85</v>
      </c>
      <c r="AD667" t="s">
        <v>524</v>
      </c>
      <c r="AE667" t="s">
        <v>138</v>
      </c>
      <c r="AI667">
        <v>5</v>
      </c>
      <c r="AJ667" t="s">
        <v>201</v>
      </c>
      <c r="AK667">
        <v>0.26</v>
      </c>
      <c r="AL667" t="s">
        <v>409</v>
      </c>
      <c r="AO667">
        <v>0</v>
      </c>
      <c r="AT667" t="s">
        <v>358</v>
      </c>
      <c r="AU667">
        <v>0.18245614035087721</v>
      </c>
      <c r="AV667" t="s">
        <v>1250</v>
      </c>
    </row>
    <row r="668" spans="1:53" x14ac:dyDescent="0.3">
      <c r="A668" t="s">
        <v>1249</v>
      </c>
      <c r="C668" t="s">
        <v>1275</v>
      </c>
      <c r="D668" t="s">
        <v>81</v>
      </c>
      <c r="E668">
        <v>10000000</v>
      </c>
      <c r="H668">
        <v>14.25</v>
      </c>
      <c r="I668" t="s">
        <v>56</v>
      </c>
      <c r="J668">
        <v>1.4250000000000001E-3</v>
      </c>
      <c r="K668" t="s">
        <v>57</v>
      </c>
      <c r="L668" t="s">
        <v>112</v>
      </c>
      <c r="O668">
        <v>190</v>
      </c>
      <c r="P668" t="s">
        <v>277</v>
      </c>
      <c r="T668">
        <v>22.5</v>
      </c>
      <c r="V668">
        <v>40</v>
      </c>
      <c r="W668" t="s">
        <v>540</v>
      </c>
      <c r="X668" t="s">
        <v>114</v>
      </c>
      <c r="Y668">
        <v>10</v>
      </c>
      <c r="AB668">
        <v>0.75</v>
      </c>
      <c r="AC668" t="s">
        <v>85</v>
      </c>
      <c r="AD668" t="s">
        <v>225</v>
      </c>
      <c r="AE668" t="s">
        <v>138</v>
      </c>
      <c r="AI668">
        <v>5</v>
      </c>
      <c r="AJ668" t="s">
        <v>201</v>
      </c>
      <c r="AK668">
        <v>0.26</v>
      </c>
      <c r="AL668" t="s">
        <v>409</v>
      </c>
      <c r="AO668">
        <v>0</v>
      </c>
      <c r="AT668" t="s">
        <v>212</v>
      </c>
      <c r="AU668">
        <v>0.18245614035087721</v>
      </c>
      <c r="AV668" t="s">
        <v>1250</v>
      </c>
    </row>
    <row r="669" spans="1:53" x14ac:dyDescent="0.3">
      <c r="A669" t="s">
        <v>1249</v>
      </c>
      <c r="C669" t="s">
        <v>1275</v>
      </c>
      <c r="D669" t="s">
        <v>81</v>
      </c>
      <c r="E669">
        <v>10000000</v>
      </c>
      <c r="H669">
        <v>14.25</v>
      </c>
      <c r="I669" t="s">
        <v>56</v>
      </c>
      <c r="J669">
        <v>1.4250000000000001E-3</v>
      </c>
      <c r="K669" t="s">
        <v>57</v>
      </c>
      <c r="L669" t="s">
        <v>112</v>
      </c>
      <c r="O669">
        <v>190</v>
      </c>
      <c r="P669" t="s">
        <v>277</v>
      </c>
      <c r="T669">
        <v>22.5</v>
      </c>
      <c r="V669">
        <v>40</v>
      </c>
      <c r="W669" t="s">
        <v>147</v>
      </c>
      <c r="X669" t="s">
        <v>114</v>
      </c>
      <c r="Y669">
        <v>10</v>
      </c>
      <c r="AB669">
        <v>2.52999999999999</v>
      </c>
      <c r="AC669" t="s">
        <v>85</v>
      </c>
      <c r="AD669" t="s">
        <v>556</v>
      </c>
      <c r="AE669" t="s">
        <v>138</v>
      </c>
      <c r="AI669">
        <v>5</v>
      </c>
      <c r="AJ669" t="s">
        <v>201</v>
      </c>
      <c r="AK669">
        <v>0.15</v>
      </c>
      <c r="AL669" t="s">
        <v>409</v>
      </c>
      <c r="AO669">
        <v>0</v>
      </c>
      <c r="AT669" t="s">
        <v>150</v>
      </c>
      <c r="AU669">
        <v>0.10526315789473679</v>
      </c>
      <c r="AV669" t="s">
        <v>1250</v>
      </c>
    </row>
    <row r="670" spans="1:53" x14ac:dyDescent="0.3">
      <c r="A670" t="s">
        <v>1249</v>
      </c>
      <c r="C670" t="s">
        <v>1275</v>
      </c>
      <c r="D670" t="s">
        <v>81</v>
      </c>
      <c r="E670">
        <v>10000000</v>
      </c>
      <c r="H670">
        <v>14.25</v>
      </c>
      <c r="I670" t="s">
        <v>56</v>
      </c>
      <c r="J670">
        <v>1.4250000000000001E-3</v>
      </c>
      <c r="K670" t="s">
        <v>57</v>
      </c>
      <c r="L670" t="s">
        <v>112</v>
      </c>
      <c r="O670">
        <v>190</v>
      </c>
      <c r="P670" t="s">
        <v>277</v>
      </c>
      <c r="T670">
        <v>22.5</v>
      </c>
      <c r="V670">
        <v>40</v>
      </c>
      <c r="W670" t="s">
        <v>460</v>
      </c>
      <c r="X670" t="s">
        <v>114</v>
      </c>
      <c r="Y670">
        <v>10</v>
      </c>
      <c r="AB670">
        <v>0.87</v>
      </c>
      <c r="AC670" t="s">
        <v>85</v>
      </c>
      <c r="AD670" t="s">
        <v>633</v>
      </c>
      <c r="AE670" t="s">
        <v>138</v>
      </c>
      <c r="AI670">
        <v>5</v>
      </c>
      <c r="AJ670" t="s">
        <v>201</v>
      </c>
      <c r="AK670">
        <v>0.19</v>
      </c>
      <c r="AL670" t="s">
        <v>409</v>
      </c>
      <c r="AO670">
        <v>0</v>
      </c>
      <c r="AT670" t="s">
        <v>73</v>
      </c>
      <c r="AU670">
        <v>0.1333333333333333</v>
      </c>
      <c r="AV670" t="s">
        <v>1250</v>
      </c>
    </row>
    <row r="671" spans="1:53" x14ac:dyDescent="0.3">
      <c r="A671" t="s">
        <v>1249</v>
      </c>
      <c r="C671" t="s">
        <v>1275</v>
      </c>
      <c r="D671" t="s">
        <v>81</v>
      </c>
      <c r="E671">
        <v>10000000</v>
      </c>
      <c r="H671">
        <v>14.25</v>
      </c>
      <c r="I671" t="s">
        <v>56</v>
      </c>
      <c r="J671">
        <v>1.4250000000000001E-3</v>
      </c>
      <c r="K671" t="s">
        <v>57</v>
      </c>
      <c r="L671" t="s">
        <v>112</v>
      </c>
      <c r="O671">
        <v>190</v>
      </c>
      <c r="P671" t="s">
        <v>277</v>
      </c>
      <c r="T671">
        <v>22.5</v>
      </c>
      <c r="V671">
        <v>40</v>
      </c>
      <c r="W671" t="s">
        <v>463</v>
      </c>
      <c r="X671" t="s">
        <v>114</v>
      </c>
      <c r="Y671">
        <v>10</v>
      </c>
      <c r="AB671">
        <v>0.3</v>
      </c>
      <c r="AC671" t="s">
        <v>85</v>
      </c>
      <c r="AD671" t="s">
        <v>248</v>
      </c>
      <c r="AE671" t="s">
        <v>138</v>
      </c>
      <c r="AI671">
        <v>5</v>
      </c>
      <c r="AJ671" t="s">
        <v>201</v>
      </c>
      <c r="AK671">
        <v>0.1</v>
      </c>
      <c r="AL671" t="s">
        <v>409</v>
      </c>
      <c r="AO671">
        <v>0</v>
      </c>
      <c r="AT671" t="s">
        <v>360</v>
      </c>
      <c r="AU671">
        <v>7.0175438596491224E-2</v>
      </c>
      <c r="AV671" t="s">
        <v>1250</v>
      </c>
    </row>
    <row r="672" spans="1:53" x14ac:dyDescent="0.3">
      <c r="A672" t="s">
        <v>1249</v>
      </c>
      <c r="C672" t="s">
        <v>1275</v>
      </c>
      <c r="D672" t="s">
        <v>81</v>
      </c>
      <c r="E672">
        <v>10000000</v>
      </c>
      <c r="H672">
        <v>14.25</v>
      </c>
      <c r="I672" t="s">
        <v>56</v>
      </c>
      <c r="J672">
        <v>1.4250000000000001E-3</v>
      </c>
      <c r="K672" t="s">
        <v>57</v>
      </c>
      <c r="L672" t="s">
        <v>112</v>
      </c>
      <c r="O672">
        <v>190</v>
      </c>
      <c r="P672" t="s">
        <v>277</v>
      </c>
      <c r="T672">
        <v>22.5</v>
      </c>
      <c r="V672">
        <v>40</v>
      </c>
      <c r="W672" t="s">
        <v>464</v>
      </c>
      <c r="X672" t="s">
        <v>114</v>
      </c>
      <c r="Y672">
        <v>10</v>
      </c>
      <c r="AB672">
        <v>-0.66</v>
      </c>
      <c r="AC672" t="s">
        <v>85</v>
      </c>
      <c r="AD672" t="s">
        <v>553</v>
      </c>
      <c r="AE672" t="s">
        <v>138</v>
      </c>
      <c r="AI672">
        <v>5</v>
      </c>
      <c r="AJ672" t="s">
        <v>201</v>
      </c>
      <c r="AK672">
        <v>0.34</v>
      </c>
      <c r="AL672" t="s">
        <v>409</v>
      </c>
      <c r="AO672">
        <v>0</v>
      </c>
      <c r="AT672" t="s">
        <v>65</v>
      </c>
      <c r="AU672">
        <v>0.2385964912280702</v>
      </c>
      <c r="AV672" t="s">
        <v>1250</v>
      </c>
    </row>
    <row r="673" spans="1:53" x14ac:dyDescent="0.3">
      <c r="A673" t="s">
        <v>1249</v>
      </c>
      <c r="C673" t="s">
        <v>1275</v>
      </c>
      <c r="D673" t="s">
        <v>81</v>
      </c>
      <c r="E673">
        <v>10000000</v>
      </c>
      <c r="H673">
        <v>14.25</v>
      </c>
      <c r="I673" t="s">
        <v>56</v>
      </c>
      <c r="J673">
        <v>1.4250000000000001E-3</v>
      </c>
      <c r="K673" t="s">
        <v>57</v>
      </c>
      <c r="L673" t="s">
        <v>112</v>
      </c>
      <c r="O673">
        <v>190</v>
      </c>
      <c r="P673" t="s">
        <v>277</v>
      </c>
      <c r="T673">
        <v>22.5</v>
      </c>
      <c r="V673">
        <v>40</v>
      </c>
      <c r="W673" t="s">
        <v>465</v>
      </c>
      <c r="X673" t="s">
        <v>114</v>
      </c>
      <c r="Y673">
        <v>10</v>
      </c>
      <c r="AB673">
        <v>0.73</v>
      </c>
      <c r="AC673" t="s">
        <v>85</v>
      </c>
      <c r="AD673" t="s">
        <v>239</v>
      </c>
      <c r="AE673" t="s">
        <v>138</v>
      </c>
      <c r="AI673">
        <v>5</v>
      </c>
      <c r="AJ673" t="s">
        <v>201</v>
      </c>
      <c r="AK673">
        <v>7.0000000000000007E-2</v>
      </c>
      <c r="AL673" t="s">
        <v>409</v>
      </c>
      <c r="AO673">
        <v>0</v>
      </c>
      <c r="AT673" t="s">
        <v>79</v>
      </c>
      <c r="AU673">
        <v>4.912280701754386E-2</v>
      </c>
      <c r="AV673" t="s">
        <v>1250</v>
      </c>
    </row>
    <row r="674" spans="1:53" x14ac:dyDescent="0.3">
      <c r="A674" t="s">
        <v>1249</v>
      </c>
      <c r="C674" t="s">
        <v>1275</v>
      </c>
      <c r="D674" t="s">
        <v>81</v>
      </c>
      <c r="E674">
        <v>10000000</v>
      </c>
      <c r="H674">
        <v>14.25</v>
      </c>
      <c r="I674" t="s">
        <v>56</v>
      </c>
      <c r="J674">
        <v>1.4250000000000001E-3</v>
      </c>
      <c r="K674" t="s">
        <v>57</v>
      </c>
      <c r="L674" t="s">
        <v>112</v>
      </c>
      <c r="O674">
        <v>190</v>
      </c>
      <c r="P674" t="s">
        <v>277</v>
      </c>
      <c r="T674">
        <v>22.5</v>
      </c>
      <c r="V674">
        <v>40</v>
      </c>
      <c r="W674" t="s">
        <v>1251</v>
      </c>
      <c r="X674" t="s">
        <v>114</v>
      </c>
      <c r="Y674">
        <v>10</v>
      </c>
      <c r="AB674">
        <v>-0.49</v>
      </c>
      <c r="AC674" t="s">
        <v>85</v>
      </c>
      <c r="AD674" t="s">
        <v>553</v>
      </c>
      <c r="AE674" t="s">
        <v>138</v>
      </c>
      <c r="AI674">
        <v>5</v>
      </c>
      <c r="AJ674" t="s">
        <v>201</v>
      </c>
      <c r="AK674">
        <v>0.26</v>
      </c>
      <c r="AL674" t="s">
        <v>409</v>
      </c>
      <c r="AO674">
        <v>0</v>
      </c>
      <c r="AT674" t="s">
        <v>358</v>
      </c>
      <c r="AU674">
        <v>0.18245614035087721</v>
      </c>
      <c r="AV674" t="s">
        <v>1250</v>
      </c>
    </row>
    <row r="675" spans="1:53" x14ac:dyDescent="0.3">
      <c r="A675" t="s">
        <v>1249</v>
      </c>
      <c r="C675" t="s">
        <v>1275</v>
      </c>
      <c r="D675" t="s">
        <v>81</v>
      </c>
      <c r="E675">
        <v>10000000</v>
      </c>
      <c r="H675">
        <v>14.25</v>
      </c>
      <c r="I675" t="s">
        <v>56</v>
      </c>
      <c r="J675">
        <v>1.4250000000000001E-3</v>
      </c>
      <c r="K675" t="s">
        <v>57</v>
      </c>
      <c r="L675" t="s">
        <v>112</v>
      </c>
      <c r="O675">
        <v>190</v>
      </c>
      <c r="P675" t="s">
        <v>277</v>
      </c>
      <c r="T675">
        <v>22.5</v>
      </c>
      <c r="V675">
        <v>40</v>
      </c>
      <c r="W675" t="s">
        <v>540</v>
      </c>
      <c r="X675" t="s">
        <v>114</v>
      </c>
      <c r="Y675">
        <v>10</v>
      </c>
      <c r="AB675">
        <v>0.31</v>
      </c>
      <c r="AC675" t="s">
        <v>85</v>
      </c>
      <c r="AD675" t="s">
        <v>92</v>
      </c>
      <c r="AE675" t="s">
        <v>138</v>
      </c>
      <c r="AI675">
        <v>5</v>
      </c>
      <c r="AJ675" t="s">
        <v>201</v>
      </c>
      <c r="AK675">
        <v>0.26</v>
      </c>
      <c r="AL675" t="s">
        <v>409</v>
      </c>
      <c r="AO675">
        <v>0</v>
      </c>
      <c r="AT675" t="s">
        <v>212</v>
      </c>
      <c r="AU675">
        <v>0.18245614035087721</v>
      </c>
      <c r="AV675" t="s">
        <v>1250</v>
      </c>
    </row>
    <row r="676" spans="1:53" x14ac:dyDescent="0.3">
      <c r="A676" t="s">
        <v>1249</v>
      </c>
      <c r="C676" t="s">
        <v>1275</v>
      </c>
      <c r="D676" t="s">
        <v>81</v>
      </c>
      <c r="E676">
        <v>10000000</v>
      </c>
      <c r="H676">
        <v>14.25</v>
      </c>
      <c r="I676" t="s">
        <v>56</v>
      </c>
      <c r="J676">
        <v>1.4250000000000001E-3</v>
      </c>
      <c r="K676" t="s">
        <v>57</v>
      </c>
      <c r="L676" t="s">
        <v>112</v>
      </c>
      <c r="O676">
        <v>190</v>
      </c>
      <c r="P676" t="s">
        <v>277</v>
      </c>
      <c r="T676">
        <v>22.5</v>
      </c>
      <c r="V676">
        <v>40</v>
      </c>
      <c r="W676" t="s">
        <v>147</v>
      </c>
      <c r="X676" t="s">
        <v>114</v>
      </c>
      <c r="Y676">
        <v>10</v>
      </c>
      <c r="AB676">
        <v>0.3</v>
      </c>
      <c r="AC676" t="s">
        <v>85</v>
      </c>
      <c r="AD676" t="s">
        <v>103</v>
      </c>
      <c r="AE676" t="s">
        <v>138</v>
      </c>
      <c r="AI676">
        <v>5</v>
      </c>
      <c r="AJ676" t="s">
        <v>201</v>
      </c>
      <c r="AK676">
        <v>0.15</v>
      </c>
      <c r="AL676" t="s">
        <v>409</v>
      </c>
      <c r="AO676">
        <v>0</v>
      </c>
      <c r="AT676" t="s">
        <v>150</v>
      </c>
      <c r="AU676">
        <v>0.10526315789473679</v>
      </c>
      <c r="AV676" t="s">
        <v>1250</v>
      </c>
    </row>
    <row r="677" spans="1:53" x14ac:dyDescent="0.3">
      <c r="A677" t="s">
        <v>1249</v>
      </c>
      <c r="C677" t="s">
        <v>1275</v>
      </c>
      <c r="D677" t="s">
        <v>81</v>
      </c>
      <c r="E677">
        <v>10000000</v>
      </c>
      <c r="H677">
        <v>14.25</v>
      </c>
      <c r="I677" t="s">
        <v>56</v>
      </c>
      <c r="J677">
        <v>1.4250000000000001E-3</v>
      </c>
      <c r="K677" t="s">
        <v>57</v>
      </c>
      <c r="L677" t="s">
        <v>112</v>
      </c>
      <c r="O677">
        <v>6200</v>
      </c>
      <c r="P677" t="s">
        <v>121</v>
      </c>
      <c r="T677">
        <v>22.5</v>
      </c>
      <c r="V677">
        <v>50</v>
      </c>
      <c r="W677" t="s">
        <v>1251</v>
      </c>
      <c r="X677" t="s">
        <v>114</v>
      </c>
      <c r="Y677">
        <v>60</v>
      </c>
      <c r="AB677">
        <v>7.31</v>
      </c>
      <c r="AC677" t="s">
        <v>85</v>
      </c>
      <c r="AD677" t="s">
        <v>1294</v>
      </c>
      <c r="AE677" t="s">
        <v>138</v>
      </c>
      <c r="AI677">
        <v>5</v>
      </c>
      <c r="AJ677" t="s">
        <v>201</v>
      </c>
      <c r="AK677">
        <v>0.4</v>
      </c>
      <c r="AL677" t="s">
        <v>409</v>
      </c>
      <c r="AO677">
        <v>0</v>
      </c>
      <c r="AT677" t="s">
        <v>358</v>
      </c>
      <c r="AU677">
        <v>0.2807017543859649</v>
      </c>
      <c r="AV677" t="s">
        <v>1250</v>
      </c>
    </row>
    <row r="678" spans="1:53" x14ac:dyDescent="0.3">
      <c r="A678" t="s">
        <v>1249</v>
      </c>
      <c r="C678" t="s">
        <v>1275</v>
      </c>
      <c r="D678" t="s">
        <v>81</v>
      </c>
      <c r="E678">
        <v>10000000</v>
      </c>
      <c r="H678">
        <v>14.25</v>
      </c>
      <c r="I678" t="s">
        <v>56</v>
      </c>
      <c r="J678">
        <v>1.4250000000000001E-3</v>
      </c>
      <c r="K678" t="s">
        <v>57</v>
      </c>
      <c r="L678" t="s">
        <v>112</v>
      </c>
      <c r="O678">
        <v>6200</v>
      </c>
      <c r="P678" t="s">
        <v>121</v>
      </c>
      <c r="T678">
        <v>22.5</v>
      </c>
      <c r="V678">
        <v>50</v>
      </c>
      <c r="W678" t="s">
        <v>540</v>
      </c>
      <c r="X678" t="s">
        <v>114</v>
      </c>
      <c r="Y678">
        <v>60</v>
      </c>
      <c r="AB678">
        <v>0.81</v>
      </c>
      <c r="AC678" t="s">
        <v>85</v>
      </c>
      <c r="AD678" t="s">
        <v>325</v>
      </c>
      <c r="AE678" t="s">
        <v>138</v>
      </c>
      <c r="AI678">
        <v>5</v>
      </c>
      <c r="AJ678" t="s">
        <v>201</v>
      </c>
      <c r="AK678">
        <v>0.2</v>
      </c>
      <c r="AL678" t="s">
        <v>409</v>
      </c>
      <c r="AO678">
        <v>0</v>
      </c>
      <c r="AT678" t="s">
        <v>212</v>
      </c>
      <c r="AU678">
        <v>0.14035087719298239</v>
      </c>
      <c r="AV678" t="s">
        <v>1250</v>
      </c>
    </row>
    <row r="679" spans="1:53" x14ac:dyDescent="0.3">
      <c r="A679" t="s">
        <v>1249</v>
      </c>
      <c r="C679" t="s">
        <v>1275</v>
      </c>
      <c r="D679" t="s">
        <v>81</v>
      </c>
      <c r="E679">
        <v>10000000</v>
      </c>
      <c r="H679">
        <v>14.25</v>
      </c>
      <c r="I679" t="s">
        <v>56</v>
      </c>
      <c r="J679">
        <v>1.4250000000000001E-3</v>
      </c>
      <c r="K679" t="s">
        <v>57</v>
      </c>
      <c r="L679" t="s">
        <v>112</v>
      </c>
      <c r="O679">
        <v>6200</v>
      </c>
      <c r="P679" t="s">
        <v>121</v>
      </c>
      <c r="T679">
        <v>22.5</v>
      </c>
      <c r="V679">
        <v>50</v>
      </c>
      <c r="W679" t="s">
        <v>549</v>
      </c>
      <c r="X679" t="s">
        <v>114</v>
      </c>
      <c r="Y679">
        <v>60</v>
      </c>
      <c r="AB679">
        <v>4.99</v>
      </c>
      <c r="AC679" t="s">
        <v>85</v>
      </c>
      <c r="AD679" t="s">
        <v>1260</v>
      </c>
      <c r="AE679" t="s">
        <v>138</v>
      </c>
      <c r="AI679">
        <v>5</v>
      </c>
      <c r="AJ679" t="s">
        <v>201</v>
      </c>
      <c r="AK679">
        <v>0.24</v>
      </c>
      <c r="AL679" t="s">
        <v>409</v>
      </c>
      <c r="AO679">
        <v>0</v>
      </c>
      <c r="AT679" t="s">
        <v>77</v>
      </c>
      <c r="AU679">
        <v>0.16842105263157889</v>
      </c>
      <c r="AV679" t="s">
        <v>1250</v>
      </c>
    </row>
    <row r="680" spans="1:53" x14ac:dyDescent="0.3">
      <c r="A680" t="s">
        <v>1249</v>
      </c>
      <c r="C680" t="s">
        <v>1275</v>
      </c>
      <c r="D680" t="s">
        <v>81</v>
      </c>
      <c r="E680">
        <v>10000000</v>
      </c>
      <c r="H680">
        <v>9.6199999999999992</v>
      </c>
      <c r="I680" t="s">
        <v>56</v>
      </c>
      <c r="J680">
        <v>9.6199999999999996E-4</v>
      </c>
      <c r="K680" t="s">
        <v>57</v>
      </c>
      <c r="L680" t="s">
        <v>112</v>
      </c>
      <c r="O680">
        <v>6200</v>
      </c>
      <c r="P680" t="s">
        <v>121</v>
      </c>
      <c r="T680">
        <v>22.5</v>
      </c>
      <c r="V680">
        <v>50</v>
      </c>
      <c r="W680" t="s">
        <v>1229</v>
      </c>
      <c r="X680" t="s">
        <v>114</v>
      </c>
      <c r="Y680">
        <v>60</v>
      </c>
      <c r="AB680">
        <v>1.47</v>
      </c>
      <c r="AC680" t="s">
        <v>85</v>
      </c>
      <c r="AD680" t="s">
        <v>513</v>
      </c>
      <c r="AE680" t="s">
        <v>138</v>
      </c>
      <c r="AI680">
        <v>5</v>
      </c>
      <c r="AJ680" t="s">
        <v>201</v>
      </c>
      <c r="AK680">
        <v>0.25</v>
      </c>
      <c r="AL680" t="s">
        <v>409</v>
      </c>
      <c r="AO680">
        <v>0</v>
      </c>
      <c r="AT680" t="s">
        <v>221</v>
      </c>
      <c r="AU680">
        <v>0.25987525987525989</v>
      </c>
      <c r="AV680" t="s">
        <v>1250</v>
      </c>
    </row>
    <row r="681" spans="1:53" x14ac:dyDescent="0.3">
      <c r="A681" t="s">
        <v>1249</v>
      </c>
      <c r="C681" t="s">
        <v>1275</v>
      </c>
      <c r="D681" t="s">
        <v>81</v>
      </c>
      <c r="E681">
        <v>10000000</v>
      </c>
      <c r="H681">
        <v>14.25</v>
      </c>
      <c r="I681" t="s">
        <v>56</v>
      </c>
      <c r="J681">
        <v>1.4250000000000001E-3</v>
      </c>
      <c r="K681" t="s">
        <v>57</v>
      </c>
      <c r="L681" t="s">
        <v>112</v>
      </c>
      <c r="O681">
        <v>6200</v>
      </c>
      <c r="P681" t="s">
        <v>121</v>
      </c>
      <c r="T681">
        <v>22.5</v>
      </c>
      <c r="V681">
        <v>50</v>
      </c>
      <c r="W681" t="s">
        <v>1251</v>
      </c>
      <c r="X681" t="s">
        <v>114</v>
      </c>
      <c r="Y681">
        <v>60</v>
      </c>
      <c r="AA681" t="s">
        <v>94</v>
      </c>
      <c r="AB681">
        <v>7.22</v>
      </c>
      <c r="AC681" t="s">
        <v>85</v>
      </c>
      <c r="AD681" t="s">
        <v>418</v>
      </c>
      <c r="AE681" t="s">
        <v>138</v>
      </c>
      <c r="AI681">
        <v>5</v>
      </c>
      <c r="AJ681" t="s">
        <v>201</v>
      </c>
      <c r="AK681">
        <v>0.4</v>
      </c>
      <c r="AL681" t="s">
        <v>409</v>
      </c>
      <c r="AO681">
        <v>0</v>
      </c>
      <c r="AT681" t="s">
        <v>358</v>
      </c>
      <c r="AU681">
        <v>0.2807017543859649</v>
      </c>
      <c r="AV681" t="s">
        <v>1250</v>
      </c>
      <c r="AZ681">
        <v>0</v>
      </c>
      <c r="BA681">
        <v>7.22</v>
      </c>
    </row>
    <row r="682" spans="1:53" x14ac:dyDescent="0.3">
      <c r="A682" t="s">
        <v>1249</v>
      </c>
      <c r="C682" t="s">
        <v>1275</v>
      </c>
      <c r="D682" t="s">
        <v>81</v>
      </c>
      <c r="E682">
        <v>10000000</v>
      </c>
      <c r="H682">
        <v>14.25</v>
      </c>
      <c r="I682" t="s">
        <v>56</v>
      </c>
      <c r="J682">
        <v>1.4250000000000001E-3</v>
      </c>
      <c r="K682" t="s">
        <v>57</v>
      </c>
      <c r="L682" t="s">
        <v>112</v>
      </c>
      <c r="O682">
        <v>6200</v>
      </c>
      <c r="P682" t="s">
        <v>121</v>
      </c>
      <c r="T682">
        <v>22.5</v>
      </c>
      <c r="V682">
        <v>50</v>
      </c>
      <c r="W682" t="s">
        <v>540</v>
      </c>
      <c r="X682" t="s">
        <v>114</v>
      </c>
      <c r="Y682">
        <v>60</v>
      </c>
      <c r="AB682">
        <v>0.68</v>
      </c>
      <c r="AC682" t="s">
        <v>85</v>
      </c>
      <c r="AD682" t="s">
        <v>98</v>
      </c>
      <c r="AE682" t="s">
        <v>138</v>
      </c>
      <c r="AI682">
        <v>5</v>
      </c>
      <c r="AJ682" t="s">
        <v>201</v>
      </c>
      <c r="AK682">
        <v>0.2</v>
      </c>
      <c r="AL682" t="s">
        <v>409</v>
      </c>
      <c r="AO682">
        <v>0</v>
      </c>
      <c r="AT682" t="s">
        <v>212</v>
      </c>
      <c r="AU682">
        <v>0.14035087719298239</v>
      </c>
      <c r="AV682" t="s">
        <v>1250</v>
      </c>
    </row>
    <row r="683" spans="1:53" x14ac:dyDescent="0.3">
      <c r="A683" t="s">
        <v>1249</v>
      </c>
      <c r="C683" t="s">
        <v>1275</v>
      </c>
      <c r="D683" t="s">
        <v>81</v>
      </c>
      <c r="E683">
        <v>10000000</v>
      </c>
      <c r="H683">
        <v>14.25</v>
      </c>
      <c r="I683" t="s">
        <v>56</v>
      </c>
      <c r="J683">
        <v>1.4250000000000001E-3</v>
      </c>
      <c r="K683" t="s">
        <v>57</v>
      </c>
      <c r="L683" t="s">
        <v>112</v>
      </c>
      <c r="O683">
        <v>6200</v>
      </c>
      <c r="P683" t="s">
        <v>121</v>
      </c>
      <c r="T683">
        <v>22.5</v>
      </c>
      <c r="V683">
        <v>50</v>
      </c>
      <c r="W683" t="s">
        <v>549</v>
      </c>
      <c r="X683" t="s">
        <v>114</v>
      </c>
      <c r="Y683">
        <v>60</v>
      </c>
      <c r="AA683" t="s">
        <v>94</v>
      </c>
      <c r="AB683">
        <v>5.63</v>
      </c>
      <c r="AC683" t="s">
        <v>85</v>
      </c>
      <c r="AD683" t="s">
        <v>490</v>
      </c>
      <c r="AE683" t="s">
        <v>138</v>
      </c>
      <c r="AI683">
        <v>5</v>
      </c>
      <c r="AJ683" t="s">
        <v>201</v>
      </c>
      <c r="AK683">
        <v>0.24</v>
      </c>
      <c r="AL683" t="s">
        <v>409</v>
      </c>
      <c r="AO683">
        <v>0</v>
      </c>
      <c r="AT683" t="s">
        <v>77</v>
      </c>
      <c r="AU683">
        <v>0.16842105263157889</v>
      </c>
      <c r="AV683" t="s">
        <v>1250</v>
      </c>
      <c r="AZ683">
        <v>0</v>
      </c>
      <c r="BA683">
        <v>5.63</v>
      </c>
    </row>
    <row r="684" spans="1:53" x14ac:dyDescent="0.3">
      <c r="A684" t="s">
        <v>1249</v>
      </c>
      <c r="C684" t="s">
        <v>1275</v>
      </c>
      <c r="D684" t="s">
        <v>81</v>
      </c>
      <c r="E684">
        <v>10000000</v>
      </c>
      <c r="H684">
        <v>9.6199999999999992</v>
      </c>
      <c r="I684" t="s">
        <v>56</v>
      </c>
      <c r="J684">
        <v>9.6199999999999996E-4</v>
      </c>
      <c r="K684" t="s">
        <v>57</v>
      </c>
      <c r="L684" t="s">
        <v>112</v>
      </c>
      <c r="O684">
        <v>6200</v>
      </c>
      <c r="P684" t="s">
        <v>121</v>
      </c>
      <c r="T684">
        <v>22.5</v>
      </c>
      <c r="V684">
        <v>50</v>
      </c>
      <c r="W684" t="s">
        <v>1229</v>
      </c>
      <c r="X684" t="s">
        <v>114</v>
      </c>
      <c r="Y684">
        <v>60</v>
      </c>
      <c r="AB684">
        <v>0.18</v>
      </c>
      <c r="AC684" t="s">
        <v>85</v>
      </c>
      <c r="AD684" t="s">
        <v>242</v>
      </c>
      <c r="AE684" t="s">
        <v>138</v>
      </c>
      <c r="AI684">
        <v>5</v>
      </c>
      <c r="AJ684" t="s">
        <v>201</v>
      </c>
      <c r="AK684">
        <v>0.25</v>
      </c>
      <c r="AL684" t="s">
        <v>409</v>
      </c>
      <c r="AO684">
        <v>0</v>
      </c>
      <c r="AT684" t="s">
        <v>221</v>
      </c>
      <c r="AU684">
        <v>0.25987525987525989</v>
      </c>
      <c r="AV684" t="s">
        <v>1250</v>
      </c>
    </row>
    <row r="685" spans="1:53" x14ac:dyDescent="0.3">
      <c r="A685" t="s">
        <v>1249</v>
      </c>
      <c r="C685" t="s">
        <v>1275</v>
      </c>
      <c r="D685" t="s">
        <v>81</v>
      </c>
      <c r="E685">
        <v>10000000</v>
      </c>
      <c r="H685">
        <v>14.25</v>
      </c>
      <c r="I685" t="s">
        <v>56</v>
      </c>
      <c r="J685">
        <v>1.4250000000000001E-3</v>
      </c>
      <c r="K685" t="s">
        <v>57</v>
      </c>
      <c r="L685" t="s">
        <v>112</v>
      </c>
      <c r="O685">
        <v>5.8</v>
      </c>
      <c r="P685" t="s">
        <v>59</v>
      </c>
      <c r="T685">
        <v>22.5</v>
      </c>
      <c r="W685" t="s">
        <v>540</v>
      </c>
      <c r="X685" t="s">
        <v>114</v>
      </c>
      <c r="Y685">
        <v>60</v>
      </c>
      <c r="AB685">
        <v>0.05</v>
      </c>
      <c r="AC685" t="s">
        <v>85</v>
      </c>
      <c r="AD685" t="s">
        <v>234</v>
      </c>
      <c r="AE685" t="s">
        <v>138</v>
      </c>
      <c r="AI685">
        <v>5</v>
      </c>
      <c r="AJ685" t="s">
        <v>201</v>
      </c>
      <c r="AK685">
        <v>1.49</v>
      </c>
      <c r="AL685" t="s">
        <v>409</v>
      </c>
      <c r="AO685">
        <v>0</v>
      </c>
      <c r="AT685" t="s">
        <v>212</v>
      </c>
      <c r="AU685">
        <v>1.045614035087719</v>
      </c>
      <c r="AV685" t="s">
        <v>1250</v>
      </c>
    </row>
    <row r="686" spans="1:53" x14ac:dyDescent="0.3">
      <c r="A686" t="s">
        <v>1249</v>
      </c>
      <c r="C686" t="s">
        <v>1275</v>
      </c>
      <c r="D686" t="s">
        <v>81</v>
      </c>
      <c r="E686">
        <v>10000000</v>
      </c>
      <c r="H686">
        <v>14.25</v>
      </c>
      <c r="I686" t="s">
        <v>56</v>
      </c>
      <c r="J686">
        <v>1.4250000000000001E-3</v>
      </c>
      <c r="K686" t="s">
        <v>57</v>
      </c>
      <c r="L686" t="s">
        <v>112</v>
      </c>
      <c r="O686">
        <v>5.8</v>
      </c>
      <c r="P686" t="s">
        <v>59</v>
      </c>
      <c r="T686">
        <v>22.5</v>
      </c>
      <c r="W686" t="s">
        <v>147</v>
      </c>
      <c r="X686" t="s">
        <v>114</v>
      </c>
      <c r="Y686">
        <v>60</v>
      </c>
      <c r="AB686">
        <v>-0.04</v>
      </c>
      <c r="AC686" t="s">
        <v>85</v>
      </c>
      <c r="AD686" t="s">
        <v>1399</v>
      </c>
      <c r="AE686" t="s">
        <v>138</v>
      </c>
      <c r="AI686">
        <v>5</v>
      </c>
      <c r="AJ686" t="s">
        <v>1400</v>
      </c>
      <c r="AK686">
        <v>1.01</v>
      </c>
      <c r="AL686" t="s">
        <v>409</v>
      </c>
      <c r="AO686">
        <v>0</v>
      </c>
      <c r="AT686" t="s">
        <v>150</v>
      </c>
      <c r="AU686">
        <v>0.70877192982456139</v>
      </c>
      <c r="AV686" t="s">
        <v>1250</v>
      </c>
    </row>
    <row r="687" spans="1:53" x14ac:dyDescent="0.3">
      <c r="A687" t="s">
        <v>1249</v>
      </c>
      <c r="C687" t="s">
        <v>1275</v>
      </c>
      <c r="D687" t="s">
        <v>81</v>
      </c>
      <c r="E687">
        <v>10000000</v>
      </c>
      <c r="H687">
        <v>14.25</v>
      </c>
      <c r="I687" t="s">
        <v>56</v>
      </c>
      <c r="J687">
        <v>1.4250000000000001E-3</v>
      </c>
      <c r="K687" t="s">
        <v>57</v>
      </c>
      <c r="L687" t="s">
        <v>112</v>
      </c>
      <c r="O687">
        <v>5.8</v>
      </c>
      <c r="P687" t="s">
        <v>59</v>
      </c>
      <c r="T687">
        <v>22.5</v>
      </c>
      <c r="W687" t="s">
        <v>1295</v>
      </c>
      <c r="X687" t="s">
        <v>114</v>
      </c>
      <c r="Y687">
        <v>60</v>
      </c>
      <c r="AB687">
        <v>0.24</v>
      </c>
      <c r="AC687" t="s">
        <v>85</v>
      </c>
      <c r="AD687" t="s">
        <v>98</v>
      </c>
      <c r="AE687" t="s">
        <v>138</v>
      </c>
      <c r="AI687">
        <v>5</v>
      </c>
      <c r="AJ687" t="s">
        <v>201</v>
      </c>
      <c r="AK687">
        <v>0.38</v>
      </c>
      <c r="AL687" t="s">
        <v>409</v>
      </c>
      <c r="AO687">
        <v>0</v>
      </c>
      <c r="AT687" t="s">
        <v>77</v>
      </c>
      <c r="AU687">
        <v>0.26666666666666672</v>
      </c>
      <c r="AV687" t="s">
        <v>1250</v>
      </c>
    </row>
    <row r="688" spans="1:53" x14ac:dyDescent="0.3">
      <c r="A688" t="s">
        <v>1249</v>
      </c>
      <c r="C688" t="s">
        <v>1275</v>
      </c>
      <c r="D688" t="s">
        <v>81</v>
      </c>
      <c r="E688">
        <v>10000000</v>
      </c>
      <c r="H688">
        <v>9.6199999999999992</v>
      </c>
      <c r="I688" t="s">
        <v>56</v>
      </c>
      <c r="J688">
        <v>9.6199999999999996E-4</v>
      </c>
      <c r="K688" t="s">
        <v>57</v>
      </c>
      <c r="L688" t="s">
        <v>112</v>
      </c>
      <c r="O688">
        <v>5.8</v>
      </c>
      <c r="P688" t="s">
        <v>59</v>
      </c>
      <c r="T688">
        <v>22.5</v>
      </c>
      <c r="W688" t="s">
        <v>1229</v>
      </c>
      <c r="X688" t="s">
        <v>114</v>
      </c>
      <c r="Y688">
        <v>60</v>
      </c>
      <c r="AB688">
        <v>0.21</v>
      </c>
      <c r="AC688" t="s">
        <v>85</v>
      </c>
      <c r="AD688" t="s">
        <v>238</v>
      </c>
      <c r="AE688" t="s">
        <v>138</v>
      </c>
      <c r="AI688">
        <v>5</v>
      </c>
      <c r="AJ688" t="s">
        <v>201</v>
      </c>
      <c r="AK688">
        <v>0.91</v>
      </c>
      <c r="AL688" t="s">
        <v>409</v>
      </c>
      <c r="AO688">
        <v>0</v>
      </c>
      <c r="AT688" t="s">
        <v>221</v>
      </c>
      <c r="AU688">
        <v>0.94594594594594605</v>
      </c>
      <c r="AV688" t="s">
        <v>1250</v>
      </c>
    </row>
    <row r="689" spans="1:53" x14ac:dyDescent="0.3">
      <c r="A689" t="s">
        <v>1249</v>
      </c>
      <c r="C689" t="s">
        <v>1275</v>
      </c>
      <c r="D689" t="s">
        <v>81</v>
      </c>
      <c r="E689">
        <v>10000000</v>
      </c>
      <c r="H689">
        <v>14.25</v>
      </c>
      <c r="I689" t="s">
        <v>56</v>
      </c>
      <c r="J689">
        <v>1.4250000000000001E-3</v>
      </c>
      <c r="K689" t="s">
        <v>57</v>
      </c>
      <c r="L689" t="s">
        <v>112</v>
      </c>
      <c r="O689">
        <v>5.8</v>
      </c>
      <c r="P689" t="s">
        <v>59</v>
      </c>
      <c r="T689">
        <v>22.5</v>
      </c>
      <c r="W689" t="s">
        <v>540</v>
      </c>
      <c r="X689" t="s">
        <v>114</v>
      </c>
      <c r="Y689">
        <v>60</v>
      </c>
      <c r="AB689">
        <v>-0.12</v>
      </c>
      <c r="AC689" t="s">
        <v>85</v>
      </c>
      <c r="AD689" t="s">
        <v>482</v>
      </c>
      <c r="AE689" t="s">
        <v>138</v>
      </c>
      <c r="AI689">
        <v>5</v>
      </c>
      <c r="AJ689" t="s">
        <v>201</v>
      </c>
      <c r="AK689">
        <v>1.49</v>
      </c>
      <c r="AL689" t="s">
        <v>409</v>
      </c>
      <c r="AO689">
        <v>0</v>
      </c>
      <c r="AT689" t="s">
        <v>212</v>
      </c>
      <c r="AU689">
        <v>1.045614035087719</v>
      </c>
      <c r="AV689" t="s">
        <v>1250</v>
      </c>
    </row>
    <row r="690" spans="1:53" x14ac:dyDescent="0.3">
      <c r="A690" t="s">
        <v>1249</v>
      </c>
      <c r="C690" t="s">
        <v>1275</v>
      </c>
      <c r="D690" t="s">
        <v>81</v>
      </c>
      <c r="E690">
        <v>10000000</v>
      </c>
      <c r="H690">
        <v>14.25</v>
      </c>
      <c r="I690" t="s">
        <v>56</v>
      </c>
      <c r="J690">
        <v>1.4250000000000001E-3</v>
      </c>
      <c r="K690" t="s">
        <v>57</v>
      </c>
      <c r="L690" t="s">
        <v>112</v>
      </c>
      <c r="O690">
        <v>5.8</v>
      </c>
      <c r="P690" t="s">
        <v>59</v>
      </c>
      <c r="T690">
        <v>22.5</v>
      </c>
      <c r="W690" t="s">
        <v>147</v>
      </c>
      <c r="X690" t="s">
        <v>114</v>
      </c>
      <c r="Y690">
        <v>60</v>
      </c>
      <c r="AB690">
        <v>0.33</v>
      </c>
      <c r="AC690" t="s">
        <v>85</v>
      </c>
      <c r="AD690" t="s">
        <v>239</v>
      </c>
      <c r="AE690" t="s">
        <v>138</v>
      </c>
      <c r="AI690">
        <v>5</v>
      </c>
      <c r="AJ690" t="s">
        <v>1400</v>
      </c>
      <c r="AK690">
        <v>1.01</v>
      </c>
      <c r="AL690" t="s">
        <v>409</v>
      </c>
      <c r="AO690">
        <v>0</v>
      </c>
      <c r="AT690" t="s">
        <v>150</v>
      </c>
      <c r="AU690">
        <v>0.70877192982456139</v>
      </c>
      <c r="AV690" t="s">
        <v>1250</v>
      </c>
    </row>
    <row r="691" spans="1:53" x14ac:dyDescent="0.3">
      <c r="A691" t="s">
        <v>1249</v>
      </c>
      <c r="C691" t="s">
        <v>1275</v>
      </c>
      <c r="D691" t="s">
        <v>81</v>
      </c>
      <c r="E691">
        <v>10000000</v>
      </c>
      <c r="H691">
        <v>14.25</v>
      </c>
      <c r="I691" t="s">
        <v>56</v>
      </c>
      <c r="J691">
        <v>1.4250000000000001E-3</v>
      </c>
      <c r="K691" t="s">
        <v>57</v>
      </c>
      <c r="L691" t="s">
        <v>112</v>
      </c>
      <c r="O691">
        <v>5.8</v>
      </c>
      <c r="P691" t="s">
        <v>59</v>
      </c>
      <c r="T691">
        <v>22.5</v>
      </c>
      <c r="W691" t="s">
        <v>549</v>
      </c>
      <c r="X691" t="s">
        <v>114</v>
      </c>
      <c r="Y691">
        <v>60</v>
      </c>
      <c r="AB691">
        <v>0.12</v>
      </c>
      <c r="AC691" t="s">
        <v>85</v>
      </c>
      <c r="AD691" t="s">
        <v>553</v>
      </c>
      <c r="AE691" t="s">
        <v>138</v>
      </c>
      <c r="AI691">
        <v>5</v>
      </c>
      <c r="AJ691" t="s">
        <v>201</v>
      </c>
      <c r="AK691">
        <v>0.38</v>
      </c>
      <c r="AL691" t="s">
        <v>409</v>
      </c>
      <c r="AO691">
        <v>0</v>
      </c>
      <c r="AT691" t="s">
        <v>77</v>
      </c>
      <c r="AU691">
        <v>0.26666666666666672</v>
      </c>
      <c r="AV691" t="s">
        <v>1250</v>
      </c>
    </row>
    <row r="692" spans="1:53" x14ac:dyDescent="0.3">
      <c r="A692" t="s">
        <v>1249</v>
      </c>
      <c r="C692" t="s">
        <v>1275</v>
      </c>
      <c r="D692" t="s">
        <v>81</v>
      </c>
      <c r="E692">
        <v>10000000</v>
      </c>
      <c r="H692">
        <v>9.6199999999999992</v>
      </c>
      <c r="I692" t="s">
        <v>56</v>
      </c>
      <c r="J692">
        <v>9.6199999999999996E-4</v>
      </c>
      <c r="K692" t="s">
        <v>57</v>
      </c>
      <c r="L692" t="s">
        <v>112</v>
      </c>
      <c r="O692">
        <v>5.8</v>
      </c>
      <c r="P692" t="s">
        <v>59</v>
      </c>
      <c r="T692">
        <v>22.5</v>
      </c>
      <c r="W692" t="s">
        <v>1229</v>
      </c>
      <c r="X692" t="s">
        <v>114</v>
      </c>
      <c r="Y692">
        <v>60</v>
      </c>
      <c r="AB692">
        <v>0.21</v>
      </c>
      <c r="AC692" t="s">
        <v>85</v>
      </c>
      <c r="AD692" t="s">
        <v>1401</v>
      </c>
      <c r="AE692" t="s">
        <v>138</v>
      </c>
      <c r="AI692">
        <v>5</v>
      </c>
      <c r="AJ692" t="s">
        <v>201</v>
      </c>
      <c r="AK692">
        <v>0.91</v>
      </c>
      <c r="AL692" t="s">
        <v>409</v>
      </c>
      <c r="AO692">
        <v>0</v>
      </c>
      <c r="AT692" t="s">
        <v>221</v>
      </c>
      <c r="AU692">
        <v>0.94594594594594605</v>
      </c>
      <c r="AV692" t="s">
        <v>1250</v>
      </c>
    </row>
    <row r="693" spans="1:53" x14ac:dyDescent="0.3">
      <c r="A693" t="s">
        <v>1249</v>
      </c>
      <c r="C693" t="s">
        <v>1275</v>
      </c>
      <c r="D693" t="s">
        <v>81</v>
      </c>
      <c r="E693">
        <v>10000000</v>
      </c>
      <c r="H693">
        <v>14.25</v>
      </c>
      <c r="I693" t="s">
        <v>56</v>
      </c>
      <c r="J693">
        <v>1.4250000000000001E-3</v>
      </c>
      <c r="K693" t="s">
        <v>57</v>
      </c>
      <c r="L693" t="s">
        <v>112</v>
      </c>
      <c r="O693">
        <v>2.09</v>
      </c>
      <c r="P693" t="s">
        <v>59</v>
      </c>
      <c r="T693">
        <v>22.5</v>
      </c>
      <c r="V693">
        <v>40</v>
      </c>
      <c r="W693" t="s">
        <v>460</v>
      </c>
      <c r="X693" t="s">
        <v>114</v>
      </c>
      <c r="Y693">
        <v>60</v>
      </c>
      <c r="AB693">
        <v>7</v>
      </c>
      <c r="AC693" t="s">
        <v>85</v>
      </c>
      <c r="AD693" t="s">
        <v>1402</v>
      </c>
      <c r="AE693" t="s">
        <v>138</v>
      </c>
      <c r="AI693">
        <v>5</v>
      </c>
      <c r="AJ693" t="s">
        <v>201</v>
      </c>
      <c r="AK693">
        <v>1.6</v>
      </c>
      <c r="AL693" t="s">
        <v>409</v>
      </c>
      <c r="AO693">
        <v>0</v>
      </c>
      <c r="AT693" t="s">
        <v>73</v>
      </c>
      <c r="AU693">
        <v>1.12280701754386</v>
      </c>
      <c r="AV693" t="s">
        <v>1250</v>
      </c>
    </row>
    <row r="694" spans="1:53" x14ac:dyDescent="0.3">
      <c r="A694" t="s">
        <v>1249</v>
      </c>
      <c r="C694" t="s">
        <v>1275</v>
      </c>
      <c r="D694" t="s">
        <v>81</v>
      </c>
      <c r="E694">
        <v>10000000</v>
      </c>
      <c r="H694">
        <v>14.25</v>
      </c>
      <c r="I694" t="s">
        <v>56</v>
      </c>
      <c r="J694">
        <v>1.4250000000000001E-3</v>
      </c>
      <c r="K694" t="s">
        <v>57</v>
      </c>
      <c r="L694" t="s">
        <v>112</v>
      </c>
      <c r="O694">
        <v>2.09</v>
      </c>
      <c r="P694" t="s">
        <v>59</v>
      </c>
      <c r="T694">
        <v>22.5</v>
      </c>
      <c r="V694">
        <v>40</v>
      </c>
      <c r="W694" t="s">
        <v>463</v>
      </c>
      <c r="X694" t="s">
        <v>114</v>
      </c>
      <c r="Y694">
        <v>60</v>
      </c>
      <c r="AA694" t="s">
        <v>94</v>
      </c>
      <c r="AB694">
        <v>7.61</v>
      </c>
      <c r="AC694" t="s">
        <v>85</v>
      </c>
      <c r="AD694" t="s">
        <v>236</v>
      </c>
      <c r="AE694" t="s">
        <v>138</v>
      </c>
      <c r="AI694">
        <v>5</v>
      </c>
      <c r="AJ694" t="s">
        <v>201</v>
      </c>
      <c r="AK694">
        <v>0.79</v>
      </c>
      <c r="AL694" t="s">
        <v>409</v>
      </c>
      <c r="AO694">
        <v>0</v>
      </c>
      <c r="AT694" t="s">
        <v>360</v>
      </c>
      <c r="AU694">
        <v>0.55438596491228076</v>
      </c>
      <c r="AV694" t="s">
        <v>1250</v>
      </c>
      <c r="AZ694">
        <v>0</v>
      </c>
      <c r="BA694">
        <v>7.61</v>
      </c>
    </row>
    <row r="695" spans="1:53" x14ac:dyDescent="0.3">
      <c r="A695" t="s">
        <v>1249</v>
      </c>
      <c r="C695" t="s">
        <v>1275</v>
      </c>
      <c r="D695" t="s">
        <v>81</v>
      </c>
      <c r="E695">
        <v>10000000</v>
      </c>
      <c r="H695">
        <v>14.25</v>
      </c>
      <c r="I695" t="s">
        <v>56</v>
      </c>
      <c r="J695">
        <v>1.4250000000000001E-3</v>
      </c>
      <c r="K695" t="s">
        <v>57</v>
      </c>
      <c r="L695" t="s">
        <v>112</v>
      </c>
      <c r="O695">
        <v>2.09</v>
      </c>
      <c r="P695" t="s">
        <v>59</v>
      </c>
      <c r="T695">
        <v>22.5</v>
      </c>
      <c r="V695">
        <v>40</v>
      </c>
      <c r="W695" t="s">
        <v>464</v>
      </c>
      <c r="X695" t="s">
        <v>114</v>
      </c>
      <c r="Y695">
        <v>60</v>
      </c>
      <c r="AA695" t="s">
        <v>94</v>
      </c>
      <c r="AB695">
        <v>7.87</v>
      </c>
      <c r="AC695" t="s">
        <v>85</v>
      </c>
      <c r="AD695" t="s">
        <v>418</v>
      </c>
      <c r="AE695" t="s">
        <v>138</v>
      </c>
      <c r="AI695">
        <v>5</v>
      </c>
      <c r="AJ695" t="s">
        <v>201</v>
      </c>
      <c r="AK695">
        <v>0.94</v>
      </c>
      <c r="AL695" t="s">
        <v>409</v>
      </c>
      <c r="AO695">
        <v>0</v>
      </c>
      <c r="AT695" t="s">
        <v>65</v>
      </c>
      <c r="AU695">
        <v>0.6596491228070176</v>
      </c>
      <c r="AV695" t="s">
        <v>1250</v>
      </c>
      <c r="AZ695">
        <v>0</v>
      </c>
      <c r="BA695">
        <v>7.87</v>
      </c>
    </row>
    <row r="696" spans="1:53" x14ac:dyDescent="0.3">
      <c r="A696" t="s">
        <v>1249</v>
      </c>
      <c r="C696" t="s">
        <v>1275</v>
      </c>
      <c r="D696" t="s">
        <v>81</v>
      </c>
      <c r="E696">
        <v>10000000</v>
      </c>
      <c r="H696">
        <v>14.25</v>
      </c>
      <c r="I696" t="s">
        <v>56</v>
      </c>
      <c r="J696">
        <v>1.4250000000000001E-3</v>
      </c>
      <c r="K696" t="s">
        <v>57</v>
      </c>
      <c r="L696" t="s">
        <v>112</v>
      </c>
      <c r="O696">
        <v>2.09</v>
      </c>
      <c r="P696" t="s">
        <v>59</v>
      </c>
      <c r="T696">
        <v>22.5</v>
      </c>
      <c r="V696">
        <v>40</v>
      </c>
      <c r="W696" t="s">
        <v>465</v>
      </c>
      <c r="X696" t="s">
        <v>114</v>
      </c>
      <c r="Y696">
        <v>60</v>
      </c>
      <c r="AA696" t="s">
        <v>94</v>
      </c>
      <c r="AB696">
        <v>7.42</v>
      </c>
      <c r="AC696" t="s">
        <v>85</v>
      </c>
      <c r="AD696" t="s">
        <v>126</v>
      </c>
      <c r="AE696" t="s">
        <v>138</v>
      </c>
      <c r="AI696">
        <v>5</v>
      </c>
      <c r="AJ696" t="s">
        <v>201</v>
      </c>
      <c r="AK696">
        <v>1.01</v>
      </c>
      <c r="AL696" t="s">
        <v>409</v>
      </c>
      <c r="AO696">
        <v>0</v>
      </c>
      <c r="AT696" t="s">
        <v>79</v>
      </c>
      <c r="AU696">
        <v>0.70877192982456139</v>
      </c>
      <c r="AV696" t="s">
        <v>1250</v>
      </c>
      <c r="AZ696">
        <v>0</v>
      </c>
      <c r="BA696">
        <v>7.42</v>
      </c>
    </row>
    <row r="697" spans="1:53" x14ac:dyDescent="0.3">
      <c r="A697" t="s">
        <v>1249</v>
      </c>
      <c r="C697" t="s">
        <v>1275</v>
      </c>
      <c r="D697" t="s">
        <v>81</v>
      </c>
      <c r="E697">
        <v>10000000</v>
      </c>
      <c r="H697">
        <v>14.25</v>
      </c>
      <c r="I697" t="s">
        <v>56</v>
      </c>
      <c r="J697">
        <v>1.4250000000000001E-3</v>
      </c>
      <c r="K697" t="s">
        <v>57</v>
      </c>
      <c r="L697" t="s">
        <v>112</v>
      </c>
      <c r="O697">
        <v>2.09</v>
      </c>
      <c r="P697" t="s">
        <v>59</v>
      </c>
      <c r="T697">
        <v>22.5</v>
      </c>
      <c r="V697">
        <v>40</v>
      </c>
      <c r="W697" t="s">
        <v>1251</v>
      </c>
      <c r="X697" t="s">
        <v>114</v>
      </c>
      <c r="Y697">
        <v>60</v>
      </c>
      <c r="AA697" t="s">
        <v>94</v>
      </c>
      <c r="AB697">
        <v>7.86</v>
      </c>
      <c r="AC697" t="s">
        <v>85</v>
      </c>
      <c r="AD697" t="s">
        <v>240</v>
      </c>
      <c r="AE697" t="s">
        <v>138</v>
      </c>
      <c r="AI697">
        <v>5</v>
      </c>
      <c r="AJ697" t="s">
        <v>201</v>
      </c>
      <c r="AK697">
        <v>1.1399999999999899</v>
      </c>
      <c r="AL697" t="s">
        <v>409</v>
      </c>
      <c r="AO697">
        <v>0</v>
      </c>
      <c r="AT697" t="s">
        <v>358</v>
      </c>
      <c r="AU697">
        <v>0.79999999999999294</v>
      </c>
      <c r="AV697" t="s">
        <v>1250</v>
      </c>
      <c r="AZ697">
        <v>0</v>
      </c>
      <c r="BA697">
        <v>7.86</v>
      </c>
    </row>
    <row r="698" spans="1:53" x14ac:dyDescent="0.3">
      <c r="A698" t="s">
        <v>1249</v>
      </c>
      <c r="C698" t="s">
        <v>1275</v>
      </c>
      <c r="D698" t="s">
        <v>81</v>
      </c>
      <c r="E698">
        <v>10000000</v>
      </c>
      <c r="H698">
        <v>14.25</v>
      </c>
      <c r="I698" t="s">
        <v>56</v>
      </c>
      <c r="J698">
        <v>1.4250000000000001E-3</v>
      </c>
      <c r="K698" t="s">
        <v>57</v>
      </c>
      <c r="L698" t="s">
        <v>112</v>
      </c>
      <c r="O698">
        <v>2.09</v>
      </c>
      <c r="P698" t="s">
        <v>59</v>
      </c>
      <c r="T698">
        <v>22.5</v>
      </c>
      <c r="V698">
        <v>40</v>
      </c>
      <c r="W698" t="s">
        <v>540</v>
      </c>
      <c r="X698" t="s">
        <v>114</v>
      </c>
      <c r="Y698">
        <v>60</v>
      </c>
      <c r="AB698">
        <v>4.6399999999999899</v>
      </c>
      <c r="AC698" t="s">
        <v>85</v>
      </c>
      <c r="AD698" t="s">
        <v>1403</v>
      </c>
      <c r="AE698" t="s">
        <v>138</v>
      </c>
      <c r="AI698">
        <v>5</v>
      </c>
      <c r="AJ698" t="s">
        <v>201</v>
      </c>
      <c r="AK698">
        <v>1.7</v>
      </c>
      <c r="AL698" t="s">
        <v>409</v>
      </c>
      <c r="AO698">
        <v>0</v>
      </c>
      <c r="AT698" t="s">
        <v>212</v>
      </c>
      <c r="AU698">
        <v>1.192982456140351</v>
      </c>
      <c r="AV698" t="s">
        <v>1250</v>
      </c>
    </row>
    <row r="699" spans="1:53" x14ac:dyDescent="0.3">
      <c r="A699" t="s">
        <v>1249</v>
      </c>
      <c r="C699" t="s">
        <v>1275</v>
      </c>
      <c r="D699" t="s">
        <v>81</v>
      </c>
      <c r="E699">
        <v>10000000</v>
      </c>
      <c r="H699">
        <v>14.25</v>
      </c>
      <c r="I699" t="s">
        <v>56</v>
      </c>
      <c r="J699">
        <v>1.4250000000000001E-3</v>
      </c>
      <c r="K699" t="s">
        <v>57</v>
      </c>
      <c r="L699" t="s">
        <v>112</v>
      </c>
      <c r="O699">
        <v>2.09</v>
      </c>
      <c r="P699" t="s">
        <v>59</v>
      </c>
      <c r="T699">
        <v>22.5</v>
      </c>
      <c r="V699">
        <v>40</v>
      </c>
      <c r="W699" t="s">
        <v>147</v>
      </c>
      <c r="X699" t="s">
        <v>114</v>
      </c>
      <c r="Y699">
        <v>60</v>
      </c>
      <c r="AA699" t="s">
        <v>94</v>
      </c>
      <c r="AB699">
        <v>7.72</v>
      </c>
      <c r="AC699" t="s">
        <v>85</v>
      </c>
      <c r="AD699" t="s">
        <v>418</v>
      </c>
      <c r="AE699" t="s">
        <v>138</v>
      </c>
      <c r="AI699">
        <v>5</v>
      </c>
      <c r="AJ699" t="s">
        <v>201</v>
      </c>
      <c r="AK699">
        <v>0.97</v>
      </c>
      <c r="AL699" t="s">
        <v>409</v>
      </c>
      <c r="AO699">
        <v>0</v>
      </c>
      <c r="AT699" t="s">
        <v>150</v>
      </c>
      <c r="AU699">
        <v>0.68070175438596492</v>
      </c>
      <c r="AV699" t="s">
        <v>1250</v>
      </c>
      <c r="AZ699">
        <v>0</v>
      </c>
      <c r="BA699">
        <v>7.72</v>
      </c>
    </row>
    <row r="700" spans="1:53" x14ac:dyDescent="0.3">
      <c r="A700" t="s">
        <v>1249</v>
      </c>
      <c r="C700" t="s">
        <v>1275</v>
      </c>
      <c r="D700" t="s">
        <v>81</v>
      </c>
      <c r="E700">
        <v>10000000</v>
      </c>
      <c r="H700">
        <v>14.25</v>
      </c>
      <c r="I700" t="s">
        <v>56</v>
      </c>
      <c r="J700">
        <v>1.4250000000000001E-3</v>
      </c>
      <c r="K700" t="s">
        <v>57</v>
      </c>
      <c r="L700" t="s">
        <v>112</v>
      </c>
      <c r="O700">
        <v>2.09</v>
      </c>
      <c r="P700" t="s">
        <v>59</v>
      </c>
      <c r="T700">
        <v>22.5</v>
      </c>
      <c r="V700">
        <v>40</v>
      </c>
      <c r="W700" t="s">
        <v>460</v>
      </c>
      <c r="X700" t="s">
        <v>114</v>
      </c>
      <c r="Y700">
        <v>60</v>
      </c>
      <c r="AA700" t="s">
        <v>94</v>
      </c>
      <c r="AB700">
        <v>7.42</v>
      </c>
      <c r="AC700" t="s">
        <v>85</v>
      </c>
      <c r="AD700" t="s">
        <v>248</v>
      </c>
      <c r="AE700" t="s">
        <v>138</v>
      </c>
      <c r="AI700">
        <v>5</v>
      </c>
      <c r="AJ700" t="s">
        <v>201</v>
      </c>
      <c r="AK700">
        <v>1.6</v>
      </c>
      <c r="AL700" t="s">
        <v>409</v>
      </c>
      <c r="AO700">
        <v>0</v>
      </c>
      <c r="AT700" t="s">
        <v>73</v>
      </c>
      <c r="AU700">
        <v>1.12280701754386</v>
      </c>
      <c r="AV700" t="s">
        <v>1250</v>
      </c>
      <c r="AZ700">
        <v>0</v>
      </c>
      <c r="BA700">
        <v>7.42</v>
      </c>
    </row>
    <row r="701" spans="1:53" x14ac:dyDescent="0.3">
      <c r="A701" t="s">
        <v>1249</v>
      </c>
      <c r="C701" t="s">
        <v>1275</v>
      </c>
      <c r="D701" t="s">
        <v>81</v>
      </c>
      <c r="E701">
        <v>10000000</v>
      </c>
      <c r="H701">
        <v>14.25</v>
      </c>
      <c r="I701" t="s">
        <v>56</v>
      </c>
      <c r="J701">
        <v>1.4250000000000001E-3</v>
      </c>
      <c r="K701" t="s">
        <v>57</v>
      </c>
      <c r="L701" t="s">
        <v>112</v>
      </c>
      <c r="O701">
        <v>2.09</v>
      </c>
      <c r="P701" t="s">
        <v>59</v>
      </c>
      <c r="T701">
        <v>22.5</v>
      </c>
      <c r="V701">
        <v>40</v>
      </c>
      <c r="W701" t="s">
        <v>463</v>
      </c>
      <c r="X701" t="s">
        <v>114</v>
      </c>
      <c r="Y701">
        <v>60</v>
      </c>
      <c r="AA701" t="s">
        <v>94</v>
      </c>
      <c r="AB701">
        <v>7.66</v>
      </c>
      <c r="AC701" t="s">
        <v>85</v>
      </c>
      <c r="AD701" t="s">
        <v>418</v>
      </c>
      <c r="AE701" t="s">
        <v>138</v>
      </c>
      <c r="AI701">
        <v>5</v>
      </c>
      <c r="AJ701" t="s">
        <v>201</v>
      </c>
      <c r="AK701">
        <v>0.79</v>
      </c>
      <c r="AL701" t="s">
        <v>409</v>
      </c>
      <c r="AO701">
        <v>0</v>
      </c>
      <c r="AT701" t="s">
        <v>360</v>
      </c>
      <c r="AU701">
        <v>0.55438596491228076</v>
      </c>
      <c r="AV701" t="s">
        <v>1250</v>
      </c>
      <c r="AZ701">
        <v>0</v>
      </c>
      <c r="BA701">
        <v>7.66</v>
      </c>
    </row>
    <row r="702" spans="1:53" x14ac:dyDescent="0.3">
      <c r="A702" t="s">
        <v>1249</v>
      </c>
      <c r="C702" t="s">
        <v>1275</v>
      </c>
      <c r="D702" t="s">
        <v>81</v>
      </c>
      <c r="E702">
        <v>10000000</v>
      </c>
      <c r="H702">
        <v>14.25</v>
      </c>
      <c r="I702" t="s">
        <v>56</v>
      </c>
      <c r="J702">
        <v>1.4250000000000001E-3</v>
      </c>
      <c r="K702" t="s">
        <v>57</v>
      </c>
      <c r="L702" t="s">
        <v>112</v>
      </c>
      <c r="O702">
        <v>2.09</v>
      </c>
      <c r="P702" t="s">
        <v>59</v>
      </c>
      <c r="T702">
        <v>22.5</v>
      </c>
      <c r="V702">
        <v>40</v>
      </c>
      <c r="W702" t="s">
        <v>464</v>
      </c>
      <c r="X702" t="s">
        <v>114</v>
      </c>
      <c r="Y702">
        <v>60</v>
      </c>
      <c r="AA702" t="s">
        <v>94</v>
      </c>
      <c r="AB702">
        <v>7.64</v>
      </c>
      <c r="AC702" t="s">
        <v>85</v>
      </c>
      <c r="AD702" t="s">
        <v>418</v>
      </c>
      <c r="AE702" t="s">
        <v>138</v>
      </c>
      <c r="AI702">
        <v>5</v>
      </c>
      <c r="AJ702" t="s">
        <v>201</v>
      </c>
      <c r="AK702">
        <v>0.94</v>
      </c>
      <c r="AL702" t="s">
        <v>409</v>
      </c>
      <c r="AO702">
        <v>0</v>
      </c>
      <c r="AT702" t="s">
        <v>65</v>
      </c>
      <c r="AU702">
        <v>0.6596491228070176</v>
      </c>
      <c r="AV702" t="s">
        <v>1250</v>
      </c>
      <c r="AZ702">
        <v>0</v>
      </c>
      <c r="BA702">
        <v>7.64</v>
      </c>
    </row>
    <row r="703" spans="1:53" x14ac:dyDescent="0.3">
      <c r="A703" t="s">
        <v>1249</v>
      </c>
      <c r="C703" t="s">
        <v>1275</v>
      </c>
      <c r="D703" t="s">
        <v>81</v>
      </c>
      <c r="E703">
        <v>10000000</v>
      </c>
      <c r="H703">
        <v>14.25</v>
      </c>
      <c r="I703" t="s">
        <v>56</v>
      </c>
      <c r="J703">
        <v>1.4250000000000001E-3</v>
      </c>
      <c r="K703" t="s">
        <v>57</v>
      </c>
      <c r="L703" t="s">
        <v>112</v>
      </c>
      <c r="O703">
        <v>2.09</v>
      </c>
      <c r="P703" t="s">
        <v>59</v>
      </c>
      <c r="T703">
        <v>22.5</v>
      </c>
      <c r="V703">
        <v>40</v>
      </c>
      <c r="W703" t="s">
        <v>465</v>
      </c>
      <c r="X703" t="s">
        <v>114</v>
      </c>
      <c r="Y703">
        <v>60</v>
      </c>
      <c r="AA703" t="s">
        <v>94</v>
      </c>
      <c r="AB703">
        <v>6.69</v>
      </c>
      <c r="AC703" t="s">
        <v>85</v>
      </c>
      <c r="AD703" t="s">
        <v>936</v>
      </c>
      <c r="AE703" t="s">
        <v>138</v>
      </c>
      <c r="AI703">
        <v>5</v>
      </c>
      <c r="AJ703" t="s">
        <v>201</v>
      </c>
      <c r="AK703">
        <v>1.01</v>
      </c>
      <c r="AL703" t="s">
        <v>409</v>
      </c>
      <c r="AO703">
        <v>0</v>
      </c>
      <c r="AT703" t="s">
        <v>79</v>
      </c>
      <c r="AU703">
        <v>0.70877192982456139</v>
      </c>
      <c r="AV703" t="s">
        <v>1250</v>
      </c>
      <c r="AZ703">
        <v>0</v>
      </c>
      <c r="BA703">
        <v>6.69</v>
      </c>
    </row>
    <row r="704" spans="1:53" x14ac:dyDescent="0.3">
      <c r="A704" t="s">
        <v>1249</v>
      </c>
      <c r="C704" t="s">
        <v>1275</v>
      </c>
      <c r="D704" t="s">
        <v>81</v>
      </c>
      <c r="E704">
        <v>10000000</v>
      </c>
      <c r="H704">
        <v>14.25</v>
      </c>
      <c r="I704" t="s">
        <v>56</v>
      </c>
      <c r="J704">
        <v>1.4250000000000001E-3</v>
      </c>
      <c r="K704" t="s">
        <v>57</v>
      </c>
      <c r="L704" t="s">
        <v>112</v>
      </c>
      <c r="O704">
        <v>2.09</v>
      </c>
      <c r="P704" t="s">
        <v>59</v>
      </c>
      <c r="T704">
        <v>22.5</v>
      </c>
      <c r="V704">
        <v>40</v>
      </c>
      <c r="W704" t="s">
        <v>1251</v>
      </c>
      <c r="X704" t="s">
        <v>114</v>
      </c>
      <c r="Y704">
        <v>60</v>
      </c>
      <c r="AA704" t="s">
        <v>94</v>
      </c>
      <c r="AB704">
        <v>7.29</v>
      </c>
      <c r="AC704" t="s">
        <v>85</v>
      </c>
      <c r="AD704" t="s">
        <v>242</v>
      </c>
      <c r="AE704" t="s">
        <v>138</v>
      </c>
      <c r="AI704">
        <v>5</v>
      </c>
      <c r="AJ704" t="s">
        <v>201</v>
      </c>
      <c r="AK704">
        <v>1.1399999999999899</v>
      </c>
      <c r="AL704" t="s">
        <v>409</v>
      </c>
      <c r="AO704">
        <v>0</v>
      </c>
      <c r="AT704" t="s">
        <v>358</v>
      </c>
      <c r="AU704">
        <v>0.79999999999999294</v>
      </c>
      <c r="AV704" t="s">
        <v>1250</v>
      </c>
      <c r="AZ704">
        <v>0</v>
      </c>
      <c r="BA704">
        <v>7.29</v>
      </c>
    </row>
    <row r="705" spans="1:53" x14ac:dyDescent="0.3">
      <c r="A705" t="s">
        <v>1249</v>
      </c>
      <c r="C705" t="s">
        <v>1275</v>
      </c>
      <c r="D705" t="s">
        <v>81</v>
      </c>
      <c r="E705">
        <v>10000000</v>
      </c>
      <c r="H705">
        <v>14.25</v>
      </c>
      <c r="I705" t="s">
        <v>56</v>
      </c>
      <c r="J705">
        <v>1.4250000000000001E-3</v>
      </c>
      <c r="K705" t="s">
        <v>57</v>
      </c>
      <c r="L705" t="s">
        <v>112</v>
      </c>
      <c r="O705">
        <v>2.09</v>
      </c>
      <c r="P705" t="s">
        <v>59</v>
      </c>
      <c r="T705">
        <v>22.5</v>
      </c>
      <c r="V705">
        <v>40</v>
      </c>
      <c r="W705" t="s">
        <v>540</v>
      </c>
      <c r="X705" t="s">
        <v>114</v>
      </c>
      <c r="Y705">
        <v>60</v>
      </c>
      <c r="AB705">
        <v>5.15</v>
      </c>
      <c r="AC705" t="s">
        <v>85</v>
      </c>
      <c r="AD705" t="s">
        <v>330</v>
      </c>
      <c r="AE705" t="s">
        <v>138</v>
      </c>
      <c r="AI705">
        <v>5</v>
      </c>
      <c r="AJ705" t="s">
        <v>201</v>
      </c>
      <c r="AK705">
        <v>1.7</v>
      </c>
      <c r="AL705" t="s">
        <v>409</v>
      </c>
      <c r="AO705">
        <v>0</v>
      </c>
      <c r="AT705" t="s">
        <v>212</v>
      </c>
      <c r="AU705">
        <v>1.192982456140351</v>
      </c>
      <c r="AV705" t="s">
        <v>1250</v>
      </c>
    </row>
    <row r="706" spans="1:53" x14ac:dyDescent="0.3">
      <c r="A706" t="s">
        <v>1249</v>
      </c>
      <c r="C706" t="s">
        <v>1275</v>
      </c>
      <c r="D706" t="s">
        <v>81</v>
      </c>
      <c r="E706">
        <v>10000000</v>
      </c>
      <c r="H706">
        <v>14.25</v>
      </c>
      <c r="I706" t="s">
        <v>56</v>
      </c>
      <c r="J706">
        <v>1.4250000000000001E-3</v>
      </c>
      <c r="K706" t="s">
        <v>57</v>
      </c>
      <c r="L706" t="s">
        <v>112</v>
      </c>
      <c r="O706">
        <v>2.09</v>
      </c>
      <c r="P706" t="s">
        <v>59</v>
      </c>
      <c r="T706">
        <v>22.5</v>
      </c>
      <c r="V706">
        <v>40</v>
      </c>
      <c r="W706" t="s">
        <v>147</v>
      </c>
      <c r="X706" t="s">
        <v>114</v>
      </c>
      <c r="Y706">
        <v>60</v>
      </c>
      <c r="AA706" t="s">
        <v>94</v>
      </c>
      <c r="AB706">
        <v>7.03</v>
      </c>
      <c r="AC706" t="s">
        <v>85</v>
      </c>
      <c r="AD706" t="s">
        <v>511</v>
      </c>
      <c r="AE706" t="s">
        <v>138</v>
      </c>
      <c r="AI706">
        <v>5</v>
      </c>
      <c r="AJ706" t="s">
        <v>201</v>
      </c>
      <c r="AK706">
        <v>0.97</v>
      </c>
      <c r="AL706" t="s">
        <v>409</v>
      </c>
      <c r="AO706">
        <v>0</v>
      </c>
      <c r="AT706" t="s">
        <v>150</v>
      </c>
      <c r="AU706">
        <v>0.68070175438596492</v>
      </c>
      <c r="AV706" t="s">
        <v>1250</v>
      </c>
      <c r="AZ706">
        <v>0</v>
      </c>
      <c r="BA706">
        <v>7.03</v>
      </c>
    </row>
    <row r="707" spans="1:53" x14ac:dyDescent="0.3">
      <c r="A707" t="s">
        <v>1249</v>
      </c>
      <c r="C707" t="s">
        <v>1275</v>
      </c>
      <c r="D707" t="s">
        <v>81</v>
      </c>
      <c r="E707">
        <v>10000000</v>
      </c>
      <c r="H707">
        <v>14.25</v>
      </c>
      <c r="I707" t="s">
        <v>56</v>
      </c>
      <c r="J707">
        <v>1.4250000000000001E-3</v>
      </c>
      <c r="K707" t="s">
        <v>57</v>
      </c>
      <c r="L707" t="s">
        <v>112</v>
      </c>
      <c r="O707">
        <v>2.2000000000000002</v>
      </c>
      <c r="P707" t="s">
        <v>59</v>
      </c>
      <c r="T707">
        <v>22.5</v>
      </c>
      <c r="V707">
        <v>40</v>
      </c>
      <c r="W707" t="s">
        <v>463</v>
      </c>
      <c r="X707" t="s">
        <v>114</v>
      </c>
      <c r="Y707">
        <v>10</v>
      </c>
      <c r="AA707" t="s">
        <v>94</v>
      </c>
      <c r="AB707">
        <v>7.58</v>
      </c>
      <c r="AC707" t="s">
        <v>85</v>
      </c>
      <c r="AD707" t="s">
        <v>418</v>
      </c>
      <c r="AE707" t="s">
        <v>138</v>
      </c>
      <c r="AI707">
        <v>5</v>
      </c>
      <c r="AJ707" t="s">
        <v>201</v>
      </c>
      <c r="AK707">
        <v>0.21</v>
      </c>
      <c r="AL707" t="s">
        <v>409</v>
      </c>
      <c r="AO707">
        <v>0</v>
      </c>
      <c r="AT707" t="s">
        <v>360</v>
      </c>
      <c r="AU707">
        <v>0.14736842105263159</v>
      </c>
      <c r="AV707" t="s">
        <v>1250</v>
      </c>
      <c r="AZ707">
        <v>0</v>
      </c>
      <c r="BA707">
        <v>7.58</v>
      </c>
    </row>
    <row r="708" spans="1:53" x14ac:dyDescent="0.3">
      <c r="A708" t="s">
        <v>1249</v>
      </c>
      <c r="C708" t="s">
        <v>1275</v>
      </c>
      <c r="D708" t="s">
        <v>81</v>
      </c>
      <c r="E708">
        <v>10000000</v>
      </c>
      <c r="H708">
        <v>14.25</v>
      </c>
      <c r="I708" t="s">
        <v>56</v>
      </c>
      <c r="J708">
        <v>1.4250000000000001E-3</v>
      </c>
      <c r="K708" t="s">
        <v>57</v>
      </c>
      <c r="L708" t="s">
        <v>112</v>
      </c>
      <c r="O708">
        <v>2.2000000000000002</v>
      </c>
      <c r="P708" t="s">
        <v>59</v>
      </c>
      <c r="T708">
        <v>22.5</v>
      </c>
      <c r="V708">
        <v>40</v>
      </c>
      <c r="W708" t="s">
        <v>464</v>
      </c>
      <c r="X708" t="s">
        <v>114</v>
      </c>
      <c r="Y708">
        <v>10</v>
      </c>
      <c r="AA708" t="s">
        <v>94</v>
      </c>
      <c r="AB708">
        <v>7.8</v>
      </c>
      <c r="AC708" t="s">
        <v>85</v>
      </c>
      <c r="AD708" t="s">
        <v>232</v>
      </c>
      <c r="AE708" t="s">
        <v>138</v>
      </c>
      <c r="AI708">
        <v>5</v>
      </c>
      <c r="AJ708" t="s">
        <v>201</v>
      </c>
      <c r="AK708">
        <v>0.12</v>
      </c>
      <c r="AL708" t="s">
        <v>409</v>
      </c>
      <c r="AO708">
        <v>0</v>
      </c>
      <c r="AT708" t="s">
        <v>65</v>
      </c>
      <c r="AU708">
        <v>8.4210526315789472E-2</v>
      </c>
      <c r="AV708" t="s">
        <v>1250</v>
      </c>
      <c r="AZ708">
        <v>0</v>
      </c>
      <c r="BA708">
        <v>7.8</v>
      </c>
    </row>
    <row r="709" spans="1:53" x14ac:dyDescent="0.3">
      <c r="A709" t="s">
        <v>1249</v>
      </c>
      <c r="C709" t="s">
        <v>1275</v>
      </c>
      <c r="D709" t="s">
        <v>81</v>
      </c>
      <c r="E709">
        <v>10000000</v>
      </c>
      <c r="H709">
        <v>14.25</v>
      </c>
      <c r="I709" t="s">
        <v>56</v>
      </c>
      <c r="J709">
        <v>1.4250000000000001E-3</v>
      </c>
      <c r="K709" t="s">
        <v>57</v>
      </c>
      <c r="L709" t="s">
        <v>112</v>
      </c>
      <c r="O709">
        <v>2.2000000000000002</v>
      </c>
      <c r="P709" t="s">
        <v>59</v>
      </c>
      <c r="T709">
        <v>22.5</v>
      </c>
      <c r="V709">
        <v>40</v>
      </c>
      <c r="W709" t="s">
        <v>465</v>
      </c>
      <c r="X709" t="s">
        <v>114</v>
      </c>
      <c r="Y709">
        <v>10</v>
      </c>
      <c r="AA709" t="s">
        <v>94</v>
      </c>
      <c r="AB709">
        <v>7.53</v>
      </c>
      <c r="AC709" t="s">
        <v>85</v>
      </c>
      <c r="AD709" t="s">
        <v>365</v>
      </c>
      <c r="AE709" t="s">
        <v>138</v>
      </c>
      <c r="AI709">
        <v>5</v>
      </c>
      <c r="AJ709" t="s">
        <v>201</v>
      </c>
      <c r="AK709">
        <v>0.11</v>
      </c>
      <c r="AL709" t="s">
        <v>409</v>
      </c>
      <c r="AO709">
        <v>0</v>
      </c>
      <c r="AT709" t="s">
        <v>79</v>
      </c>
      <c r="AU709">
        <v>7.7192982456140355E-2</v>
      </c>
      <c r="AV709" t="s">
        <v>1250</v>
      </c>
      <c r="AZ709">
        <v>0</v>
      </c>
      <c r="BA709">
        <v>7.53</v>
      </c>
    </row>
    <row r="710" spans="1:53" x14ac:dyDescent="0.3">
      <c r="A710" t="s">
        <v>1249</v>
      </c>
      <c r="C710" t="s">
        <v>1275</v>
      </c>
      <c r="D710" t="s">
        <v>81</v>
      </c>
      <c r="E710">
        <v>10000000</v>
      </c>
      <c r="H710">
        <v>14.25</v>
      </c>
      <c r="I710" t="s">
        <v>56</v>
      </c>
      <c r="J710">
        <v>1.4250000000000001E-3</v>
      </c>
      <c r="K710" t="s">
        <v>57</v>
      </c>
      <c r="L710" t="s">
        <v>112</v>
      </c>
      <c r="O710">
        <v>2.2000000000000002</v>
      </c>
      <c r="P710" t="s">
        <v>59</v>
      </c>
      <c r="T710">
        <v>22.5</v>
      </c>
      <c r="V710">
        <v>40</v>
      </c>
      <c r="W710" t="s">
        <v>147</v>
      </c>
      <c r="X710" t="s">
        <v>114</v>
      </c>
      <c r="Y710">
        <v>10</v>
      </c>
      <c r="AA710" t="s">
        <v>94</v>
      </c>
      <c r="AB710">
        <v>7.75</v>
      </c>
      <c r="AC710" t="s">
        <v>85</v>
      </c>
      <c r="AD710" t="s">
        <v>235</v>
      </c>
      <c r="AE710" t="s">
        <v>138</v>
      </c>
      <c r="AI710">
        <v>5</v>
      </c>
      <c r="AJ710" t="s">
        <v>201</v>
      </c>
      <c r="AK710">
        <v>0.16</v>
      </c>
      <c r="AL710" t="s">
        <v>409</v>
      </c>
      <c r="AO710">
        <v>0</v>
      </c>
      <c r="AT710" t="s">
        <v>150</v>
      </c>
      <c r="AU710">
        <v>0.11228070175438599</v>
      </c>
      <c r="AV710" t="s">
        <v>1250</v>
      </c>
      <c r="AZ710">
        <v>0</v>
      </c>
      <c r="BA710">
        <v>7.75</v>
      </c>
    </row>
    <row r="711" spans="1:53" x14ac:dyDescent="0.3">
      <c r="A711" t="s">
        <v>1249</v>
      </c>
      <c r="C711" t="s">
        <v>1275</v>
      </c>
      <c r="D711" t="s">
        <v>81</v>
      </c>
      <c r="E711">
        <v>10000000</v>
      </c>
      <c r="H711">
        <v>14.25</v>
      </c>
      <c r="I711" t="s">
        <v>56</v>
      </c>
      <c r="J711">
        <v>1.4250000000000001E-3</v>
      </c>
      <c r="K711" t="s">
        <v>57</v>
      </c>
      <c r="L711" t="s">
        <v>112</v>
      </c>
      <c r="O711">
        <v>2.2000000000000002</v>
      </c>
      <c r="P711" t="s">
        <v>59</v>
      </c>
      <c r="T711">
        <v>22.5</v>
      </c>
      <c r="V711">
        <v>40</v>
      </c>
      <c r="W711" t="s">
        <v>460</v>
      </c>
      <c r="X711" t="s">
        <v>114</v>
      </c>
      <c r="Y711">
        <v>30</v>
      </c>
      <c r="AA711" t="s">
        <v>94</v>
      </c>
      <c r="AB711">
        <v>7.82</v>
      </c>
      <c r="AC711" t="s">
        <v>85</v>
      </c>
      <c r="AD711" t="s">
        <v>240</v>
      </c>
      <c r="AE711" t="s">
        <v>138</v>
      </c>
      <c r="AI711">
        <v>5</v>
      </c>
      <c r="AJ711" t="s">
        <v>201</v>
      </c>
      <c r="AK711">
        <v>0.18</v>
      </c>
      <c r="AL711" t="s">
        <v>409</v>
      </c>
      <c r="AO711">
        <v>0</v>
      </c>
      <c r="AT711" t="s">
        <v>73</v>
      </c>
      <c r="AU711">
        <v>0.12631578947368419</v>
      </c>
      <c r="AV711" t="s">
        <v>1250</v>
      </c>
      <c r="AZ711">
        <v>0</v>
      </c>
      <c r="BA711">
        <v>7.82</v>
      </c>
    </row>
    <row r="712" spans="1:53" x14ac:dyDescent="0.3">
      <c r="A712" t="s">
        <v>1249</v>
      </c>
      <c r="C712" t="s">
        <v>1275</v>
      </c>
      <c r="D712" t="s">
        <v>81</v>
      </c>
      <c r="E712">
        <v>10000000</v>
      </c>
      <c r="H712">
        <v>14.25</v>
      </c>
      <c r="I712" t="s">
        <v>56</v>
      </c>
      <c r="J712">
        <v>1.4250000000000001E-3</v>
      </c>
      <c r="K712" t="s">
        <v>57</v>
      </c>
      <c r="L712" t="s">
        <v>112</v>
      </c>
      <c r="O712">
        <v>2.2000000000000002</v>
      </c>
      <c r="P712" t="s">
        <v>59</v>
      </c>
      <c r="T712">
        <v>22.5</v>
      </c>
      <c r="V712">
        <v>40</v>
      </c>
      <c r="W712" t="s">
        <v>1251</v>
      </c>
      <c r="X712" t="s">
        <v>114</v>
      </c>
      <c r="Y712">
        <v>30</v>
      </c>
      <c r="AA712" t="s">
        <v>94</v>
      </c>
      <c r="AB712">
        <v>8.08</v>
      </c>
      <c r="AC712" t="s">
        <v>85</v>
      </c>
      <c r="AD712" t="s">
        <v>227</v>
      </c>
      <c r="AE712" t="s">
        <v>138</v>
      </c>
      <c r="AI712">
        <v>5</v>
      </c>
      <c r="AJ712" t="s">
        <v>201</v>
      </c>
      <c r="AK712">
        <v>1.1399999999999899</v>
      </c>
      <c r="AL712" t="s">
        <v>409</v>
      </c>
      <c r="AO712">
        <v>0</v>
      </c>
      <c r="AT712" t="s">
        <v>358</v>
      </c>
      <c r="AU712">
        <v>0.79999999999999294</v>
      </c>
      <c r="AV712" t="s">
        <v>1250</v>
      </c>
      <c r="AZ712">
        <v>0</v>
      </c>
      <c r="BA712">
        <v>8.08</v>
      </c>
    </row>
    <row r="713" spans="1:53" x14ac:dyDescent="0.3">
      <c r="A713" t="s">
        <v>1249</v>
      </c>
      <c r="C713" t="s">
        <v>1275</v>
      </c>
      <c r="D713" t="s">
        <v>81</v>
      </c>
      <c r="E713">
        <v>10000000</v>
      </c>
      <c r="H713">
        <v>14.25</v>
      </c>
      <c r="I713" t="s">
        <v>56</v>
      </c>
      <c r="J713">
        <v>1.4250000000000001E-3</v>
      </c>
      <c r="K713" t="s">
        <v>57</v>
      </c>
      <c r="L713" t="s">
        <v>112</v>
      </c>
      <c r="O713">
        <v>2.2000000000000002</v>
      </c>
      <c r="P713" t="s">
        <v>59</v>
      </c>
      <c r="T713">
        <v>22.5</v>
      </c>
      <c r="V713">
        <v>40</v>
      </c>
      <c r="W713" t="s">
        <v>540</v>
      </c>
      <c r="X713" t="s">
        <v>114</v>
      </c>
      <c r="Y713">
        <v>30</v>
      </c>
      <c r="AB713">
        <v>5.4</v>
      </c>
      <c r="AC713" t="s">
        <v>85</v>
      </c>
      <c r="AD713" t="s">
        <v>335</v>
      </c>
      <c r="AE713" t="s">
        <v>138</v>
      </c>
      <c r="AI713">
        <v>5</v>
      </c>
      <c r="AJ713" t="s">
        <v>201</v>
      </c>
      <c r="AK713">
        <v>0.12</v>
      </c>
      <c r="AL713" t="s">
        <v>409</v>
      </c>
      <c r="AO713">
        <v>0</v>
      </c>
      <c r="AT713" t="s">
        <v>212</v>
      </c>
      <c r="AU713">
        <v>8.4210526315789472E-2</v>
      </c>
      <c r="AV713" t="s">
        <v>1250</v>
      </c>
    </row>
    <row r="714" spans="1:53" x14ac:dyDescent="0.3">
      <c r="A714" t="s">
        <v>1249</v>
      </c>
      <c r="C714" t="s">
        <v>1275</v>
      </c>
      <c r="D714" t="s">
        <v>81</v>
      </c>
      <c r="E714">
        <v>10000000</v>
      </c>
      <c r="H714">
        <v>14.25</v>
      </c>
      <c r="I714" t="s">
        <v>56</v>
      </c>
      <c r="J714">
        <v>1.4250000000000001E-3</v>
      </c>
      <c r="K714" t="s">
        <v>57</v>
      </c>
      <c r="L714" t="s">
        <v>112</v>
      </c>
      <c r="O714">
        <v>2.2000000000000002</v>
      </c>
      <c r="P714" t="s">
        <v>59</v>
      </c>
      <c r="T714">
        <v>22.5</v>
      </c>
      <c r="V714">
        <v>40</v>
      </c>
      <c r="W714" t="s">
        <v>463</v>
      </c>
      <c r="X714" t="s">
        <v>114</v>
      </c>
      <c r="Y714">
        <v>10</v>
      </c>
      <c r="AA714" t="s">
        <v>94</v>
      </c>
      <c r="AB714">
        <v>7.87</v>
      </c>
      <c r="AC714" t="s">
        <v>85</v>
      </c>
      <c r="AD714" t="s">
        <v>418</v>
      </c>
      <c r="AE714" t="s">
        <v>138</v>
      </c>
      <c r="AI714">
        <v>5</v>
      </c>
      <c r="AJ714" t="s">
        <v>201</v>
      </c>
      <c r="AK714">
        <v>0.21</v>
      </c>
      <c r="AL714" t="s">
        <v>409</v>
      </c>
      <c r="AO714">
        <v>0</v>
      </c>
      <c r="AT714" t="s">
        <v>360</v>
      </c>
      <c r="AU714">
        <v>0.14736842105263159</v>
      </c>
      <c r="AV714" t="s">
        <v>1250</v>
      </c>
      <c r="AZ714">
        <v>0</v>
      </c>
      <c r="BA714">
        <v>7.87</v>
      </c>
    </row>
    <row r="715" spans="1:53" x14ac:dyDescent="0.3">
      <c r="A715" t="s">
        <v>1249</v>
      </c>
      <c r="C715" t="s">
        <v>1275</v>
      </c>
      <c r="D715" t="s">
        <v>81</v>
      </c>
      <c r="E715">
        <v>10000000</v>
      </c>
      <c r="H715">
        <v>14.25</v>
      </c>
      <c r="I715" t="s">
        <v>56</v>
      </c>
      <c r="J715">
        <v>1.4250000000000001E-3</v>
      </c>
      <c r="K715" t="s">
        <v>57</v>
      </c>
      <c r="L715" t="s">
        <v>112</v>
      </c>
      <c r="O715">
        <v>2.2000000000000002</v>
      </c>
      <c r="P715" t="s">
        <v>59</v>
      </c>
      <c r="T715">
        <v>22.5</v>
      </c>
      <c r="V715">
        <v>40</v>
      </c>
      <c r="W715" t="s">
        <v>464</v>
      </c>
      <c r="X715" t="s">
        <v>114</v>
      </c>
      <c r="Y715">
        <v>10</v>
      </c>
      <c r="AA715" t="s">
        <v>94</v>
      </c>
      <c r="AB715">
        <v>7.89</v>
      </c>
      <c r="AC715" t="s">
        <v>85</v>
      </c>
      <c r="AD715" t="s">
        <v>232</v>
      </c>
      <c r="AE715" t="s">
        <v>138</v>
      </c>
      <c r="AI715">
        <v>5</v>
      </c>
      <c r="AJ715" t="s">
        <v>201</v>
      </c>
      <c r="AK715">
        <v>0.12</v>
      </c>
      <c r="AL715" t="s">
        <v>409</v>
      </c>
      <c r="AO715">
        <v>0</v>
      </c>
      <c r="AT715" t="s">
        <v>65</v>
      </c>
      <c r="AU715">
        <v>8.4210526315789472E-2</v>
      </c>
      <c r="AV715" t="s">
        <v>1250</v>
      </c>
      <c r="AZ715">
        <v>0</v>
      </c>
      <c r="BA715">
        <v>7.89</v>
      </c>
    </row>
    <row r="716" spans="1:53" x14ac:dyDescent="0.3">
      <c r="A716" t="s">
        <v>1249</v>
      </c>
      <c r="C716" t="s">
        <v>1275</v>
      </c>
      <c r="D716" t="s">
        <v>81</v>
      </c>
      <c r="E716">
        <v>10000000</v>
      </c>
      <c r="H716">
        <v>14.25</v>
      </c>
      <c r="I716" t="s">
        <v>56</v>
      </c>
      <c r="J716">
        <v>1.4250000000000001E-3</v>
      </c>
      <c r="K716" t="s">
        <v>57</v>
      </c>
      <c r="L716" t="s">
        <v>112</v>
      </c>
      <c r="O716">
        <v>2.2000000000000002</v>
      </c>
      <c r="P716" t="s">
        <v>59</v>
      </c>
      <c r="T716">
        <v>22.5</v>
      </c>
      <c r="V716">
        <v>40</v>
      </c>
      <c r="W716" t="s">
        <v>465</v>
      </c>
      <c r="X716" t="s">
        <v>114</v>
      </c>
      <c r="Y716">
        <v>10</v>
      </c>
      <c r="AA716" t="s">
        <v>94</v>
      </c>
      <c r="AB716">
        <v>7.46</v>
      </c>
      <c r="AC716" t="s">
        <v>85</v>
      </c>
      <c r="AD716" t="s">
        <v>103</v>
      </c>
      <c r="AE716" t="s">
        <v>138</v>
      </c>
      <c r="AI716">
        <v>5</v>
      </c>
      <c r="AJ716" t="s">
        <v>201</v>
      </c>
      <c r="AK716">
        <v>0.11</v>
      </c>
      <c r="AL716" t="s">
        <v>409</v>
      </c>
      <c r="AO716">
        <v>0</v>
      </c>
      <c r="AT716" t="s">
        <v>79</v>
      </c>
      <c r="AU716">
        <v>7.7192982456140355E-2</v>
      </c>
      <c r="AV716" t="s">
        <v>1250</v>
      </c>
      <c r="AZ716">
        <v>0</v>
      </c>
      <c r="BA716">
        <v>7.46</v>
      </c>
    </row>
    <row r="717" spans="1:53" x14ac:dyDescent="0.3">
      <c r="A717" t="s">
        <v>1249</v>
      </c>
      <c r="C717" t="s">
        <v>1275</v>
      </c>
      <c r="D717" t="s">
        <v>81</v>
      </c>
      <c r="E717">
        <v>10000000</v>
      </c>
      <c r="H717">
        <v>14.25</v>
      </c>
      <c r="I717" t="s">
        <v>56</v>
      </c>
      <c r="J717">
        <v>1.4250000000000001E-3</v>
      </c>
      <c r="K717" t="s">
        <v>57</v>
      </c>
      <c r="L717" t="s">
        <v>112</v>
      </c>
      <c r="O717">
        <v>2.2000000000000002</v>
      </c>
      <c r="P717" t="s">
        <v>59</v>
      </c>
      <c r="T717">
        <v>22.5</v>
      </c>
      <c r="V717">
        <v>40</v>
      </c>
      <c r="W717" t="s">
        <v>147</v>
      </c>
      <c r="X717" t="s">
        <v>114</v>
      </c>
      <c r="Y717">
        <v>10</v>
      </c>
      <c r="AA717" t="s">
        <v>94</v>
      </c>
      <c r="AB717">
        <v>7.95</v>
      </c>
      <c r="AC717" t="s">
        <v>85</v>
      </c>
      <c r="AD717" t="s">
        <v>231</v>
      </c>
      <c r="AE717" t="s">
        <v>138</v>
      </c>
      <c r="AI717">
        <v>5</v>
      </c>
      <c r="AJ717" t="s">
        <v>201</v>
      </c>
      <c r="AK717">
        <v>0.16</v>
      </c>
      <c r="AL717" t="s">
        <v>409</v>
      </c>
      <c r="AO717">
        <v>0</v>
      </c>
      <c r="AT717" t="s">
        <v>150</v>
      </c>
      <c r="AU717">
        <v>0.11228070175438599</v>
      </c>
      <c r="AV717" t="s">
        <v>1250</v>
      </c>
      <c r="AZ717">
        <v>0</v>
      </c>
      <c r="BA717">
        <v>7.95</v>
      </c>
    </row>
    <row r="718" spans="1:53" x14ac:dyDescent="0.3">
      <c r="A718" t="s">
        <v>1249</v>
      </c>
      <c r="C718" t="s">
        <v>1275</v>
      </c>
      <c r="D718" t="s">
        <v>81</v>
      </c>
      <c r="E718">
        <v>10000000</v>
      </c>
      <c r="H718">
        <v>14.25</v>
      </c>
      <c r="I718" t="s">
        <v>56</v>
      </c>
      <c r="J718">
        <v>1.4250000000000001E-3</v>
      </c>
      <c r="K718" t="s">
        <v>57</v>
      </c>
      <c r="L718" t="s">
        <v>112</v>
      </c>
      <c r="O718">
        <v>2.2000000000000002</v>
      </c>
      <c r="P718" t="s">
        <v>59</v>
      </c>
      <c r="T718">
        <v>22.5</v>
      </c>
      <c r="V718">
        <v>40</v>
      </c>
      <c r="W718" t="s">
        <v>460</v>
      </c>
      <c r="X718" t="s">
        <v>114</v>
      </c>
      <c r="Y718">
        <v>30</v>
      </c>
      <c r="AA718" t="s">
        <v>94</v>
      </c>
      <c r="AB718">
        <v>7.91</v>
      </c>
      <c r="AC718" t="s">
        <v>85</v>
      </c>
      <c r="AD718" t="s">
        <v>236</v>
      </c>
      <c r="AE718" t="s">
        <v>138</v>
      </c>
      <c r="AI718">
        <v>5</v>
      </c>
      <c r="AJ718" t="s">
        <v>201</v>
      </c>
      <c r="AK718">
        <v>0.18</v>
      </c>
      <c r="AL718" t="s">
        <v>409</v>
      </c>
      <c r="AO718">
        <v>0</v>
      </c>
      <c r="AT718" t="s">
        <v>73</v>
      </c>
      <c r="AU718">
        <v>0.12631578947368419</v>
      </c>
      <c r="AV718" t="s">
        <v>1250</v>
      </c>
      <c r="AZ718">
        <v>0</v>
      </c>
      <c r="BA718">
        <v>7.91</v>
      </c>
    </row>
    <row r="719" spans="1:53" x14ac:dyDescent="0.3">
      <c r="A719" t="s">
        <v>1249</v>
      </c>
      <c r="C719" t="s">
        <v>1275</v>
      </c>
      <c r="D719" t="s">
        <v>81</v>
      </c>
      <c r="E719">
        <v>10000000</v>
      </c>
      <c r="H719">
        <v>14.25</v>
      </c>
      <c r="I719" t="s">
        <v>56</v>
      </c>
      <c r="J719">
        <v>1.4250000000000001E-3</v>
      </c>
      <c r="K719" t="s">
        <v>57</v>
      </c>
      <c r="L719" t="s">
        <v>112</v>
      </c>
      <c r="O719">
        <v>2.2000000000000002</v>
      </c>
      <c r="P719" t="s">
        <v>59</v>
      </c>
      <c r="T719">
        <v>22.5</v>
      </c>
      <c r="V719">
        <v>40</v>
      </c>
      <c r="W719" t="s">
        <v>1251</v>
      </c>
      <c r="X719" t="s">
        <v>114</v>
      </c>
      <c r="Y719">
        <v>30</v>
      </c>
      <c r="AA719" t="s">
        <v>94</v>
      </c>
      <c r="AB719">
        <v>7.93</v>
      </c>
      <c r="AC719" t="s">
        <v>85</v>
      </c>
      <c r="AD719" t="s">
        <v>237</v>
      </c>
      <c r="AE719" t="s">
        <v>138</v>
      </c>
      <c r="AI719">
        <v>5</v>
      </c>
      <c r="AJ719" t="s">
        <v>201</v>
      </c>
      <c r="AK719">
        <v>1.1399999999999899</v>
      </c>
      <c r="AL719" t="s">
        <v>409</v>
      </c>
      <c r="AO719">
        <v>0</v>
      </c>
      <c r="AT719" t="s">
        <v>358</v>
      </c>
      <c r="AU719">
        <v>0.79999999999999294</v>
      </c>
      <c r="AV719" t="s">
        <v>1250</v>
      </c>
      <c r="AZ719">
        <v>0</v>
      </c>
      <c r="BA719">
        <v>7.93</v>
      </c>
    </row>
    <row r="720" spans="1:53" x14ac:dyDescent="0.3">
      <c r="A720" t="s">
        <v>1249</v>
      </c>
      <c r="C720" t="s">
        <v>1275</v>
      </c>
      <c r="D720" t="s">
        <v>81</v>
      </c>
      <c r="E720">
        <v>10000000</v>
      </c>
      <c r="H720">
        <v>14.25</v>
      </c>
      <c r="I720" t="s">
        <v>56</v>
      </c>
      <c r="J720">
        <v>1.4250000000000001E-3</v>
      </c>
      <c r="K720" t="s">
        <v>57</v>
      </c>
      <c r="L720" t="s">
        <v>112</v>
      </c>
      <c r="O720">
        <v>2.2000000000000002</v>
      </c>
      <c r="P720" t="s">
        <v>59</v>
      </c>
      <c r="T720">
        <v>22.5</v>
      </c>
      <c r="V720">
        <v>40</v>
      </c>
      <c r="W720" t="s">
        <v>540</v>
      </c>
      <c r="X720" t="s">
        <v>114</v>
      </c>
      <c r="Y720">
        <v>30</v>
      </c>
      <c r="AB720">
        <v>6</v>
      </c>
      <c r="AC720" t="s">
        <v>85</v>
      </c>
      <c r="AD720" t="s">
        <v>522</v>
      </c>
      <c r="AE720" t="s">
        <v>138</v>
      </c>
      <c r="AI720">
        <v>5</v>
      </c>
      <c r="AJ720" t="s">
        <v>201</v>
      </c>
      <c r="AK720">
        <v>0.12</v>
      </c>
      <c r="AL720" t="s">
        <v>409</v>
      </c>
      <c r="AO720">
        <v>0</v>
      </c>
      <c r="AT720" t="s">
        <v>212</v>
      </c>
      <c r="AU720">
        <v>8.4210526315789472E-2</v>
      </c>
      <c r="AV720" t="s">
        <v>1250</v>
      </c>
    </row>
    <row r="721" spans="1:53" x14ac:dyDescent="0.3">
      <c r="A721" t="s">
        <v>1249</v>
      </c>
      <c r="C721" t="s">
        <v>1275</v>
      </c>
      <c r="D721" t="s">
        <v>81</v>
      </c>
      <c r="E721">
        <v>10000000</v>
      </c>
      <c r="H721">
        <v>14.25</v>
      </c>
      <c r="I721" t="s">
        <v>56</v>
      </c>
      <c r="J721">
        <v>1.4250000000000001E-3</v>
      </c>
      <c r="K721" t="s">
        <v>57</v>
      </c>
      <c r="L721" t="s">
        <v>112</v>
      </c>
      <c r="O721">
        <v>1500</v>
      </c>
      <c r="P721" t="s">
        <v>277</v>
      </c>
      <c r="T721">
        <v>22.5</v>
      </c>
      <c r="V721">
        <v>40</v>
      </c>
      <c r="W721" t="s">
        <v>460</v>
      </c>
      <c r="X721" t="s">
        <v>114</v>
      </c>
      <c r="Y721">
        <v>70</v>
      </c>
      <c r="AB721">
        <v>0.13</v>
      </c>
      <c r="AC721" t="s">
        <v>85</v>
      </c>
      <c r="AD721" t="s">
        <v>231</v>
      </c>
      <c r="AE721" t="s">
        <v>138</v>
      </c>
      <c r="AI721">
        <v>5</v>
      </c>
      <c r="AJ721" t="s">
        <v>201</v>
      </c>
      <c r="AK721">
        <v>0.04</v>
      </c>
      <c r="AL721" t="s">
        <v>409</v>
      </c>
      <c r="AO721">
        <v>0</v>
      </c>
      <c r="AT721" t="s">
        <v>73</v>
      </c>
      <c r="AU721">
        <v>2.8070175438596499E-2</v>
      </c>
      <c r="AV721" t="s">
        <v>1250</v>
      </c>
    </row>
    <row r="722" spans="1:53" x14ac:dyDescent="0.3">
      <c r="A722" t="s">
        <v>1249</v>
      </c>
      <c r="C722" t="s">
        <v>1275</v>
      </c>
      <c r="D722" t="s">
        <v>81</v>
      </c>
      <c r="E722">
        <v>10000000</v>
      </c>
      <c r="H722">
        <v>14.25</v>
      </c>
      <c r="I722" t="s">
        <v>56</v>
      </c>
      <c r="J722">
        <v>1.4250000000000001E-3</v>
      </c>
      <c r="K722" t="s">
        <v>57</v>
      </c>
      <c r="L722" t="s">
        <v>112</v>
      </c>
      <c r="O722">
        <v>1500</v>
      </c>
      <c r="P722" t="s">
        <v>277</v>
      </c>
      <c r="T722">
        <v>22.5</v>
      </c>
      <c r="V722">
        <v>40</v>
      </c>
      <c r="W722" t="s">
        <v>463</v>
      </c>
      <c r="X722" t="s">
        <v>114</v>
      </c>
      <c r="Y722">
        <v>70</v>
      </c>
      <c r="AB722">
        <v>0.18</v>
      </c>
      <c r="AC722" t="s">
        <v>85</v>
      </c>
      <c r="AD722" t="s">
        <v>231</v>
      </c>
      <c r="AE722" t="s">
        <v>138</v>
      </c>
      <c r="AI722">
        <v>5</v>
      </c>
      <c r="AJ722" t="s">
        <v>201</v>
      </c>
      <c r="AK722">
        <v>0.02</v>
      </c>
      <c r="AL722" t="s">
        <v>409</v>
      </c>
      <c r="AO722">
        <v>0</v>
      </c>
      <c r="AT722" t="s">
        <v>360</v>
      </c>
      <c r="AU722">
        <v>1.4035087719298249E-2</v>
      </c>
      <c r="AV722" t="s">
        <v>1250</v>
      </c>
    </row>
    <row r="723" spans="1:53" x14ac:dyDescent="0.3">
      <c r="A723" t="s">
        <v>1249</v>
      </c>
      <c r="C723" t="s">
        <v>1275</v>
      </c>
      <c r="D723" t="s">
        <v>81</v>
      </c>
      <c r="E723">
        <v>10000000</v>
      </c>
      <c r="H723">
        <v>14.25</v>
      </c>
      <c r="I723" t="s">
        <v>56</v>
      </c>
      <c r="J723">
        <v>1.4250000000000001E-3</v>
      </c>
      <c r="K723" t="s">
        <v>57</v>
      </c>
      <c r="L723" t="s">
        <v>112</v>
      </c>
      <c r="O723">
        <v>1500</v>
      </c>
      <c r="P723" t="s">
        <v>277</v>
      </c>
      <c r="T723">
        <v>22.5</v>
      </c>
      <c r="V723">
        <v>40</v>
      </c>
      <c r="W723" t="s">
        <v>464</v>
      </c>
      <c r="X723" t="s">
        <v>114</v>
      </c>
      <c r="Y723">
        <v>70</v>
      </c>
      <c r="AB723">
        <v>0.09</v>
      </c>
      <c r="AC723" t="s">
        <v>85</v>
      </c>
      <c r="AD723" t="s">
        <v>490</v>
      </c>
      <c r="AE723" t="s">
        <v>138</v>
      </c>
      <c r="AI723">
        <v>5</v>
      </c>
      <c r="AJ723" t="s">
        <v>201</v>
      </c>
      <c r="AK723">
        <v>0.14000000000000001</v>
      </c>
      <c r="AL723" t="s">
        <v>409</v>
      </c>
      <c r="AO723">
        <v>0</v>
      </c>
      <c r="AT723" t="s">
        <v>65</v>
      </c>
      <c r="AU723">
        <v>9.8245614035087706E-2</v>
      </c>
      <c r="AV723" t="s">
        <v>1250</v>
      </c>
    </row>
    <row r="724" spans="1:53" x14ac:dyDescent="0.3">
      <c r="A724" t="s">
        <v>1249</v>
      </c>
      <c r="C724" t="s">
        <v>1275</v>
      </c>
      <c r="D724" t="s">
        <v>81</v>
      </c>
      <c r="E724">
        <v>10000000</v>
      </c>
      <c r="H724">
        <v>14.25</v>
      </c>
      <c r="I724" t="s">
        <v>56</v>
      </c>
      <c r="J724">
        <v>1.4250000000000001E-3</v>
      </c>
      <c r="K724" t="s">
        <v>57</v>
      </c>
      <c r="L724" t="s">
        <v>112</v>
      </c>
      <c r="O724">
        <v>1500</v>
      </c>
      <c r="P724" t="s">
        <v>277</v>
      </c>
      <c r="T724">
        <v>22.5</v>
      </c>
      <c r="V724">
        <v>40</v>
      </c>
      <c r="W724" t="s">
        <v>465</v>
      </c>
      <c r="X724" t="s">
        <v>114</v>
      </c>
      <c r="Y724">
        <v>70</v>
      </c>
      <c r="AB724">
        <v>0.19</v>
      </c>
      <c r="AC724" t="s">
        <v>85</v>
      </c>
      <c r="AD724" t="s">
        <v>219</v>
      </c>
      <c r="AE724" t="s">
        <v>138</v>
      </c>
      <c r="AI724">
        <v>5</v>
      </c>
      <c r="AJ724" t="s">
        <v>201</v>
      </c>
      <c r="AK724">
        <v>0.13</v>
      </c>
      <c r="AL724" t="s">
        <v>409</v>
      </c>
      <c r="AO724">
        <v>0</v>
      </c>
      <c r="AT724" t="s">
        <v>79</v>
      </c>
      <c r="AU724">
        <v>9.1228070175438603E-2</v>
      </c>
      <c r="AV724" t="s">
        <v>1250</v>
      </c>
    </row>
    <row r="725" spans="1:53" x14ac:dyDescent="0.3">
      <c r="A725" t="s">
        <v>1249</v>
      </c>
      <c r="C725" t="s">
        <v>1275</v>
      </c>
      <c r="D725" t="s">
        <v>81</v>
      </c>
      <c r="E725">
        <v>10000000</v>
      </c>
      <c r="H725">
        <v>14.25</v>
      </c>
      <c r="I725" t="s">
        <v>56</v>
      </c>
      <c r="J725">
        <v>1.4250000000000001E-3</v>
      </c>
      <c r="K725" t="s">
        <v>57</v>
      </c>
      <c r="L725" t="s">
        <v>112</v>
      </c>
      <c r="O725">
        <v>1500</v>
      </c>
      <c r="P725" t="s">
        <v>277</v>
      </c>
      <c r="T725">
        <v>22.5</v>
      </c>
      <c r="V725">
        <v>40</v>
      </c>
      <c r="W725" t="s">
        <v>1251</v>
      </c>
      <c r="X725" t="s">
        <v>114</v>
      </c>
      <c r="Y725">
        <v>70</v>
      </c>
      <c r="AB725">
        <v>0.33</v>
      </c>
      <c r="AC725" t="s">
        <v>85</v>
      </c>
      <c r="AD725" t="s">
        <v>231</v>
      </c>
      <c r="AE725" t="s">
        <v>138</v>
      </c>
      <c r="AI725">
        <v>5</v>
      </c>
      <c r="AJ725" t="s">
        <v>201</v>
      </c>
      <c r="AK725">
        <v>0.12</v>
      </c>
      <c r="AL725" t="s">
        <v>409</v>
      </c>
      <c r="AO725">
        <v>0</v>
      </c>
      <c r="AT725" t="s">
        <v>358</v>
      </c>
      <c r="AU725">
        <v>8.4210526315789472E-2</v>
      </c>
      <c r="AV725" t="s">
        <v>1250</v>
      </c>
    </row>
    <row r="726" spans="1:53" x14ac:dyDescent="0.3">
      <c r="A726" t="s">
        <v>1249</v>
      </c>
      <c r="C726" t="s">
        <v>1275</v>
      </c>
      <c r="D726" t="s">
        <v>81</v>
      </c>
      <c r="E726">
        <v>10000000</v>
      </c>
      <c r="H726">
        <v>14.25</v>
      </c>
      <c r="I726" t="s">
        <v>56</v>
      </c>
      <c r="J726">
        <v>1.4250000000000001E-3</v>
      </c>
      <c r="K726" t="s">
        <v>57</v>
      </c>
      <c r="L726" t="s">
        <v>112</v>
      </c>
      <c r="O726">
        <v>1500</v>
      </c>
      <c r="P726" t="s">
        <v>277</v>
      </c>
      <c r="T726">
        <v>22.5</v>
      </c>
      <c r="V726">
        <v>40</v>
      </c>
      <c r="W726" t="s">
        <v>540</v>
      </c>
      <c r="X726" t="s">
        <v>114</v>
      </c>
      <c r="Y726">
        <v>70</v>
      </c>
      <c r="AB726">
        <v>0.39</v>
      </c>
      <c r="AC726" t="s">
        <v>85</v>
      </c>
      <c r="AD726" t="s">
        <v>524</v>
      </c>
      <c r="AE726" t="s">
        <v>138</v>
      </c>
      <c r="AI726">
        <v>5</v>
      </c>
      <c r="AJ726" t="s">
        <v>201</v>
      </c>
      <c r="AK726">
        <v>0.12</v>
      </c>
      <c r="AL726" t="s">
        <v>409</v>
      </c>
      <c r="AO726">
        <v>0</v>
      </c>
      <c r="AT726" t="s">
        <v>212</v>
      </c>
      <c r="AU726">
        <v>8.4210526315789472E-2</v>
      </c>
      <c r="AV726" t="s">
        <v>1250</v>
      </c>
    </row>
    <row r="727" spans="1:53" x14ac:dyDescent="0.3">
      <c r="A727" t="s">
        <v>1249</v>
      </c>
      <c r="C727" t="s">
        <v>1275</v>
      </c>
      <c r="D727" t="s">
        <v>81</v>
      </c>
      <c r="E727">
        <v>10000000</v>
      </c>
      <c r="H727">
        <v>14.25</v>
      </c>
      <c r="I727" t="s">
        <v>56</v>
      </c>
      <c r="J727">
        <v>1.4250000000000001E-3</v>
      </c>
      <c r="K727" t="s">
        <v>57</v>
      </c>
      <c r="L727" t="s">
        <v>112</v>
      </c>
      <c r="O727">
        <v>1500</v>
      </c>
      <c r="P727" t="s">
        <v>277</v>
      </c>
      <c r="T727">
        <v>22.5</v>
      </c>
      <c r="V727">
        <v>40</v>
      </c>
      <c r="W727" t="s">
        <v>147</v>
      </c>
      <c r="X727" t="s">
        <v>114</v>
      </c>
      <c r="Y727">
        <v>70</v>
      </c>
      <c r="AB727">
        <v>4.6500000000000004</v>
      </c>
      <c r="AC727" t="s">
        <v>85</v>
      </c>
      <c r="AD727" t="s">
        <v>437</v>
      </c>
      <c r="AE727" t="s">
        <v>138</v>
      </c>
      <c r="AI727">
        <v>5</v>
      </c>
      <c r="AJ727" t="s">
        <v>201</v>
      </c>
      <c r="AK727">
        <v>0.14000000000000001</v>
      </c>
      <c r="AL727" t="s">
        <v>409</v>
      </c>
      <c r="AO727">
        <v>0</v>
      </c>
      <c r="AT727" t="s">
        <v>150</v>
      </c>
      <c r="AU727">
        <v>9.8245614035087706E-2</v>
      </c>
      <c r="AV727" t="s">
        <v>1250</v>
      </c>
    </row>
    <row r="728" spans="1:53" x14ac:dyDescent="0.3">
      <c r="A728" t="s">
        <v>1249</v>
      </c>
      <c r="C728" t="s">
        <v>1275</v>
      </c>
      <c r="D728" t="s">
        <v>81</v>
      </c>
      <c r="E728">
        <v>10000000</v>
      </c>
      <c r="H728">
        <v>14.25</v>
      </c>
      <c r="I728" t="s">
        <v>56</v>
      </c>
      <c r="J728">
        <v>1.4250000000000001E-3</v>
      </c>
      <c r="K728" t="s">
        <v>57</v>
      </c>
      <c r="L728" t="s">
        <v>112</v>
      </c>
      <c r="O728">
        <v>1500</v>
      </c>
      <c r="P728" t="s">
        <v>277</v>
      </c>
      <c r="T728">
        <v>22.5</v>
      </c>
      <c r="V728">
        <v>40</v>
      </c>
      <c r="W728" t="s">
        <v>460</v>
      </c>
      <c r="X728" t="s">
        <v>114</v>
      </c>
      <c r="Y728">
        <v>70</v>
      </c>
      <c r="AB728">
        <v>0.59</v>
      </c>
      <c r="AC728" t="s">
        <v>85</v>
      </c>
      <c r="AD728" t="s">
        <v>242</v>
      </c>
      <c r="AE728" t="s">
        <v>138</v>
      </c>
      <c r="AI728">
        <v>5</v>
      </c>
      <c r="AJ728" t="s">
        <v>201</v>
      </c>
      <c r="AK728">
        <v>0.04</v>
      </c>
      <c r="AL728" t="s">
        <v>409</v>
      </c>
      <c r="AO728">
        <v>0</v>
      </c>
      <c r="AT728" t="s">
        <v>73</v>
      </c>
      <c r="AU728">
        <v>2.8070175438596499E-2</v>
      </c>
      <c r="AV728" t="s">
        <v>1250</v>
      </c>
    </row>
    <row r="729" spans="1:53" x14ac:dyDescent="0.3">
      <c r="A729" t="s">
        <v>1249</v>
      </c>
      <c r="C729" t="s">
        <v>1275</v>
      </c>
      <c r="D729" t="s">
        <v>81</v>
      </c>
      <c r="E729">
        <v>10000000</v>
      </c>
      <c r="H729">
        <v>14.25</v>
      </c>
      <c r="I729" t="s">
        <v>56</v>
      </c>
      <c r="J729">
        <v>1.4250000000000001E-3</v>
      </c>
      <c r="K729" t="s">
        <v>57</v>
      </c>
      <c r="L729" t="s">
        <v>112</v>
      </c>
      <c r="O729">
        <v>1500</v>
      </c>
      <c r="P729" t="s">
        <v>277</v>
      </c>
      <c r="T729">
        <v>22.5</v>
      </c>
      <c r="V729">
        <v>40</v>
      </c>
      <c r="W729" t="s">
        <v>463</v>
      </c>
      <c r="X729" t="s">
        <v>114</v>
      </c>
      <c r="Y729">
        <v>70</v>
      </c>
      <c r="AB729">
        <v>1.37</v>
      </c>
      <c r="AC729" t="s">
        <v>85</v>
      </c>
      <c r="AD729" t="s">
        <v>238</v>
      </c>
      <c r="AE729" t="s">
        <v>138</v>
      </c>
      <c r="AI729">
        <v>5</v>
      </c>
      <c r="AJ729" t="s">
        <v>201</v>
      </c>
      <c r="AK729">
        <v>0.02</v>
      </c>
      <c r="AL729" t="s">
        <v>409</v>
      </c>
      <c r="AO729">
        <v>0</v>
      </c>
      <c r="AT729" t="s">
        <v>360</v>
      </c>
      <c r="AU729">
        <v>1.4035087719298249E-2</v>
      </c>
      <c r="AV729" t="s">
        <v>1250</v>
      </c>
    </row>
    <row r="730" spans="1:53" x14ac:dyDescent="0.3">
      <c r="A730" t="s">
        <v>1249</v>
      </c>
      <c r="C730" t="s">
        <v>1275</v>
      </c>
      <c r="D730" t="s">
        <v>81</v>
      </c>
      <c r="E730">
        <v>10000000</v>
      </c>
      <c r="H730">
        <v>14.25</v>
      </c>
      <c r="I730" t="s">
        <v>56</v>
      </c>
      <c r="J730">
        <v>1.4250000000000001E-3</v>
      </c>
      <c r="K730" t="s">
        <v>57</v>
      </c>
      <c r="L730" t="s">
        <v>112</v>
      </c>
      <c r="O730">
        <v>1500</v>
      </c>
      <c r="P730" t="s">
        <v>277</v>
      </c>
      <c r="T730">
        <v>22.5</v>
      </c>
      <c r="V730">
        <v>40</v>
      </c>
      <c r="W730" t="s">
        <v>464</v>
      </c>
      <c r="X730" t="s">
        <v>114</v>
      </c>
      <c r="Y730">
        <v>70</v>
      </c>
      <c r="AB730">
        <v>0.76</v>
      </c>
      <c r="AC730" t="s">
        <v>85</v>
      </c>
      <c r="AD730" t="s">
        <v>503</v>
      </c>
      <c r="AE730" t="s">
        <v>138</v>
      </c>
      <c r="AI730">
        <v>5</v>
      </c>
      <c r="AJ730" t="s">
        <v>201</v>
      </c>
      <c r="AK730">
        <v>0.14000000000000001</v>
      </c>
      <c r="AL730" t="s">
        <v>409</v>
      </c>
      <c r="AO730">
        <v>0</v>
      </c>
      <c r="AT730" t="s">
        <v>65</v>
      </c>
      <c r="AU730">
        <v>9.8245614035087706E-2</v>
      </c>
      <c r="AV730" t="s">
        <v>1250</v>
      </c>
    </row>
    <row r="731" spans="1:53" x14ac:dyDescent="0.3">
      <c r="A731" t="s">
        <v>1249</v>
      </c>
      <c r="C731" t="s">
        <v>1275</v>
      </c>
      <c r="D731" t="s">
        <v>81</v>
      </c>
      <c r="E731">
        <v>10000000</v>
      </c>
      <c r="H731">
        <v>14.25</v>
      </c>
      <c r="I731" t="s">
        <v>56</v>
      </c>
      <c r="J731">
        <v>1.4250000000000001E-3</v>
      </c>
      <c r="K731" t="s">
        <v>57</v>
      </c>
      <c r="L731" t="s">
        <v>112</v>
      </c>
      <c r="O731">
        <v>1500</v>
      </c>
      <c r="P731" t="s">
        <v>277</v>
      </c>
      <c r="T731">
        <v>22.5</v>
      </c>
      <c r="V731">
        <v>40</v>
      </c>
      <c r="W731" t="s">
        <v>465</v>
      </c>
      <c r="X731" t="s">
        <v>114</v>
      </c>
      <c r="Y731">
        <v>70</v>
      </c>
      <c r="AB731">
        <v>0.6</v>
      </c>
      <c r="AC731" t="s">
        <v>85</v>
      </c>
      <c r="AD731" t="s">
        <v>437</v>
      </c>
      <c r="AE731" t="s">
        <v>138</v>
      </c>
      <c r="AI731">
        <v>5</v>
      </c>
      <c r="AJ731" t="s">
        <v>201</v>
      </c>
      <c r="AK731">
        <v>0.13</v>
      </c>
      <c r="AL731" t="s">
        <v>409</v>
      </c>
      <c r="AO731">
        <v>0</v>
      </c>
      <c r="AT731" t="s">
        <v>79</v>
      </c>
      <c r="AU731">
        <v>9.1228070175438603E-2</v>
      </c>
      <c r="AV731" t="s">
        <v>1250</v>
      </c>
    </row>
    <row r="732" spans="1:53" x14ac:dyDescent="0.3">
      <c r="A732" t="s">
        <v>1249</v>
      </c>
      <c r="C732" t="s">
        <v>1275</v>
      </c>
      <c r="D732" t="s">
        <v>81</v>
      </c>
      <c r="E732">
        <v>10000000</v>
      </c>
      <c r="H732">
        <v>14.25</v>
      </c>
      <c r="I732" t="s">
        <v>56</v>
      </c>
      <c r="J732">
        <v>1.4250000000000001E-3</v>
      </c>
      <c r="K732" t="s">
        <v>57</v>
      </c>
      <c r="L732" t="s">
        <v>112</v>
      </c>
      <c r="O732">
        <v>1500</v>
      </c>
      <c r="P732" t="s">
        <v>277</v>
      </c>
      <c r="T732">
        <v>22.5</v>
      </c>
      <c r="V732">
        <v>40</v>
      </c>
      <c r="W732" t="s">
        <v>1251</v>
      </c>
      <c r="X732" t="s">
        <v>114</v>
      </c>
      <c r="Y732">
        <v>70</v>
      </c>
      <c r="AB732">
        <v>0.51</v>
      </c>
      <c r="AC732" t="s">
        <v>85</v>
      </c>
      <c r="AD732" t="s">
        <v>248</v>
      </c>
      <c r="AE732" t="s">
        <v>138</v>
      </c>
      <c r="AI732">
        <v>5</v>
      </c>
      <c r="AJ732" t="s">
        <v>201</v>
      </c>
      <c r="AK732">
        <v>0.12</v>
      </c>
      <c r="AL732" t="s">
        <v>409</v>
      </c>
      <c r="AO732">
        <v>0</v>
      </c>
      <c r="AT732" t="s">
        <v>358</v>
      </c>
      <c r="AU732">
        <v>8.4210526315789472E-2</v>
      </c>
      <c r="AV732" t="s">
        <v>1250</v>
      </c>
    </row>
    <row r="733" spans="1:53" x14ac:dyDescent="0.3">
      <c r="A733" t="s">
        <v>1249</v>
      </c>
      <c r="C733" t="s">
        <v>1275</v>
      </c>
      <c r="D733" t="s">
        <v>81</v>
      </c>
      <c r="E733">
        <v>10000000</v>
      </c>
      <c r="H733">
        <v>14.25</v>
      </c>
      <c r="I733" t="s">
        <v>56</v>
      </c>
      <c r="J733">
        <v>1.4250000000000001E-3</v>
      </c>
      <c r="K733" t="s">
        <v>57</v>
      </c>
      <c r="L733" t="s">
        <v>112</v>
      </c>
      <c r="O733">
        <v>1500</v>
      </c>
      <c r="P733" t="s">
        <v>277</v>
      </c>
      <c r="T733">
        <v>22.5</v>
      </c>
      <c r="V733">
        <v>40</v>
      </c>
      <c r="W733" t="s">
        <v>540</v>
      </c>
      <c r="X733" t="s">
        <v>114</v>
      </c>
      <c r="Y733">
        <v>70</v>
      </c>
      <c r="AB733">
        <v>0.65</v>
      </c>
      <c r="AC733" t="s">
        <v>85</v>
      </c>
      <c r="AD733" t="s">
        <v>314</v>
      </c>
      <c r="AE733" t="s">
        <v>138</v>
      </c>
      <c r="AI733">
        <v>5</v>
      </c>
      <c r="AJ733" t="s">
        <v>201</v>
      </c>
      <c r="AK733">
        <v>0.12</v>
      </c>
      <c r="AL733" t="s">
        <v>409</v>
      </c>
      <c r="AO733">
        <v>0</v>
      </c>
      <c r="AT733" t="s">
        <v>212</v>
      </c>
      <c r="AU733">
        <v>8.4210526315789472E-2</v>
      </c>
      <c r="AV733" t="s">
        <v>1250</v>
      </c>
    </row>
    <row r="734" spans="1:53" x14ac:dyDescent="0.3">
      <c r="A734" t="s">
        <v>1249</v>
      </c>
      <c r="C734" t="s">
        <v>1275</v>
      </c>
      <c r="D734" t="s">
        <v>81</v>
      </c>
      <c r="E734">
        <v>10000000</v>
      </c>
      <c r="H734">
        <v>14.25</v>
      </c>
      <c r="I734" t="s">
        <v>56</v>
      </c>
      <c r="J734">
        <v>1.4250000000000001E-3</v>
      </c>
      <c r="K734" t="s">
        <v>57</v>
      </c>
      <c r="L734" t="s">
        <v>112</v>
      </c>
      <c r="O734">
        <v>1500</v>
      </c>
      <c r="P734" t="s">
        <v>277</v>
      </c>
      <c r="T734">
        <v>22.5</v>
      </c>
      <c r="V734">
        <v>40</v>
      </c>
      <c r="W734" t="s">
        <v>147</v>
      </c>
      <c r="X734" t="s">
        <v>114</v>
      </c>
      <c r="Y734">
        <v>70</v>
      </c>
      <c r="AB734">
        <v>0.22</v>
      </c>
      <c r="AC734" t="s">
        <v>85</v>
      </c>
      <c r="AD734" t="s">
        <v>487</v>
      </c>
      <c r="AE734" t="s">
        <v>138</v>
      </c>
      <c r="AI734">
        <v>5</v>
      </c>
      <c r="AJ734" t="s">
        <v>201</v>
      </c>
      <c r="AK734">
        <v>0.14000000000000001</v>
      </c>
      <c r="AL734" t="s">
        <v>409</v>
      </c>
      <c r="AO734">
        <v>0</v>
      </c>
      <c r="AT734" t="s">
        <v>150</v>
      </c>
      <c r="AU734">
        <v>9.8245614035087706E-2</v>
      </c>
      <c r="AV734" t="s">
        <v>1250</v>
      </c>
    </row>
    <row r="735" spans="1:53" x14ac:dyDescent="0.3">
      <c r="A735" t="s">
        <v>1253</v>
      </c>
      <c r="C735" t="s">
        <v>1275</v>
      </c>
      <c r="D735" t="s">
        <v>81</v>
      </c>
      <c r="E735">
        <v>10000000</v>
      </c>
      <c r="H735">
        <v>14.25</v>
      </c>
      <c r="I735" t="s">
        <v>56</v>
      </c>
      <c r="J735">
        <v>1.4250000000000001E-3</v>
      </c>
      <c r="K735" t="s">
        <v>57</v>
      </c>
      <c r="L735" t="s">
        <v>112</v>
      </c>
      <c r="O735">
        <v>6200</v>
      </c>
      <c r="P735" t="s">
        <v>121</v>
      </c>
      <c r="S735">
        <v>1</v>
      </c>
      <c r="T735">
        <v>22</v>
      </c>
      <c r="V735">
        <v>50</v>
      </c>
      <c r="W735" t="s">
        <v>443</v>
      </c>
      <c r="X735" t="s">
        <v>114</v>
      </c>
      <c r="Y735">
        <v>60</v>
      </c>
      <c r="AA735" t="s">
        <v>94</v>
      </c>
      <c r="AB735">
        <v>7.73</v>
      </c>
      <c r="AC735" t="s">
        <v>85</v>
      </c>
      <c r="AD735" t="s">
        <v>232</v>
      </c>
      <c r="AE735" t="s">
        <v>138</v>
      </c>
      <c r="AI735">
        <v>5</v>
      </c>
      <c r="AJ735" t="s">
        <v>201</v>
      </c>
      <c r="AK735">
        <v>0.63</v>
      </c>
      <c r="AL735" t="s">
        <v>409</v>
      </c>
      <c r="AO735">
        <v>0</v>
      </c>
      <c r="AT735" t="s">
        <v>65</v>
      </c>
      <c r="AU735">
        <v>0.44210526315789472</v>
      </c>
      <c r="AV735" t="s">
        <v>1250</v>
      </c>
      <c r="AZ735">
        <v>0</v>
      </c>
      <c r="BA735">
        <v>7.73</v>
      </c>
    </row>
    <row r="736" spans="1:53" x14ac:dyDescent="0.3">
      <c r="A736" t="s">
        <v>1253</v>
      </c>
      <c r="C736" t="s">
        <v>1275</v>
      </c>
      <c r="D736" t="s">
        <v>81</v>
      </c>
      <c r="E736">
        <v>10000000</v>
      </c>
      <c r="H736">
        <v>14.25</v>
      </c>
      <c r="I736" t="s">
        <v>56</v>
      </c>
      <c r="J736">
        <v>1.4250000000000001E-3</v>
      </c>
      <c r="K736" t="s">
        <v>57</v>
      </c>
      <c r="L736" t="s">
        <v>112</v>
      </c>
      <c r="O736">
        <v>6200</v>
      </c>
      <c r="P736" t="s">
        <v>121</v>
      </c>
      <c r="S736">
        <v>1</v>
      </c>
      <c r="T736">
        <v>22</v>
      </c>
      <c r="V736">
        <v>50</v>
      </c>
      <c r="W736" t="s">
        <v>147</v>
      </c>
      <c r="X736" t="s">
        <v>114</v>
      </c>
      <c r="Y736">
        <v>60</v>
      </c>
      <c r="AA736" t="s">
        <v>94</v>
      </c>
      <c r="AB736">
        <v>7.81</v>
      </c>
      <c r="AC736" t="s">
        <v>85</v>
      </c>
      <c r="AD736" t="s">
        <v>236</v>
      </c>
      <c r="AE736" t="s">
        <v>138</v>
      </c>
      <c r="AI736">
        <v>5</v>
      </c>
      <c r="AJ736" t="s">
        <v>201</v>
      </c>
      <c r="AK736">
        <v>0.64</v>
      </c>
      <c r="AL736" t="s">
        <v>409</v>
      </c>
      <c r="AO736">
        <v>0</v>
      </c>
      <c r="AT736" t="s">
        <v>150</v>
      </c>
      <c r="AU736">
        <v>0.44912280701754392</v>
      </c>
      <c r="AV736" t="s">
        <v>1250</v>
      </c>
      <c r="AZ736">
        <v>0</v>
      </c>
      <c r="BA736">
        <v>7.81</v>
      </c>
    </row>
    <row r="737" spans="1:53" x14ac:dyDescent="0.3">
      <c r="A737" t="s">
        <v>1253</v>
      </c>
      <c r="C737" t="s">
        <v>1275</v>
      </c>
      <c r="D737" t="s">
        <v>81</v>
      </c>
      <c r="E737">
        <v>10000000</v>
      </c>
      <c r="H737">
        <v>14.25</v>
      </c>
      <c r="I737" t="s">
        <v>56</v>
      </c>
      <c r="J737">
        <v>1.4250000000000001E-3</v>
      </c>
      <c r="K737" t="s">
        <v>57</v>
      </c>
      <c r="L737" t="s">
        <v>112</v>
      </c>
      <c r="O737">
        <v>6200</v>
      </c>
      <c r="P737" t="s">
        <v>121</v>
      </c>
      <c r="S737">
        <v>1</v>
      </c>
      <c r="T737">
        <v>22</v>
      </c>
      <c r="V737">
        <v>50</v>
      </c>
      <c r="W737" t="s">
        <v>719</v>
      </c>
      <c r="X737" t="s">
        <v>114</v>
      </c>
      <c r="Y737">
        <v>60</v>
      </c>
      <c r="AA737" t="s">
        <v>94</v>
      </c>
      <c r="AB737">
        <v>7.91</v>
      </c>
      <c r="AC737" t="s">
        <v>85</v>
      </c>
      <c r="AD737" t="s">
        <v>227</v>
      </c>
      <c r="AE737" t="s">
        <v>138</v>
      </c>
      <c r="AI737">
        <v>5</v>
      </c>
      <c r="AJ737" t="s">
        <v>201</v>
      </c>
      <c r="AK737">
        <v>0.42</v>
      </c>
      <c r="AL737" t="s">
        <v>409</v>
      </c>
      <c r="AO737">
        <v>0</v>
      </c>
      <c r="AU737">
        <v>0.29473684210526307</v>
      </c>
      <c r="AV737" t="s">
        <v>1250</v>
      </c>
      <c r="AZ737">
        <v>0</v>
      </c>
      <c r="BA737">
        <v>7.91</v>
      </c>
    </row>
    <row r="738" spans="1:53" x14ac:dyDescent="0.3">
      <c r="A738" t="s">
        <v>1253</v>
      </c>
      <c r="C738" t="s">
        <v>1275</v>
      </c>
      <c r="D738" t="s">
        <v>81</v>
      </c>
      <c r="E738">
        <v>10000000</v>
      </c>
      <c r="H738">
        <v>14.25</v>
      </c>
      <c r="I738" t="s">
        <v>56</v>
      </c>
      <c r="J738">
        <v>1.4250000000000001E-3</v>
      </c>
      <c r="K738" t="s">
        <v>57</v>
      </c>
      <c r="L738" t="s">
        <v>112</v>
      </c>
      <c r="O738">
        <v>6200</v>
      </c>
      <c r="P738" t="s">
        <v>121</v>
      </c>
      <c r="S738">
        <v>1</v>
      </c>
      <c r="T738">
        <v>22</v>
      </c>
      <c r="V738">
        <v>50</v>
      </c>
      <c r="W738" t="s">
        <v>1254</v>
      </c>
      <c r="X738" t="s">
        <v>114</v>
      </c>
      <c r="Y738">
        <v>60</v>
      </c>
      <c r="AA738" t="s">
        <v>94</v>
      </c>
      <c r="AB738">
        <v>7.8</v>
      </c>
      <c r="AC738" t="s">
        <v>85</v>
      </c>
      <c r="AD738" t="s">
        <v>236</v>
      </c>
      <c r="AE738" t="s">
        <v>138</v>
      </c>
      <c r="AI738">
        <v>5</v>
      </c>
      <c r="AJ738" t="s">
        <v>201</v>
      </c>
      <c r="AK738">
        <v>0.51</v>
      </c>
      <c r="AL738" t="s">
        <v>409</v>
      </c>
      <c r="AO738">
        <v>0</v>
      </c>
      <c r="AT738" t="s">
        <v>203</v>
      </c>
      <c r="AU738">
        <v>0.35789473684210532</v>
      </c>
      <c r="AV738" t="s">
        <v>1250</v>
      </c>
      <c r="AZ738">
        <v>0</v>
      </c>
      <c r="BA738">
        <v>7.8</v>
      </c>
    </row>
    <row r="739" spans="1:53" x14ac:dyDescent="0.3">
      <c r="A739" t="s">
        <v>1253</v>
      </c>
      <c r="C739" t="s">
        <v>1275</v>
      </c>
      <c r="D739" t="s">
        <v>81</v>
      </c>
      <c r="E739">
        <v>10000000</v>
      </c>
      <c r="H739">
        <v>14.25</v>
      </c>
      <c r="I739" t="s">
        <v>56</v>
      </c>
      <c r="J739">
        <v>1.4250000000000001E-3</v>
      </c>
      <c r="K739" t="s">
        <v>57</v>
      </c>
      <c r="L739" t="s">
        <v>112</v>
      </c>
      <c r="O739">
        <v>6200</v>
      </c>
      <c r="P739" t="s">
        <v>121</v>
      </c>
      <c r="S739">
        <v>1</v>
      </c>
      <c r="T739">
        <v>22</v>
      </c>
      <c r="V739">
        <v>50</v>
      </c>
      <c r="W739" t="s">
        <v>1255</v>
      </c>
      <c r="X739" t="s">
        <v>114</v>
      </c>
      <c r="Y739">
        <v>60</v>
      </c>
      <c r="AA739" t="s">
        <v>94</v>
      </c>
      <c r="AB739">
        <v>7.62</v>
      </c>
      <c r="AC739" t="s">
        <v>85</v>
      </c>
      <c r="AD739" t="s">
        <v>232</v>
      </c>
      <c r="AE739" t="s">
        <v>138</v>
      </c>
      <c r="AI739">
        <v>5</v>
      </c>
      <c r="AJ739" t="s">
        <v>201</v>
      </c>
      <c r="AK739">
        <v>0.33</v>
      </c>
      <c r="AL739" t="s">
        <v>409</v>
      </c>
      <c r="AO739">
        <v>0</v>
      </c>
      <c r="AT739" t="s">
        <v>203</v>
      </c>
      <c r="AU739">
        <v>0.23157894736842111</v>
      </c>
      <c r="AV739" t="s">
        <v>1250</v>
      </c>
      <c r="AZ739">
        <v>0</v>
      </c>
      <c r="BA739">
        <v>7.62</v>
      </c>
    </row>
    <row r="740" spans="1:53" x14ac:dyDescent="0.3">
      <c r="A740" t="s">
        <v>1253</v>
      </c>
      <c r="C740" t="s">
        <v>1275</v>
      </c>
      <c r="D740" t="s">
        <v>81</v>
      </c>
      <c r="E740">
        <v>10000000</v>
      </c>
      <c r="H740">
        <v>14.25</v>
      </c>
      <c r="I740" t="s">
        <v>56</v>
      </c>
      <c r="J740">
        <v>1.4250000000000001E-3</v>
      </c>
      <c r="K740" t="s">
        <v>57</v>
      </c>
      <c r="L740" t="s">
        <v>112</v>
      </c>
      <c r="O740">
        <v>6200</v>
      </c>
      <c r="P740" t="s">
        <v>121</v>
      </c>
      <c r="S740">
        <v>1</v>
      </c>
      <c r="T740">
        <v>22</v>
      </c>
      <c r="V740">
        <v>50</v>
      </c>
      <c r="W740" t="s">
        <v>76</v>
      </c>
      <c r="X740" t="s">
        <v>114</v>
      </c>
      <c r="Y740">
        <v>60</v>
      </c>
      <c r="AB740">
        <v>6.27</v>
      </c>
      <c r="AC740" t="s">
        <v>85</v>
      </c>
      <c r="AD740" t="s">
        <v>1389</v>
      </c>
      <c r="AE740" t="s">
        <v>138</v>
      </c>
      <c r="AI740">
        <v>5</v>
      </c>
      <c r="AJ740" t="s">
        <v>201</v>
      </c>
      <c r="AK740">
        <v>0.82</v>
      </c>
      <c r="AL740" t="s">
        <v>409</v>
      </c>
      <c r="AO740">
        <v>0</v>
      </c>
      <c r="AT740" t="s">
        <v>77</v>
      </c>
      <c r="AU740">
        <v>0.57543859649122808</v>
      </c>
      <c r="AV740" t="s">
        <v>1250</v>
      </c>
    </row>
    <row r="741" spans="1:53" x14ac:dyDescent="0.3">
      <c r="A741" t="s">
        <v>1253</v>
      </c>
      <c r="C741" t="s">
        <v>1275</v>
      </c>
      <c r="D741" t="s">
        <v>81</v>
      </c>
      <c r="E741">
        <v>10000000</v>
      </c>
      <c r="H741">
        <v>14.25</v>
      </c>
      <c r="I741" t="s">
        <v>56</v>
      </c>
      <c r="J741">
        <v>1.4250000000000001E-3</v>
      </c>
      <c r="K741" t="s">
        <v>57</v>
      </c>
      <c r="L741" t="s">
        <v>112</v>
      </c>
      <c r="O741">
        <v>6200</v>
      </c>
      <c r="P741" t="s">
        <v>121</v>
      </c>
      <c r="S741">
        <v>1</v>
      </c>
      <c r="T741">
        <v>22</v>
      </c>
      <c r="V741">
        <v>50</v>
      </c>
      <c r="W741" t="s">
        <v>1235</v>
      </c>
      <c r="X741" t="s">
        <v>114</v>
      </c>
      <c r="Y741">
        <v>60</v>
      </c>
      <c r="AA741" t="s">
        <v>94</v>
      </c>
      <c r="AB741">
        <v>6.91</v>
      </c>
      <c r="AC741" t="s">
        <v>85</v>
      </c>
      <c r="AD741" t="s">
        <v>365</v>
      </c>
      <c r="AE741" t="s">
        <v>138</v>
      </c>
      <c r="AI741">
        <v>5</v>
      </c>
      <c r="AJ741" t="s">
        <v>201</v>
      </c>
      <c r="AK741">
        <v>1.1399999999999899</v>
      </c>
      <c r="AL741" t="s">
        <v>409</v>
      </c>
      <c r="AO741">
        <v>0</v>
      </c>
      <c r="AT741" t="s">
        <v>1236</v>
      </c>
      <c r="AU741">
        <v>0.79999999999999294</v>
      </c>
      <c r="AV741" t="s">
        <v>1250</v>
      </c>
      <c r="AZ741">
        <v>0</v>
      </c>
      <c r="BA741">
        <v>6.91</v>
      </c>
    </row>
    <row r="742" spans="1:53" x14ac:dyDescent="0.3">
      <c r="A742" t="s">
        <v>1253</v>
      </c>
      <c r="C742" t="s">
        <v>1275</v>
      </c>
      <c r="D742" t="s">
        <v>81</v>
      </c>
      <c r="E742">
        <v>10000000</v>
      </c>
      <c r="H742">
        <v>14.25</v>
      </c>
      <c r="I742" t="s">
        <v>56</v>
      </c>
      <c r="J742">
        <v>1.4250000000000001E-3</v>
      </c>
      <c r="K742" t="s">
        <v>57</v>
      </c>
      <c r="L742" t="s">
        <v>112</v>
      </c>
      <c r="O742">
        <v>6200</v>
      </c>
      <c r="P742" t="s">
        <v>121</v>
      </c>
      <c r="S742">
        <v>1</v>
      </c>
      <c r="T742">
        <v>22</v>
      </c>
      <c r="V742">
        <v>50</v>
      </c>
      <c r="W742" t="s">
        <v>1256</v>
      </c>
      <c r="X742" t="s">
        <v>114</v>
      </c>
      <c r="Y742">
        <v>60</v>
      </c>
      <c r="AB742">
        <v>3.6</v>
      </c>
      <c r="AC742" t="s">
        <v>85</v>
      </c>
      <c r="AD742" t="s">
        <v>234</v>
      </c>
      <c r="AE742" t="s">
        <v>138</v>
      </c>
      <c r="AI742">
        <v>5</v>
      </c>
      <c r="AJ742" t="s">
        <v>201</v>
      </c>
      <c r="AK742">
        <v>0.62</v>
      </c>
      <c r="AL742" t="s">
        <v>409</v>
      </c>
      <c r="AO742">
        <v>0</v>
      </c>
      <c r="AT742" t="s">
        <v>1257</v>
      </c>
      <c r="AU742">
        <v>0.43508771929824558</v>
      </c>
      <c r="AV742" t="s">
        <v>1250</v>
      </c>
    </row>
    <row r="743" spans="1:53" x14ac:dyDescent="0.3">
      <c r="A743" t="s">
        <v>1253</v>
      </c>
      <c r="C743" t="s">
        <v>1275</v>
      </c>
      <c r="D743" t="s">
        <v>81</v>
      </c>
      <c r="E743">
        <v>10000000</v>
      </c>
      <c r="H743">
        <v>14.25</v>
      </c>
      <c r="I743" t="s">
        <v>56</v>
      </c>
      <c r="J743">
        <v>1.4250000000000001E-3</v>
      </c>
      <c r="K743" t="s">
        <v>57</v>
      </c>
      <c r="L743" t="s">
        <v>112</v>
      </c>
      <c r="O743">
        <v>6200</v>
      </c>
      <c r="P743" t="s">
        <v>121</v>
      </c>
      <c r="S743">
        <v>1</v>
      </c>
      <c r="T743">
        <v>22</v>
      </c>
      <c r="V743">
        <v>50</v>
      </c>
      <c r="W743" t="s">
        <v>1258</v>
      </c>
      <c r="X743" t="s">
        <v>114</v>
      </c>
      <c r="Y743">
        <v>60</v>
      </c>
      <c r="AB743">
        <v>1.9</v>
      </c>
      <c r="AC743" t="s">
        <v>85</v>
      </c>
      <c r="AD743" t="s">
        <v>432</v>
      </c>
      <c r="AE743" t="s">
        <v>138</v>
      </c>
      <c r="AI743">
        <v>5</v>
      </c>
      <c r="AJ743" t="s">
        <v>201</v>
      </c>
      <c r="AK743">
        <v>1.82</v>
      </c>
      <c r="AL743" t="s">
        <v>409</v>
      </c>
      <c r="AO743">
        <v>0</v>
      </c>
      <c r="AT743" t="s">
        <v>75</v>
      </c>
      <c r="AU743">
        <v>1.2771929824561401</v>
      </c>
      <c r="AV743" t="s">
        <v>1250</v>
      </c>
    </row>
    <row r="744" spans="1:53" x14ac:dyDescent="0.3">
      <c r="A744" t="s">
        <v>1253</v>
      </c>
      <c r="C744" t="s">
        <v>1275</v>
      </c>
      <c r="D744" t="s">
        <v>81</v>
      </c>
      <c r="E744">
        <v>10000000</v>
      </c>
      <c r="H744">
        <v>14.25</v>
      </c>
      <c r="I744" t="s">
        <v>56</v>
      </c>
      <c r="J744">
        <v>1.4250000000000001E-3</v>
      </c>
      <c r="K744" t="s">
        <v>57</v>
      </c>
      <c r="L744" t="s">
        <v>112</v>
      </c>
      <c r="O744">
        <v>6200</v>
      </c>
      <c r="P744" t="s">
        <v>121</v>
      </c>
      <c r="S744">
        <v>1</v>
      </c>
      <c r="T744">
        <v>22</v>
      </c>
      <c r="V744">
        <v>50</v>
      </c>
      <c r="W744" t="s">
        <v>1259</v>
      </c>
      <c r="X744" t="s">
        <v>114</v>
      </c>
      <c r="Y744">
        <v>60</v>
      </c>
      <c r="AA744" t="s">
        <v>94</v>
      </c>
      <c r="AB744">
        <v>7</v>
      </c>
      <c r="AC744" t="s">
        <v>85</v>
      </c>
      <c r="AD744" t="s">
        <v>232</v>
      </c>
      <c r="AE744" t="s">
        <v>138</v>
      </c>
      <c r="AI744">
        <v>5</v>
      </c>
      <c r="AJ744" t="s">
        <v>201</v>
      </c>
      <c r="AK744">
        <v>0.6</v>
      </c>
      <c r="AL744" t="s">
        <v>409</v>
      </c>
      <c r="AO744">
        <v>0</v>
      </c>
      <c r="AU744">
        <v>0.42105263157894729</v>
      </c>
      <c r="AV744" t="s">
        <v>1250</v>
      </c>
      <c r="AZ744">
        <v>0</v>
      </c>
      <c r="BA744">
        <v>7</v>
      </c>
    </row>
    <row r="745" spans="1:53" x14ac:dyDescent="0.3">
      <c r="A745" t="s">
        <v>1253</v>
      </c>
      <c r="C745" t="s">
        <v>1275</v>
      </c>
      <c r="D745" t="s">
        <v>81</v>
      </c>
      <c r="E745">
        <v>10000000</v>
      </c>
      <c r="H745">
        <v>14.25</v>
      </c>
      <c r="I745" t="s">
        <v>56</v>
      </c>
      <c r="J745">
        <v>1.4250000000000001E-3</v>
      </c>
      <c r="K745" t="s">
        <v>57</v>
      </c>
      <c r="L745" t="s">
        <v>112</v>
      </c>
      <c r="O745">
        <v>1</v>
      </c>
      <c r="P745" t="s">
        <v>59</v>
      </c>
      <c r="S745">
        <v>1</v>
      </c>
      <c r="T745">
        <v>22</v>
      </c>
      <c r="V745">
        <v>50</v>
      </c>
      <c r="W745" t="s">
        <v>443</v>
      </c>
      <c r="X745" t="s">
        <v>114</v>
      </c>
      <c r="Y745">
        <v>30</v>
      </c>
      <c r="AA745" t="s">
        <v>94</v>
      </c>
      <c r="AB745">
        <v>7.28</v>
      </c>
      <c r="AC745" t="s">
        <v>85</v>
      </c>
      <c r="AD745" t="s">
        <v>497</v>
      </c>
      <c r="AE745" t="s">
        <v>138</v>
      </c>
      <c r="AI745">
        <v>5</v>
      </c>
      <c r="AJ745" t="s">
        <v>201</v>
      </c>
      <c r="AK745">
        <v>0.14000000000000001</v>
      </c>
      <c r="AL745" t="s">
        <v>409</v>
      </c>
      <c r="AO745">
        <v>0</v>
      </c>
      <c r="AT745" t="s">
        <v>65</v>
      </c>
      <c r="AU745">
        <v>9.8245614035087706E-2</v>
      </c>
      <c r="AV745" t="s">
        <v>1250</v>
      </c>
      <c r="AZ745">
        <v>0</v>
      </c>
      <c r="BA745">
        <v>7.28</v>
      </c>
    </row>
    <row r="746" spans="1:53" x14ac:dyDescent="0.3">
      <c r="A746" t="s">
        <v>1253</v>
      </c>
      <c r="C746" t="s">
        <v>1275</v>
      </c>
      <c r="D746" t="s">
        <v>81</v>
      </c>
      <c r="E746">
        <v>10000000</v>
      </c>
      <c r="H746">
        <v>14.25</v>
      </c>
      <c r="I746" t="s">
        <v>56</v>
      </c>
      <c r="J746">
        <v>1.4250000000000001E-3</v>
      </c>
      <c r="K746" t="s">
        <v>57</v>
      </c>
      <c r="L746" t="s">
        <v>112</v>
      </c>
      <c r="O746">
        <v>1</v>
      </c>
      <c r="P746" t="s">
        <v>59</v>
      </c>
      <c r="S746">
        <v>1</v>
      </c>
      <c r="T746">
        <v>22</v>
      </c>
      <c r="V746">
        <v>50</v>
      </c>
      <c r="W746" t="s">
        <v>147</v>
      </c>
      <c r="X746" t="s">
        <v>114</v>
      </c>
      <c r="Y746">
        <v>30</v>
      </c>
      <c r="AB746">
        <v>7.36</v>
      </c>
      <c r="AC746" t="s">
        <v>85</v>
      </c>
      <c r="AD746" t="s">
        <v>432</v>
      </c>
      <c r="AE746" t="s">
        <v>138</v>
      </c>
      <c r="AI746">
        <v>5</v>
      </c>
      <c r="AJ746" t="s">
        <v>201</v>
      </c>
      <c r="AK746">
        <v>0.12</v>
      </c>
      <c r="AL746" t="s">
        <v>409</v>
      </c>
      <c r="AO746">
        <v>0</v>
      </c>
      <c r="AT746" t="s">
        <v>150</v>
      </c>
      <c r="AU746">
        <v>8.4210526315789472E-2</v>
      </c>
      <c r="AV746" t="s">
        <v>1250</v>
      </c>
    </row>
    <row r="747" spans="1:53" x14ac:dyDescent="0.3">
      <c r="A747" t="s">
        <v>1253</v>
      </c>
      <c r="C747" t="s">
        <v>1275</v>
      </c>
      <c r="D747" t="s">
        <v>81</v>
      </c>
      <c r="E747">
        <v>10000000</v>
      </c>
      <c r="H747">
        <v>14.25</v>
      </c>
      <c r="I747" t="s">
        <v>56</v>
      </c>
      <c r="J747">
        <v>1.4250000000000001E-3</v>
      </c>
      <c r="K747" t="s">
        <v>57</v>
      </c>
      <c r="L747" t="s">
        <v>112</v>
      </c>
      <c r="O747">
        <v>1</v>
      </c>
      <c r="P747" t="s">
        <v>59</v>
      </c>
      <c r="S747">
        <v>1</v>
      </c>
      <c r="T747">
        <v>22</v>
      </c>
      <c r="V747">
        <v>50</v>
      </c>
      <c r="W747" t="s">
        <v>719</v>
      </c>
      <c r="X747" t="s">
        <v>114</v>
      </c>
      <c r="Y747">
        <v>30</v>
      </c>
      <c r="AB747">
        <v>7.17</v>
      </c>
      <c r="AC747" t="s">
        <v>85</v>
      </c>
      <c r="AD747" t="s">
        <v>663</v>
      </c>
      <c r="AE747" t="s">
        <v>138</v>
      </c>
      <c r="AI747">
        <v>5</v>
      </c>
      <c r="AJ747" t="s">
        <v>201</v>
      </c>
      <c r="AK747">
        <v>0.21</v>
      </c>
      <c r="AL747" t="s">
        <v>409</v>
      </c>
      <c r="AO747">
        <v>0</v>
      </c>
      <c r="AU747">
        <v>0.14736842105263159</v>
      </c>
      <c r="AV747" t="s">
        <v>1250</v>
      </c>
    </row>
    <row r="748" spans="1:53" x14ac:dyDescent="0.3">
      <c r="A748" t="s">
        <v>1253</v>
      </c>
      <c r="C748" t="s">
        <v>1275</v>
      </c>
      <c r="D748" t="s">
        <v>81</v>
      </c>
      <c r="E748">
        <v>10000000</v>
      </c>
      <c r="H748">
        <v>14.25</v>
      </c>
      <c r="I748" t="s">
        <v>56</v>
      </c>
      <c r="J748">
        <v>1.4250000000000001E-3</v>
      </c>
      <c r="K748" t="s">
        <v>57</v>
      </c>
      <c r="L748" t="s">
        <v>112</v>
      </c>
      <c r="O748">
        <v>1</v>
      </c>
      <c r="P748" t="s">
        <v>59</v>
      </c>
      <c r="S748">
        <v>1</v>
      </c>
      <c r="T748">
        <v>22</v>
      </c>
      <c r="V748">
        <v>50</v>
      </c>
      <c r="W748" t="s">
        <v>1254</v>
      </c>
      <c r="X748" t="s">
        <v>114</v>
      </c>
      <c r="Y748">
        <v>30</v>
      </c>
      <c r="AA748" t="s">
        <v>94</v>
      </c>
      <c r="AB748">
        <v>7.72</v>
      </c>
      <c r="AC748" t="s">
        <v>85</v>
      </c>
      <c r="AD748" t="s">
        <v>236</v>
      </c>
      <c r="AE748" t="s">
        <v>138</v>
      </c>
      <c r="AI748">
        <v>5</v>
      </c>
      <c r="AJ748" t="s">
        <v>201</v>
      </c>
      <c r="AK748">
        <v>0.21</v>
      </c>
      <c r="AL748" t="s">
        <v>409</v>
      </c>
      <c r="AO748">
        <v>0</v>
      </c>
      <c r="AT748" t="s">
        <v>203</v>
      </c>
      <c r="AU748">
        <v>0.14736842105263159</v>
      </c>
      <c r="AV748" t="s">
        <v>1250</v>
      </c>
      <c r="AZ748">
        <v>0</v>
      </c>
      <c r="BA748">
        <v>7.72</v>
      </c>
    </row>
    <row r="749" spans="1:53" x14ac:dyDescent="0.3">
      <c r="A749" t="s">
        <v>1253</v>
      </c>
      <c r="C749" t="s">
        <v>1275</v>
      </c>
      <c r="D749" t="s">
        <v>81</v>
      </c>
      <c r="E749">
        <v>10000000</v>
      </c>
      <c r="H749">
        <v>14.25</v>
      </c>
      <c r="I749" t="s">
        <v>56</v>
      </c>
      <c r="J749">
        <v>1.4250000000000001E-3</v>
      </c>
      <c r="K749" t="s">
        <v>57</v>
      </c>
      <c r="L749" t="s">
        <v>112</v>
      </c>
      <c r="O749">
        <v>1</v>
      </c>
      <c r="P749" t="s">
        <v>59</v>
      </c>
      <c r="S749">
        <v>1</v>
      </c>
      <c r="T749">
        <v>22</v>
      </c>
      <c r="V749">
        <v>50</v>
      </c>
      <c r="W749" t="s">
        <v>1255</v>
      </c>
      <c r="X749" t="s">
        <v>114</v>
      </c>
      <c r="Y749">
        <v>30</v>
      </c>
      <c r="AA749" t="s">
        <v>94</v>
      </c>
      <c r="AB749">
        <v>7.57</v>
      </c>
      <c r="AC749" t="s">
        <v>85</v>
      </c>
      <c r="AD749" t="s">
        <v>418</v>
      </c>
      <c r="AE749" t="s">
        <v>138</v>
      </c>
      <c r="AI749">
        <v>5</v>
      </c>
      <c r="AJ749" t="s">
        <v>201</v>
      </c>
      <c r="AK749">
        <v>0.12</v>
      </c>
      <c r="AL749" t="s">
        <v>409</v>
      </c>
      <c r="AO749">
        <v>0</v>
      </c>
      <c r="AT749" t="s">
        <v>203</v>
      </c>
      <c r="AU749">
        <v>8.4210526315789472E-2</v>
      </c>
      <c r="AV749" t="s">
        <v>1250</v>
      </c>
      <c r="AZ749">
        <v>0</v>
      </c>
      <c r="BA749">
        <v>7.57</v>
      </c>
    </row>
    <row r="750" spans="1:53" x14ac:dyDescent="0.3">
      <c r="A750" t="s">
        <v>1253</v>
      </c>
      <c r="C750" t="s">
        <v>1275</v>
      </c>
      <c r="D750" t="s">
        <v>81</v>
      </c>
      <c r="E750">
        <v>10000000</v>
      </c>
      <c r="H750">
        <v>14.25</v>
      </c>
      <c r="I750" t="s">
        <v>56</v>
      </c>
      <c r="J750">
        <v>1.4250000000000001E-3</v>
      </c>
      <c r="K750" t="s">
        <v>57</v>
      </c>
      <c r="L750" t="s">
        <v>112</v>
      </c>
      <c r="O750">
        <v>1</v>
      </c>
      <c r="P750" t="s">
        <v>59</v>
      </c>
      <c r="S750">
        <v>1</v>
      </c>
      <c r="T750">
        <v>22</v>
      </c>
      <c r="V750">
        <v>50</v>
      </c>
      <c r="W750" t="s">
        <v>76</v>
      </c>
      <c r="X750" t="s">
        <v>114</v>
      </c>
      <c r="Y750">
        <v>60</v>
      </c>
      <c r="AB750">
        <v>1.02</v>
      </c>
      <c r="AC750" t="s">
        <v>85</v>
      </c>
      <c r="AD750" t="s">
        <v>493</v>
      </c>
      <c r="AE750" t="s">
        <v>138</v>
      </c>
      <c r="AI750">
        <v>5</v>
      </c>
      <c r="AJ750" t="s">
        <v>201</v>
      </c>
      <c r="AK750">
        <v>0.22</v>
      </c>
      <c r="AL750" t="s">
        <v>409</v>
      </c>
      <c r="AO750">
        <v>0</v>
      </c>
      <c r="AT750" t="s">
        <v>77</v>
      </c>
      <c r="AU750">
        <v>0.15438596491228071</v>
      </c>
      <c r="AV750" t="s">
        <v>1250</v>
      </c>
    </row>
    <row r="751" spans="1:53" x14ac:dyDescent="0.3">
      <c r="A751" t="s">
        <v>1253</v>
      </c>
      <c r="C751" t="s">
        <v>1275</v>
      </c>
      <c r="D751" t="s">
        <v>81</v>
      </c>
      <c r="E751">
        <v>10000000</v>
      </c>
      <c r="H751">
        <v>14.25</v>
      </c>
      <c r="I751" t="s">
        <v>56</v>
      </c>
      <c r="J751">
        <v>1.4250000000000001E-3</v>
      </c>
      <c r="K751" t="s">
        <v>57</v>
      </c>
      <c r="L751" t="s">
        <v>112</v>
      </c>
      <c r="O751">
        <v>1</v>
      </c>
      <c r="P751" t="s">
        <v>59</v>
      </c>
      <c r="S751">
        <v>1</v>
      </c>
      <c r="T751">
        <v>22</v>
      </c>
      <c r="V751">
        <v>50</v>
      </c>
      <c r="W751" t="s">
        <v>1235</v>
      </c>
      <c r="X751" t="s">
        <v>114</v>
      </c>
      <c r="Y751">
        <v>60</v>
      </c>
      <c r="AA751" t="s">
        <v>94</v>
      </c>
      <c r="AB751">
        <v>7.27</v>
      </c>
      <c r="AC751" t="s">
        <v>85</v>
      </c>
      <c r="AD751" t="s">
        <v>494</v>
      </c>
      <c r="AE751" t="s">
        <v>138</v>
      </c>
      <c r="AI751">
        <v>5</v>
      </c>
      <c r="AJ751" t="s">
        <v>201</v>
      </c>
      <c r="AK751">
        <v>0.78</v>
      </c>
      <c r="AL751" t="s">
        <v>409</v>
      </c>
      <c r="AO751">
        <v>0</v>
      </c>
      <c r="AT751" t="s">
        <v>1236</v>
      </c>
      <c r="AU751">
        <v>0.54736842105263162</v>
      </c>
      <c r="AV751" t="s">
        <v>1250</v>
      </c>
      <c r="AZ751">
        <v>0</v>
      </c>
      <c r="BA751">
        <v>7.27</v>
      </c>
    </row>
    <row r="752" spans="1:53" x14ac:dyDescent="0.3">
      <c r="A752" t="s">
        <v>1253</v>
      </c>
      <c r="C752" t="s">
        <v>1275</v>
      </c>
      <c r="D752" t="s">
        <v>81</v>
      </c>
      <c r="E752">
        <v>10000000</v>
      </c>
      <c r="H752">
        <v>14.25</v>
      </c>
      <c r="I752" t="s">
        <v>56</v>
      </c>
      <c r="J752">
        <v>1.4250000000000001E-3</v>
      </c>
      <c r="K752" t="s">
        <v>57</v>
      </c>
      <c r="L752" t="s">
        <v>112</v>
      </c>
      <c r="O752">
        <v>1</v>
      </c>
      <c r="P752" t="s">
        <v>59</v>
      </c>
      <c r="S752">
        <v>1</v>
      </c>
      <c r="T752">
        <v>22</v>
      </c>
      <c r="V752">
        <v>50</v>
      </c>
      <c r="W752" t="s">
        <v>1256</v>
      </c>
      <c r="X752" t="s">
        <v>114</v>
      </c>
      <c r="Y752">
        <v>60</v>
      </c>
      <c r="AB752">
        <v>2.56</v>
      </c>
      <c r="AC752" t="s">
        <v>85</v>
      </c>
      <c r="AD752" t="s">
        <v>629</v>
      </c>
      <c r="AE752" t="s">
        <v>138</v>
      </c>
      <c r="AI752">
        <v>5</v>
      </c>
      <c r="AJ752" t="s">
        <v>201</v>
      </c>
      <c r="AK752">
        <v>0.2</v>
      </c>
      <c r="AL752" t="s">
        <v>409</v>
      </c>
      <c r="AO752">
        <v>0</v>
      </c>
      <c r="AT752" t="s">
        <v>1257</v>
      </c>
      <c r="AU752">
        <v>0.14035087719298239</v>
      </c>
      <c r="AV752" t="s">
        <v>1250</v>
      </c>
    </row>
    <row r="753" spans="1:53" x14ac:dyDescent="0.3">
      <c r="A753" t="s">
        <v>1253</v>
      </c>
      <c r="C753" t="s">
        <v>1275</v>
      </c>
      <c r="D753" t="s">
        <v>81</v>
      </c>
      <c r="E753">
        <v>10000000</v>
      </c>
      <c r="H753">
        <v>14.25</v>
      </c>
      <c r="I753" t="s">
        <v>56</v>
      </c>
      <c r="J753">
        <v>1.4250000000000001E-3</v>
      </c>
      <c r="K753" t="s">
        <v>57</v>
      </c>
      <c r="L753" t="s">
        <v>112</v>
      </c>
      <c r="O753">
        <v>1</v>
      </c>
      <c r="P753" t="s">
        <v>59</v>
      </c>
      <c r="S753">
        <v>1</v>
      </c>
      <c r="T753">
        <v>22</v>
      </c>
      <c r="V753">
        <v>50</v>
      </c>
      <c r="W753" t="s">
        <v>1258</v>
      </c>
      <c r="X753" t="s">
        <v>114</v>
      </c>
      <c r="Y753">
        <v>60</v>
      </c>
      <c r="AB753">
        <v>6.16</v>
      </c>
      <c r="AC753" t="s">
        <v>85</v>
      </c>
      <c r="AD753" t="s">
        <v>651</v>
      </c>
      <c r="AE753" t="s">
        <v>138</v>
      </c>
      <c r="AI753">
        <v>5</v>
      </c>
      <c r="AJ753" t="s">
        <v>201</v>
      </c>
      <c r="AK753">
        <v>0.81</v>
      </c>
      <c r="AL753" t="s">
        <v>409</v>
      </c>
      <c r="AO753">
        <v>0</v>
      </c>
      <c r="AT753" t="s">
        <v>75</v>
      </c>
      <c r="AU753">
        <v>0.56842105263157894</v>
      </c>
      <c r="AV753" t="s">
        <v>1250</v>
      </c>
    </row>
    <row r="754" spans="1:53" x14ac:dyDescent="0.3">
      <c r="A754" t="s">
        <v>1253</v>
      </c>
      <c r="C754" t="s">
        <v>1275</v>
      </c>
      <c r="D754" t="s">
        <v>81</v>
      </c>
      <c r="E754">
        <v>10000000</v>
      </c>
      <c r="H754">
        <v>14.25</v>
      </c>
      <c r="I754" t="s">
        <v>56</v>
      </c>
      <c r="J754">
        <v>1.4250000000000001E-3</v>
      </c>
      <c r="K754" t="s">
        <v>57</v>
      </c>
      <c r="L754" t="s">
        <v>112</v>
      </c>
      <c r="O754">
        <v>1</v>
      </c>
      <c r="P754" t="s">
        <v>59</v>
      </c>
      <c r="S754">
        <v>1</v>
      </c>
      <c r="T754">
        <v>22</v>
      </c>
      <c r="V754">
        <v>50</v>
      </c>
      <c r="W754" t="s">
        <v>1259</v>
      </c>
      <c r="X754" t="s">
        <v>114</v>
      </c>
      <c r="Y754">
        <v>60</v>
      </c>
      <c r="AA754" t="s">
        <v>94</v>
      </c>
      <c r="AB754">
        <v>7.39</v>
      </c>
      <c r="AC754" t="s">
        <v>85</v>
      </c>
      <c r="AD754" t="s">
        <v>231</v>
      </c>
      <c r="AE754" t="s">
        <v>138</v>
      </c>
      <c r="AI754">
        <v>5</v>
      </c>
      <c r="AJ754" t="s">
        <v>201</v>
      </c>
      <c r="AK754">
        <v>0.37</v>
      </c>
      <c r="AL754" t="s">
        <v>409</v>
      </c>
      <c r="AO754">
        <v>0</v>
      </c>
      <c r="AU754">
        <v>0.25964912280701752</v>
      </c>
      <c r="AV754" t="s">
        <v>1250</v>
      </c>
      <c r="AZ754">
        <v>0</v>
      </c>
      <c r="BA754">
        <v>7.39</v>
      </c>
    </row>
    <row r="755" spans="1:53" x14ac:dyDescent="0.3">
      <c r="A755" t="s">
        <v>1253</v>
      </c>
      <c r="C755" t="s">
        <v>1275</v>
      </c>
      <c r="D755" t="s">
        <v>81</v>
      </c>
      <c r="E755">
        <v>10000000</v>
      </c>
      <c r="H755">
        <v>14.25</v>
      </c>
      <c r="I755" t="s">
        <v>56</v>
      </c>
      <c r="J755">
        <v>1.4250000000000001E-3</v>
      </c>
      <c r="K755" t="s">
        <v>57</v>
      </c>
      <c r="L755" t="s">
        <v>112</v>
      </c>
      <c r="O755">
        <v>4.4000000000000004</v>
      </c>
      <c r="P755" t="s">
        <v>59</v>
      </c>
      <c r="S755">
        <v>1</v>
      </c>
      <c r="T755">
        <v>22</v>
      </c>
      <c r="V755">
        <v>50</v>
      </c>
      <c r="W755" t="s">
        <v>443</v>
      </c>
      <c r="X755" t="s">
        <v>114</v>
      </c>
      <c r="Y755">
        <v>30</v>
      </c>
      <c r="AA755" t="s">
        <v>94</v>
      </c>
      <c r="AB755">
        <v>6.69</v>
      </c>
      <c r="AC755" t="s">
        <v>85</v>
      </c>
      <c r="AD755" t="s">
        <v>103</v>
      </c>
      <c r="AE755" t="s">
        <v>138</v>
      </c>
      <c r="AI755">
        <v>5</v>
      </c>
      <c r="AJ755" t="s">
        <v>201</v>
      </c>
      <c r="AK755">
        <v>0.36</v>
      </c>
      <c r="AL755" t="s">
        <v>409</v>
      </c>
      <c r="AO755">
        <v>0</v>
      </c>
      <c r="AT755" t="s">
        <v>65</v>
      </c>
      <c r="AU755">
        <v>0.25263157894736837</v>
      </c>
      <c r="AV755" t="s">
        <v>1250</v>
      </c>
      <c r="AZ755">
        <v>0</v>
      </c>
      <c r="BA755">
        <v>6.69</v>
      </c>
    </row>
    <row r="756" spans="1:53" x14ac:dyDescent="0.3">
      <c r="A756" t="s">
        <v>1253</v>
      </c>
      <c r="C756" t="s">
        <v>1275</v>
      </c>
      <c r="D756" t="s">
        <v>81</v>
      </c>
      <c r="E756">
        <v>10000000</v>
      </c>
      <c r="H756">
        <v>14.25</v>
      </c>
      <c r="I756" t="s">
        <v>56</v>
      </c>
      <c r="J756">
        <v>1.4250000000000001E-3</v>
      </c>
      <c r="K756" t="s">
        <v>57</v>
      </c>
      <c r="L756" t="s">
        <v>112</v>
      </c>
      <c r="O756">
        <v>4.4000000000000004</v>
      </c>
      <c r="P756" t="s">
        <v>59</v>
      </c>
      <c r="S756">
        <v>1</v>
      </c>
      <c r="T756">
        <v>22</v>
      </c>
      <c r="V756">
        <v>50</v>
      </c>
      <c r="W756" t="s">
        <v>147</v>
      </c>
      <c r="X756" t="s">
        <v>114</v>
      </c>
      <c r="Y756">
        <v>30</v>
      </c>
      <c r="AB756">
        <v>7.76</v>
      </c>
      <c r="AC756" t="s">
        <v>85</v>
      </c>
      <c r="AD756" t="s">
        <v>232</v>
      </c>
      <c r="AE756" t="s">
        <v>138</v>
      </c>
      <c r="AI756">
        <v>5</v>
      </c>
      <c r="AJ756" t="s">
        <v>201</v>
      </c>
      <c r="AK756">
        <v>0.25</v>
      </c>
      <c r="AL756" t="s">
        <v>409</v>
      </c>
      <c r="AO756">
        <v>0</v>
      </c>
      <c r="AT756" t="s">
        <v>150</v>
      </c>
      <c r="AU756">
        <v>0.17543859649122809</v>
      </c>
      <c r="AV756" t="s">
        <v>1250</v>
      </c>
    </row>
    <row r="757" spans="1:53" x14ac:dyDescent="0.3">
      <c r="A757" t="s">
        <v>1253</v>
      </c>
      <c r="C757" t="s">
        <v>1275</v>
      </c>
      <c r="D757" t="s">
        <v>81</v>
      </c>
      <c r="E757">
        <v>10000000</v>
      </c>
      <c r="H757">
        <v>14.25</v>
      </c>
      <c r="I757" t="s">
        <v>56</v>
      </c>
      <c r="J757">
        <v>1.4250000000000001E-3</v>
      </c>
      <c r="K757" t="s">
        <v>57</v>
      </c>
      <c r="L757" t="s">
        <v>112</v>
      </c>
      <c r="O757">
        <v>4.4000000000000004</v>
      </c>
      <c r="P757" t="s">
        <v>59</v>
      </c>
      <c r="S757">
        <v>1</v>
      </c>
      <c r="T757">
        <v>22</v>
      </c>
      <c r="V757">
        <v>50</v>
      </c>
      <c r="W757" t="s">
        <v>719</v>
      </c>
      <c r="X757" t="s">
        <v>114</v>
      </c>
      <c r="Y757">
        <v>30</v>
      </c>
      <c r="AA757" t="s">
        <v>94</v>
      </c>
      <c r="AB757">
        <v>7.82</v>
      </c>
      <c r="AC757" t="s">
        <v>85</v>
      </c>
      <c r="AD757" t="s">
        <v>236</v>
      </c>
      <c r="AE757" t="s">
        <v>138</v>
      </c>
      <c r="AI757">
        <v>5</v>
      </c>
      <c r="AJ757" t="s">
        <v>201</v>
      </c>
      <c r="AK757">
        <v>0.34</v>
      </c>
      <c r="AL757" t="s">
        <v>409</v>
      </c>
      <c r="AO757">
        <v>0</v>
      </c>
      <c r="AU757">
        <v>0.2385964912280702</v>
      </c>
      <c r="AV757" t="s">
        <v>1250</v>
      </c>
      <c r="AZ757">
        <v>0</v>
      </c>
      <c r="BA757">
        <v>7.82</v>
      </c>
    </row>
    <row r="758" spans="1:53" x14ac:dyDescent="0.3">
      <c r="A758" t="s">
        <v>1253</v>
      </c>
      <c r="C758" t="s">
        <v>1275</v>
      </c>
      <c r="D758" t="s">
        <v>81</v>
      </c>
      <c r="E758">
        <v>10000000</v>
      </c>
      <c r="H758">
        <v>14.25</v>
      </c>
      <c r="I758" t="s">
        <v>56</v>
      </c>
      <c r="J758">
        <v>1.4250000000000001E-3</v>
      </c>
      <c r="K758" t="s">
        <v>57</v>
      </c>
      <c r="L758" t="s">
        <v>112</v>
      </c>
      <c r="O758">
        <v>4.4000000000000004</v>
      </c>
      <c r="P758" t="s">
        <v>59</v>
      </c>
      <c r="S758">
        <v>1</v>
      </c>
      <c r="T758">
        <v>22</v>
      </c>
      <c r="V758">
        <v>50</v>
      </c>
      <c r="W758" t="s">
        <v>1254</v>
      </c>
      <c r="X758" t="s">
        <v>114</v>
      </c>
      <c r="Y758">
        <v>30</v>
      </c>
      <c r="AA758" t="s">
        <v>94</v>
      </c>
      <c r="AB758">
        <v>7.71</v>
      </c>
      <c r="AC758" t="s">
        <v>85</v>
      </c>
      <c r="AD758" t="s">
        <v>236</v>
      </c>
      <c r="AE758" t="s">
        <v>138</v>
      </c>
      <c r="AI758">
        <v>5</v>
      </c>
      <c r="AJ758" t="s">
        <v>201</v>
      </c>
      <c r="AK758">
        <v>0.27</v>
      </c>
      <c r="AL758" t="s">
        <v>409</v>
      </c>
      <c r="AO758">
        <v>0</v>
      </c>
      <c r="AT758" t="s">
        <v>203</v>
      </c>
      <c r="AU758">
        <v>0.18947368421052629</v>
      </c>
      <c r="AV758" t="s">
        <v>1250</v>
      </c>
      <c r="AZ758">
        <v>0</v>
      </c>
      <c r="BA758">
        <v>7.71</v>
      </c>
    </row>
    <row r="759" spans="1:53" x14ac:dyDescent="0.3">
      <c r="A759" t="s">
        <v>1253</v>
      </c>
      <c r="C759" t="s">
        <v>1275</v>
      </c>
      <c r="D759" t="s">
        <v>81</v>
      </c>
      <c r="E759">
        <v>10000000</v>
      </c>
      <c r="H759">
        <v>14.25</v>
      </c>
      <c r="I759" t="s">
        <v>56</v>
      </c>
      <c r="J759">
        <v>1.4250000000000001E-3</v>
      </c>
      <c r="K759" t="s">
        <v>57</v>
      </c>
      <c r="L759" t="s">
        <v>112</v>
      </c>
      <c r="O759">
        <v>4.4000000000000004</v>
      </c>
      <c r="P759" t="s">
        <v>59</v>
      </c>
      <c r="S759">
        <v>1</v>
      </c>
      <c r="T759">
        <v>22</v>
      </c>
      <c r="V759">
        <v>50</v>
      </c>
      <c r="W759" t="s">
        <v>1255</v>
      </c>
      <c r="X759" t="s">
        <v>114</v>
      </c>
      <c r="Y759">
        <v>30</v>
      </c>
      <c r="AA759" t="s">
        <v>94</v>
      </c>
      <c r="AB759">
        <v>7.42</v>
      </c>
      <c r="AC759" t="s">
        <v>85</v>
      </c>
      <c r="AD759" t="s">
        <v>240</v>
      </c>
      <c r="AE759" t="s">
        <v>138</v>
      </c>
      <c r="AI759">
        <v>5</v>
      </c>
      <c r="AJ759" t="s">
        <v>201</v>
      </c>
      <c r="AK759">
        <v>0.26</v>
      </c>
      <c r="AL759" t="s">
        <v>409</v>
      </c>
      <c r="AO759">
        <v>0</v>
      </c>
      <c r="AT759" t="s">
        <v>203</v>
      </c>
      <c r="AU759">
        <v>0.18245614035087721</v>
      </c>
      <c r="AV759" t="s">
        <v>1250</v>
      </c>
      <c r="AZ759">
        <v>0</v>
      </c>
      <c r="BA759">
        <v>7.42</v>
      </c>
    </row>
    <row r="760" spans="1:53" x14ac:dyDescent="0.3">
      <c r="A760" t="s">
        <v>1253</v>
      </c>
      <c r="C760" t="s">
        <v>1275</v>
      </c>
      <c r="D760" t="s">
        <v>81</v>
      </c>
      <c r="E760">
        <v>10000000</v>
      </c>
      <c r="H760">
        <v>14.25</v>
      </c>
      <c r="I760" t="s">
        <v>56</v>
      </c>
      <c r="J760">
        <v>1.4250000000000001E-3</v>
      </c>
      <c r="K760" t="s">
        <v>57</v>
      </c>
      <c r="L760" t="s">
        <v>112</v>
      </c>
      <c r="O760">
        <v>4.4000000000000004</v>
      </c>
      <c r="P760" t="s">
        <v>59</v>
      </c>
      <c r="S760">
        <v>1</v>
      </c>
      <c r="T760">
        <v>22</v>
      </c>
      <c r="V760">
        <v>50</v>
      </c>
      <c r="W760" t="s">
        <v>76</v>
      </c>
      <c r="X760" t="s">
        <v>114</v>
      </c>
      <c r="Y760">
        <v>60</v>
      </c>
      <c r="AB760">
        <v>1.39</v>
      </c>
      <c r="AC760" t="s">
        <v>85</v>
      </c>
      <c r="AD760" t="s">
        <v>103</v>
      </c>
      <c r="AE760" t="s">
        <v>138</v>
      </c>
      <c r="AI760">
        <v>5</v>
      </c>
      <c r="AJ760" t="s">
        <v>201</v>
      </c>
      <c r="AK760">
        <v>0.33</v>
      </c>
      <c r="AL760" t="s">
        <v>409</v>
      </c>
      <c r="AO760">
        <v>0</v>
      </c>
      <c r="AT760" t="s">
        <v>77</v>
      </c>
      <c r="AU760">
        <v>0.23157894736842111</v>
      </c>
      <c r="AV760" t="s">
        <v>1250</v>
      </c>
    </row>
    <row r="761" spans="1:53" x14ac:dyDescent="0.3">
      <c r="A761" t="s">
        <v>1253</v>
      </c>
      <c r="C761" t="s">
        <v>1275</v>
      </c>
      <c r="D761" t="s">
        <v>81</v>
      </c>
      <c r="E761">
        <v>10000000</v>
      </c>
      <c r="H761">
        <v>14.25</v>
      </c>
      <c r="I761" t="s">
        <v>56</v>
      </c>
      <c r="J761">
        <v>1.4250000000000001E-3</v>
      </c>
      <c r="K761" t="s">
        <v>57</v>
      </c>
      <c r="L761" t="s">
        <v>112</v>
      </c>
      <c r="O761">
        <v>4.4000000000000004</v>
      </c>
      <c r="P761" t="s">
        <v>59</v>
      </c>
      <c r="S761">
        <v>1</v>
      </c>
      <c r="T761">
        <v>22</v>
      </c>
      <c r="V761">
        <v>50</v>
      </c>
      <c r="W761" t="s">
        <v>1235</v>
      </c>
      <c r="X761" t="s">
        <v>114</v>
      </c>
      <c r="Y761">
        <v>60</v>
      </c>
      <c r="AB761">
        <v>3.81</v>
      </c>
      <c r="AC761" t="s">
        <v>85</v>
      </c>
      <c r="AD761" t="s">
        <v>648</v>
      </c>
      <c r="AE761" t="s">
        <v>138</v>
      </c>
      <c r="AI761">
        <v>5</v>
      </c>
      <c r="AJ761" t="s">
        <v>201</v>
      </c>
      <c r="AK761">
        <v>0.96</v>
      </c>
      <c r="AL761" t="s">
        <v>409</v>
      </c>
      <c r="AO761">
        <v>0</v>
      </c>
      <c r="AT761" t="s">
        <v>1236</v>
      </c>
      <c r="AU761">
        <v>0.67368421052631577</v>
      </c>
      <c r="AV761" t="s">
        <v>1250</v>
      </c>
    </row>
    <row r="762" spans="1:53" x14ac:dyDescent="0.3">
      <c r="A762" t="s">
        <v>1253</v>
      </c>
      <c r="C762" t="s">
        <v>1275</v>
      </c>
      <c r="D762" t="s">
        <v>81</v>
      </c>
      <c r="E762">
        <v>10000000</v>
      </c>
      <c r="H762">
        <v>14.25</v>
      </c>
      <c r="I762" t="s">
        <v>56</v>
      </c>
      <c r="J762">
        <v>1.4250000000000001E-3</v>
      </c>
      <c r="K762" t="s">
        <v>57</v>
      </c>
      <c r="L762" t="s">
        <v>112</v>
      </c>
      <c r="O762">
        <v>4.4000000000000004</v>
      </c>
      <c r="P762" t="s">
        <v>59</v>
      </c>
      <c r="S762">
        <v>1</v>
      </c>
      <c r="T762">
        <v>22</v>
      </c>
      <c r="V762">
        <v>50</v>
      </c>
      <c r="W762" t="s">
        <v>1256</v>
      </c>
      <c r="X762" t="s">
        <v>114</v>
      </c>
      <c r="Y762">
        <v>60</v>
      </c>
      <c r="AB762">
        <v>7.22</v>
      </c>
      <c r="AC762" t="s">
        <v>85</v>
      </c>
      <c r="AD762" t="s">
        <v>626</v>
      </c>
      <c r="AE762" t="s">
        <v>138</v>
      </c>
      <c r="AI762">
        <v>5</v>
      </c>
      <c r="AJ762" t="s">
        <v>201</v>
      </c>
      <c r="AK762">
        <v>0.39</v>
      </c>
      <c r="AL762" t="s">
        <v>409</v>
      </c>
      <c r="AO762">
        <v>0</v>
      </c>
      <c r="AT762" t="s">
        <v>1257</v>
      </c>
      <c r="AU762">
        <v>0.27368421052631581</v>
      </c>
      <c r="AV762" t="s">
        <v>1250</v>
      </c>
    </row>
    <row r="763" spans="1:53" x14ac:dyDescent="0.3">
      <c r="A763" t="s">
        <v>1253</v>
      </c>
      <c r="C763" t="s">
        <v>1275</v>
      </c>
      <c r="D763" t="s">
        <v>81</v>
      </c>
      <c r="E763">
        <v>10000000</v>
      </c>
      <c r="H763">
        <v>14.25</v>
      </c>
      <c r="I763" t="s">
        <v>56</v>
      </c>
      <c r="J763">
        <v>1.4250000000000001E-3</v>
      </c>
      <c r="K763" t="s">
        <v>57</v>
      </c>
      <c r="L763" t="s">
        <v>112</v>
      </c>
      <c r="O763">
        <v>4.4000000000000004</v>
      </c>
      <c r="P763" t="s">
        <v>59</v>
      </c>
      <c r="S763">
        <v>1</v>
      </c>
      <c r="T763">
        <v>22</v>
      </c>
      <c r="V763">
        <v>50</v>
      </c>
      <c r="W763" t="s">
        <v>1258</v>
      </c>
      <c r="X763" t="s">
        <v>114</v>
      </c>
      <c r="Y763">
        <v>60</v>
      </c>
      <c r="AA763" t="s">
        <v>94</v>
      </c>
      <c r="AB763">
        <v>6.99</v>
      </c>
      <c r="AC763" t="s">
        <v>85</v>
      </c>
      <c r="AD763" t="s">
        <v>232</v>
      </c>
      <c r="AE763" t="s">
        <v>138</v>
      </c>
      <c r="AI763">
        <v>5</v>
      </c>
      <c r="AJ763" t="s">
        <v>201</v>
      </c>
      <c r="AK763">
        <v>1.08</v>
      </c>
      <c r="AL763" t="s">
        <v>409</v>
      </c>
      <c r="AO763">
        <v>0</v>
      </c>
      <c r="AT763" t="s">
        <v>75</v>
      </c>
      <c r="AU763">
        <v>0.75789473684210529</v>
      </c>
      <c r="AV763" t="s">
        <v>1250</v>
      </c>
      <c r="AZ763">
        <v>0</v>
      </c>
      <c r="BA763">
        <v>6.99</v>
      </c>
    </row>
    <row r="764" spans="1:53" x14ac:dyDescent="0.3">
      <c r="A764" t="s">
        <v>1253</v>
      </c>
      <c r="C764" t="s">
        <v>1275</v>
      </c>
      <c r="D764" t="s">
        <v>81</v>
      </c>
      <c r="E764">
        <v>10000000</v>
      </c>
      <c r="H764">
        <v>14.25</v>
      </c>
      <c r="I764" t="s">
        <v>56</v>
      </c>
      <c r="J764">
        <v>1.4250000000000001E-3</v>
      </c>
      <c r="K764" t="s">
        <v>57</v>
      </c>
      <c r="L764" t="s">
        <v>112</v>
      </c>
      <c r="O764">
        <v>4.4000000000000004</v>
      </c>
      <c r="P764" t="s">
        <v>59</v>
      </c>
      <c r="S764">
        <v>1</v>
      </c>
      <c r="T764">
        <v>22</v>
      </c>
      <c r="V764">
        <v>50</v>
      </c>
      <c r="W764" t="s">
        <v>1259</v>
      </c>
      <c r="X764" t="s">
        <v>114</v>
      </c>
      <c r="Y764">
        <v>60</v>
      </c>
      <c r="AA764" t="s">
        <v>94</v>
      </c>
      <c r="AB764">
        <v>6.65</v>
      </c>
      <c r="AC764" t="s">
        <v>85</v>
      </c>
      <c r="AD764" t="s">
        <v>437</v>
      </c>
      <c r="AE764" t="s">
        <v>138</v>
      </c>
      <c r="AI764">
        <v>5</v>
      </c>
      <c r="AJ764" t="s">
        <v>201</v>
      </c>
      <c r="AK764">
        <v>0.46</v>
      </c>
      <c r="AL764" t="s">
        <v>409</v>
      </c>
      <c r="AO764">
        <v>0</v>
      </c>
      <c r="AU764">
        <v>0.32280701754385971</v>
      </c>
      <c r="AV764" t="s">
        <v>1250</v>
      </c>
      <c r="AZ764">
        <v>0</v>
      </c>
      <c r="BA764">
        <v>6.65</v>
      </c>
    </row>
    <row r="765" spans="1:53" x14ac:dyDescent="0.3">
      <c r="A765" t="s">
        <v>1404</v>
      </c>
      <c r="C765" t="s">
        <v>1275</v>
      </c>
      <c r="D765" t="s">
        <v>81</v>
      </c>
      <c r="E765">
        <v>10000000</v>
      </c>
      <c r="H765">
        <v>14.25</v>
      </c>
      <c r="I765" t="s">
        <v>56</v>
      </c>
      <c r="J765">
        <v>1.4250000000000001E-3</v>
      </c>
      <c r="K765" t="s">
        <v>57</v>
      </c>
      <c r="L765" t="s">
        <v>112</v>
      </c>
      <c r="N765" t="s">
        <v>1405</v>
      </c>
      <c r="O765">
        <v>6215</v>
      </c>
      <c r="P765" t="s">
        <v>121</v>
      </c>
      <c r="T765">
        <v>28.5</v>
      </c>
      <c r="V765">
        <v>50</v>
      </c>
      <c r="W765" t="s">
        <v>460</v>
      </c>
      <c r="X765" t="s">
        <v>114</v>
      </c>
      <c r="Y765">
        <v>10</v>
      </c>
      <c r="AB765">
        <v>0.28000000000000003</v>
      </c>
      <c r="AC765" t="s">
        <v>85</v>
      </c>
      <c r="AD765" t="s">
        <v>235</v>
      </c>
      <c r="AE765" t="s">
        <v>63</v>
      </c>
      <c r="AI765">
        <v>6</v>
      </c>
      <c r="AJ765" t="s">
        <v>201</v>
      </c>
      <c r="AK765">
        <v>0.32</v>
      </c>
      <c r="AL765" t="s">
        <v>409</v>
      </c>
      <c r="AT765" t="s">
        <v>73</v>
      </c>
      <c r="AU765">
        <v>0.22456140350877199</v>
      </c>
      <c r="AV765" t="s">
        <v>1250</v>
      </c>
    </row>
    <row r="766" spans="1:53" x14ac:dyDescent="0.3">
      <c r="A766" t="s">
        <v>1404</v>
      </c>
      <c r="C766" t="s">
        <v>1275</v>
      </c>
      <c r="D766" t="s">
        <v>81</v>
      </c>
      <c r="E766">
        <v>10000000</v>
      </c>
      <c r="H766">
        <v>14.25</v>
      </c>
      <c r="I766" t="s">
        <v>56</v>
      </c>
      <c r="J766">
        <v>1.4250000000000001E-3</v>
      </c>
      <c r="K766" t="s">
        <v>57</v>
      </c>
      <c r="L766" t="s">
        <v>112</v>
      </c>
      <c r="N766" t="s">
        <v>1405</v>
      </c>
      <c r="O766">
        <v>6215</v>
      </c>
      <c r="P766" t="s">
        <v>121</v>
      </c>
      <c r="T766">
        <v>28.5</v>
      </c>
      <c r="V766">
        <v>50</v>
      </c>
      <c r="W766" t="s">
        <v>462</v>
      </c>
      <c r="X766" t="s">
        <v>114</v>
      </c>
      <c r="Y766">
        <v>10</v>
      </c>
      <c r="AB766">
        <v>0.59</v>
      </c>
      <c r="AC766" t="s">
        <v>85</v>
      </c>
      <c r="AD766" t="s">
        <v>103</v>
      </c>
      <c r="AE766" t="s">
        <v>63</v>
      </c>
      <c r="AI766">
        <v>6</v>
      </c>
      <c r="AJ766" t="s">
        <v>201</v>
      </c>
      <c r="AK766">
        <v>0.32</v>
      </c>
      <c r="AL766" t="s">
        <v>409</v>
      </c>
      <c r="AT766" t="s">
        <v>212</v>
      </c>
      <c r="AU766">
        <v>0.22456140350877199</v>
      </c>
      <c r="AV766" t="s">
        <v>1250</v>
      </c>
    </row>
    <row r="767" spans="1:53" x14ac:dyDescent="0.3">
      <c r="A767" t="s">
        <v>1404</v>
      </c>
      <c r="C767" t="s">
        <v>1275</v>
      </c>
      <c r="D767" t="s">
        <v>81</v>
      </c>
      <c r="E767">
        <v>10000000</v>
      </c>
      <c r="H767">
        <v>14.25</v>
      </c>
      <c r="I767" t="s">
        <v>56</v>
      </c>
      <c r="J767">
        <v>1.4250000000000001E-3</v>
      </c>
      <c r="K767" t="s">
        <v>57</v>
      </c>
      <c r="L767" t="s">
        <v>112</v>
      </c>
      <c r="N767" t="s">
        <v>1405</v>
      </c>
      <c r="O767">
        <v>6215</v>
      </c>
      <c r="P767" t="s">
        <v>121</v>
      </c>
      <c r="T767">
        <v>28.5</v>
      </c>
      <c r="V767">
        <v>50</v>
      </c>
      <c r="W767" t="s">
        <v>147</v>
      </c>
      <c r="X767" t="s">
        <v>114</v>
      </c>
      <c r="Y767">
        <v>10</v>
      </c>
      <c r="AA767" t="s">
        <v>94</v>
      </c>
      <c r="AB767">
        <v>7.9</v>
      </c>
      <c r="AC767" t="s">
        <v>85</v>
      </c>
      <c r="AI767">
        <v>6</v>
      </c>
      <c r="AJ767" t="s">
        <v>201</v>
      </c>
      <c r="AK767">
        <v>0.32</v>
      </c>
      <c r="AL767" t="s">
        <v>409</v>
      </c>
      <c r="AT767" t="s">
        <v>150</v>
      </c>
      <c r="AU767">
        <v>0.22456140350877199</v>
      </c>
      <c r="AV767" t="s">
        <v>1250</v>
      </c>
      <c r="AZ767">
        <v>0</v>
      </c>
      <c r="BA767">
        <v>7.9</v>
      </c>
    </row>
    <row r="768" spans="1:53" x14ac:dyDescent="0.3">
      <c r="A768" t="s">
        <v>1404</v>
      </c>
      <c r="C768" t="s">
        <v>1275</v>
      </c>
      <c r="D768" t="s">
        <v>81</v>
      </c>
      <c r="E768">
        <v>10000000</v>
      </c>
      <c r="H768">
        <v>14.25</v>
      </c>
      <c r="I768" t="s">
        <v>56</v>
      </c>
      <c r="J768">
        <v>1.4250000000000001E-3</v>
      </c>
      <c r="K768" t="s">
        <v>57</v>
      </c>
      <c r="L768" t="s">
        <v>112</v>
      </c>
      <c r="N768" t="s">
        <v>1405</v>
      </c>
      <c r="O768">
        <v>6215</v>
      </c>
      <c r="P768" t="s">
        <v>121</v>
      </c>
      <c r="T768">
        <v>28.5</v>
      </c>
      <c r="V768">
        <v>50</v>
      </c>
      <c r="W768" t="s">
        <v>463</v>
      </c>
      <c r="X768" t="s">
        <v>114</v>
      </c>
      <c r="Y768">
        <v>10</v>
      </c>
      <c r="AA768" t="s">
        <v>94</v>
      </c>
      <c r="AB768">
        <v>7.2</v>
      </c>
      <c r="AC768" t="s">
        <v>85</v>
      </c>
      <c r="AI768">
        <v>6</v>
      </c>
      <c r="AJ768" t="s">
        <v>201</v>
      </c>
      <c r="AK768">
        <v>0.32</v>
      </c>
      <c r="AL768" t="s">
        <v>409</v>
      </c>
      <c r="AT768" t="s">
        <v>360</v>
      </c>
      <c r="AU768">
        <v>0.22456140350877199</v>
      </c>
      <c r="AV768" t="s">
        <v>1250</v>
      </c>
      <c r="AZ768">
        <v>0</v>
      </c>
      <c r="BA768">
        <v>7.2</v>
      </c>
    </row>
    <row r="769" spans="1:53" x14ac:dyDescent="0.3">
      <c r="A769" t="s">
        <v>1404</v>
      </c>
      <c r="C769" t="s">
        <v>1275</v>
      </c>
      <c r="D769" t="s">
        <v>81</v>
      </c>
      <c r="E769">
        <v>10000000</v>
      </c>
      <c r="H769">
        <v>14.25</v>
      </c>
      <c r="I769" t="s">
        <v>56</v>
      </c>
      <c r="J769">
        <v>1.4250000000000001E-3</v>
      </c>
      <c r="K769" t="s">
        <v>57</v>
      </c>
      <c r="L769" t="s">
        <v>112</v>
      </c>
      <c r="N769" t="s">
        <v>1405</v>
      </c>
      <c r="O769">
        <v>6215</v>
      </c>
      <c r="P769" t="s">
        <v>121</v>
      </c>
      <c r="T769">
        <v>28.5</v>
      </c>
      <c r="V769">
        <v>50</v>
      </c>
      <c r="W769" t="s">
        <v>464</v>
      </c>
      <c r="X769" t="s">
        <v>114</v>
      </c>
      <c r="Y769">
        <v>10</v>
      </c>
      <c r="AA769" t="s">
        <v>94</v>
      </c>
      <c r="AB769">
        <v>7.7</v>
      </c>
      <c r="AC769" t="s">
        <v>85</v>
      </c>
      <c r="AI769">
        <v>6</v>
      </c>
      <c r="AJ769" t="s">
        <v>201</v>
      </c>
      <c r="AK769">
        <v>0.32</v>
      </c>
      <c r="AL769" t="s">
        <v>409</v>
      </c>
      <c r="AT769" t="s">
        <v>65</v>
      </c>
      <c r="AU769">
        <v>0.22456140350877199</v>
      </c>
      <c r="AV769" t="s">
        <v>1250</v>
      </c>
      <c r="AZ769">
        <v>0</v>
      </c>
      <c r="BA769">
        <v>7.7</v>
      </c>
    </row>
    <row r="770" spans="1:53" x14ac:dyDescent="0.3">
      <c r="A770" t="s">
        <v>1404</v>
      </c>
      <c r="C770" t="s">
        <v>1275</v>
      </c>
      <c r="D770" t="s">
        <v>81</v>
      </c>
      <c r="E770">
        <v>10000000</v>
      </c>
      <c r="H770">
        <v>14.25</v>
      </c>
      <c r="I770" t="s">
        <v>56</v>
      </c>
      <c r="J770">
        <v>1.4250000000000001E-3</v>
      </c>
      <c r="K770" t="s">
        <v>57</v>
      </c>
      <c r="L770" t="s">
        <v>112</v>
      </c>
      <c r="N770" t="s">
        <v>1405</v>
      </c>
      <c r="O770">
        <v>6215</v>
      </c>
      <c r="P770" t="s">
        <v>121</v>
      </c>
      <c r="T770">
        <v>28.5</v>
      </c>
      <c r="V770">
        <v>50</v>
      </c>
      <c r="W770" t="s">
        <v>465</v>
      </c>
      <c r="X770" t="s">
        <v>114</v>
      </c>
      <c r="Y770">
        <v>10</v>
      </c>
      <c r="AB770">
        <v>2</v>
      </c>
      <c r="AC770" t="s">
        <v>85</v>
      </c>
      <c r="AD770" t="s">
        <v>240</v>
      </c>
      <c r="AE770" t="s">
        <v>63</v>
      </c>
      <c r="AI770">
        <v>6</v>
      </c>
      <c r="AJ770" t="s">
        <v>201</v>
      </c>
      <c r="AK770">
        <v>0.32</v>
      </c>
      <c r="AL770" t="s">
        <v>409</v>
      </c>
      <c r="AT770" t="s">
        <v>79</v>
      </c>
      <c r="AU770">
        <v>0.22456140350877199</v>
      </c>
      <c r="AV770" t="s">
        <v>1250</v>
      </c>
    </row>
    <row r="771" spans="1:53" x14ac:dyDescent="0.3">
      <c r="A771" t="s">
        <v>1404</v>
      </c>
      <c r="C771" t="s">
        <v>1275</v>
      </c>
      <c r="D771" t="s">
        <v>81</v>
      </c>
      <c r="E771">
        <v>10000000</v>
      </c>
      <c r="H771">
        <v>14.25</v>
      </c>
      <c r="I771" t="s">
        <v>56</v>
      </c>
      <c r="J771">
        <v>1.4250000000000001E-3</v>
      </c>
      <c r="K771" t="s">
        <v>57</v>
      </c>
      <c r="L771" t="s">
        <v>112</v>
      </c>
      <c r="N771" t="s">
        <v>1405</v>
      </c>
      <c r="O771">
        <v>6215</v>
      </c>
      <c r="P771" t="s">
        <v>121</v>
      </c>
      <c r="T771">
        <v>28.5</v>
      </c>
      <c r="V771">
        <v>50</v>
      </c>
      <c r="W771" t="s">
        <v>466</v>
      </c>
      <c r="X771" t="s">
        <v>114</v>
      </c>
      <c r="Y771">
        <v>10</v>
      </c>
      <c r="AB771">
        <v>1</v>
      </c>
      <c r="AC771" t="s">
        <v>85</v>
      </c>
      <c r="AD771" t="s">
        <v>248</v>
      </c>
      <c r="AE771" t="s">
        <v>63</v>
      </c>
      <c r="AI771">
        <v>6</v>
      </c>
      <c r="AJ771" t="s">
        <v>201</v>
      </c>
      <c r="AK771">
        <v>0.32</v>
      </c>
      <c r="AL771" t="s">
        <v>409</v>
      </c>
      <c r="AT771" t="s">
        <v>358</v>
      </c>
      <c r="AU771">
        <v>0.22456140350877199</v>
      </c>
      <c r="AV771" t="s">
        <v>1250</v>
      </c>
    </row>
    <row r="772" spans="1:53" x14ac:dyDescent="0.3">
      <c r="A772" t="s">
        <v>1404</v>
      </c>
      <c r="C772" t="s">
        <v>1275</v>
      </c>
      <c r="D772" t="s">
        <v>81</v>
      </c>
      <c r="E772">
        <v>10000000</v>
      </c>
      <c r="H772">
        <v>14.25</v>
      </c>
      <c r="I772" t="s">
        <v>56</v>
      </c>
      <c r="J772">
        <v>1.4250000000000001E-3</v>
      </c>
      <c r="K772" t="s">
        <v>57</v>
      </c>
      <c r="L772" t="s">
        <v>112</v>
      </c>
      <c r="N772" t="s">
        <v>1405</v>
      </c>
      <c r="O772">
        <v>6215</v>
      </c>
      <c r="P772" t="s">
        <v>121</v>
      </c>
      <c r="T772">
        <v>28.5</v>
      </c>
      <c r="V772">
        <v>50</v>
      </c>
      <c r="W772" t="s">
        <v>460</v>
      </c>
      <c r="X772" t="s">
        <v>114</v>
      </c>
      <c r="Y772">
        <v>10</v>
      </c>
      <c r="AB772">
        <v>0.88</v>
      </c>
      <c r="AC772" t="s">
        <v>85</v>
      </c>
      <c r="AD772" t="s">
        <v>106</v>
      </c>
      <c r="AE772" t="s">
        <v>63</v>
      </c>
      <c r="AI772">
        <v>6</v>
      </c>
      <c r="AJ772" t="s">
        <v>201</v>
      </c>
      <c r="AK772">
        <v>0.32</v>
      </c>
      <c r="AL772" t="s">
        <v>409</v>
      </c>
      <c r="AT772" t="s">
        <v>73</v>
      </c>
      <c r="AU772">
        <v>0.22456140350877199</v>
      </c>
      <c r="AV772" t="s">
        <v>1250</v>
      </c>
    </row>
    <row r="773" spans="1:53" x14ac:dyDescent="0.3">
      <c r="A773" t="s">
        <v>1404</v>
      </c>
      <c r="C773" t="s">
        <v>1275</v>
      </c>
      <c r="D773" t="s">
        <v>81</v>
      </c>
      <c r="E773">
        <v>10000000</v>
      </c>
      <c r="H773">
        <v>14.25</v>
      </c>
      <c r="I773" t="s">
        <v>56</v>
      </c>
      <c r="J773">
        <v>1.4250000000000001E-3</v>
      </c>
      <c r="K773" t="s">
        <v>57</v>
      </c>
      <c r="L773" t="s">
        <v>112</v>
      </c>
      <c r="N773" t="s">
        <v>1405</v>
      </c>
      <c r="O773">
        <v>6215</v>
      </c>
      <c r="P773" t="s">
        <v>121</v>
      </c>
      <c r="T773">
        <v>28.5</v>
      </c>
      <c r="V773">
        <v>50</v>
      </c>
      <c r="W773" t="s">
        <v>462</v>
      </c>
      <c r="X773" t="s">
        <v>114</v>
      </c>
      <c r="Y773">
        <v>10</v>
      </c>
      <c r="AB773">
        <v>1.9</v>
      </c>
      <c r="AC773" t="s">
        <v>85</v>
      </c>
      <c r="AD773" t="s">
        <v>527</v>
      </c>
      <c r="AE773" t="s">
        <v>63</v>
      </c>
      <c r="AI773">
        <v>6</v>
      </c>
      <c r="AJ773" t="s">
        <v>201</v>
      </c>
      <c r="AK773">
        <v>0.32</v>
      </c>
      <c r="AL773" t="s">
        <v>409</v>
      </c>
      <c r="AT773" t="s">
        <v>212</v>
      </c>
      <c r="AU773">
        <v>0.22456140350877199</v>
      </c>
      <c r="AV773" t="s">
        <v>1250</v>
      </c>
    </row>
    <row r="774" spans="1:53" x14ac:dyDescent="0.3">
      <c r="A774" t="s">
        <v>1404</v>
      </c>
      <c r="C774" t="s">
        <v>1275</v>
      </c>
      <c r="D774" t="s">
        <v>81</v>
      </c>
      <c r="E774">
        <v>10000000</v>
      </c>
      <c r="H774">
        <v>14.25</v>
      </c>
      <c r="I774" t="s">
        <v>56</v>
      </c>
      <c r="J774">
        <v>1.4250000000000001E-3</v>
      </c>
      <c r="K774" t="s">
        <v>57</v>
      </c>
      <c r="L774" t="s">
        <v>112</v>
      </c>
      <c r="N774" t="s">
        <v>1405</v>
      </c>
      <c r="O774">
        <v>6215</v>
      </c>
      <c r="P774" t="s">
        <v>121</v>
      </c>
      <c r="T774">
        <v>28.5</v>
      </c>
      <c r="V774">
        <v>50</v>
      </c>
      <c r="W774" t="s">
        <v>147</v>
      </c>
      <c r="X774" t="s">
        <v>114</v>
      </c>
      <c r="Y774">
        <v>10</v>
      </c>
      <c r="AA774" t="s">
        <v>94</v>
      </c>
      <c r="AB774">
        <v>6.8</v>
      </c>
      <c r="AC774" t="s">
        <v>85</v>
      </c>
      <c r="AI774">
        <v>6</v>
      </c>
      <c r="AJ774" t="s">
        <v>201</v>
      </c>
      <c r="AK774">
        <v>0.32</v>
      </c>
      <c r="AL774" t="s">
        <v>409</v>
      </c>
      <c r="AT774" t="s">
        <v>150</v>
      </c>
      <c r="AU774">
        <v>0.22456140350877199</v>
      </c>
      <c r="AV774" t="s">
        <v>1250</v>
      </c>
      <c r="AZ774">
        <v>0</v>
      </c>
      <c r="BA774">
        <v>6.8</v>
      </c>
    </row>
    <row r="775" spans="1:53" x14ac:dyDescent="0.3">
      <c r="A775" t="s">
        <v>1404</v>
      </c>
      <c r="C775" t="s">
        <v>1275</v>
      </c>
      <c r="D775" t="s">
        <v>81</v>
      </c>
      <c r="E775">
        <v>10000000</v>
      </c>
      <c r="H775">
        <v>14.25</v>
      </c>
      <c r="I775" t="s">
        <v>56</v>
      </c>
      <c r="J775">
        <v>1.4250000000000001E-3</v>
      </c>
      <c r="K775" t="s">
        <v>57</v>
      </c>
      <c r="L775" t="s">
        <v>112</v>
      </c>
      <c r="N775" t="s">
        <v>1405</v>
      </c>
      <c r="O775">
        <v>6215</v>
      </c>
      <c r="P775" t="s">
        <v>121</v>
      </c>
      <c r="T775">
        <v>28.5</v>
      </c>
      <c r="V775">
        <v>50</v>
      </c>
      <c r="W775" t="s">
        <v>463</v>
      </c>
      <c r="X775" t="s">
        <v>114</v>
      </c>
      <c r="Y775">
        <v>10</v>
      </c>
      <c r="AA775" t="s">
        <v>94</v>
      </c>
      <c r="AB775">
        <v>6.6</v>
      </c>
      <c r="AC775" t="s">
        <v>85</v>
      </c>
      <c r="AI775">
        <v>6</v>
      </c>
      <c r="AJ775" t="s">
        <v>201</v>
      </c>
      <c r="AK775">
        <v>0.32</v>
      </c>
      <c r="AL775" t="s">
        <v>409</v>
      </c>
      <c r="AT775" t="s">
        <v>360</v>
      </c>
      <c r="AU775">
        <v>0.22456140350877199</v>
      </c>
      <c r="AV775" t="s">
        <v>1250</v>
      </c>
      <c r="AZ775">
        <v>0</v>
      </c>
      <c r="BA775">
        <v>6.6</v>
      </c>
    </row>
    <row r="776" spans="1:53" x14ac:dyDescent="0.3">
      <c r="A776" t="s">
        <v>1404</v>
      </c>
      <c r="C776" t="s">
        <v>1275</v>
      </c>
      <c r="D776" t="s">
        <v>81</v>
      </c>
      <c r="E776">
        <v>10000000</v>
      </c>
      <c r="H776">
        <v>14.25</v>
      </c>
      <c r="I776" t="s">
        <v>56</v>
      </c>
      <c r="J776">
        <v>1.4250000000000001E-3</v>
      </c>
      <c r="K776" t="s">
        <v>57</v>
      </c>
      <c r="L776" t="s">
        <v>112</v>
      </c>
      <c r="N776" t="s">
        <v>1405</v>
      </c>
      <c r="O776">
        <v>6215</v>
      </c>
      <c r="P776" t="s">
        <v>121</v>
      </c>
      <c r="T776">
        <v>28.5</v>
      </c>
      <c r="V776">
        <v>50</v>
      </c>
      <c r="W776" t="s">
        <v>464</v>
      </c>
      <c r="X776" t="s">
        <v>114</v>
      </c>
      <c r="Y776">
        <v>10</v>
      </c>
      <c r="AA776" t="s">
        <v>94</v>
      </c>
      <c r="AB776">
        <v>7.4</v>
      </c>
      <c r="AC776" t="s">
        <v>85</v>
      </c>
      <c r="AI776">
        <v>6</v>
      </c>
      <c r="AJ776" t="s">
        <v>201</v>
      </c>
      <c r="AK776">
        <v>0.32</v>
      </c>
      <c r="AL776" t="s">
        <v>409</v>
      </c>
      <c r="AT776" t="s">
        <v>65</v>
      </c>
      <c r="AU776">
        <v>0.22456140350877199</v>
      </c>
      <c r="AV776" t="s">
        <v>1250</v>
      </c>
      <c r="AZ776">
        <v>0</v>
      </c>
      <c r="BA776">
        <v>7.4</v>
      </c>
    </row>
    <row r="777" spans="1:53" x14ac:dyDescent="0.3">
      <c r="A777" t="s">
        <v>1404</v>
      </c>
      <c r="C777" t="s">
        <v>1275</v>
      </c>
      <c r="D777" t="s">
        <v>81</v>
      </c>
      <c r="E777">
        <v>10000000</v>
      </c>
      <c r="H777">
        <v>14.25</v>
      </c>
      <c r="I777" t="s">
        <v>56</v>
      </c>
      <c r="J777">
        <v>1.4250000000000001E-3</v>
      </c>
      <c r="K777" t="s">
        <v>57</v>
      </c>
      <c r="L777" t="s">
        <v>112</v>
      </c>
      <c r="N777" t="s">
        <v>1405</v>
      </c>
      <c r="O777">
        <v>6215</v>
      </c>
      <c r="P777" t="s">
        <v>121</v>
      </c>
      <c r="T777">
        <v>28.5</v>
      </c>
      <c r="V777">
        <v>50</v>
      </c>
      <c r="W777" t="s">
        <v>465</v>
      </c>
      <c r="X777" t="s">
        <v>114</v>
      </c>
      <c r="Y777">
        <v>10</v>
      </c>
      <c r="AB777">
        <v>3</v>
      </c>
      <c r="AC777" t="s">
        <v>85</v>
      </c>
      <c r="AD777" t="s">
        <v>248</v>
      </c>
      <c r="AE777" t="s">
        <v>63</v>
      </c>
      <c r="AI777">
        <v>6</v>
      </c>
      <c r="AJ777" t="s">
        <v>201</v>
      </c>
      <c r="AK777">
        <v>0.32</v>
      </c>
      <c r="AL777" t="s">
        <v>409</v>
      </c>
      <c r="AT777" t="s">
        <v>79</v>
      </c>
      <c r="AU777">
        <v>0.22456140350877199</v>
      </c>
      <c r="AV777" t="s">
        <v>1250</v>
      </c>
    </row>
    <row r="778" spans="1:53" x14ac:dyDescent="0.3">
      <c r="A778" t="s">
        <v>1404</v>
      </c>
      <c r="C778" t="s">
        <v>1275</v>
      </c>
      <c r="D778" t="s">
        <v>81</v>
      </c>
      <c r="E778">
        <v>10000000</v>
      </c>
      <c r="H778">
        <v>14.25</v>
      </c>
      <c r="I778" t="s">
        <v>56</v>
      </c>
      <c r="J778">
        <v>1.4250000000000001E-3</v>
      </c>
      <c r="K778" t="s">
        <v>57</v>
      </c>
      <c r="L778" t="s">
        <v>112</v>
      </c>
      <c r="N778" t="s">
        <v>1405</v>
      </c>
      <c r="O778">
        <v>6215</v>
      </c>
      <c r="P778" t="s">
        <v>121</v>
      </c>
      <c r="T778">
        <v>28.5</v>
      </c>
      <c r="V778">
        <v>50</v>
      </c>
      <c r="W778" t="s">
        <v>466</v>
      </c>
      <c r="X778" t="s">
        <v>114</v>
      </c>
      <c r="Y778">
        <v>10</v>
      </c>
      <c r="AB778">
        <v>2.2999999999999901</v>
      </c>
      <c r="AC778" t="s">
        <v>85</v>
      </c>
      <c r="AD778" t="s">
        <v>104</v>
      </c>
      <c r="AE778" t="s">
        <v>63</v>
      </c>
      <c r="AI778">
        <v>6</v>
      </c>
      <c r="AJ778" t="s">
        <v>201</v>
      </c>
      <c r="AK778">
        <v>0.32</v>
      </c>
      <c r="AL778" t="s">
        <v>409</v>
      </c>
      <c r="AT778" t="s">
        <v>358</v>
      </c>
      <c r="AU778">
        <v>0.22456140350877199</v>
      </c>
      <c r="AV778" t="s">
        <v>1250</v>
      </c>
    </row>
    <row r="779" spans="1:53" x14ac:dyDescent="0.3">
      <c r="A779" t="s">
        <v>1404</v>
      </c>
      <c r="C779" t="s">
        <v>1275</v>
      </c>
      <c r="D779" t="s">
        <v>81</v>
      </c>
      <c r="E779">
        <v>10000000</v>
      </c>
      <c r="H779">
        <v>14.25</v>
      </c>
      <c r="I779" t="s">
        <v>56</v>
      </c>
      <c r="J779">
        <v>1.4250000000000001E-3</v>
      </c>
      <c r="K779" t="s">
        <v>57</v>
      </c>
      <c r="L779" t="s">
        <v>112</v>
      </c>
      <c r="N779" t="s">
        <v>1405</v>
      </c>
      <c r="O779">
        <v>6215</v>
      </c>
      <c r="P779" t="s">
        <v>121</v>
      </c>
      <c r="T779">
        <v>28.5</v>
      </c>
      <c r="V779">
        <v>50</v>
      </c>
      <c r="W779" t="s">
        <v>460</v>
      </c>
      <c r="X779" t="s">
        <v>114</v>
      </c>
      <c r="Y779">
        <v>10</v>
      </c>
      <c r="AB779">
        <v>0.19</v>
      </c>
      <c r="AC779" t="s">
        <v>85</v>
      </c>
      <c r="AD779" t="s">
        <v>240</v>
      </c>
      <c r="AE779" t="s">
        <v>63</v>
      </c>
      <c r="AI779">
        <v>6</v>
      </c>
      <c r="AJ779" t="s">
        <v>201</v>
      </c>
      <c r="AK779">
        <v>0.32</v>
      </c>
      <c r="AL779" t="s">
        <v>409</v>
      </c>
      <c r="AT779" t="s">
        <v>73</v>
      </c>
      <c r="AU779">
        <v>0.22456140350877199</v>
      </c>
      <c r="AV779" t="s">
        <v>1250</v>
      </c>
    </row>
    <row r="780" spans="1:53" x14ac:dyDescent="0.3">
      <c r="A780" t="s">
        <v>1404</v>
      </c>
      <c r="C780" t="s">
        <v>1275</v>
      </c>
      <c r="D780" t="s">
        <v>81</v>
      </c>
      <c r="E780">
        <v>10000000</v>
      </c>
      <c r="H780">
        <v>14.25</v>
      </c>
      <c r="I780" t="s">
        <v>56</v>
      </c>
      <c r="J780">
        <v>1.4250000000000001E-3</v>
      </c>
      <c r="K780" t="s">
        <v>57</v>
      </c>
      <c r="L780" t="s">
        <v>112</v>
      </c>
      <c r="N780" t="s">
        <v>1405</v>
      </c>
      <c r="O780">
        <v>6215</v>
      </c>
      <c r="P780" t="s">
        <v>121</v>
      </c>
      <c r="T780">
        <v>28.5</v>
      </c>
      <c r="V780">
        <v>50</v>
      </c>
      <c r="W780" t="s">
        <v>462</v>
      </c>
      <c r="X780" t="s">
        <v>114</v>
      </c>
      <c r="Y780">
        <v>10</v>
      </c>
      <c r="AB780">
        <v>0.49</v>
      </c>
      <c r="AC780" t="s">
        <v>85</v>
      </c>
      <c r="AD780" t="s">
        <v>524</v>
      </c>
      <c r="AE780" t="s">
        <v>63</v>
      </c>
      <c r="AI780">
        <v>6</v>
      </c>
      <c r="AJ780" t="s">
        <v>201</v>
      </c>
      <c r="AK780">
        <v>0.32</v>
      </c>
      <c r="AL780" t="s">
        <v>409</v>
      </c>
      <c r="AT780" t="s">
        <v>212</v>
      </c>
      <c r="AU780">
        <v>0.22456140350877199</v>
      </c>
      <c r="AV780" t="s">
        <v>1250</v>
      </c>
    </row>
    <row r="781" spans="1:53" x14ac:dyDescent="0.3">
      <c r="A781" t="s">
        <v>1404</v>
      </c>
      <c r="C781" t="s">
        <v>1275</v>
      </c>
      <c r="D781" t="s">
        <v>81</v>
      </c>
      <c r="E781">
        <v>10000000</v>
      </c>
      <c r="H781">
        <v>14.25</v>
      </c>
      <c r="I781" t="s">
        <v>56</v>
      </c>
      <c r="J781">
        <v>1.4250000000000001E-3</v>
      </c>
      <c r="K781" t="s">
        <v>57</v>
      </c>
      <c r="L781" t="s">
        <v>112</v>
      </c>
      <c r="N781" t="s">
        <v>1405</v>
      </c>
      <c r="O781">
        <v>6215</v>
      </c>
      <c r="P781" t="s">
        <v>121</v>
      </c>
      <c r="T781">
        <v>28.5</v>
      </c>
      <c r="V781">
        <v>50</v>
      </c>
      <c r="W781" t="s">
        <v>147</v>
      </c>
      <c r="X781" t="s">
        <v>114</v>
      </c>
      <c r="Y781">
        <v>10</v>
      </c>
      <c r="AA781" t="s">
        <v>94</v>
      </c>
      <c r="AB781">
        <v>7.7</v>
      </c>
      <c r="AC781" t="s">
        <v>85</v>
      </c>
      <c r="AI781">
        <v>6</v>
      </c>
      <c r="AJ781" t="s">
        <v>201</v>
      </c>
      <c r="AK781">
        <v>0.32</v>
      </c>
      <c r="AL781" t="s">
        <v>409</v>
      </c>
      <c r="AT781" t="s">
        <v>150</v>
      </c>
      <c r="AU781">
        <v>0.22456140350877199</v>
      </c>
      <c r="AV781" t="s">
        <v>1250</v>
      </c>
      <c r="AZ781">
        <v>0</v>
      </c>
      <c r="BA781">
        <v>7.7</v>
      </c>
    </row>
    <row r="782" spans="1:53" x14ac:dyDescent="0.3">
      <c r="A782" t="s">
        <v>1404</v>
      </c>
      <c r="C782" t="s">
        <v>1275</v>
      </c>
      <c r="D782" t="s">
        <v>81</v>
      </c>
      <c r="E782">
        <v>10000000</v>
      </c>
      <c r="H782">
        <v>14.25</v>
      </c>
      <c r="I782" t="s">
        <v>56</v>
      </c>
      <c r="J782">
        <v>1.4250000000000001E-3</v>
      </c>
      <c r="K782" t="s">
        <v>57</v>
      </c>
      <c r="L782" t="s">
        <v>112</v>
      </c>
      <c r="N782" t="s">
        <v>1405</v>
      </c>
      <c r="O782">
        <v>6215</v>
      </c>
      <c r="P782" t="s">
        <v>121</v>
      </c>
      <c r="T782">
        <v>28.5</v>
      </c>
      <c r="V782">
        <v>50</v>
      </c>
      <c r="W782" t="s">
        <v>463</v>
      </c>
      <c r="X782" t="s">
        <v>114</v>
      </c>
      <c r="Y782">
        <v>10</v>
      </c>
      <c r="AB782">
        <v>6.9</v>
      </c>
      <c r="AC782" t="s">
        <v>85</v>
      </c>
      <c r="AD782" t="s">
        <v>633</v>
      </c>
      <c r="AE782" t="s">
        <v>63</v>
      </c>
      <c r="AI782">
        <v>6</v>
      </c>
      <c r="AJ782" t="s">
        <v>201</v>
      </c>
      <c r="AK782">
        <v>0.32</v>
      </c>
      <c r="AL782" t="s">
        <v>409</v>
      </c>
      <c r="AT782" t="s">
        <v>360</v>
      </c>
      <c r="AU782">
        <v>0.22456140350877199</v>
      </c>
      <c r="AV782" t="s">
        <v>1250</v>
      </c>
    </row>
    <row r="783" spans="1:53" x14ac:dyDescent="0.3">
      <c r="A783" t="s">
        <v>1404</v>
      </c>
      <c r="C783" t="s">
        <v>1275</v>
      </c>
      <c r="D783" t="s">
        <v>81</v>
      </c>
      <c r="E783">
        <v>10000000</v>
      </c>
      <c r="H783">
        <v>14.25</v>
      </c>
      <c r="I783" t="s">
        <v>56</v>
      </c>
      <c r="J783">
        <v>1.4250000000000001E-3</v>
      </c>
      <c r="K783" t="s">
        <v>57</v>
      </c>
      <c r="L783" t="s">
        <v>112</v>
      </c>
      <c r="N783" t="s">
        <v>1405</v>
      </c>
      <c r="O783">
        <v>6215</v>
      </c>
      <c r="P783" t="s">
        <v>121</v>
      </c>
      <c r="T783">
        <v>28.5</v>
      </c>
      <c r="V783">
        <v>50</v>
      </c>
      <c r="W783" t="s">
        <v>464</v>
      </c>
      <c r="X783" t="s">
        <v>114</v>
      </c>
      <c r="Y783">
        <v>10</v>
      </c>
      <c r="AA783" t="s">
        <v>94</v>
      </c>
      <c r="AB783">
        <v>7.8</v>
      </c>
      <c r="AC783" t="s">
        <v>85</v>
      </c>
      <c r="AI783">
        <v>6</v>
      </c>
      <c r="AJ783" t="s">
        <v>201</v>
      </c>
      <c r="AK783">
        <v>0.32</v>
      </c>
      <c r="AL783" t="s">
        <v>409</v>
      </c>
      <c r="AT783" t="s">
        <v>65</v>
      </c>
      <c r="AU783">
        <v>0.22456140350877199</v>
      </c>
      <c r="AV783" t="s">
        <v>1250</v>
      </c>
      <c r="AZ783">
        <v>0</v>
      </c>
      <c r="BA783">
        <v>7.8</v>
      </c>
    </row>
    <row r="784" spans="1:53" x14ac:dyDescent="0.3">
      <c r="A784" t="s">
        <v>1404</v>
      </c>
      <c r="C784" t="s">
        <v>1275</v>
      </c>
      <c r="D784" t="s">
        <v>81</v>
      </c>
      <c r="E784">
        <v>10000000</v>
      </c>
      <c r="H784">
        <v>14.25</v>
      </c>
      <c r="I784" t="s">
        <v>56</v>
      </c>
      <c r="J784">
        <v>1.4250000000000001E-3</v>
      </c>
      <c r="K784" t="s">
        <v>57</v>
      </c>
      <c r="L784" t="s">
        <v>112</v>
      </c>
      <c r="N784" t="s">
        <v>1405</v>
      </c>
      <c r="O784">
        <v>6215</v>
      </c>
      <c r="P784" t="s">
        <v>121</v>
      </c>
      <c r="T784">
        <v>28.5</v>
      </c>
      <c r="V784">
        <v>50</v>
      </c>
      <c r="W784" t="s">
        <v>465</v>
      </c>
      <c r="X784" t="s">
        <v>114</v>
      </c>
      <c r="Y784">
        <v>10</v>
      </c>
      <c r="AB784">
        <v>0.33</v>
      </c>
      <c r="AC784" t="s">
        <v>85</v>
      </c>
      <c r="AD784" t="s">
        <v>494</v>
      </c>
      <c r="AE784" t="s">
        <v>63</v>
      </c>
      <c r="AI784">
        <v>6</v>
      </c>
      <c r="AJ784" t="s">
        <v>201</v>
      </c>
      <c r="AK784">
        <v>0.32</v>
      </c>
      <c r="AL784" t="s">
        <v>409</v>
      </c>
      <c r="AT784" t="s">
        <v>79</v>
      </c>
      <c r="AU784">
        <v>0.22456140350877199</v>
      </c>
      <c r="AV784" t="s">
        <v>1250</v>
      </c>
    </row>
    <row r="785" spans="1:53" x14ac:dyDescent="0.3">
      <c r="A785" t="s">
        <v>1404</v>
      </c>
      <c r="C785" t="s">
        <v>1275</v>
      </c>
      <c r="D785" t="s">
        <v>81</v>
      </c>
      <c r="E785">
        <v>10000000</v>
      </c>
      <c r="H785">
        <v>14.25</v>
      </c>
      <c r="I785" t="s">
        <v>56</v>
      </c>
      <c r="J785">
        <v>1.4250000000000001E-3</v>
      </c>
      <c r="K785" t="s">
        <v>57</v>
      </c>
      <c r="L785" t="s">
        <v>112</v>
      </c>
      <c r="N785" t="s">
        <v>1405</v>
      </c>
      <c r="O785">
        <v>6215</v>
      </c>
      <c r="P785" t="s">
        <v>121</v>
      </c>
      <c r="T785">
        <v>28.5</v>
      </c>
      <c r="V785">
        <v>50</v>
      </c>
      <c r="W785" t="s">
        <v>466</v>
      </c>
      <c r="X785" t="s">
        <v>114</v>
      </c>
      <c r="Y785">
        <v>10</v>
      </c>
      <c r="AB785">
        <v>2.4</v>
      </c>
      <c r="AC785" t="s">
        <v>85</v>
      </c>
      <c r="AD785" t="s">
        <v>98</v>
      </c>
      <c r="AE785" t="s">
        <v>63</v>
      </c>
      <c r="AI785">
        <v>6</v>
      </c>
      <c r="AJ785" t="s">
        <v>201</v>
      </c>
      <c r="AK785">
        <v>0.32</v>
      </c>
      <c r="AL785" t="s">
        <v>409</v>
      </c>
      <c r="AT785" t="s">
        <v>358</v>
      </c>
      <c r="AU785">
        <v>0.22456140350877199</v>
      </c>
      <c r="AV785" t="s">
        <v>1250</v>
      </c>
    </row>
    <row r="786" spans="1:53" x14ac:dyDescent="0.3">
      <c r="A786" t="s">
        <v>1404</v>
      </c>
      <c r="C786" t="s">
        <v>1275</v>
      </c>
      <c r="D786" t="s">
        <v>81</v>
      </c>
      <c r="E786">
        <v>10000000</v>
      </c>
      <c r="H786">
        <v>14.25</v>
      </c>
      <c r="I786" t="s">
        <v>56</v>
      </c>
      <c r="J786">
        <v>1.4250000000000001E-3</v>
      </c>
      <c r="K786" t="s">
        <v>57</v>
      </c>
      <c r="L786" t="s">
        <v>112</v>
      </c>
      <c r="N786" t="s">
        <v>1405</v>
      </c>
      <c r="O786">
        <v>6215</v>
      </c>
      <c r="P786" t="s">
        <v>121</v>
      </c>
      <c r="T786">
        <v>28.5</v>
      </c>
      <c r="V786">
        <v>50</v>
      </c>
      <c r="W786" t="s">
        <v>460</v>
      </c>
      <c r="X786" t="s">
        <v>114</v>
      </c>
      <c r="Y786">
        <v>10</v>
      </c>
      <c r="AB786">
        <v>0.02</v>
      </c>
      <c r="AC786" t="s">
        <v>85</v>
      </c>
      <c r="AD786" t="s">
        <v>237</v>
      </c>
      <c r="AE786" t="s">
        <v>63</v>
      </c>
      <c r="AI786">
        <v>6</v>
      </c>
      <c r="AJ786" t="s">
        <v>201</v>
      </c>
      <c r="AK786">
        <v>0.32</v>
      </c>
      <c r="AL786" t="s">
        <v>409</v>
      </c>
      <c r="AT786" t="s">
        <v>73</v>
      </c>
      <c r="AU786">
        <v>0.22456140350877199</v>
      </c>
      <c r="AV786" t="s">
        <v>1250</v>
      </c>
    </row>
    <row r="787" spans="1:53" x14ac:dyDescent="0.3">
      <c r="A787" t="s">
        <v>1404</v>
      </c>
      <c r="C787" t="s">
        <v>1275</v>
      </c>
      <c r="D787" t="s">
        <v>81</v>
      </c>
      <c r="E787">
        <v>10000000</v>
      </c>
      <c r="H787">
        <v>14.25</v>
      </c>
      <c r="I787" t="s">
        <v>56</v>
      </c>
      <c r="J787">
        <v>1.4250000000000001E-3</v>
      </c>
      <c r="K787" t="s">
        <v>57</v>
      </c>
      <c r="L787" t="s">
        <v>112</v>
      </c>
      <c r="N787" t="s">
        <v>1405</v>
      </c>
      <c r="O787">
        <v>6215</v>
      </c>
      <c r="P787" t="s">
        <v>121</v>
      </c>
      <c r="T787">
        <v>28.5</v>
      </c>
      <c r="V787">
        <v>50</v>
      </c>
      <c r="W787" t="s">
        <v>462</v>
      </c>
      <c r="X787" t="s">
        <v>114</v>
      </c>
      <c r="Y787">
        <v>10</v>
      </c>
      <c r="AB787">
        <v>1.4</v>
      </c>
      <c r="AC787" t="s">
        <v>85</v>
      </c>
      <c r="AD787" t="s">
        <v>436</v>
      </c>
      <c r="AE787" t="s">
        <v>63</v>
      </c>
      <c r="AI787">
        <v>6</v>
      </c>
      <c r="AJ787" t="s">
        <v>201</v>
      </c>
      <c r="AK787">
        <v>0.32</v>
      </c>
      <c r="AL787" t="s">
        <v>409</v>
      </c>
      <c r="AT787" t="s">
        <v>212</v>
      </c>
      <c r="AU787">
        <v>0.22456140350877199</v>
      </c>
      <c r="AV787" t="s">
        <v>1250</v>
      </c>
    </row>
    <row r="788" spans="1:53" x14ac:dyDescent="0.3">
      <c r="A788" t="s">
        <v>1404</v>
      </c>
      <c r="C788" t="s">
        <v>1275</v>
      </c>
      <c r="D788" t="s">
        <v>81</v>
      </c>
      <c r="E788">
        <v>10000000</v>
      </c>
      <c r="H788">
        <v>14.25</v>
      </c>
      <c r="I788" t="s">
        <v>56</v>
      </c>
      <c r="J788">
        <v>1.4250000000000001E-3</v>
      </c>
      <c r="K788" t="s">
        <v>57</v>
      </c>
      <c r="L788" t="s">
        <v>112</v>
      </c>
      <c r="N788" t="s">
        <v>1405</v>
      </c>
      <c r="O788">
        <v>6215</v>
      </c>
      <c r="P788" t="s">
        <v>121</v>
      </c>
      <c r="T788">
        <v>28.5</v>
      </c>
      <c r="V788">
        <v>50</v>
      </c>
      <c r="W788" t="s">
        <v>147</v>
      </c>
      <c r="X788" t="s">
        <v>114</v>
      </c>
      <c r="Y788">
        <v>10</v>
      </c>
      <c r="AB788">
        <v>5.9</v>
      </c>
      <c r="AC788" t="s">
        <v>85</v>
      </c>
      <c r="AD788" t="s">
        <v>410</v>
      </c>
      <c r="AE788" t="s">
        <v>63</v>
      </c>
      <c r="AI788">
        <v>6</v>
      </c>
      <c r="AJ788" t="s">
        <v>201</v>
      </c>
      <c r="AK788">
        <v>0.32</v>
      </c>
      <c r="AL788" t="s">
        <v>409</v>
      </c>
      <c r="AT788" t="s">
        <v>150</v>
      </c>
      <c r="AU788">
        <v>0.22456140350877199</v>
      </c>
      <c r="AV788" t="s">
        <v>1250</v>
      </c>
    </row>
    <row r="789" spans="1:53" x14ac:dyDescent="0.3">
      <c r="A789" t="s">
        <v>1404</v>
      </c>
      <c r="C789" t="s">
        <v>1275</v>
      </c>
      <c r="D789" t="s">
        <v>81</v>
      </c>
      <c r="E789">
        <v>10000000</v>
      </c>
      <c r="H789">
        <v>14.25</v>
      </c>
      <c r="I789" t="s">
        <v>56</v>
      </c>
      <c r="J789">
        <v>1.4250000000000001E-3</v>
      </c>
      <c r="K789" t="s">
        <v>57</v>
      </c>
      <c r="L789" t="s">
        <v>112</v>
      </c>
      <c r="N789" t="s">
        <v>1405</v>
      </c>
      <c r="O789">
        <v>6215</v>
      </c>
      <c r="P789" t="s">
        <v>121</v>
      </c>
      <c r="T789">
        <v>28.5</v>
      </c>
      <c r="V789">
        <v>50</v>
      </c>
      <c r="W789" t="s">
        <v>463</v>
      </c>
      <c r="X789" t="s">
        <v>114</v>
      </c>
      <c r="Y789">
        <v>10</v>
      </c>
      <c r="AB789">
        <v>0.75</v>
      </c>
      <c r="AC789" t="s">
        <v>85</v>
      </c>
      <c r="AD789" t="s">
        <v>494</v>
      </c>
      <c r="AE789" t="s">
        <v>63</v>
      </c>
      <c r="AI789">
        <v>6</v>
      </c>
      <c r="AJ789" t="s">
        <v>201</v>
      </c>
      <c r="AK789">
        <v>0.32</v>
      </c>
      <c r="AL789" t="s">
        <v>409</v>
      </c>
      <c r="AT789" t="s">
        <v>360</v>
      </c>
      <c r="AU789">
        <v>0.22456140350877199</v>
      </c>
      <c r="AV789" t="s">
        <v>1250</v>
      </c>
    </row>
    <row r="790" spans="1:53" x14ac:dyDescent="0.3">
      <c r="A790" t="s">
        <v>1404</v>
      </c>
      <c r="C790" t="s">
        <v>1275</v>
      </c>
      <c r="D790" t="s">
        <v>81</v>
      </c>
      <c r="E790">
        <v>10000000</v>
      </c>
      <c r="H790">
        <v>14.25</v>
      </c>
      <c r="I790" t="s">
        <v>56</v>
      </c>
      <c r="J790">
        <v>1.4250000000000001E-3</v>
      </c>
      <c r="K790" t="s">
        <v>57</v>
      </c>
      <c r="L790" t="s">
        <v>112</v>
      </c>
      <c r="N790" t="s">
        <v>1405</v>
      </c>
      <c r="O790">
        <v>6215</v>
      </c>
      <c r="P790" t="s">
        <v>121</v>
      </c>
      <c r="T790">
        <v>28.5</v>
      </c>
      <c r="V790">
        <v>50</v>
      </c>
      <c r="W790" t="s">
        <v>464</v>
      </c>
      <c r="X790" t="s">
        <v>114</v>
      </c>
      <c r="Y790">
        <v>10</v>
      </c>
      <c r="AB790">
        <v>2.6</v>
      </c>
      <c r="AC790" t="s">
        <v>85</v>
      </c>
      <c r="AD790" t="s">
        <v>1134</v>
      </c>
      <c r="AE790" t="s">
        <v>63</v>
      </c>
      <c r="AI790">
        <v>6</v>
      </c>
      <c r="AJ790" t="s">
        <v>201</v>
      </c>
      <c r="AK790">
        <v>0.32</v>
      </c>
      <c r="AL790" t="s">
        <v>409</v>
      </c>
      <c r="AT790" t="s">
        <v>65</v>
      </c>
      <c r="AU790">
        <v>0.22456140350877199</v>
      </c>
      <c r="AV790" t="s">
        <v>1250</v>
      </c>
    </row>
    <row r="791" spans="1:53" x14ac:dyDescent="0.3">
      <c r="A791" t="s">
        <v>1404</v>
      </c>
      <c r="C791" t="s">
        <v>1275</v>
      </c>
      <c r="D791" t="s">
        <v>81</v>
      </c>
      <c r="E791">
        <v>10000000</v>
      </c>
      <c r="H791">
        <v>14.25</v>
      </c>
      <c r="I791" t="s">
        <v>56</v>
      </c>
      <c r="J791">
        <v>1.4250000000000001E-3</v>
      </c>
      <c r="K791" t="s">
        <v>57</v>
      </c>
      <c r="L791" t="s">
        <v>112</v>
      </c>
      <c r="N791" t="s">
        <v>1405</v>
      </c>
      <c r="O791">
        <v>6215</v>
      </c>
      <c r="P791" t="s">
        <v>121</v>
      </c>
      <c r="T791">
        <v>28.5</v>
      </c>
      <c r="V791">
        <v>50</v>
      </c>
      <c r="W791" t="s">
        <v>465</v>
      </c>
      <c r="X791" t="s">
        <v>114</v>
      </c>
      <c r="Y791">
        <v>10</v>
      </c>
      <c r="AB791">
        <v>0.74</v>
      </c>
      <c r="AC791" t="s">
        <v>85</v>
      </c>
      <c r="AD791" t="s">
        <v>632</v>
      </c>
      <c r="AE791" t="s">
        <v>63</v>
      </c>
      <c r="AI791">
        <v>6</v>
      </c>
      <c r="AJ791" t="s">
        <v>201</v>
      </c>
      <c r="AK791">
        <v>0.32</v>
      </c>
      <c r="AL791" t="s">
        <v>409</v>
      </c>
      <c r="AT791" t="s">
        <v>79</v>
      </c>
      <c r="AU791">
        <v>0.22456140350877199</v>
      </c>
      <c r="AV791" t="s">
        <v>1250</v>
      </c>
    </row>
    <row r="792" spans="1:53" x14ac:dyDescent="0.3">
      <c r="A792" t="s">
        <v>1404</v>
      </c>
      <c r="C792" t="s">
        <v>1275</v>
      </c>
      <c r="D792" t="s">
        <v>81</v>
      </c>
      <c r="E792">
        <v>10000000</v>
      </c>
      <c r="H792">
        <v>14.25</v>
      </c>
      <c r="I792" t="s">
        <v>56</v>
      </c>
      <c r="J792">
        <v>1.4250000000000001E-3</v>
      </c>
      <c r="K792" t="s">
        <v>57</v>
      </c>
      <c r="L792" t="s">
        <v>112</v>
      </c>
      <c r="N792" t="s">
        <v>1405</v>
      </c>
      <c r="O792">
        <v>6215</v>
      </c>
      <c r="P792" t="s">
        <v>121</v>
      </c>
      <c r="T792">
        <v>28.5</v>
      </c>
      <c r="V792">
        <v>50</v>
      </c>
      <c r="W792" t="s">
        <v>466</v>
      </c>
      <c r="X792" t="s">
        <v>114</v>
      </c>
      <c r="Y792">
        <v>10</v>
      </c>
      <c r="AB792">
        <v>0.54</v>
      </c>
      <c r="AC792" t="s">
        <v>85</v>
      </c>
      <c r="AD792" t="s">
        <v>524</v>
      </c>
      <c r="AE792" t="s">
        <v>63</v>
      </c>
      <c r="AI792">
        <v>6</v>
      </c>
      <c r="AJ792" t="s">
        <v>201</v>
      </c>
      <c r="AK792">
        <v>0.32</v>
      </c>
      <c r="AL792" t="s">
        <v>409</v>
      </c>
      <c r="AT792" t="s">
        <v>358</v>
      </c>
      <c r="AU792">
        <v>0.22456140350877199</v>
      </c>
      <c r="AV792" t="s">
        <v>1250</v>
      </c>
    </row>
    <row r="793" spans="1:53" x14ac:dyDescent="0.3">
      <c r="A793" t="s">
        <v>1404</v>
      </c>
      <c r="C793" t="s">
        <v>1275</v>
      </c>
      <c r="D793" t="s">
        <v>81</v>
      </c>
      <c r="E793">
        <v>10000000</v>
      </c>
      <c r="H793">
        <v>14.25</v>
      </c>
      <c r="I793" t="s">
        <v>56</v>
      </c>
      <c r="J793">
        <v>1.4250000000000001E-3</v>
      </c>
      <c r="K793" t="s">
        <v>57</v>
      </c>
      <c r="L793" t="s">
        <v>112</v>
      </c>
      <c r="O793">
        <v>66.5</v>
      </c>
      <c r="P793" t="s">
        <v>59</v>
      </c>
      <c r="T793">
        <v>28.5</v>
      </c>
      <c r="V793">
        <v>50</v>
      </c>
      <c r="W793" t="s">
        <v>150</v>
      </c>
      <c r="X793" t="s">
        <v>114</v>
      </c>
      <c r="Y793">
        <v>30</v>
      </c>
      <c r="AB793">
        <v>6.4</v>
      </c>
      <c r="AC793" t="s">
        <v>85</v>
      </c>
      <c r="AD793" t="s">
        <v>335</v>
      </c>
      <c r="AE793" t="s">
        <v>63</v>
      </c>
      <c r="AI793">
        <v>6</v>
      </c>
      <c r="AJ793" t="s">
        <v>201</v>
      </c>
      <c r="AK793">
        <v>0.44</v>
      </c>
      <c r="AL793" t="s">
        <v>409</v>
      </c>
      <c r="AT793" t="s">
        <v>150</v>
      </c>
      <c r="AU793">
        <v>0.30877192982456142</v>
      </c>
      <c r="AV793" t="s">
        <v>1250</v>
      </c>
    </row>
    <row r="794" spans="1:53" x14ac:dyDescent="0.3">
      <c r="A794" t="s">
        <v>1404</v>
      </c>
      <c r="C794" t="s">
        <v>1275</v>
      </c>
      <c r="D794" t="s">
        <v>81</v>
      </c>
      <c r="E794">
        <v>10000000</v>
      </c>
      <c r="H794">
        <v>14.25</v>
      </c>
      <c r="I794" t="s">
        <v>56</v>
      </c>
      <c r="J794">
        <v>1.4250000000000001E-3</v>
      </c>
      <c r="K794" t="s">
        <v>57</v>
      </c>
      <c r="L794" t="s">
        <v>112</v>
      </c>
      <c r="O794">
        <v>35</v>
      </c>
      <c r="P794" t="s">
        <v>59</v>
      </c>
      <c r="T794">
        <v>28.5</v>
      </c>
      <c r="V794">
        <v>50</v>
      </c>
      <c r="W794" t="s">
        <v>150</v>
      </c>
      <c r="X794" t="s">
        <v>114</v>
      </c>
      <c r="Y794">
        <v>30</v>
      </c>
      <c r="AB794">
        <v>3.4</v>
      </c>
      <c r="AC794" t="s">
        <v>85</v>
      </c>
      <c r="AD794" t="s">
        <v>505</v>
      </c>
      <c r="AE794" t="s">
        <v>63</v>
      </c>
      <c r="AI794">
        <v>6</v>
      </c>
      <c r="AJ794" t="s">
        <v>201</v>
      </c>
      <c r="AK794">
        <v>0.25</v>
      </c>
      <c r="AL794" t="s">
        <v>409</v>
      </c>
      <c r="AT794" t="s">
        <v>150</v>
      </c>
      <c r="AU794">
        <v>0.17543859649122809</v>
      </c>
      <c r="AV794" t="s">
        <v>1250</v>
      </c>
    </row>
    <row r="795" spans="1:53" x14ac:dyDescent="0.3">
      <c r="A795" t="s">
        <v>1404</v>
      </c>
      <c r="C795" t="s">
        <v>1275</v>
      </c>
      <c r="D795" t="s">
        <v>81</v>
      </c>
      <c r="E795">
        <v>10000000</v>
      </c>
      <c r="H795">
        <v>14.25</v>
      </c>
      <c r="I795" t="s">
        <v>56</v>
      </c>
      <c r="J795">
        <v>1.4250000000000001E-3</v>
      </c>
      <c r="K795" t="s">
        <v>57</v>
      </c>
      <c r="L795" t="s">
        <v>112</v>
      </c>
      <c r="O795">
        <v>0</v>
      </c>
      <c r="T795">
        <v>28.5</v>
      </c>
      <c r="V795">
        <v>50</v>
      </c>
      <c r="W795" t="s">
        <v>150</v>
      </c>
      <c r="X795" t="s">
        <v>114</v>
      </c>
      <c r="Y795">
        <v>10</v>
      </c>
      <c r="AB795">
        <v>3.2</v>
      </c>
      <c r="AC795" t="s">
        <v>85</v>
      </c>
      <c r="AD795" t="s">
        <v>511</v>
      </c>
      <c r="AE795" t="s">
        <v>63</v>
      </c>
      <c r="AI795">
        <v>6</v>
      </c>
      <c r="AJ795" t="s">
        <v>201</v>
      </c>
      <c r="AK795">
        <v>0.42</v>
      </c>
      <c r="AL795" t="s">
        <v>409</v>
      </c>
      <c r="AT795" t="s">
        <v>150</v>
      </c>
      <c r="AU795">
        <v>0.29473684210526307</v>
      </c>
      <c r="AV795" t="s">
        <v>1250</v>
      </c>
    </row>
    <row r="796" spans="1:53" x14ac:dyDescent="0.3">
      <c r="A796" t="s">
        <v>1404</v>
      </c>
      <c r="C796" t="s">
        <v>1275</v>
      </c>
      <c r="D796" t="s">
        <v>81</v>
      </c>
      <c r="E796">
        <v>10000000</v>
      </c>
      <c r="H796">
        <v>14.25</v>
      </c>
      <c r="I796" t="s">
        <v>56</v>
      </c>
      <c r="J796">
        <v>1.4250000000000001E-3</v>
      </c>
      <c r="K796" t="s">
        <v>57</v>
      </c>
      <c r="L796" t="s">
        <v>112</v>
      </c>
      <c r="O796">
        <v>0</v>
      </c>
      <c r="T796">
        <v>28.5</v>
      </c>
      <c r="V796">
        <v>50</v>
      </c>
      <c r="W796" t="s">
        <v>150</v>
      </c>
      <c r="X796" t="s">
        <v>114</v>
      </c>
      <c r="Y796">
        <v>60</v>
      </c>
      <c r="AB796">
        <v>0.91</v>
      </c>
      <c r="AC796" t="s">
        <v>85</v>
      </c>
      <c r="AD796" t="s">
        <v>314</v>
      </c>
      <c r="AE796" t="s">
        <v>63</v>
      </c>
      <c r="AI796">
        <v>6</v>
      </c>
      <c r="AJ796" t="s">
        <v>201</v>
      </c>
      <c r="AK796">
        <v>0.24</v>
      </c>
      <c r="AL796" t="s">
        <v>409</v>
      </c>
      <c r="AT796" t="s">
        <v>150</v>
      </c>
      <c r="AU796">
        <v>0.16842105263157889</v>
      </c>
      <c r="AV796" t="s">
        <v>1250</v>
      </c>
    </row>
    <row r="797" spans="1:53" x14ac:dyDescent="0.3">
      <c r="A797" t="s">
        <v>1404</v>
      </c>
      <c r="C797" t="s">
        <v>1275</v>
      </c>
      <c r="D797" t="s">
        <v>81</v>
      </c>
      <c r="E797">
        <v>10000000</v>
      </c>
      <c r="H797">
        <v>14.25</v>
      </c>
      <c r="I797" t="s">
        <v>56</v>
      </c>
      <c r="J797">
        <v>1.4250000000000001E-3</v>
      </c>
      <c r="K797" t="s">
        <v>57</v>
      </c>
      <c r="L797" t="s">
        <v>112</v>
      </c>
      <c r="O797">
        <v>200</v>
      </c>
      <c r="P797" t="s">
        <v>277</v>
      </c>
      <c r="T797">
        <v>28.5</v>
      </c>
      <c r="V797">
        <v>50</v>
      </c>
      <c r="W797" t="s">
        <v>150</v>
      </c>
      <c r="X797" t="s">
        <v>114</v>
      </c>
      <c r="Y797">
        <v>60</v>
      </c>
      <c r="AB797">
        <v>1.1000000000000001</v>
      </c>
      <c r="AC797" t="s">
        <v>85</v>
      </c>
      <c r="AD797" t="s">
        <v>321</v>
      </c>
      <c r="AE797" t="s">
        <v>63</v>
      </c>
      <c r="AI797">
        <v>6</v>
      </c>
      <c r="AJ797" t="s">
        <v>201</v>
      </c>
      <c r="AK797">
        <v>0.44</v>
      </c>
      <c r="AL797" t="s">
        <v>409</v>
      </c>
      <c r="AT797" t="s">
        <v>150</v>
      </c>
      <c r="AU797">
        <v>0.30877192982456142</v>
      </c>
      <c r="AV797" t="s">
        <v>1250</v>
      </c>
    </row>
    <row r="798" spans="1:53" x14ac:dyDescent="0.3">
      <c r="A798" t="s">
        <v>1404</v>
      </c>
      <c r="C798" t="s">
        <v>1275</v>
      </c>
      <c r="D798" t="s">
        <v>81</v>
      </c>
      <c r="E798">
        <v>10000000</v>
      </c>
      <c r="H798">
        <v>14.25</v>
      </c>
      <c r="I798" t="s">
        <v>56</v>
      </c>
      <c r="J798">
        <v>1.4250000000000001E-3</v>
      </c>
      <c r="K798" t="s">
        <v>57</v>
      </c>
      <c r="L798" t="s">
        <v>112</v>
      </c>
      <c r="O798">
        <v>0.44</v>
      </c>
      <c r="P798" t="s">
        <v>59</v>
      </c>
      <c r="T798">
        <v>28.5</v>
      </c>
      <c r="V798">
        <v>50</v>
      </c>
      <c r="W798" t="s">
        <v>150</v>
      </c>
      <c r="X798" t="s">
        <v>114</v>
      </c>
      <c r="Y798">
        <v>90</v>
      </c>
      <c r="AA798" t="s">
        <v>94</v>
      </c>
      <c r="AB798">
        <v>7.8</v>
      </c>
      <c r="AC798" t="s">
        <v>85</v>
      </c>
      <c r="AI798">
        <v>6</v>
      </c>
      <c r="AJ798" t="s">
        <v>201</v>
      </c>
      <c r="AK798">
        <v>0.48</v>
      </c>
      <c r="AL798" t="s">
        <v>409</v>
      </c>
      <c r="AT798" t="s">
        <v>150</v>
      </c>
      <c r="AU798">
        <v>0.33684210526315789</v>
      </c>
      <c r="AV798" t="s">
        <v>1250</v>
      </c>
      <c r="AZ798">
        <v>0</v>
      </c>
      <c r="BA798">
        <v>7.8</v>
      </c>
    </row>
    <row r="799" spans="1:53" x14ac:dyDescent="0.3">
      <c r="A799" t="s">
        <v>1404</v>
      </c>
      <c r="C799" t="s">
        <v>1275</v>
      </c>
      <c r="D799" t="s">
        <v>81</v>
      </c>
      <c r="E799">
        <v>10000000</v>
      </c>
      <c r="H799">
        <v>14.25</v>
      </c>
      <c r="I799" t="s">
        <v>56</v>
      </c>
      <c r="J799">
        <v>1.4250000000000001E-3</v>
      </c>
      <c r="K799" t="s">
        <v>57</v>
      </c>
      <c r="L799" t="s">
        <v>112</v>
      </c>
      <c r="O799">
        <v>84</v>
      </c>
      <c r="P799" t="s">
        <v>59</v>
      </c>
      <c r="T799">
        <v>28.5</v>
      </c>
      <c r="V799">
        <v>50</v>
      </c>
      <c r="W799" t="s">
        <v>150</v>
      </c>
      <c r="X799" t="s">
        <v>114</v>
      </c>
      <c r="Y799">
        <v>30</v>
      </c>
      <c r="AB799">
        <v>0.37</v>
      </c>
      <c r="AC799" t="s">
        <v>85</v>
      </c>
      <c r="AD799" t="s">
        <v>494</v>
      </c>
      <c r="AE799" t="s">
        <v>63</v>
      </c>
      <c r="AI799">
        <v>6</v>
      </c>
      <c r="AJ799" t="s">
        <v>201</v>
      </c>
      <c r="AK799">
        <v>0.49</v>
      </c>
      <c r="AL799" t="s">
        <v>409</v>
      </c>
      <c r="AT799" t="s">
        <v>150</v>
      </c>
      <c r="AU799">
        <v>0.34385964912280698</v>
      </c>
      <c r="AV799" t="s">
        <v>1250</v>
      </c>
    </row>
    <row r="800" spans="1:53" x14ac:dyDescent="0.3">
      <c r="A800" t="s">
        <v>1404</v>
      </c>
      <c r="C800" t="s">
        <v>1275</v>
      </c>
      <c r="D800" t="s">
        <v>81</v>
      </c>
      <c r="E800">
        <v>10000000</v>
      </c>
      <c r="H800">
        <v>14.25</v>
      </c>
      <c r="I800" t="s">
        <v>56</v>
      </c>
      <c r="J800">
        <v>1.4250000000000001E-3</v>
      </c>
      <c r="K800" t="s">
        <v>57</v>
      </c>
      <c r="L800" t="s">
        <v>112</v>
      </c>
      <c r="O800">
        <v>0.15</v>
      </c>
      <c r="P800" t="s">
        <v>59</v>
      </c>
      <c r="T800">
        <v>28.5</v>
      </c>
      <c r="V800">
        <v>50</v>
      </c>
      <c r="W800" t="s">
        <v>150</v>
      </c>
      <c r="X800" t="s">
        <v>114</v>
      </c>
      <c r="Y800">
        <v>30</v>
      </c>
      <c r="AA800" t="s">
        <v>94</v>
      </c>
      <c r="AB800">
        <v>7.8</v>
      </c>
      <c r="AC800" t="s">
        <v>85</v>
      </c>
      <c r="AI800">
        <v>6</v>
      </c>
      <c r="AJ800" t="s">
        <v>201</v>
      </c>
      <c r="AK800">
        <v>0.45</v>
      </c>
      <c r="AL800" t="s">
        <v>409</v>
      </c>
      <c r="AT800" t="s">
        <v>150</v>
      </c>
      <c r="AU800">
        <v>0.31578947368421051</v>
      </c>
      <c r="AV800" t="s">
        <v>1250</v>
      </c>
      <c r="AZ800">
        <v>0</v>
      </c>
      <c r="BA800">
        <v>7.8</v>
      </c>
    </row>
    <row r="801" spans="1:53" x14ac:dyDescent="0.3">
      <c r="A801" t="s">
        <v>1404</v>
      </c>
      <c r="C801" t="s">
        <v>1275</v>
      </c>
      <c r="D801" t="s">
        <v>81</v>
      </c>
      <c r="E801">
        <v>10000000</v>
      </c>
      <c r="H801">
        <v>14.25</v>
      </c>
      <c r="I801" t="s">
        <v>56</v>
      </c>
      <c r="J801">
        <v>1.4250000000000001E-3</v>
      </c>
      <c r="K801" t="s">
        <v>57</v>
      </c>
      <c r="L801" t="s">
        <v>112</v>
      </c>
      <c r="O801">
        <v>4</v>
      </c>
      <c r="P801" t="s">
        <v>59</v>
      </c>
      <c r="T801">
        <v>28.5</v>
      </c>
      <c r="V801">
        <v>50</v>
      </c>
      <c r="W801" t="s">
        <v>150</v>
      </c>
      <c r="X801" t="s">
        <v>114</v>
      </c>
      <c r="Y801">
        <v>10</v>
      </c>
      <c r="AA801" t="s">
        <v>94</v>
      </c>
      <c r="AB801">
        <v>7.8</v>
      </c>
      <c r="AC801" t="s">
        <v>85</v>
      </c>
      <c r="AI801">
        <v>6</v>
      </c>
      <c r="AJ801" t="s">
        <v>201</v>
      </c>
      <c r="AK801">
        <v>0.43</v>
      </c>
      <c r="AL801" t="s">
        <v>409</v>
      </c>
      <c r="AT801" t="s">
        <v>150</v>
      </c>
      <c r="AU801">
        <v>0.30175438596491228</v>
      </c>
      <c r="AV801" t="s">
        <v>1250</v>
      </c>
      <c r="AZ801">
        <v>0</v>
      </c>
      <c r="BA801">
        <v>7.8</v>
      </c>
    </row>
    <row r="802" spans="1:53" x14ac:dyDescent="0.3">
      <c r="A802" t="s">
        <v>1404</v>
      </c>
      <c r="C802" t="s">
        <v>1275</v>
      </c>
      <c r="D802" t="s">
        <v>81</v>
      </c>
      <c r="E802">
        <v>10000000</v>
      </c>
      <c r="H802">
        <v>14.25</v>
      </c>
      <c r="I802" t="s">
        <v>56</v>
      </c>
      <c r="J802">
        <v>1.4250000000000001E-3</v>
      </c>
      <c r="K802" t="s">
        <v>57</v>
      </c>
      <c r="L802" t="s">
        <v>112</v>
      </c>
      <c r="O802">
        <v>500</v>
      </c>
      <c r="P802" t="s">
        <v>277</v>
      </c>
      <c r="T802">
        <v>28.5</v>
      </c>
      <c r="V802">
        <v>50</v>
      </c>
      <c r="W802" t="s">
        <v>150</v>
      </c>
      <c r="X802" t="s">
        <v>114</v>
      </c>
      <c r="Y802">
        <v>10</v>
      </c>
      <c r="AB802">
        <v>2.2999999999999901</v>
      </c>
      <c r="AC802" t="s">
        <v>85</v>
      </c>
      <c r="AD802" t="s">
        <v>237</v>
      </c>
      <c r="AE802" t="s">
        <v>63</v>
      </c>
      <c r="AI802">
        <v>6</v>
      </c>
      <c r="AJ802" t="s">
        <v>201</v>
      </c>
      <c r="AK802">
        <v>0.51</v>
      </c>
      <c r="AL802" t="s">
        <v>409</v>
      </c>
      <c r="AT802" t="s">
        <v>150</v>
      </c>
      <c r="AU802">
        <v>0.35789473684210532</v>
      </c>
      <c r="AV802" t="s">
        <v>1250</v>
      </c>
    </row>
    <row r="803" spans="1:53" x14ac:dyDescent="0.3">
      <c r="A803" t="s">
        <v>907</v>
      </c>
      <c r="C803" t="s">
        <v>1275</v>
      </c>
      <c r="E803">
        <v>10000000</v>
      </c>
      <c r="O803">
        <v>0.6</v>
      </c>
      <c r="P803" t="s">
        <v>59</v>
      </c>
      <c r="T803">
        <v>25</v>
      </c>
      <c r="V803">
        <v>75</v>
      </c>
      <c r="W803" t="s">
        <v>1406</v>
      </c>
      <c r="X803" t="s">
        <v>135</v>
      </c>
      <c r="Y803">
        <v>10</v>
      </c>
      <c r="AB803">
        <v>1</v>
      </c>
      <c r="AC803" t="s">
        <v>297</v>
      </c>
      <c r="AH803">
        <v>5.1871285364943596</v>
      </c>
      <c r="AI803">
        <v>62</v>
      </c>
      <c r="AK803">
        <v>0.58699999999999997</v>
      </c>
      <c r="AL803" t="s">
        <v>1234</v>
      </c>
      <c r="AU803">
        <v>0.58699999999999997</v>
      </c>
      <c r="AV803" t="s">
        <v>1407</v>
      </c>
      <c r="AZ803">
        <v>1</v>
      </c>
      <c r="BA803">
        <v>5.1871285364943596</v>
      </c>
    </row>
    <row r="804" spans="1:53" x14ac:dyDescent="0.3">
      <c r="A804" t="s">
        <v>907</v>
      </c>
      <c r="C804" t="s">
        <v>1275</v>
      </c>
      <c r="E804">
        <v>10000000</v>
      </c>
      <c r="O804">
        <v>0.6</v>
      </c>
      <c r="P804" t="s">
        <v>59</v>
      </c>
      <c r="T804">
        <v>25</v>
      </c>
      <c r="V804">
        <v>75</v>
      </c>
      <c r="W804" t="s">
        <v>1408</v>
      </c>
      <c r="X804" t="s">
        <v>135</v>
      </c>
      <c r="Y804">
        <v>10</v>
      </c>
      <c r="AB804">
        <v>7</v>
      </c>
      <c r="AC804" t="s">
        <v>297</v>
      </c>
      <c r="AH804">
        <v>4.1249798236852104</v>
      </c>
      <c r="AI804">
        <v>62</v>
      </c>
      <c r="AK804">
        <v>0.58699999999999997</v>
      </c>
      <c r="AL804" t="s">
        <v>1234</v>
      </c>
      <c r="AU804">
        <v>0.58699999999999997</v>
      </c>
      <c r="AV804" t="s">
        <v>1407</v>
      </c>
      <c r="AZ804">
        <v>7</v>
      </c>
      <c r="BA804">
        <v>4.1249798236852104</v>
      </c>
    </row>
    <row r="805" spans="1:53" x14ac:dyDescent="0.3">
      <c r="A805" t="s">
        <v>907</v>
      </c>
      <c r="C805" t="s">
        <v>1275</v>
      </c>
      <c r="E805">
        <v>10000000</v>
      </c>
      <c r="O805">
        <v>0.6</v>
      </c>
      <c r="P805" t="s">
        <v>59</v>
      </c>
      <c r="T805">
        <v>25</v>
      </c>
      <c r="V805">
        <v>75</v>
      </c>
      <c r="W805" t="s">
        <v>911</v>
      </c>
      <c r="X805" t="s">
        <v>135</v>
      </c>
      <c r="Y805">
        <v>10</v>
      </c>
      <c r="AB805">
        <v>0</v>
      </c>
      <c r="AC805" t="s">
        <v>297</v>
      </c>
      <c r="AH805">
        <v>3.2007311243579801</v>
      </c>
      <c r="AI805">
        <v>13</v>
      </c>
      <c r="AK805">
        <v>0.58699999999999997</v>
      </c>
      <c r="AL805" t="s">
        <v>1234</v>
      </c>
      <c r="AU805">
        <v>0.58699999999999997</v>
      </c>
      <c r="AV805" t="s">
        <v>1407</v>
      </c>
      <c r="AZ805">
        <v>0</v>
      </c>
      <c r="BA805">
        <v>3.2007311243579801</v>
      </c>
    </row>
    <row r="806" spans="1:53" x14ac:dyDescent="0.3">
      <c r="A806" t="s">
        <v>907</v>
      </c>
      <c r="C806" t="s">
        <v>1275</v>
      </c>
      <c r="E806">
        <v>10000000</v>
      </c>
      <c r="O806">
        <v>0.6</v>
      </c>
      <c r="P806" t="s">
        <v>59</v>
      </c>
      <c r="T806">
        <v>25</v>
      </c>
      <c r="V806">
        <v>75</v>
      </c>
      <c r="W806" t="s">
        <v>912</v>
      </c>
      <c r="X806" t="s">
        <v>135</v>
      </c>
      <c r="Y806">
        <v>10</v>
      </c>
      <c r="AB806">
        <v>0</v>
      </c>
      <c r="AC806" t="s">
        <v>297</v>
      </c>
      <c r="AH806">
        <v>1.3243896527091199</v>
      </c>
      <c r="AI806">
        <v>15</v>
      </c>
      <c r="AK806">
        <v>0.58699999999999997</v>
      </c>
      <c r="AL806" t="s">
        <v>1234</v>
      </c>
      <c r="AU806">
        <v>0.58699999999999997</v>
      </c>
      <c r="AV806" t="s">
        <v>1407</v>
      </c>
      <c r="AZ806">
        <v>0</v>
      </c>
      <c r="BA806">
        <v>1.3243896527091199</v>
      </c>
    </row>
    <row r="807" spans="1:53" x14ac:dyDescent="0.3">
      <c r="A807" t="s">
        <v>1409</v>
      </c>
      <c r="C807" t="s">
        <v>1275</v>
      </c>
      <c r="E807">
        <v>10000000</v>
      </c>
      <c r="O807">
        <v>0.83</v>
      </c>
      <c r="P807" t="s">
        <v>59</v>
      </c>
      <c r="T807">
        <v>25</v>
      </c>
      <c r="V807">
        <v>50</v>
      </c>
      <c r="W807" t="s">
        <v>1410</v>
      </c>
      <c r="X807" t="s">
        <v>1411</v>
      </c>
      <c r="Y807">
        <v>10</v>
      </c>
      <c r="AB807">
        <v>0</v>
      </c>
      <c r="AC807" t="s">
        <v>297</v>
      </c>
      <c r="AH807">
        <v>0.35</v>
      </c>
      <c r="AI807">
        <v>4</v>
      </c>
      <c r="AK807">
        <v>0.65200000000000002</v>
      </c>
      <c r="AL807" t="s">
        <v>1234</v>
      </c>
      <c r="AT807" t="s">
        <v>77</v>
      </c>
      <c r="AU807">
        <v>0.65200000000000002</v>
      </c>
      <c r="AV807" t="s">
        <v>1407</v>
      </c>
      <c r="AZ807">
        <v>0</v>
      </c>
      <c r="BA807">
        <v>0.35</v>
      </c>
    </row>
    <row r="808" spans="1:53" x14ac:dyDescent="0.3">
      <c r="A808" t="s">
        <v>1409</v>
      </c>
      <c r="C808" t="s">
        <v>1275</v>
      </c>
      <c r="E808">
        <v>10000000</v>
      </c>
      <c r="O808">
        <v>0.83</v>
      </c>
      <c r="P808" t="s">
        <v>59</v>
      </c>
      <c r="T808">
        <v>25</v>
      </c>
      <c r="V808">
        <v>50</v>
      </c>
      <c r="W808" t="s">
        <v>1412</v>
      </c>
      <c r="X808" t="s">
        <v>1411</v>
      </c>
      <c r="Y808">
        <v>10</v>
      </c>
      <c r="AB808">
        <v>0</v>
      </c>
      <c r="AC808" t="s">
        <v>297</v>
      </c>
      <c r="AH808">
        <v>2.85</v>
      </c>
      <c r="AI808">
        <v>13</v>
      </c>
      <c r="AK808">
        <v>0.65200000000000002</v>
      </c>
      <c r="AL808" t="s">
        <v>1234</v>
      </c>
      <c r="AT808" t="s">
        <v>77</v>
      </c>
      <c r="AU808">
        <v>0.65200000000000002</v>
      </c>
      <c r="AV808" t="s">
        <v>1407</v>
      </c>
      <c r="AZ808">
        <v>0</v>
      </c>
      <c r="BA808">
        <v>2.85</v>
      </c>
    </row>
    <row r="809" spans="1:53" x14ac:dyDescent="0.3">
      <c r="A809" t="s">
        <v>1409</v>
      </c>
      <c r="C809" t="s">
        <v>1275</v>
      </c>
      <c r="E809">
        <v>10000000</v>
      </c>
      <c r="O809">
        <v>0.83</v>
      </c>
      <c r="P809" t="s">
        <v>59</v>
      </c>
      <c r="T809">
        <v>25</v>
      </c>
      <c r="V809">
        <v>50</v>
      </c>
      <c r="W809" t="s">
        <v>1413</v>
      </c>
      <c r="X809" t="s">
        <v>1411</v>
      </c>
      <c r="Y809">
        <v>10</v>
      </c>
      <c r="AB809">
        <v>1</v>
      </c>
      <c r="AC809" t="s">
        <v>297</v>
      </c>
      <c r="AH809">
        <v>4.1500000000000004</v>
      </c>
      <c r="AI809">
        <v>31</v>
      </c>
      <c r="AK809">
        <v>0.65200000000000002</v>
      </c>
      <c r="AL809" t="s">
        <v>1234</v>
      </c>
      <c r="AT809" t="s">
        <v>77</v>
      </c>
      <c r="AU809">
        <v>0.65200000000000002</v>
      </c>
      <c r="AV809" t="s">
        <v>1407</v>
      </c>
      <c r="AZ809">
        <v>1</v>
      </c>
      <c r="BA809">
        <v>4.1500000000000004</v>
      </c>
    </row>
  </sheetData>
  <pageMargins left="0.75" right="0.75" top="1" bottom="1" header="0.5" footer="0.5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9"/>
  <sheetViews>
    <sheetView workbookViewId="0">
      <selection activeCell="C13" sqref="C13:F13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12.6640625" bestFit="1" customWidth="1"/>
    <col min="4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COUNTA(LiquidSprayMaster[Ref])</f>
        <v>808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COUNTA(LiquidSprayMaster[GrimeDirt])</f>
        <v>14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COUNTA(LiquidSprayMaster[Rinsate])</f>
        <v>719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SprayMaster[ConvertedCoupAreaUn]),COUNTIF(LiquidSprayMaster[ConvertedCoupAreaUn],INDEX(LiquidSprayMaster[ConvertedCoupAreaUn],MATCH(TRUE,LiquidSprayMaster[ConvertedCoupAreaUn]&lt;&gt;"",0)))=COUNTIF(LiquidSprayMaster[ConvertedCoupAreaUn],"&lt;&gt;"),""),INDEX(LiquidSprayMaster[ConvertedCoupAreaUn],MATCH(TRUE,LiquidSprayMaster[ConvertedCoupAreaUn]&lt;&gt;"",0)), "multiple units given"),"NA")</f>
        <v>m^2</v>
      </c>
      <c r="C11" s="3">
        <f>IF(AND(ISNUMBER(E11),ISNUMBER(F11)),MIN(LiquidSprayMaster[ConvertedCoupArea]),"NA")</f>
        <v>7.8500000000000011E-5</v>
      </c>
      <c r="D11" s="3">
        <f>IF(AND(ISNUMBER(E11),ISNUMBER(F11)),MAX(LiquidSprayMaster[ConvertedCoupArea]),"NA")</f>
        <v>1.44</v>
      </c>
      <c r="E11" s="3">
        <f>IFERROR(AVERAGE(LiquidSprayMaster[ConvertedCoupArea]),"NA")</f>
        <v>3.9679383174194408E-2</v>
      </c>
      <c r="F11" s="3">
        <f>IFERROR(STDEV(LiquidSprayMaster[ConvertedCoupArea]),"NA")</f>
        <v>0.19351741189507873</v>
      </c>
    </row>
    <row r="12" spans="1:6" x14ac:dyDescent="0.3">
      <c r="A12" s="3" t="s">
        <v>1591</v>
      </c>
      <c r="B12" s="3" t="str" cm="1">
        <f t="array" ref="B12">IFERROR(IF(IF(COUNTA(LiquidSprayMaster[LoadingUn]),COUNTIF(LiquidSprayMaster[LoadingUn],INDEX(LiquidSprayMaster[LoadingUn],MATCH(TRUE,LiquidSprayMaster[LoadingUn]&lt;&gt;"",0)))=COUNTIF(LiquidSprayMaster[LoadingUn],"&lt;&gt;"),""),INDEX(LiquidSprayMaster[LoadingUn],MATCH(TRUE,LiquidSprayMaster[LoadingUn]&lt;&gt;"",0)), "multiple units given"),"NA")</f>
        <v>multiple units given</v>
      </c>
      <c r="C12" s="3">
        <f>IF(AND(ISNUMBER(E12),ISNUMBER(F12)),MIN(LiquidSprayMaster[LoadingNum]),"NA")</f>
        <v>1000</v>
      </c>
      <c r="D12" s="3">
        <f>IF(AND(ISNUMBER(E12),ISNUMBER(F12)),MAX(LiquidSprayMaster[LoadingNum]),"NA")</f>
        <v>50000000</v>
      </c>
      <c r="E12" s="3">
        <f>IFERROR(AVERAGE(LiquidSprayMaster[LoadingNum]),"NA")</f>
        <v>27265443.069306932</v>
      </c>
      <c r="F12" s="3">
        <f>IFERROR(STDEV(LiquidSprayMaster[LoadingNum]),"NA")</f>
        <v>20649433.622885387</v>
      </c>
    </row>
    <row r="13" spans="1:6" x14ac:dyDescent="0.3">
      <c r="A13" s="3" t="s">
        <v>1592</v>
      </c>
      <c r="B13" s="3" t="str">
        <f>IF(E13 = "NA", "NA", "#")</f>
        <v>#</v>
      </c>
      <c r="C13" s="3">
        <f>IF(AND(ISNUMBER(E13),ISNUMBER(F13)),MIN(LiquidSprayMaster[TotalApp]),"NA")</f>
        <v>1</v>
      </c>
      <c r="D13" s="3">
        <f>IF(AND(ISNUMBER(E13),ISNUMBER(F13)),MAX(LiquidSprayMaster[TotalApp]),"NA")</f>
        <v>12</v>
      </c>
      <c r="E13" s="3">
        <f>IFERROR(AVERAGE(LiquidSprayMaster[TotalApp]),"NA")</f>
        <v>1.7254901960784315</v>
      </c>
      <c r="F13" s="3">
        <f>IFERROR(STDEV(LiquidSprayMaster[TotalApp]),"NA")</f>
        <v>1.5616496909770365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IF(AND(ISNUMBER(E14),ISNUMBER(F14)),MIN(LiquidSprayMaster[TempNum]),"NA")</f>
        <v>18.63</v>
      </c>
      <c r="D14" s="3">
        <f>IF(AND(ISNUMBER(E14),ISNUMBER(F14)),MAX(LiquidSprayMaster[TempNum]),"NA")</f>
        <v>28.5</v>
      </c>
      <c r="E14" s="3">
        <f>IFERROR(AVERAGE(LiquidSprayMaster[TempNum]),"NA")</f>
        <v>22.877388613861406</v>
      </c>
      <c r="F14" s="3">
        <f>IFERROR(STDEV(LiquidSprayMaster[TempNum]),"NA")</f>
        <v>2.1906526076840662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IF(AND(ISNUMBER(E15),ISNUMBER(F15)),MIN(LiquidSprayMaster[RHNum]),"NA")</f>
        <v>40</v>
      </c>
      <c r="D15" s="3">
        <f>IF(AND(ISNUMBER(E15),ISNUMBER(F15)),MAX(LiquidSprayMaster[RHNum]),"NA")</f>
        <v>80</v>
      </c>
      <c r="E15" s="3">
        <f>IFERROR(AVERAGE(LiquidSprayMaster[RHNum]),"NA")</f>
        <v>50.405650000000009</v>
      </c>
      <c r="F15" s="3">
        <f>IFERROR(STDEV(LiquidSprayMaster[RHNum]),"NA")</f>
        <v>5.6759054304635104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IF(AND(ISNUMBER(E16),ISNUMBER(F16)),MIN(LiquidSprayMaster[ContTimeNumMin]),"NA")</f>
        <v>0.39528740490278208</v>
      </c>
      <c r="D16" s="3">
        <f>IF(AND(ISNUMBER(E16),ISNUMBER(F16)),MAX(LiquidSprayMaster[ContTimeNumMin]),"NA")</f>
        <v>10080</v>
      </c>
      <c r="E16" s="3">
        <f>IFERROR(AVERAGE(LiquidSprayMaster[ContTimeNumMin]),"NA")</f>
        <v>1167.7318766277524</v>
      </c>
      <c r="F16" s="3">
        <f>IFERROR(STDEV(LiquidSprayMaster[ContTimeNumMin]),"NA")</f>
        <v>2878.145857374705</v>
      </c>
    </row>
    <row r="17" spans="1:6" x14ac:dyDescent="0.3">
      <c r="A17" s="3" t="s">
        <v>1598</v>
      </c>
      <c r="B17" s="3" t="str" cm="1">
        <f t="array" ref="B17">IFERROR(IF(IF(COUNTA(LiquidSprayMaster[ConcDoseUn]),COUNTIF(LiquidSprayMaster[ConcDoseUn],INDEX(LiquidSprayMaster[ConcDoseUn],MATCH(TRUE,LiquidSprayMaster[ConcDoseUn]&lt;&gt;"",0)))=COUNTIF(LiquidSprayMaster[ConcDoseUn],"&lt;&gt;"),""),INDEX(LiquidSprayMaster[ConcDoseUn],MATCH(TRUE,LiquidSprayMaster[ConcDoseUn]&lt;&gt;"",0)), "multiple units given"),"NA")</f>
        <v>multiple units given</v>
      </c>
      <c r="C17" s="3">
        <f>IF(AND(ISNUMBER(E17),ISNUMBER(F17)),MIN(LiquidSprayMaster[ConcDoseNum]),"NA")</f>
        <v>0</v>
      </c>
      <c r="D17" s="3">
        <f>IF(AND(ISNUMBER(E17),ISNUMBER(F17)),MAX(LiquidSprayMaster[ConcDoseNum]),"NA")</f>
        <v>25000</v>
      </c>
      <c r="E17" s="3">
        <f>IFERROR(AVERAGE(LiquidSprayMaster[ConcDoseNum]),"NA")</f>
        <v>2906.0252061855672</v>
      </c>
      <c r="F17" s="3">
        <f>IFERROR(STDEV(LiquidSprayMaster[ConcDoseNum]),"NA")</f>
        <v>3942.1547369491054</v>
      </c>
    </row>
    <row r="18" spans="1:6" x14ac:dyDescent="0.3">
      <c r="A18" s="3" t="s">
        <v>1599</v>
      </c>
      <c r="B18" s="3" t="str" cm="1">
        <f t="array" ref="B18">IFERROR(IF(IF(COUNTA(LiquidSprayMaster[EffMeas]),COUNTIF(LiquidSprayMaster[EffMeas],INDEX(LiquidSprayMaster[EffMeas],MATCH(TRUE,LiquidSprayMaster[EffMeas]&lt;&gt;"",0)))=COUNTIF(LiquidSprayMaster[EffMeas],"&lt;&gt;"),""),INDEX(LiquidSprayMaster[EffMeas],MATCH(TRUE,LiquidSprayMaster[EffMeas]&lt;&gt;"",0)), "multiple units given"),"NA")</f>
        <v>multiple units given</v>
      </c>
      <c r="C18" s="3">
        <f>IF(AND(ISNUMBER(E18),ISNUMBER(F18)),MIN(LiquidSprayMaster[Eff]),"NA")</f>
        <v>-0.66</v>
      </c>
      <c r="D18" s="3">
        <f>IF(AND(ISNUMBER(E18),ISNUMBER(F18)),MAX(LiquidSprayMaster[Eff]),"NA")</f>
        <v>9.7993405494535804</v>
      </c>
      <c r="E18" s="3">
        <f>IFERROR(AVERAGE(LiquidSprayMaster[Eff]),"NA")</f>
        <v>4.241071385631523</v>
      </c>
      <c r="F18" s="3">
        <f>IFERROR(STDEV(LiquidSprayMaster[Eff]),"NA")</f>
        <v>2.9170319287870057</v>
      </c>
    </row>
    <row r="19" spans="1:6" x14ac:dyDescent="0.3">
      <c r="A19" s="3" t="s">
        <v>1600</v>
      </c>
      <c r="B19" s="3" t="str" cm="1">
        <f t="array" ref="B19">IFERROR(IF(IF(COUNTA(LiquidSprayMaster[ConvertedVolAppUn]),COUNTIF(LiquidSprayMaster[ConvertedVolAppUn],INDEX(LiquidSprayMaster[ConvertedVolAppUn],MATCH(TRUE,LiquidSprayMaster[ConvertedVolAppUn]&lt;&gt;"",0)))=COUNTIF(LiquidSprayMaster[ConvertedVolAppUn],"&lt;&gt;"),""),INDEX(LiquidSprayMaster[ConvertedVolAppUn],MATCH(TRUE,LiquidSprayMaster[ConvertedVolAppUn]&lt;&gt;"",0)), "multiple units given"),"NA")</f>
        <v>mL</v>
      </c>
      <c r="C19" s="3">
        <f>IF(AND(ISNUMBER(E19),ISNUMBER(F19)),MIN(LiquidSprayMaster[ConvertedVolApp]),"NA")</f>
        <v>0.05</v>
      </c>
      <c r="D19" s="3">
        <f>IF(AND(ISNUMBER(E19),ISNUMBER(F19)),MAX(LiquidSprayMaster[ConvertedVolApp]),"NA")</f>
        <v>7600</v>
      </c>
      <c r="E19" s="3">
        <f>IFERROR(AVERAGE(LiquidSprayMaster[ConvertedVolApp]),"NA")</f>
        <v>464.86008510638334</v>
      </c>
      <c r="F19" s="3">
        <f>IFERROR(STDEV(LiquidSprayMaster[ConvertedVolApp]),"NA")</f>
        <v>1676.5101156370986</v>
      </c>
    </row>
  </sheetData>
  <conditionalFormatting sqref="B11:B19">
    <cfRule type="cellIs" dxfId="20" priority="1" operator="equal">
      <formula>"multiple units given"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A1681"/>
  <sheetViews>
    <sheetView topLeftCell="R1" workbookViewId="0">
      <selection activeCell="Y340" sqref="Y340:Y1228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1494</v>
      </c>
      <c r="C2" t="s">
        <v>1495</v>
      </c>
      <c r="D2" t="s">
        <v>81</v>
      </c>
      <c r="E2">
        <v>10000000</v>
      </c>
      <c r="O2">
        <v>0</v>
      </c>
      <c r="P2" t="s">
        <v>1496</v>
      </c>
      <c r="T2">
        <v>37</v>
      </c>
      <c r="W2" t="s">
        <v>1057</v>
      </c>
      <c r="X2" t="s">
        <v>932</v>
      </c>
      <c r="Y2">
        <v>60</v>
      </c>
      <c r="AB2">
        <v>0</v>
      </c>
      <c r="AC2" t="s">
        <v>1070</v>
      </c>
    </row>
    <row r="3" spans="1:53" x14ac:dyDescent="0.3">
      <c r="A3" t="s">
        <v>1494</v>
      </c>
      <c r="C3" t="s">
        <v>1495</v>
      </c>
      <c r="D3" t="s">
        <v>81</v>
      </c>
      <c r="E3">
        <v>10000000</v>
      </c>
      <c r="O3">
        <v>10</v>
      </c>
      <c r="P3" t="s">
        <v>1496</v>
      </c>
      <c r="T3">
        <v>37</v>
      </c>
      <c r="W3" t="s">
        <v>1057</v>
      </c>
      <c r="X3" t="s">
        <v>932</v>
      </c>
      <c r="Y3">
        <v>60</v>
      </c>
      <c r="AB3">
        <v>0</v>
      </c>
      <c r="AC3" t="s">
        <v>1070</v>
      </c>
    </row>
    <row r="4" spans="1:53" x14ac:dyDescent="0.3">
      <c r="A4" t="s">
        <v>1494</v>
      </c>
      <c r="C4" t="s">
        <v>1495</v>
      </c>
      <c r="D4" t="s">
        <v>81</v>
      </c>
      <c r="E4">
        <v>10000000</v>
      </c>
      <c r="O4">
        <v>20</v>
      </c>
      <c r="P4" t="s">
        <v>1496</v>
      </c>
      <c r="T4">
        <v>37</v>
      </c>
      <c r="W4" t="s">
        <v>1057</v>
      </c>
      <c r="X4" t="s">
        <v>932</v>
      </c>
      <c r="Y4">
        <v>60</v>
      </c>
      <c r="AB4">
        <v>0</v>
      </c>
      <c r="AC4" t="s">
        <v>1070</v>
      </c>
    </row>
    <row r="5" spans="1:53" x14ac:dyDescent="0.3">
      <c r="A5" t="s">
        <v>1494</v>
      </c>
      <c r="C5" t="s">
        <v>1495</v>
      </c>
      <c r="D5" t="s">
        <v>81</v>
      </c>
      <c r="E5">
        <v>10000000</v>
      </c>
      <c r="O5">
        <v>30</v>
      </c>
      <c r="P5" t="s">
        <v>1496</v>
      </c>
      <c r="T5">
        <v>37</v>
      </c>
      <c r="W5" t="s">
        <v>1057</v>
      </c>
      <c r="X5" t="s">
        <v>932</v>
      </c>
      <c r="Y5">
        <v>60</v>
      </c>
      <c r="AB5">
        <v>0</v>
      </c>
      <c r="AC5" t="s">
        <v>1070</v>
      </c>
    </row>
    <row r="6" spans="1:53" x14ac:dyDescent="0.3">
      <c r="A6" t="s">
        <v>1494</v>
      </c>
      <c r="C6" t="s">
        <v>1495</v>
      </c>
      <c r="D6" t="s">
        <v>81</v>
      </c>
      <c r="E6">
        <v>10000000</v>
      </c>
      <c r="O6">
        <v>150</v>
      </c>
      <c r="P6" t="s">
        <v>1496</v>
      </c>
      <c r="T6">
        <v>37</v>
      </c>
      <c r="W6" t="s">
        <v>1057</v>
      </c>
      <c r="X6" t="s">
        <v>932</v>
      </c>
      <c r="Y6">
        <v>60</v>
      </c>
      <c r="Z6">
        <v>2</v>
      </c>
      <c r="AB6">
        <v>10</v>
      </c>
      <c r="AC6" t="s">
        <v>1070</v>
      </c>
    </row>
    <row r="7" spans="1:53" x14ac:dyDescent="0.3">
      <c r="A7" t="s">
        <v>1494</v>
      </c>
      <c r="C7" t="s">
        <v>1495</v>
      </c>
      <c r="D7" t="s">
        <v>81</v>
      </c>
      <c r="E7">
        <v>10000000</v>
      </c>
      <c r="O7">
        <v>300</v>
      </c>
      <c r="P7" t="s">
        <v>1496</v>
      </c>
      <c r="T7">
        <v>37</v>
      </c>
      <c r="W7" t="s">
        <v>1057</v>
      </c>
      <c r="X7" t="s">
        <v>932</v>
      </c>
      <c r="Y7">
        <v>60</v>
      </c>
      <c r="Z7">
        <v>2</v>
      </c>
      <c r="AB7">
        <v>75</v>
      </c>
      <c r="AC7" t="s">
        <v>1070</v>
      </c>
    </row>
    <row r="8" spans="1:53" x14ac:dyDescent="0.3">
      <c r="A8" t="s">
        <v>1494</v>
      </c>
      <c r="C8" t="s">
        <v>1495</v>
      </c>
      <c r="D8" t="s">
        <v>81</v>
      </c>
      <c r="E8">
        <v>10000000</v>
      </c>
      <c r="O8">
        <v>0</v>
      </c>
      <c r="P8" t="s">
        <v>1496</v>
      </c>
      <c r="T8">
        <v>37</v>
      </c>
      <c r="W8" t="s">
        <v>1057</v>
      </c>
      <c r="X8" t="s">
        <v>932</v>
      </c>
      <c r="Y8">
        <v>60</v>
      </c>
      <c r="Z8">
        <v>2</v>
      </c>
      <c r="AB8">
        <v>0</v>
      </c>
      <c r="AC8" t="s">
        <v>1070</v>
      </c>
    </row>
    <row r="9" spans="1:53" x14ac:dyDescent="0.3">
      <c r="A9" t="s">
        <v>1494</v>
      </c>
      <c r="C9" t="s">
        <v>1495</v>
      </c>
      <c r="D9" t="s">
        <v>81</v>
      </c>
      <c r="E9">
        <v>10000000</v>
      </c>
      <c r="O9">
        <v>75</v>
      </c>
      <c r="P9" t="s">
        <v>1496</v>
      </c>
      <c r="T9">
        <v>37</v>
      </c>
      <c r="W9" t="s">
        <v>1057</v>
      </c>
      <c r="X9" t="s">
        <v>932</v>
      </c>
      <c r="Y9">
        <v>60</v>
      </c>
      <c r="Z9">
        <v>2</v>
      </c>
      <c r="AB9" t="s">
        <v>1497</v>
      </c>
      <c r="AC9" t="s">
        <v>1070</v>
      </c>
    </row>
    <row r="10" spans="1:53" x14ac:dyDescent="0.3">
      <c r="A10" t="s">
        <v>1494</v>
      </c>
      <c r="C10" t="s">
        <v>1495</v>
      </c>
      <c r="D10" t="s">
        <v>81</v>
      </c>
      <c r="E10">
        <v>10000000</v>
      </c>
      <c r="O10">
        <v>150</v>
      </c>
      <c r="P10" t="s">
        <v>1496</v>
      </c>
      <c r="T10">
        <v>37</v>
      </c>
      <c r="W10" t="s">
        <v>1057</v>
      </c>
      <c r="X10" t="s">
        <v>932</v>
      </c>
      <c r="Y10">
        <v>60</v>
      </c>
      <c r="Z10">
        <v>2</v>
      </c>
      <c r="AB10" t="s">
        <v>1497</v>
      </c>
      <c r="AC10" t="s">
        <v>1070</v>
      </c>
    </row>
    <row r="11" spans="1:53" x14ac:dyDescent="0.3">
      <c r="A11" t="s">
        <v>1498</v>
      </c>
      <c r="B11" t="s">
        <v>1499</v>
      </c>
      <c r="C11" t="s">
        <v>1495</v>
      </c>
      <c r="D11" t="s">
        <v>470</v>
      </c>
      <c r="E11">
        <v>10000000</v>
      </c>
      <c r="H11">
        <v>5</v>
      </c>
      <c r="I11" t="s">
        <v>1167</v>
      </c>
      <c r="J11">
        <v>5.0000000000000001E-3</v>
      </c>
      <c r="K11" t="s">
        <v>252</v>
      </c>
      <c r="O11">
        <v>555</v>
      </c>
      <c r="P11" t="s">
        <v>121</v>
      </c>
      <c r="S11">
        <v>2</v>
      </c>
      <c r="T11">
        <v>20</v>
      </c>
      <c r="V11">
        <v>50</v>
      </c>
      <c r="W11" t="s">
        <v>1500</v>
      </c>
      <c r="X11" t="s">
        <v>957</v>
      </c>
      <c r="Y11">
        <v>1</v>
      </c>
      <c r="Z11">
        <v>2</v>
      </c>
      <c r="AB11">
        <v>0.17</v>
      </c>
      <c r="AC11" t="s">
        <v>85</v>
      </c>
      <c r="AI11">
        <v>1</v>
      </c>
      <c r="AV11" t="s">
        <v>1171</v>
      </c>
    </row>
    <row r="12" spans="1:53" x14ac:dyDescent="0.3">
      <c r="A12" t="s">
        <v>1498</v>
      </c>
      <c r="B12" t="s">
        <v>1499</v>
      </c>
      <c r="C12" t="s">
        <v>1495</v>
      </c>
      <c r="D12" t="s">
        <v>470</v>
      </c>
      <c r="E12">
        <v>10000000</v>
      </c>
      <c r="H12">
        <v>5</v>
      </c>
      <c r="I12" t="s">
        <v>1167</v>
      </c>
      <c r="J12">
        <v>5.0000000000000001E-3</v>
      </c>
      <c r="K12" t="s">
        <v>252</v>
      </c>
      <c r="O12">
        <v>555</v>
      </c>
      <c r="P12" t="s">
        <v>121</v>
      </c>
      <c r="S12">
        <v>2</v>
      </c>
      <c r="T12">
        <v>20</v>
      </c>
      <c r="V12">
        <v>50</v>
      </c>
      <c r="W12" t="s">
        <v>1500</v>
      </c>
      <c r="X12" t="s">
        <v>957</v>
      </c>
      <c r="Y12">
        <v>3</v>
      </c>
      <c r="Z12">
        <v>2</v>
      </c>
      <c r="AB12">
        <v>0.28999999999999898</v>
      </c>
      <c r="AC12" t="s">
        <v>85</v>
      </c>
      <c r="AI12">
        <v>1</v>
      </c>
      <c r="AV12" t="s">
        <v>1171</v>
      </c>
    </row>
    <row r="13" spans="1:53" x14ac:dyDescent="0.3">
      <c r="A13" t="s">
        <v>1498</v>
      </c>
      <c r="B13" t="s">
        <v>1499</v>
      </c>
      <c r="C13" t="s">
        <v>1495</v>
      </c>
      <c r="D13" t="s">
        <v>470</v>
      </c>
      <c r="E13">
        <v>10000000</v>
      </c>
      <c r="H13">
        <v>5</v>
      </c>
      <c r="I13" t="s">
        <v>1167</v>
      </c>
      <c r="J13">
        <v>5.0000000000000001E-3</v>
      </c>
      <c r="K13" t="s">
        <v>252</v>
      </c>
      <c r="O13">
        <v>555</v>
      </c>
      <c r="P13" t="s">
        <v>121</v>
      </c>
      <c r="S13">
        <v>2</v>
      </c>
      <c r="T13">
        <v>20</v>
      </c>
      <c r="V13">
        <v>50</v>
      </c>
      <c r="W13" t="s">
        <v>1500</v>
      </c>
      <c r="X13" t="s">
        <v>957</v>
      </c>
      <c r="Y13">
        <v>5</v>
      </c>
      <c r="Z13">
        <v>2</v>
      </c>
      <c r="AB13">
        <v>0.71</v>
      </c>
      <c r="AC13" t="s">
        <v>85</v>
      </c>
      <c r="AI13">
        <v>1</v>
      </c>
      <c r="AV13" t="s">
        <v>1171</v>
      </c>
    </row>
    <row r="14" spans="1:53" x14ac:dyDescent="0.3">
      <c r="A14" t="s">
        <v>1498</v>
      </c>
      <c r="B14" t="s">
        <v>1499</v>
      </c>
      <c r="C14" t="s">
        <v>1495</v>
      </c>
      <c r="D14" t="s">
        <v>470</v>
      </c>
      <c r="E14">
        <v>10000000</v>
      </c>
      <c r="H14">
        <v>5</v>
      </c>
      <c r="I14" t="s">
        <v>1167</v>
      </c>
      <c r="J14">
        <v>5.0000000000000001E-3</v>
      </c>
      <c r="K14" t="s">
        <v>252</v>
      </c>
      <c r="O14">
        <v>555</v>
      </c>
      <c r="P14" t="s">
        <v>121</v>
      </c>
      <c r="S14">
        <v>2</v>
      </c>
      <c r="T14">
        <v>20</v>
      </c>
      <c r="V14">
        <v>50</v>
      </c>
      <c r="W14" t="s">
        <v>1500</v>
      </c>
      <c r="X14" t="s">
        <v>957</v>
      </c>
      <c r="Y14">
        <v>10</v>
      </c>
      <c r="Z14">
        <v>2</v>
      </c>
      <c r="AB14">
        <v>3.49</v>
      </c>
      <c r="AC14" t="s">
        <v>85</v>
      </c>
      <c r="AI14">
        <v>1</v>
      </c>
      <c r="AV14" t="s">
        <v>1171</v>
      </c>
    </row>
    <row r="15" spans="1:53" x14ac:dyDescent="0.3">
      <c r="A15" t="s">
        <v>1498</v>
      </c>
      <c r="B15" t="s">
        <v>1499</v>
      </c>
      <c r="C15" t="s">
        <v>1495</v>
      </c>
      <c r="D15" t="s">
        <v>470</v>
      </c>
      <c r="E15">
        <v>10000000</v>
      </c>
      <c r="H15">
        <v>5</v>
      </c>
      <c r="I15" t="s">
        <v>1167</v>
      </c>
      <c r="J15">
        <v>5.0000000000000001E-3</v>
      </c>
      <c r="K15" t="s">
        <v>252</v>
      </c>
      <c r="O15">
        <v>555</v>
      </c>
      <c r="P15" t="s">
        <v>121</v>
      </c>
      <c r="S15">
        <v>2</v>
      </c>
      <c r="T15">
        <v>20</v>
      </c>
      <c r="V15">
        <v>50</v>
      </c>
      <c r="W15" t="s">
        <v>1500</v>
      </c>
      <c r="X15" t="s">
        <v>957</v>
      </c>
      <c r="Y15">
        <v>15</v>
      </c>
      <c r="Z15">
        <v>2</v>
      </c>
      <c r="AB15">
        <v>4.75</v>
      </c>
      <c r="AC15" t="s">
        <v>85</v>
      </c>
      <c r="AI15">
        <v>1</v>
      </c>
      <c r="AV15" t="s">
        <v>1171</v>
      </c>
    </row>
    <row r="16" spans="1:53" x14ac:dyDescent="0.3">
      <c r="A16" t="s">
        <v>1498</v>
      </c>
      <c r="B16" t="s">
        <v>1499</v>
      </c>
      <c r="C16" t="s">
        <v>1495</v>
      </c>
      <c r="D16" t="s">
        <v>470</v>
      </c>
      <c r="E16">
        <v>10000000</v>
      </c>
      <c r="H16">
        <v>5</v>
      </c>
      <c r="I16" t="s">
        <v>1167</v>
      </c>
      <c r="J16">
        <v>5.0000000000000001E-3</v>
      </c>
      <c r="K16" t="s">
        <v>252</v>
      </c>
      <c r="O16">
        <v>555</v>
      </c>
      <c r="P16" t="s">
        <v>121</v>
      </c>
      <c r="S16">
        <v>2</v>
      </c>
      <c r="T16">
        <v>20</v>
      </c>
      <c r="V16">
        <v>50</v>
      </c>
      <c r="W16" t="s">
        <v>1500</v>
      </c>
      <c r="X16" t="s">
        <v>957</v>
      </c>
      <c r="Y16">
        <v>30</v>
      </c>
      <c r="Z16">
        <v>2</v>
      </c>
      <c r="AB16">
        <v>5.67</v>
      </c>
      <c r="AC16" t="s">
        <v>85</v>
      </c>
      <c r="AI16">
        <v>1</v>
      </c>
      <c r="AV16" t="s">
        <v>1171</v>
      </c>
    </row>
    <row r="17" spans="1:53" x14ac:dyDescent="0.3">
      <c r="A17" t="s">
        <v>1498</v>
      </c>
      <c r="B17" t="s">
        <v>1501</v>
      </c>
      <c r="C17" t="s">
        <v>1495</v>
      </c>
      <c r="D17" t="s">
        <v>470</v>
      </c>
      <c r="E17">
        <v>10000000</v>
      </c>
      <c r="H17">
        <v>5</v>
      </c>
      <c r="I17" t="s">
        <v>1167</v>
      </c>
      <c r="J17">
        <v>5.0000000000000001E-3</v>
      </c>
      <c r="K17" t="s">
        <v>252</v>
      </c>
      <c r="O17">
        <v>1173</v>
      </c>
      <c r="P17" t="s">
        <v>121</v>
      </c>
      <c r="S17">
        <v>2</v>
      </c>
      <c r="T17">
        <v>20</v>
      </c>
      <c r="V17">
        <v>50</v>
      </c>
      <c r="W17" t="s">
        <v>1500</v>
      </c>
      <c r="X17" t="s">
        <v>957</v>
      </c>
      <c r="Y17">
        <v>1</v>
      </c>
      <c r="Z17">
        <v>2</v>
      </c>
      <c r="AB17">
        <v>0.2</v>
      </c>
      <c r="AC17" t="s">
        <v>85</v>
      </c>
      <c r="AI17">
        <v>1</v>
      </c>
      <c r="AV17" t="s">
        <v>1171</v>
      </c>
    </row>
    <row r="18" spans="1:53" x14ac:dyDescent="0.3">
      <c r="A18" t="s">
        <v>1498</v>
      </c>
      <c r="B18" t="s">
        <v>1501</v>
      </c>
      <c r="C18" t="s">
        <v>1495</v>
      </c>
      <c r="D18" t="s">
        <v>470</v>
      </c>
      <c r="E18">
        <v>10000000</v>
      </c>
      <c r="H18">
        <v>5</v>
      </c>
      <c r="I18" t="s">
        <v>1167</v>
      </c>
      <c r="J18">
        <v>5.0000000000000001E-3</v>
      </c>
      <c r="K18" t="s">
        <v>252</v>
      </c>
      <c r="O18">
        <v>1173</v>
      </c>
      <c r="P18" t="s">
        <v>121</v>
      </c>
      <c r="S18">
        <v>2</v>
      </c>
      <c r="T18">
        <v>20</v>
      </c>
      <c r="V18">
        <v>50</v>
      </c>
      <c r="W18" t="s">
        <v>1500</v>
      </c>
      <c r="X18" t="s">
        <v>957</v>
      </c>
      <c r="Y18">
        <v>3</v>
      </c>
      <c r="Z18">
        <v>2</v>
      </c>
      <c r="AB18">
        <v>0.55000000000000004</v>
      </c>
      <c r="AC18" t="s">
        <v>85</v>
      </c>
      <c r="AI18">
        <v>1</v>
      </c>
      <c r="AV18" t="s">
        <v>1171</v>
      </c>
    </row>
    <row r="19" spans="1:53" x14ac:dyDescent="0.3">
      <c r="A19" t="s">
        <v>1498</v>
      </c>
      <c r="B19" t="s">
        <v>1501</v>
      </c>
      <c r="C19" t="s">
        <v>1495</v>
      </c>
      <c r="D19" t="s">
        <v>470</v>
      </c>
      <c r="E19">
        <v>10000000</v>
      </c>
      <c r="H19">
        <v>5</v>
      </c>
      <c r="I19" t="s">
        <v>1167</v>
      </c>
      <c r="J19">
        <v>5.0000000000000001E-3</v>
      </c>
      <c r="K19" t="s">
        <v>252</v>
      </c>
      <c r="O19">
        <v>1173</v>
      </c>
      <c r="P19" t="s">
        <v>121</v>
      </c>
      <c r="S19">
        <v>2</v>
      </c>
      <c r="T19">
        <v>20</v>
      </c>
      <c r="V19">
        <v>50</v>
      </c>
      <c r="W19" t="s">
        <v>1500</v>
      </c>
      <c r="X19" t="s">
        <v>957</v>
      </c>
      <c r="Y19">
        <v>5</v>
      </c>
      <c r="Z19">
        <v>2</v>
      </c>
      <c r="AB19">
        <v>1.3</v>
      </c>
      <c r="AC19" t="s">
        <v>85</v>
      </c>
      <c r="AI19">
        <v>1</v>
      </c>
      <c r="AV19" t="s">
        <v>1171</v>
      </c>
    </row>
    <row r="20" spans="1:53" x14ac:dyDescent="0.3">
      <c r="A20" t="s">
        <v>1498</v>
      </c>
      <c r="B20" t="s">
        <v>1501</v>
      </c>
      <c r="C20" t="s">
        <v>1495</v>
      </c>
      <c r="D20" t="s">
        <v>470</v>
      </c>
      <c r="E20">
        <v>10000000</v>
      </c>
      <c r="H20">
        <v>5</v>
      </c>
      <c r="I20" t="s">
        <v>1167</v>
      </c>
      <c r="J20">
        <v>5.0000000000000001E-3</v>
      </c>
      <c r="K20" t="s">
        <v>252</v>
      </c>
      <c r="O20">
        <v>1173</v>
      </c>
      <c r="P20" t="s">
        <v>121</v>
      </c>
      <c r="S20">
        <v>2</v>
      </c>
      <c r="T20">
        <v>20</v>
      </c>
      <c r="V20">
        <v>50</v>
      </c>
      <c r="W20" t="s">
        <v>1500</v>
      </c>
      <c r="X20" t="s">
        <v>957</v>
      </c>
      <c r="Y20">
        <v>10</v>
      </c>
      <c r="Z20">
        <v>2</v>
      </c>
      <c r="AB20">
        <v>4.26</v>
      </c>
      <c r="AC20" t="s">
        <v>85</v>
      </c>
      <c r="AI20">
        <v>1</v>
      </c>
      <c r="AV20" t="s">
        <v>1171</v>
      </c>
    </row>
    <row r="21" spans="1:53" x14ac:dyDescent="0.3">
      <c r="A21" t="s">
        <v>1498</v>
      </c>
      <c r="B21" t="s">
        <v>1501</v>
      </c>
      <c r="C21" t="s">
        <v>1495</v>
      </c>
      <c r="D21" t="s">
        <v>470</v>
      </c>
      <c r="E21">
        <v>10000000</v>
      </c>
      <c r="H21">
        <v>5</v>
      </c>
      <c r="I21" t="s">
        <v>1167</v>
      </c>
      <c r="J21">
        <v>5.0000000000000001E-3</v>
      </c>
      <c r="K21" t="s">
        <v>252</v>
      </c>
      <c r="O21">
        <v>1173</v>
      </c>
      <c r="P21" t="s">
        <v>121</v>
      </c>
      <c r="S21">
        <v>2</v>
      </c>
      <c r="T21">
        <v>20</v>
      </c>
      <c r="V21">
        <v>50</v>
      </c>
      <c r="W21" t="s">
        <v>1500</v>
      </c>
      <c r="X21" t="s">
        <v>957</v>
      </c>
      <c r="Y21">
        <v>15</v>
      </c>
      <c r="Z21">
        <v>2</v>
      </c>
      <c r="AB21">
        <v>4.96</v>
      </c>
      <c r="AC21" t="s">
        <v>85</v>
      </c>
      <c r="AI21">
        <v>1</v>
      </c>
      <c r="AV21" t="s">
        <v>1171</v>
      </c>
    </row>
    <row r="22" spans="1:53" x14ac:dyDescent="0.3">
      <c r="A22" t="s">
        <v>1498</v>
      </c>
      <c r="B22" t="s">
        <v>1501</v>
      </c>
      <c r="C22" t="s">
        <v>1495</v>
      </c>
      <c r="D22" t="s">
        <v>470</v>
      </c>
      <c r="E22">
        <v>10000000</v>
      </c>
      <c r="H22">
        <v>5</v>
      </c>
      <c r="I22" t="s">
        <v>1167</v>
      </c>
      <c r="J22">
        <v>5.0000000000000001E-3</v>
      </c>
      <c r="K22" t="s">
        <v>252</v>
      </c>
      <c r="O22">
        <v>1173</v>
      </c>
      <c r="P22" t="s">
        <v>121</v>
      </c>
      <c r="S22">
        <v>2</v>
      </c>
      <c r="T22">
        <v>20</v>
      </c>
      <c r="V22">
        <v>50</v>
      </c>
      <c r="W22" t="s">
        <v>1500</v>
      </c>
      <c r="X22" t="s">
        <v>957</v>
      </c>
      <c r="Y22">
        <v>30</v>
      </c>
      <c r="Z22">
        <v>2</v>
      </c>
      <c r="AA22" t="s">
        <v>184</v>
      </c>
      <c r="AB22">
        <v>6.96</v>
      </c>
      <c r="AC22" t="s">
        <v>85</v>
      </c>
      <c r="AI22">
        <v>1</v>
      </c>
      <c r="AV22" t="s">
        <v>1171</v>
      </c>
      <c r="AZ22">
        <v>0</v>
      </c>
      <c r="BA22">
        <v>6.96</v>
      </c>
    </row>
    <row r="23" spans="1:53" x14ac:dyDescent="0.3">
      <c r="A23" t="s">
        <v>1498</v>
      </c>
      <c r="B23" t="s">
        <v>1502</v>
      </c>
      <c r="C23" t="s">
        <v>1495</v>
      </c>
      <c r="D23" t="s">
        <v>470</v>
      </c>
      <c r="E23">
        <v>10000000</v>
      </c>
      <c r="H23">
        <v>5</v>
      </c>
      <c r="I23" t="s">
        <v>1167</v>
      </c>
      <c r="J23">
        <v>5.0000000000000001E-3</v>
      </c>
      <c r="K23" t="s">
        <v>252</v>
      </c>
      <c r="O23">
        <v>1623</v>
      </c>
      <c r="P23" t="s">
        <v>121</v>
      </c>
      <c r="S23">
        <v>2</v>
      </c>
      <c r="T23">
        <v>20</v>
      </c>
      <c r="V23">
        <v>50</v>
      </c>
      <c r="W23" t="s">
        <v>1500</v>
      </c>
      <c r="X23" t="s">
        <v>957</v>
      </c>
      <c r="Y23">
        <v>1</v>
      </c>
      <c r="Z23">
        <v>2</v>
      </c>
      <c r="AB23">
        <v>0.6</v>
      </c>
      <c r="AC23" t="s">
        <v>85</v>
      </c>
      <c r="AI23">
        <v>1</v>
      </c>
      <c r="AV23" t="s">
        <v>1171</v>
      </c>
    </row>
    <row r="24" spans="1:53" x14ac:dyDescent="0.3">
      <c r="A24" t="s">
        <v>1498</v>
      </c>
      <c r="B24" t="s">
        <v>1502</v>
      </c>
      <c r="C24" t="s">
        <v>1495</v>
      </c>
      <c r="D24" t="s">
        <v>470</v>
      </c>
      <c r="E24">
        <v>10000000</v>
      </c>
      <c r="H24">
        <v>5</v>
      </c>
      <c r="I24" t="s">
        <v>1167</v>
      </c>
      <c r="J24">
        <v>5.0000000000000001E-3</v>
      </c>
      <c r="K24" t="s">
        <v>252</v>
      </c>
      <c r="O24">
        <v>1623</v>
      </c>
      <c r="P24" t="s">
        <v>121</v>
      </c>
      <c r="S24">
        <v>2</v>
      </c>
      <c r="T24">
        <v>20</v>
      </c>
      <c r="V24">
        <v>50</v>
      </c>
      <c r="W24" t="s">
        <v>1500</v>
      </c>
      <c r="X24" t="s">
        <v>957</v>
      </c>
      <c r="Y24">
        <v>3</v>
      </c>
      <c r="Z24">
        <v>2</v>
      </c>
      <c r="AB24">
        <v>0.81</v>
      </c>
      <c r="AC24" t="s">
        <v>85</v>
      </c>
      <c r="AI24">
        <v>1</v>
      </c>
      <c r="AV24" t="s">
        <v>1171</v>
      </c>
    </row>
    <row r="25" spans="1:53" x14ac:dyDescent="0.3">
      <c r="A25" t="s">
        <v>1498</v>
      </c>
      <c r="B25" t="s">
        <v>1502</v>
      </c>
      <c r="C25" t="s">
        <v>1495</v>
      </c>
      <c r="D25" t="s">
        <v>470</v>
      </c>
      <c r="E25">
        <v>10000000</v>
      </c>
      <c r="H25">
        <v>5</v>
      </c>
      <c r="I25" t="s">
        <v>1167</v>
      </c>
      <c r="J25">
        <v>5.0000000000000001E-3</v>
      </c>
      <c r="K25" t="s">
        <v>252</v>
      </c>
      <c r="O25">
        <v>1623</v>
      </c>
      <c r="P25" t="s">
        <v>121</v>
      </c>
      <c r="S25">
        <v>2</v>
      </c>
      <c r="T25">
        <v>20</v>
      </c>
      <c r="V25">
        <v>50</v>
      </c>
      <c r="W25" t="s">
        <v>1500</v>
      </c>
      <c r="X25" t="s">
        <v>957</v>
      </c>
      <c r="Y25">
        <v>5</v>
      </c>
      <c r="Z25">
        <v>2</v>
      </c>
      <c r="AB25">
        <v>2.16</v>
      </c>
      <c r="AC25" t="s">
        <v>85</v>
      </c>
      <c r="AI25">
        <v>1</v>
      </c>
      <c r="AV25" t="s">
        <v>1171</v>
      </c>
    </row>
    <row r="26" spans="1:53" x14ac:dyDescent="0.3">
      <c r="A26" t="s">
        <v>1498</v>
      </c>
      <c r="B26" t="s">
        <v>1502</v>
      </c>
      <c r="C26" t="s">
        <v>1495</v>
      </c>
      <c r="D26" t="s">
        <v>470</v>
      </c>
      <c r="E26">
        <v>10000000</v>
      </c>
      <c r="H26">
        <v>5</v>
      </c>
      <c r="I26" t="s">
        <v>1167</v>
      </c>
      <c r="J26">
        <v>5.0000000000000001E-3</v>
      </c>
      <c r="K26" t="s">
        <v>252</v>
      </c>
      <c r="O26">
        <v>1623</v>
      </c>
      <c r="P26" t="s">
        <v>121</v>
      </c>
      <c r="S26">
        <v>2</v>
      </c>
      <c r="T26">
        <v>20</v>
      </c>
      <c r="V26">
        <v>50</v>
      </c>
      <c r="W26" t="s">
        <v>1500</v>
      </c>
      <c r="X26" t="s">
        <v>957</v>
      </c>
      <c r="Y26">
        <v>10</v>
      </c>
      <c r="Z26">
        <v>2</v>
      </c>
      <c r="AB26">
        <v>4.9000000000000004</v>
      </c>
      <c r="AC26" t="s">
        <v>85</v>
      </c>
      <c r="AI26">
        <v>1</v>
      </c>
      <c r="AV26" t="s">
        <v>1171</v>
      </c>
    </row>
    <row r="27" spans="1:53" x14ac:dyDescent="0.3">
      <c r="A27" t="s">
        <v>1498</v>
      </c>
      <c r="B27" t="s">
        <v>1502</v>
      </c>
      <c r="C27" t="s">
        <v>1495</v>
      </c>
      <c r="D27" t="s">
        <v>470</v>
      </c>
      <c r="E27">
        <v>10000000</v>
      </c>
      <c r="H27">
        <v>5</v>
      </c>
      <c r="I27" t="s">
        <v>1167</v>
      </c>
      <c r="J27">
        <v>5.0000000000000001E-3</v>
      </c>
      <c r="K27" t="s">
        <v>252</v>
      </c>
      <c r="O27">
        <v>1623</v>
      </c>
      <c r="P27" t="s">
        <v>121</v>
      </c>
      <c r="S27">
        <v>2</v>
      </c>
      <c r="T27">
        <v>20</v>
      </c>
      <c r="V27">
        <v>50</v>
      </c>
      <c r="W27" t="s">
        <v>1500</v>
      </c>
      <c r="X27" t="s">
        <v>957</v>
      </c>
      <c r="Y27">
        <v>15</v>
      </c>
      <c r="Z27">
        <v>2</v>
      </c>
      <c r="AB27">
        <v>5.73</v>
      </c>
      <c r="AC27" t="s">
        <v>85</v>
      </c>
      <c r="AI27">
        <v>1</v>
      </c>
      <c r="AV27" t="s">
        <v>1171</v>
      </c>
    </row>
    <row r="28" spans="1:53" x14ac:dyDescent="0.3">
      <c r="A28" t="s">
        <v>1498</v>
      </c>
      <c r="B28" t="s">
        <v>1502</v>
      </c>
      <c r="C28" t="s">
        <v>1495</v>
      </c>
      <c r="D28" t="s">
        <v>470</v>
      </c>
      <c r="E28">
        <v>10000000</v>
      </c>
      <c r="H28">
        <v>5</v>
      </c>
      <c r="I28" t="s">
        <v>1167</v>
      </c>
      <c r="J28">
        <v>5.0000000000000001E-3</v>
      </c>
      <c r="K28" t="s">
        <v>252</v>
      </c>
      <c r="O28">
        <v>1623</v>
      </c>
      <c r="P28" t="s">
        <v>121</v>
      </c>
      <c r="S28">
        <v>2</v>
      </c>
      <c r="T28">
        <v>20</v>
      </c>
      <c r="V28">
        <v>50</v>
      </c>
      <c r="W28" t="s">
        <v>1500</v>
      </c>
      <c r="X28" t="s">
        <v>957</v>
      </c>
      <c r="Y28">
        <v>30</v>
      </c>
      <c r="Z28">
        <v>2</v>
      </c>
      <c r="AA28" t="s">
        <v>184</v>
      </c>
      <c r="AB28">
        <v>7.2</v>
      </c>
      <c r="AC28" t="s">
        <v>85</v>
      </c>
      <c r="AI28">
        <v>1</v>
      </c>
      <c r="AV28" t="s">
        <v>1171</v>
      </c>
      <c r="AZ28">
        <v>0</v>
      </c>
      <c r="BA28">
        <v>7.2</v>
      </c>
    </row>
    <row r="29" spans="1:53" x14ac:dyDescent="0.3">
      <c r="A29" t="s">
        <v>1498</v>
      </c>
      <c r="B29" t="s">
        <v>1503</v>
      </c>
      <c r="C29" t="s">
        <v>1495</v>
      </c>
      <c r="D29" t="s">
        <v>470</v>
      </c>
      <c r="E29">
        <v>10000000</v>
      </c>
      <c r="H29">
        <v>5</v>
      </c>
      <c r="I29" t="s">
        <v>1167</v>
      </c>
      <c r="J29">
        <v>5.0000000000000001E-3</v>
      </c>
      <c r="K29" t="s">
        <v>252</v>
      </c>
      <c r="O29">
        <v>2808</v>
      </c>
      <c r="P29" t="s">
        <v>121</v>
      </c>
      <c r="S29">
        <v>2</v>
      </c>
      <c r="T29">
        <v>20</v>
      </c>
      <c r="V29">
        <v>50</v>
      </c>
      <c r="W29" t="s">
        <v>1500</v>
      </c>
      <c r="X29" t="s">
        <v>957</v>
      </c>
      <c r="Y29">
        <v>1</v>
      </c>
      <c r="Z29">
        <v>2</v>
      </c>
      <c r="AB29">
        <v>1.3</v>
      </c>
      <c r="AC29" t="s">
        <v>85</v>
      </c>
      <c r="AI29">
        <v>1</v>
      </c>
      <c r="AV29" t="s">
        <v>1171</v>
      </c>
    </row>
    <row r="30" spans="1:53" x14ac:dyDescent="0.3">
      <c r="A30" t="s">
        <v>1498</v>
      </c>
      <c r="B30" t="s">
        <v>1503</v>
      </c>
      <c r="C30" t="s">
        <v>1495</v>
      </c>
      <c r="D30" t="s">
        <v>470</v>
      </c>
      <c r="E30">
        <v>10000000</v>
      </c>
      <c r="H30">
        <v>5</v>
      </c>
      <c r="I30" t="s">
        <v>1167</v>
      </c>
      <c r="J30">
        <v>5.0000000000000001E-3</v>
      </c>
      <c r="K30" t="s">
        <v>252</v>
      </c>
      <c r="O30">
        <v>2808</v>
      </c>
      <c r="P30" t="s">
        <v>121</v>
      </c>
      <c r="S30">
        <v>2</v>
      </c>
      <c r="T30">
        <v>20</v>
      </c>
      <c r="V30">
        <v>50</v>
      </c>
      <c r="W30" t="s">
        <v>1500</v>
      </c>
      <c r="X30" t="s">
        <v>957</v>
      </c>
      <c r="Y30">
        <v>3</v>
      </c>
      <c r="Z30">
        <v>2</v>
      </c>
      <c r="AB30">
        <v>1.7</v>
      </c>
      <c r="AC30" t="s">
        <v>85</v>
      </c>
      <c r="AI30">
        <v>1</v>
      </c>
      <c r="AV30" t="s">
        <v>1171</v>
      </c>
    </row>
    <row r="31" spans="1:53" x14ac:dyDescent="0.3">
      <c r="A31" t="s">
        <v>1498</v>
      </c>
      <c r="B31" t="s">
        <v>1503</v>
      </c>
      <c r="C31" t="s">
        <v>1495</v>
      </c>
      <c r="D31" t="s">
        <v>470</v>
      </c>
      <c r="E31">
        <v>10000000</v>
      </c>
      <c r="H31">
        <v>5</v>
      </c>
      <c r="I31" t="s">
        <v>1167</v>
      </c>
      <c r="J31">
        <v>5.0000000000000001E-3</v>
      </c>
      <c r="K31" t="s">
        <v>252</v>
      </c>
      <c r="O31">
        <v>2808</v>
      </c>
      <c r="P31" t="s">
        <v>121</v>
      </c>
      <c r="S31">
        <v>2</v>
      </c>
      <c r="T31">
        <v>20</v>
      </c>
      <c r="V31">
        <v>50</v>
      </c>
      <c r="W31" t="s">
        <v>1500</v>
      </c>
      <c r="X31" t="s">
        <v>957</v>
      </c>
      <c r="Y31">
        <v>5</v>
      </c>
      <c r="Z31">
        <v>2</v>
      </c>
      <c r="AB31">
        <v>2.6</v>
      </c>
      <c r="AC31" t="s">
        <v>85</v>
      </c>
      <c r="AI31">
        <v>1</v>
      </c>
      <c r="AV31" t="s">
        <v>1171</v>
      </c>
    </row>
    <row r="32" spans="1:53" x14ac:dyDescent="0.3">
      <c r="A32" t="s">
        <v>1498</v>
      </c>
      <c r="B32" t="s">
        <v>1503</v>
      </c>
      <c r="C32" t="s">
        <v>1495</v>
      </c>
      <c r="D32" t="s">
        <v>470</v>
      </c>
      <c r="E32">
        <v>10000000</v>
      </c>
      <c r="H32">
        <v>5</v>
      </c>
      <c r="I32" t="s">
        <v>1167</v>
      </c>
      <c r="J32">
        <v>5.0000000000000001E-3</v>
      </c>
      <c r="K32" t="s">
        <v>252</v>
      </c>
      <c r="O32">
        <v>2808</v>
      </c>
      <c r="P32" t="s">
        <v>121</v>
      </c>
      <c r="S32">
        <v>2</v>
      </c>
      <c r="T32">
        <v>20</v>
      </c>
      <c r="V32">
        <v>50</v>
      </c>
      <c r="W32" t="s">
        <v>1500</v>
      </c>
      <c r="X32" t="s">
        <v>957</v>
      </c>
      <c r="Y32">
        <v>10</v>
      </c>
      <c r="Z32">
        <v>2</v>
      </c>
      <c r="AA32" t="s">
        <v>184</v>
      </c>
      <c r="AB32">
        <v>7.08</v>
      </c>
      <c r="AC32" t="s">
        <v>85</v>
      </c>
      <c r="AI32">
        <v>1</v>
      </c>
      <c r="AV32" t="s">
        <v>1171</v>
      </c>
      <c r="AZ32">
        <v>0</v>
      </c>
      <c r="BA32">
        <v>7.08</v>
      </c>
    </row>
    <row r="33" spans="1:53" x14ac:dyDescent="0.3">
      <c r="A33" t="s">
        <v>1498</v>
      </c>
      <c r="B33" t="s">
        <v>1503</v>
      </c>
      <c r="C33" t="s">
        <v>1495</v>
      </c>
      <c r="D33" t="s">
        <v>470</v>
      </c>
      <c r="E33">
        <v>10000000</v>
      </c>
      <c r="H33">
        <v>5</v>
      </c>
      <c r="I33" t="s">
        <v>1167</v>
      </c>
      <c r="J33">
        <v>5.0000000000000001E-3</v>
      </c>
      <c r="K33" t="s">
        <v>252</v>
      </c>
      <c r="O33">
        <v>2808</v>
      </c>
      <c r="P33" t="s">
        <v>121</v>
      </c>
      <c r="S33">
        <v>2</v>
      </c>
      <c r="T33">
        <v>20</v>
      </c>
      <c r="V33">
        <v>50</v>
      </c>
      <c r="W33" t="s">
        <v>1500</v>
      </c>
      <c r="X33" t="s">
        <v>957</v>
      </c>
      <c r="Y33">
        <v>15</v>
      </c>
      <c r="Z33">
        <v>2</v>
      </c>
      <c r="AA33" t="s">
        <v>184</v>
      </c>
      <c r="AB33">
        <v>7.08</v>
      </c>
      <c r="AC33" t="s">
        <v>85</v>
      </c>
      <c r="AI33">
        <v>1</v>
      </c>
      <c r="AV33" t="s">
        <v>1171</v>
      </c>
      <c r="AZ33">
        <v>0</v>
      </c>
      <c r="BA33">
        <v>7.08</v>
      </c>
    </row>
    <row r="34" spans="1:53" x14ac:dyDescent="0.3">
      <c r="A34" t="s">
        <v>1498</v>
      </c>
      <c r="B34" t="s">
        <v>1503</v>
      </c>
      <c r="C34" t="s">
        <v>1495</v>
      </c>
      <c r="D34" t="s">
        <v>470</v>
      </c>
      <c r="E34">
        <v>10000000</v>
      </c>
      <c r="H34">
        <v>5</v>
      </c>
      <c r="I34" t="s">
        <v>1167</v>
      </c>
      <c r="J34">
        <v>5.0000000000000001E-3</v>
      </c>
      <c r="K34" t="s">
        <v>252</v>
      </c>
      <c r="O34">
        <v>2808</v>
      </c>
      <c r="P34" t="s">
        <v>121</v>
      </c>
      <c r="S34">
        <v>2</v>
      </c>
      <c r="T34">
        <v>20</v>
      </c>
      <c r="V34">
        <v>50</v>
      </c>
      <c r="W34" t="s">
        <v>1500</v>
      </c>
      <c r="X34" t="s">
        <v>957</v>
      </c>
      <c r="Y34">
        <v>30</v>
      </c>
      <c r="Z34">
        <v>2</v>
      </c>
      <c r="AA34" t="s">
        <v>184</v>
      </c>
      <c r="AB34">
        <v>7.08</v>
      </c>
      <c r="AC34" t="s">
        <v>85</v>
      </c>
      <c r="AI34">
        <v>1</v>
      </c>
      <c r="AV34" t="s">
        <v>1171</v>
      </c>
      <c r="AZ34">
        <v>0</v>
      </c>
      <c r="BA34">
        <v>7.08</v>
      </c>
    </row>
    <row r="35" spans="1:53" x14ac:dyDescent="0.3">
      <c r="A35" t="s">
        <v>1498</v>
      </c>
      <c r="B35" t="s">
        <v>1504</v>
      </c>
      <c r="C35" t="s">
        <v>1495</v>
      </c>
      <c r="D35" t="s">
        <v>470</v>
      </c>
      <c r="E35">
        <v>10000000</v>
      </c>
      <c r="H35">
        <v>5</v>
      </c>
      <c r="I35" t="s">
        <v>1167</v>
      </c>
      <c r="J35">
        <v>5.0000000000000001E-3</v>
      </c>
      <c r="K35" t="s">
        <v>252</v>
      </c>
      <c r="O35">
        <v>1005</v>
      </c>
      <c r="P35" t="s">
        <v>121</v>
      </c>
      <c r="S35">
        <v>2</v>
      </c>
      <c r="T35">
        <v>20</v>
      </c>
      <c r="V35">
        <v>50</v>
      </c>
      <c r="W35" t="s">
        <v>1505</v>
      </c>
      <c r="X35" t="s">
        <v>957</v>
      </c>
      <c r="Y35">
        <v>1</v>
      </c>
      <c r="Z35">
        <v>2</v>
      </c>
      <c r="AB35">
        <v>0.64</v>
      </c>
      <c r="AC35" t="s">
        <v>85</v>
      </c>
      <c r="AI35">
        <v>1</v>
      </c>
      <c r="AV35" t="s">
        <v>1171</v>
      </c>
    </row>
    <row r="36" spans="1:53" x14ac:dyDescent="0.3">
      <c r="A36" t="s">
        <v>1498</v>
      </c>
      <c r="B36" t="s">
        <v>1504</v>
      </c>
      <c r="C36" t="s">
        <v>1495</v>
      </c>
      <c r="D36" t="s">
        <v>470</v>
      </c>
      <c r="E36">
        <v>10000000</v>
      </c>
      <c r="H36">
        <v>5</v>
      </c>
      <c r="I36" t="s">
        <v>1167</v>
      </c>
      <c r="J36">
        <v>5.0000000000000001E-3</v>
      </c>
      <c r="K36" t="s">
        <v>252</v>
      </c>
      <c r="O36">
        <v>1005</v>
      </c>
      <c r="P36" t="s">
        <v>121</v>
      </c>
      <c r="S36">
        <v>2</v>
      </c>
      <c r="T36">
        <v>20</v>
      </c>
      <c r="V36">
        <v>50</v>
      </c>
      <c r="W36" t="s">
        <v>1505</v>
      </c>
      <c r="X36" t="s">
        <v>957</v>
      </c>
      <c r="Y36">
        <v>5</v>
      </c>
      <c r="Z36">
        <v>2</v>
      </c>
      <c r="AB36">
        <v>4.8600000000000003</v>
      </c>
      <c r="AC36" t="s">
        <v>85</v>
      </c>
      <c r="AI36">
        <v>1</v>
      </c>
      <c r="AV36" t="s">
        <v>1171</v>
      </c>
    </row>
    <row r="37" spans="1:53" x14ac:dyDescent="0.3">
      <c r="A37" t="s">
        <v>1498</v>
      </c>
      <c r="B37" t="s">
        <v>1504</v>
      </c>
      <c r="C37" t="s">
        <v>1495</v>
      </c>
      <c r="D37" t="s">
        <v>470</v>
      </c>
      <c r="E37">
        <v>10000000</v>
      </c>
      <c r="H37">
        <v>5</v>
      </c>
      <c r="I37" t="s">
        <v>1167</v>
      </c>
      <c r="J37">
        <v>5.0000000000000001E-3</v>
      </c>
      <c r="K37" t="s">
        <v>252</v>
      </c>
      <c r="O37">
        <v>1005</v>
      </c>
      <c r="P37" t="s">
        <v>121</v>
      </c>
      <c r="S37">
        <v>2</v>
      </c>
      <c r="T37">
        <v>20</v>
      </c>
      <c r="V37">
        <v>50</v>
      </c>
      <c r="W37" t="s">
        <v>1505</v>
      </c>
      <c r="X37" t="s">
        <v>957</v>
      </c>
      <c r="Y37">
        <v>10</v>
      </c>
      <c r="Z37">
        <v>2</v>
      </c>
      <c r="AB37">
        <v>6.04</v>
      </c>
      <c r="AC37" t="s">
        <v>85</v>
      </c>
      <c r="AI37">
        <v>1</v>
      </c>
      <c r="AV37" t="s">
        <v>1171</v>
      </c>
    </row>
    <row r="38" spans="1:53" x14ac:dyDescent="0.3">
      <c r="A38" t="s">
        <v>1498</v>
      </c>
      <c r="B38" t="s">
        <v>1504</v>
      </c>
      <c r="C38" t="s">
        <v>1495</v>
      </c>
      <c r="D38" t="s">
        <v>470</v>
      </c>
      <c r="E38">
        <v>10000000</v>
      </c>
      <c r="H38">
        <v>5</v>
      </c>
      <c r="I38" t="s">
        <v>1167</v>
      </c>
      <c r="J38">
        <v>5.0000000000000001E-3</v>
      </c>
      <c r="K38" t="s">
        <v>252</v>
      </c>
      <c r="O38">
        <v>1005</v>
      </c>
      <c r="P38" t="s">
        <v>121</v>
      </c>
      <c r="S38">
        <v>2</v>
      </c>
      <c r="T38">
        <v>20</v>
      </c>
      <c r="V38">
        <v>50</v>
      </c>
      <c r="W38" t="s">
        <v>1505</v>
      </c>
      <c r="X38" t="s">
        <v>957</v>
      </c>
      <c r="Y38">
        <v>15</v>
      </c>
      <c r="Z38">
        <v>2</v>
      </c>
      <c r="AB38">
        <v>6.34</v>
      </c>
      <c r="AC38" t="s">
        <v>85</v>
      </c>
      <c r="AI38">
        <v>1</v>
      </c>
      <c r="AV38" t="s">
        <v>1171</v>
      </c>
    </row>
    <row r="39" spans="1:53" x14ac:dyDescent="0.3">
      <c r="A39" t="s">
        <v>1498</v>
      </c>
      <c r="B39" t="s">
        <v>1504</v>
      </c>
      <c r="C39" t="s">
        <v>1495</v>
      </c>
      <c r="D39" t="s">
        <v>470</v>
      </c>
      <c r="E39">
        <v>10000000</v>
      </c>
      <c r="H39">
        <v>5</v>
      </c>
      <c r="I39" t="s">
        <v>1167</v>
      </c>
      <c r="J39">
        <v>5.0000000000000001E-3</v>
      </c>
      <c r="K39" t="s">
        <v>252</v>
      </c>
      <c r="O39">
        <v>1005</v>
      </c>
      <c r="P39" t="s">
        <v>121</v>
      </c>
      <c r="S39">
        <v>2</v>
      </c>
      <c r="T39">
        <v>20</v>
      </c>
      <c r="V39">
        <v>50</v>
      </c>
      <c r="W39" t="s">
        <v>1505</v>
      </c>
      <c r="X39" t="s">
        <v>957</v>
      </c>
      <c r="Y39">
        <v>30</v>
      </c>
      <c r="Z39">
        <v>2</v>
      </c>
      <c r="AA39" t="s">
        <v>184</v>
      </c>
      <c r="AB39">
        <v>7.04</v>
      </c>
      <c r="AC39" t="s">
        <v>85</v>
      </c>
      <c r="AI39">
        <v>1</v>
      </c>
      <c r="AV39" t="s">
        <v>1171</v>
      </c>
      <c r="AZ39">
        <v>0</v>
      </c>
      <c r="BA39">
        <v>7.04</v>
      </c>
    </row>
    <row r="40" spans="1:53" x14ac:dyDescent="0.3">
      <c r="A40" t="s">
        <v>1498</v>
      </c>
      <c r="B40" t="s">
        <v>1506</v>
      </c>
      <c r="C40" t="s">
        <v>1495</v>
      </c>
      <c r="D40" t="s">
        <v>470</v>
      </c>
      <c r="E40">
        <v>10000000</v>
      </c>
      <c r="H40">
        <v>5</v>
      </c>
      <c r="I40" t="s">
        <v>1167</v>
      </c>
      <c r="J40">
        <v>5.0000000000000001E-3</v>
      </c>
      <c r="K40" t="s">
        <v>252</v>
      </c>
      <c r="O40">
        <v>1708</v>
      </c>
      <c r="P40" t="s">
        <v>121</v>
      </c>
      <c r="S40">
        <v>2</v>
      </c>
      <c r="T40">
        <v>20</v>
      </c>
      <c r="V40">
        <v>50</v>
      </c>
      <c r="W40" t="s">
        <v>1505</v>
      </c>
      <c r="X40" t="s">
        <v>957</v>
      </c>
      <c r="Y40">
        <v>1</v>
      </c>
      <c r="Z40">
        <v>2</v>
      </c>
      <c r="AB40">
        <v>0.87</v>
      </c>
      <c r="AC40" t="s">
        <v>85</v>
      </c>
      <c r="AI40">
        <v>1</v>
      </c>
      <c r="AV40" t="s">
        <v>1171</v>
      </c>
    </row>
    <row r="41" spans="1:53" x14ac:dyDescent="0.3">
      <c r="A41" t="s">
        <v>1498</v>
      </c>
      <c r="B41" t="s">
        <v>1506</v>
      </c>
      <c r="C41" t="s">
        <v>1495</v>
      </c>
      <c r="D41" t="s">
        <v>470</v>
      </c>
      <c r="E41">
        <v>10000000</v>
      </c>
      <c r="H41">
        <v>5</v>
      </c>
      <c r="I41" t="s">
        <v>1167</v>
      </c>
      <c r="J41">
        <v>5.0000000000000001E-3</v>
      </c>
      <c r="K41" t="s">
        <v>252</v>
      </c>
      <c r="O41">
        <v>1708</v>
      </c>
      <c r="P41" t="s">
        <v>121</v>
      </c>
      <c r="S41">
        <v>2</v>
      </c>
      <c r="T41">
        <v>20</v>
      </c>
      <c r="V41">
        <v>50</v>
      </c>
      <c r="W41" t="s">
        <v>1505</v>
      </c>
      <c r="X41" t="s">
        <v>957</v>
      </c>
      <c r="Y41">
        <v>3</v>
      </c>
      <c r="Z41">
        <v>2</v>
      </c>
      <c r="AB41">
        <v>3.22</v>
      </c>
      <c r="AC41" t="s">
        <v>85</v>
      </c>
      <c r="AI41">
        <v>1</v>
      </c>
      <c r="AV41" t="s">
        <v>1171</v>
      </c>
    </row>
    <row r="42" spans="1:53" x14ac:dyDescent="0.3">
      <c r="A42" t="s">
        <v>1498</v>
      </c>
      <c r="B42" t="s">
        <v>1506</v>
      </c>
      <c r="C42" t="s">
        <v>1495</v>
      </c>
      <c r="D42" t="s">
        <v>470</v>
      </c>
      <c r="E42">
        <v>10000000</v>
      </c>
      <c r="H42">
        <v>5</v>
      </c>
      <c r="I42" t="s">
        <v>1167</v>
      </c>
      <c r="J42">
        <v>5.0000000000000001E-3</v>
      </c>
      <c r="K42" t="s">
        <v>252</v>
      </c>
      <c r="O42">
        <v>1708</v>
      </c>
      <c r="P42" t="s">
        <v>121</v>
      </c>
      <c r="S42">
        <v>2</v>
      </c>
      <c r="T42">
        <v>20</v>
      </c>
      <c r="V42">
        <v>50</v>
      </c>
      <c r="W42" t="s">
        <v>1505</v>
      </c>
      <c r="X42" t="s">
        <v>957</v>
      </c>
      <c r="Y42">
        <v>5</v>
      </c>
      <c r="Z42">
        <v>2</v>
      </c>
      <c r="AB42">
        <v>5.4</v>
      </c>
      <c r="AC42" t="s">
        <v>85</v>
      </c>
      <c r="AI42">
        <v>1</v>
      </c>
      <c r="AV42" t="s">
        <v>1171</v>
      </c>
    </row>
    <row r="43" spans="1:53" x14ac:dyDescent="0.3">
      <c r="A43" t="s">
        <v>1498</v>
      </c>
      <c r="B43" t="s">
        <v>1506</v>
      </c>
      <c r="C43" t="s">
        <v>1495</v>
      </c>
      <c r="D43" t="s">
        <v>470</v>
      </c>
      <c r="E43">
        <v>10000000</v>
      </c>
      <c r="H43">
        <v>5</v>
      </c>
      <c r="I43" t="s">
        <v>1167</v>
      </c>
      <c r="J43">
        <v>5.0000000000000001E-3</v>
      </c>
      <c r="K43" t="s">
        <v>252</v>
      </c>
      <c r="O43">
        <v>1708</v>
      </c>
      <c r="P43" t="s">
        <v>121</v>
      </c>
      <c r="S43">
        <v>2</v>
      </c>
      <c r="T43">
        <v>20</v>
      </c>
      <c r="V43">
        <v>50</v>
      </c>
      <c r="W43" t="s">
        <v>1505</v>
      </c>
      <c r="X43" t="s">
        <v>957</v>
      </c>
      <c r="Y43">
        <v>10</v>
      </c>
      <c r="Z43">
        <v>2</v>
      </c>
      <c r="AB43">
        <v>6.7</v>
      </c>
      <c r="AC43" t="s">
        <v>85</v>
      </c>
      <c r="AI43">
        <v>1</v>
      </c>
      <c r="AV43" t="s">
        <v>1171</v>
      </c>
    </row>
    <row r="44" spans="1:53" x14ac:dyDescent="0.3">
      <c r="A44" t="s">
        <v>1498</v>
      </c>
      <c r="B44" t="s">
        <v>1506</v>
      </c>
      <c r="C44" t="s">
        <v>1495</v>
      </c>
      <c r="D44" t="s">
        <v>470</v>
      </c>
      <c r="E44">
        <v>10000000</v>
      </c>
      <c r="H44">
        <v>5</v>
      </c>
      <c r="I44" t="s">
        <v>1167</v>
      </c>
      <c r="J44">
        <v>5.0000000000000001E-3</v>
      </c>
      <c r="K44" t="s">
        <v>252</v>
      </c>
      <c r="O44">
        <v>1708</v>
      </c>
      <c r="P44" t="s">
        <v>121</v>
      </c>
      <c r="S44">
        <v>2</v>
      </c>
      <c r="T44">
        <v>20</v>
      </c>
      <c r="V44">
        <v>50</v>
      </c>
      <c r="W44" t="s">
        <v>1505</v>
      </c>
      <c r="X44" t="s">
        <v>957</v>
      </c>
      <c r="Y44">
        <v>15</v>
      </c>
      <c r="Z44">
        <v>2</v>
      </c>
      <c r="AA44" t="s">
        <v>184</v>
      </c>
      <c r="AB44">
        <v>7.4</v>
      </c>
      <c r="AC44" t="s">
        <v>85</v>
      </c>
      <c r="AI44">
        <v>1</v>
      </c>
      <c r="AV44" t="s">
        <v>1171</v>
      </c>
      <c r="AZ44">
        <v>0</v>
      </c>
      <c r="BA44">
        <v>7.4</v>
      </c>
    </row>
    <row r="45" spans="1:53" x14ac:dyDescent="0.3">
      <c r="A45" t="s">
        <v>1498</v>
      </c>
      <c r="B45" t="s">
        <v>1506</v>
      </c>
      <c r="C45" t="s">
        <v>1495</v>
      </c>
      <c r="D45" t="s">
        <v>470</v>
      </c>
      <c r="E45">
        <v>10000000</v>
      </c>
      <c r="H45">
        <v>5</v>
      </c>
      <c r="I45" t="s">
        <v>1167</v>
      </c>
      <c r="J45">
        <v>5.0000000000000001E-3</v>
      </c>
      <c r="K45" t="s">
        <v>252</v>
      </c>
      <c r="O45">
        <v>1708</v>
      </c>
      <c r="P45" t="s">
        <v>121</v>
      </c>
      <c r="S45">
        <v>2</v>
      </c>
      <c r="T45">
        <v>20</v>
      </c>
      <c r="V45">
        <v>50</v>
      </c>
      <c r="W45" t="s">
        <v>1505</v>
      </c>
      <c r="X45" t="s">
        <v>957</v>
      </c>
      <c r="Y45">
        <v>30</v>
      </c>
      <c r="Z45">
        <v>2</v>
      </c>
      <c r="AA45" t="s">
        <v>184</v>
      </c>
      <c r="AB45">
        <v>7.4</v>
      </c>
      <c r="AC45" t="s">
        <v>85</v>
      </c>
      <c r="AI45">
        <v>1</v>
      </c>
      <c r="AV45" t="s">
        <v>1171</v>
      </c>
      <c r="AZ45">
        <v>0</v>
      </c>
      <c r="BA45">
        <v>7.4</v>
      </c>
    </row>
    <row r="46" spans="1:53" x14ac:dyDescent="0.3">
      <c r="A46" t="s">
        <v>1498</v>
      </c>
      <c r="B46" t="s">
        <v>1507</v>
      </c>
      <c r="C46" t="s">
        <v>1495</v>
      </c>
      <c r="D46" t="s">
        <v>470</v>
      </c>
      <c r="E46">
        <v>10000000</v>
      </c>
      <c r="H46">
        <v>5</v>
      </c>
      <c r="I46" t="s">
        <v>1167</v>
      </c>
      <c r="J46">
        <v>5.0000000000000001E-3</v>
      </c>
      <c r="K46" t="s">
        <v>252</v>
      </c>
      <c r="O46">
        <v>2300</v>
      </c>
      <c r="P46" t="s">
        <v>121</v>
      </c>
      <c r="S46">
        <v>2</v>
      </c>
      <c r="T46">
        <v>20</v>
      </c>
      <c r="V46">
        <v>50</v>
      </c>
      <c r="W46" t="s">
        <v>1505</v>
      </c>
      <c r="X46" t="s">
        <v>957</v>
      </c>
      <c r="Y46">
        <v>1</v>
      </c>
      <c r="Z46">
        <v>2</v>
      </c>
      <c r="AB46">
        <v>0.77</v>
      </c>
      <c r="AC46" t="s">
        <v>85</v>
      </c>
      <c r="AI46">
        <v>1</v>
      </c>
      <c r="AV46" t="s">
        <v>1171</v>
      </c>
    </row>
    <row r="47" spans="1:53" x14ac:dyDescent="0.3">
      <c r="A47" t="s">
        <v>1498</v>
      </c>
      <c r="B47" t="s">
        <v>1507</v>
      </c>
      <c r="C47" t="s">
        <v>1495</v>
      </c>
      <c r="D47" t="s">
        <v>470</v>
      </c>
      <c r="E47">
        <v>10000000</v>
      </c>
      <c r="H47">
        <v>5</v>
      </c>
      <c r="I47" t="s">
        <v>1167</v>
      </c>
      <c r="J47">
        <v>5.0000000000000001E-3</v>
      </c>
      <c r="K47" t="s">
        <v>252</v>
      </c>
      <c r="O47">
        <v>2300</v>
      </c>
      <c r="P47" t="s">
        <v>121</v>
      </c>
      <c r="S47">
        <v>2</v>
      </c>
      <c r="T47">
        <v>20</v>
      </c>
      <c r="V47">
        <v>50</v>
      </c>
      <c r="W47" t="s">
        <v>1505</v>
      </c>
      <c r="X47" t="s">
        <v>957</v>
      </c>
      <c r="Y47">
        <v>3</v>
      </c>
      <c r="Z47">
        <v>2</v>
      </c>
      <c r="AB47">
        <v>3.64</v>
      </c>
      <c r="AC47" t="s">
        <v>85</v>
      </c>
      <c r="AI47">
        <v>1</v>
      </c>
      <c r="AV47" t="s">
        <v>1171</v>
      </c>
    </row>
    <row r="48" spans="1:53" x14ac:dyDescent="0.3">
      <c r="A48" t="s">
        <v>1498</v>
      </c>
      <c r="B48" t="s">
        <v>1507</v>
      </c>
      <c r="C48" t="s">
        <v>1495</v>
      </c>
      <c r="D48" t="s">
        <v>470</v>
      </c>
      <c r="E48">
        <v>10000000</v>
      </c>
      <c r="H48">
        <v>5</v>
      </c>
      <c r="I48" t="s">
        <v>1167</v>
      </c>
      <c r="J48">
        <v>5.0000000000000001E-3</v>
      </c>
      <c r="K48" t="s">
        <v>252</v>
      </c>
      <c r="O48">
        <v>2300</v>
      </c>
      <c r="P48" t="s">
        <v>121</v>
      </c>
      <c r="S48">
        <v>2</v>
      </c>
      <c r="T48">
        <v>20</v>
      </c>
      <c r="V48">
        <v>50</v>
      </c>
      <c r="W48" t="s">
        <v>1505</v>
      </c>
      <c r="X48" t="s">
        <v>957</v>
      </c>
      <c r="Y48">
        <v>5</v>
      </c>
      <c r="Z48">
        <v>2</v>
      </c>
      <c r="AB48">
        <v>6.4</v>
      </c>
      <c r="AC48" t="s">
        <v>85</v>
      </c>
      <c r="AI48">
        <v>1</v>
      </c>
      <c r="AV48" t="s">
        <v>1171</v>
      </c>
    </row>
    <row r="49" spans="1:53" x14ac:dyDescent="0.3">
      <c r="A49" t="s">
        <v>1498</v>
      </c>
      <c r="B49" t="s">
        <v>1507</v>
      </c>
      <c r="C49" t="s">
        <v>1495</v>
      </c>
      <c r="D49" t="s">
        <v>470</v>
      </c>
      <c r="E49">
        <v>10000000</v>
      </c>
      <c r="H49">
        <v>5</v>
      </c>
      <c r="I49" t="s">
        <v>1167</v>
      </c>
      <c r="J49">
        <v>5.0000000000000001E-3</v>
      </c>
      <c r="K49" t="s">
        <v>252</v>
      </c>
      <c r="O49">
        <v>2300</v>
      </c>
      <c r="P49" t="s">
        <v>121</v>
      </c>
      <c r="S49">
        <v>2</v>
      </c>
      <c r="T49">
        <v>20</v>
      </c>
      <c r="V49">
        <v>50</v>
      </c>
      <c r="W49" t="s">
        <v>1505</v>
      </c>
      <c r="X49" t="s">
        <v>957</v>
      </c>
      <c r="Y49">
        <v>10</v>
      </c>
      <c r="Z49">
        <v>2</v>
      </c>
      <c r="AA49" t="s">
        <v>184</v>
      </c>
      <c r="AB49">
        <v>7.54</v>
      </c>
      <c r="AC49" t="s">
        <v>85</v>
      </c>
      <c r="AI49">
        <v>1</v>
      </c>
      <c r="AV49" t="s">
        <v>1171</v>
      </c>
      <c r="AZ49">
        <v>0</v>
      </c>
      <c r="BA49">
        <v>7.54</v>
      </c>
    </row>
    <row r="50" spans="1:53" x14ac:dyDescent="0.3">
      <c r="A50" t="s">
        <v>1498</v>
      </c>
      <c r="B50" t="s">
        <v>1507</v>
      </c>
      <c r="C50" t="s">
        <v>1495</v>
      </c>
      <c r="D50" t="s">
        <v>470</v>
      </c>
      <c r="E50">
        <v>10000000</v>
      </c>
      <c r="H50">
        <v>5</v>
      </c>
      <c r="I50" t="s">
        <v>1167</v>
      </c>
      <c r="J50">
        <v>5.0000000000000001E-3</v>
      </c>
      <c r="K50" t="s">
        <v>252</v>
      </c>
      <c r="O50">
        <v>2300</v>
      </c>
      <c r="P50" t="s">
        <v>121</v>
      </c>
      <c r="S50">
        <v>2</v>
      </c>
      <c r="T50">
        <v>20</v>
      </c>
      <c r="V50">
        <v>50</v>
      </c>
      <c r="W50" t="s">
        <v>1505</v>
      </c>
      <c r="X50" t="s">
        <v>957</v>
      </c>
      <c r="Y50">
        <v>15</v>
      </c>
      <c r="Z50">
        <v>2</v>
      </c>
      <c r="AA50" t="s">
        <v>184</v>
      </c>
      <c r="AB50">
        <v>7.54</v>
      </c>
      <c r="AC50" t="s">
        <v>85</v>
      </c>
      <c r="AI50">
        <v>1</v>
      </c>
      <c r="AV50" t="s">
        <v>1171</v>
      </c>
      <c r="AZ50">
        <v>0</v>
      </c>
      <c r="BA50">
        <v>7.54</v>
      </c>
    </row>
    <row r="51" spans="1:53" x14ac:dyDescent="0.3">
      <c r="A51" t="s">
        <v>1498</v>
      </c>
      <c r="B51" t="s">
        <v>1507</v>
      </c>
      <c r="C51" t="s">
        <v>1495</v>
      </c>
      <c r="D51" t="s">
        <v>470</v>
      </c>
      <c r="E51">
        <v>10000000</v>
      </c>
      <c r="H51">
        <v>5</v>
      </c>
      <c r="I51" t="s">
        <v>1167</v>
      </c>
      <c r="J51">
        <v>5.0000000000000001E-3</v>
      </c>
      <c r="K51" t="s">
        <v>252</v>
      </c>
      <c r="O51">
        <v>2300</v>
      </c>
      <c r="P51" t="s">
        <v>121</v>
      </c>
      <c r="S51">
        <v>2</v>
      </c>
      <c r="T51">
        <v>20</v>
      </c>
      <c r="V51">
        <v>50</v>
      </c>
      <c r="W51" t="s">
        <v>1505</v>
      </c>
      <c r="X51" t="s">
        <v>957</v>
      </c>
      <c r="Y51">
        <v>30</v>
      </c>
      <c r="Z51">
        <v>2</v>
      </c>
      <c r="AA51" t="s">
        <v>184</v>
      </c>
      <c r="AB51">
        <v>7.54</v>
      </c>
      <c r="AC51" t="s">
        <v>85</v>
      </c>
      <c r="AI51">
        <v>1</v>
      </c>
      <c r="AV51" t="s">
        <v>1171</v>
      </c>
      <c r="AZ51">
        <v>0</v>
      </c>
      <c r="BA51">
        <v>7.54</v>
      </c>
    </row>
    <row r="52" spans="1:53" x14ac:dyDescent="0.3">
      <c r="A52" t="s">
        <v>1498</v>
      </c>
      <c r="B52" t="s">
        <v>1508</v>
      </c>
      <c r="C52" t="s">
        <v>1495</v>
      </c>
      <c r="D52" t="s">
        <v>470</v>
      </c>
      <c r="E52">
        <v>10000000</v>
      </c>
      <c r="H52">
        <v>5</v>
      </c>
      <c r="I52" t="s">
        <v>1167</v>
      </c>
      <c r="J52">
        <v>5.0000000000000001E-3</v>
      </c>
      <c r="K52" t="s">
        <v>252</v>
      </c>
      <c r="O52">
        <v>1087</v>
      </c>
      <c r="P52" t="s">
        <v>121</v>
      </c>
      <c r="S52">
        <v>2</v>
      </c>
      <c r="T52">
        <v>20</v>
      </c>
      <c r="V52">
        <v>50</v>
      </c>
      <c r="W52" t="s">
        <v>1505</v>
      </c>
      <c r="X52" t="s">
        <v>957</v>
      </c>
      <c r="Y52">
        <v>1</v>
      </c>
      <c r="Z52">
        <v>2</v>
      </c>
      <c r="AB52">
        <v>3.34</v>
      </c>
      <c r="AC52" t="s">
        <v>85</v>
      </c>
      <c r="AI52">
        <v>1</v>
      </c>
      <c r="AV52" t="s">
        <v>1171</v>
      </c>
    </row>
    <row r="53" spans="1:53" x14ac:dyDescent="0.3">
      <c r="A53" t="s">
        <v>1498</v>
      </c>
      <c r="B53" t="s">
        <v>1508</v>
      </c>
      <c r="C53" t="s">
        <v>1495</v>
      </c>
      <c r="D53" t="s">
        <v>470</v>
      </c>
      <c r="E53">
        <v>56000000</v>
      </c>
      <c r="H53">
        <v>5</v>
      </c>
      <c r="I53" t="s">
        <v>1167</v>
      </c>
      <c r="J53">
        <v>5.0000000000000001E-3</v>
      </c>
      <c r="K53" t="s">
        <v>252</v>
      </c>
      <c r="O53">
        <v>1087</v>
      </c>
      <c r="P53" t="s">
        <v>121</v>
      </c>
      <c r="S53">
        <v>2</v>
      </c>
      <c r="T53">
        <v>20</v>
      </c>
      <c r="V53">
        <v>50</v>
      </c>
      <c r="W53" t="s">
        <v>1505</v>
      </c>
      <c r="X53" t="s">
        <v>957</v>
      </c>
      <c r="Y53">
        <v>3</v>
      </c>
      <c r="Z53">
        <v>2</v>
      </c>
      <c r="AB53">
        <v>2.52999999999999</v>
      </c>
      <c r="AC53" t="s">
        <v>85</v>
      </c>
      <c r="AI53">
        <v>1</v>
      </c>
      <c r="AV53" t="s">
        <v>1171</v>
      </c>
    </row>
    <row r="54" spans="1:53" x14ac:dyDescent="0.3">
      <c r="A54" t="s">
        <v>1498</v>
      </c>
      <c r="B54" t="s">
        <v>1508</v>
      </c>
      <c r="C54" t="s">
        <v>1495</v>
      </c>
      <c r="D54" t="s">
        <v>470</v>
      </c>
      <c r="E54">
        <v>56000000</v>
      </c>
      <c r="H54">
        <v>5</v>
      </c>
      <c r="I54" t="s">
        <v>1167</v>
      </c>
      <c r="J54">
        <v>5.0000000000000001E-3</v>
      </c>
      <c r="K54" t="s">
        <v>252</v>
      </c>
      <c r="O54">
        <v>1087</v>
      </c>
      <c r="P54" t="s">
        <v>121</v>
      </c>
      <c r="S54">
        <v>2</v>
      </c>
      <c r="T54">
        <v>20</v>
      </c>
      <c r="V54">
        <v>50</v>
      </c>
      <c r="W54" t="s">
        <v>1505</v>
      </c>
      <c r="X54" t="s">
        <v>957</v>
      </c>
      <c r="Y54">
        <v>5</v>
      </c>
      <c r="Z54">
        <v>4</v>
      </c>
      <c r="AB54">
        <v>3.52</v>
      </c>
      <c r="AC54" t="s">
        <v>85</v>
      </c>
      <c r="AI54">
        <v>1</v>
      </c>
      <c r="AV54" t="s">
        <v>1171</v>
      </c>
    </row>
    <row r="55" spans="1:53" x14ac:dyDescent="0.3">
      <c r="A55" t="s">
        <v>1498</v>
      </c>
      <c r="B55" t="s">
        <v>1508</v>
      </c>
      <c r="C55" t="s">
        <v>1495</v>
      </c>
      <c r="D55" t="s">
        <v>470</v>
      </c>
      <c r="E55">
        <v>56000000</v>
      </c>
      <c r="H55">
        <v>5</v>
      </c>
      <c r="I55" t="s">
        <v>1167</v>
      </c>
      <c r="J55">
        <v>5.0000000000000001E-3</v>
      </c>
      <c r="K55" t="s">
        <v>252</v>
      </c>
      <c r="O55">
        <v>1087</v>
      </c>
      <c r="P55" t="s">
        <v>121</v>
      </c>
      <c r="S55">
        <v>2</v>
      </c>
      <c r="T55">
        <v>20</v>
      </c>
      <c r="V55">
        <v>50</v>
      </c>
      <c r="W55" t="s">
        <v>1505</v>
      </c>
      <c r="X55" t="s">
        <v>957</v>
      </c>
      <c r="Y55">
        <v>10</v>
      </c>
      <c r="Z55">
        <v>4</v>
      </c>
      <c r="AB55">
        <v>5.64</v>
      </c>
      <c r="AC55" t="s">
        <v>85</v>
      </c>
      <c r="AI55">
        <v>1</v>
      </c>
      <c r="AV55" t="s">
        <v>1171</v>
      </c>
    </row>
    <row r="56" spans="1:53" x14ac:dyDescent="0.3">
      <c r="A56" t="s">
        <v>1498</v>
      </c>
      <c r="B56" t="s">
        <v>1508</v>
      </c>
      <c r="C56" t="s">
        <v>1495</v>
      </c>
      <c r="D56" t="s">
        <v>470</v>
      </c>
      <c r="E56">
        <v>56000000</v>
      </c>
      <c r="H56">
        <v>5</v>
      </c>
      <c r="I56" t="s">
        <v>1167</v>
      </c>
      <c r="J56">
        <v>5.0000000000000001E-3</v>
      </c>
      <c r="K56" t="s">
        <v>252</v>
      </c>
      <c r="O56">
        <v>1087</v>
      </c>
      <c r="P56" t="s">
        <v>121</v>
      </c>
      <c r="S56">
        <v>2</v>
      </c>
      <c r="T56">
        <v>20</v>
      </c>
      <c r="V56">
        <v>50</v>
      </c>
      <c r="W56" t="s">
        <v>1505</v>
      </c>
      <c r="X56" t="s">
        <v>957</v>
      </c>
      <c r="Y56">
        <v>15</v>
      </c>
      <c r="Z56">
        <v>4</v>
      </c>
      <c r="AB56">
        <v>6.64</v>
      </c>
      <c r="AC56" t="s">
        <v>85</v>
      </c>
      <c r="AI56">
        <v>1</v>
      </c>
      <c r="AV56" t="s">
        <v>1171</v>
      </c>
    </row>
    <row r="57" spans="1:53" x14ac:dyDescent="0.3">
      <c r="A57" t="s">
        <v>1498</v>
      </c>
      <c r="B57" t="s">
        <v>1508</v>
      </c>
      <c r="C57" t="s">
        <v>1495</v>
      </c>
      <c r="D57" t="s">
        <v>470</v>
      </c>
      <c r="E57">
        <v>56000000</v>
      </c>
      <c r="H57">
        <v>5</v>
      </c>
      <c r="I57" t="s">
        <v>1167</v>
      </c>
      <c r="J57">
        <v>5.0000000000000001E-3</v>
      </c>
      <c r="K57" t="s">
        <v>252</v>
      </c>
      <c r="O57">
        <v>1087</v>
      </c>
      <c r="P57" t="s">
        <v>121</v>
      </c>
      <c r="S57">
        <v>2</v>
      </c>
      <c r="T57">
        <v>20</v>
      </c>
      <c r="V57">
        <v>50</v>
      </c>
      <c r="W57" t="s">
        <v>1505</v>
      </c>
      <c r="X57" t="s">
        <v>957</v>
      </c>
      <c r="Y57">
        <v>30</v>
      </c>
      <c r="Z57">
        <v>4</v>
      </c>
      <c r="AA57" t="s">
        <v>184</v>
      </c>
      <c r="AB57">
        <v>7.34</v>
      </c>
      <c r="AC57" t="s">
        <v>85</v>
      </c>
      <c r="AI57">
        <v>1</v>
      </c>
      <c r="AV57" t="s">
        <v>1171</v>
      </c>
      <c r="AZ57">
        <v>0</v>
      </c>
      <c r="BA57">
        <v>7.34</v>
      </c>
    </row>
    <row r="58" spans="1:53" x14ac:dyDescent="0.3">
      <c r="A58" t="s">
        <v>1498</v>
      </c>
      <c r="B58" t="s">
        <v>1509</v>
      </c>
      <c r="C58" t="s">
        <v>1495</v>
      </c>
      <c r="D58" t="s">
        <v>470</v>
      </c>
      <c r="E58">
        <v>56000000</v>
      </c>
      <c r="H58">
        <v>5</v>
      </c>
      <c r="I58" t="s">
        <v>1167</v>
      </c>
      <c r="J58">
        <v>5.0000000000000001E-3</v>
      </c>
      <c r="K58" t="s">
        <v>252</v>
      </c>
      <c r="O58">
        <v>1260</v>
      </c>
      <c r="P58" t="s">
        <v>121</v>
      </c>
      <c r="S58">
        <v>2</v>
      </c>
      <c r="T58">
        <v>20</v>
      </c>
      <c r="V58">
        <v>50</v>
      </c>
      <c r="W58" t="s">
        <v>1505</v>
      </c>
      <c r="X58" t="s">
        <v>957</v>
      </c>
      <c r="Y58">
        <v>1</v>
      </c>
      <c r="Z58">
        <v>4</v>
      </c>
      <c r="AB58">
        <v>1.57</v>
      </c>
      <c r="AC58" t="s">
        <v>85</v>
      </c>
      <c r="AI58">
        <v>1</v>
      </c>
      <c r="AV58" t="s">
        <v>1171</v>
      </c>
    </row>
    <row r="59" spans="1:53" x14ac:dyDescent="0.3">
      <c r="A59" t="s">
        <v>1498</v>
      </c>
      <c r="B59" t="s">
        <v>1509</v>
      </c>
      <c r="C59" t="s">
        <v>1495</v>
      </c>
      <c r="D59" t="s">
        <v>470</v>
      </c>
      <c r="E59">
        <v>56000000</v>
      </c>
      <c r="H59">
        <v>5</v>
      </c>
      <c r="I59" t="s">
        <v>1167</v>
      </c>
      <c r="J59">
        <v>5.0000000000000001E-3</v>
      </c>
      <c r="K59" t="s">
        <v>252</v>
      </c>
      <c r="O59">
        <v>1260</v>
      </c>
      <c r="P59" t="s">
        <v>121</v>
      </c>
      <c r="S59">
        <v>2</v>
      </c>
      <c r="T59">
        <v>20</v>
      </c>
      <c r="V59">
        <v>50</v>
      </c>
      <c r="W59" t="s">
        <v>1505</v>
      </c>
      <c r="X59" t="s">
        <v>957</v>
      </c>
      <c r="Y59">
        <v>3</v>
      </c>
      <c r="Z59">
        <v>4</v>
      </c>
      <c r="AB59">
        <v>3.04</v>
      </c>
      <c r="AC59" t="s">
        <v>85</v>
      </c>
      <c r="AI59">
        <v>1</v>
      </c>
      <c r="AV59" t="s">
        <v>1171</v>
      </c>
    </row>
    <row r="60" spans="1:53" x14ac:dyDescent="0.3">
      <c r="A60" t="s">
        <v>1498</v>
      </c>
      <c r="B60" t="s">
        <v>1509</v>
      </c>
      <c r="C60" t="s">
        <v>1495</v>
      </c>
      <c r="D60" t="s">
        <v>470</v>
      </c>
      <c r="E60">
        <v>56000000</v>
      </c>
      <c r="H60">
        <v>5</v>
      </c>
      <c r="I60" t="s">
        <v>1167</v>
      </c>
      <c r="J60">
        <v>5.0000000000000001E-3</v>
      </c>
      <c r="K60" t="s">
        <v>252</v>
      </c>
      <c r="O60">
        <v>1260</v>
      </c>
      <c r="P60" t="s">
        <v>121</v>
      </c>
      <c r="S60">
        <v>2</v>
      </c>
      <c r="T60">
        <v>20</v>
      </c>
      <c r="V60">
        <v>50</v>
      </c>
      <c r="W60" t="s">
        <v>1505</v>
      </c>
      <c r="X60" t="s">
        <v>957</v>
      </c>
      <c r="Y60">
        <v>5</v>
      </c>
      <c r="Z60">
        <v>4</v>
      </c>
      <c r="AB60">
        <v>5.81</v>
      </c>
      <c r="AC60" t="s">
        <v>85</v>
      </c>
      <c r="AI60">
        <v>1</v>
      </c>
      <c r="AV60" t="s">
        <v>1171</v>
      </c>
    </row>
    <row r="61" spans="1:53" x14ac:dyDescent="0.3">
      <c r="A61" t="s">
        <v>1498</v>
      </c>
      <c r="B61" t="s">
        <v>1509</v>
      </c>
      <c r="C61" t="s">
        <v>1495</v>
      </c>
      <c r="D61" t="s">
        <v>470</v>
      </c>
      <c r="E61">
        <v>56000000</v>
      </c>
      <c r="H61">
        <v>5</v>
      </c>
      <c r="I61" t="s">
        <v>1167</v>
      </c>
      <c r="J61">
        <v>5.0000000000000001E-3</v>
      </c>
      <c r="K61" t="s">
        <v>252</v>
      </c>
      <c r="O61">
        <v>1260</v>
      </c>
      <c r="P61" t="s">
        <v>121</v>
      </c>
      <c r="S61">
        <v>2</v>
      </c>
      <c r="T61">
        <v>20</v>
      </c>
      <c r="V61">
        <v>50</v>
      </c>
      <c r="W61" t="s">
        <v>1505</v>
      </c>
      <c r="X61" t="s">
        <v>957</v>
      </c>
      <c r="Y61">
        <v>10</v>
      </c>
      <c r="Z61">
        <v>4</v>
      </c>
      <c r="AB61">
        <v>6.41</v>
      </c>
      <c r="AC61" t="s">
        <v>85</v>
      </c>
      <c r="AI61">
        <v>1</v>
      </c>
      <c r="AV61" t="s">
        <v>1171</v>
      </c>
    </row>
    <row r="62" spans="1:53" x14ac:dyDescent="0.3">
      <c r="A62" t="s">
        <v>1498</v>
      </c>
      <c r="B62" t="s">
        <v>1509</v>
      </c>
      <c r="C62" t="s">
        <v>1495</v>
      </c>
      <c r="D62" t="s">
        <v>470</v>
      </c>
      <c r="E62">
        <v>56000000</v>
      </c>
      <c r="H62">
        <v>5</v>
      </c>
      <c r="I62" t="s">
        <v>1167</v>
      </c>
      <c r="J62">
        <v>5.0000000000000001E-3</v>
      </c>
      <c r="K62" t="s">
        <v>252</v>
      </c>
      <c r="O62">
        <v>1260</v>
      </c>
      <c r="P62" t="s">
        <v>121</v>
      </c>
      <c r="S62">
        <v>2</v>
      </c>
      <c r="T62">
        <v>20</v>
      </c>
      <c r="V62">
        <v>50</v>
      </c>
      <c r="W62" t="s">
        <v>1505</v>
      </c>
      <c r="X62" t="s">
        <v>957</v>
      </c>
      <c r="Y62">
        <v>15</v>
      </c>
      <c r="Z62">
        <v>4</v>
      </c>
      <c r="AA62" t="s">
        <v>184</v>
      </c>
      <c r="AB62">
        <v>7.11</v>
      </c>
      <c r="AC62" t="s">
        <v>85</v>
      </c>
      <c r="AI62">
        <v>1</v>
      </c>
      <c r="AV62" t="s">
        <v>1171</v>
      </c>
      <c r="AZ62">
        <v>0</v>
      </c>
      <c r="BA62">
        <v>7.11</v>
      </c>
    </row>
    <row r="63" spans="1:53" x14ac:dyDescent="0.3">
      <c r="A63" t="s">
        <v>1498</v>
      </c>
      <c r="B63" t="s">
        <v>1509</v>
      </c>
      <c r="C63" t="s">
        <v>1495</v>
      </c>
      <c r="D63" t="s">
        <v>470</v>
      </c>
      <c r="E63">
        <v>56000000</v>
      </c>
      <c r="H63">
        <v>5</v>
      </c>
      <c r="I63" t="s">
        <v>1167</v>
      </c>
      <c r="J63">
        <v>5.0000000000000001E-3</v>
      </c>
      <c r="K63" t="s">
        <v>252</v>
      </c>
      <c r="O63">
        <v>1260</v>
      </c>
      <c r="P63" t="s">
        <v>121</v>
      </c>
      <c r="S63">
        <v>2</v>
      </c>
      <c r="T63">
        <v>20</v>
      </c>
      <c r="V63">
        <v>50</v>
      </c>
      <c r="W63" t="s">
        <v>1505</v>
      </c>
      <c r="X63" t="s">
        <v>957</v>
      </c>
      <c r="Y63">
        <v>30</v>
      </c>
      <c r="Z63">
        <v>4</v>
      </c>
      <c r="AA63" t="s">
        <v>184</v>
      </c>
      <c r="AB63">
        <v>7.11</v>
      </c>
      <c r="AC63" t="s">
        <v>85</v>
      </c>
      <c r="AI63">
        <v>1</v>
      </c>
      <c r="AV63" t="s">
        <v>1171</v>
      </c>
      <c r="AZ63">
        <v>0</v>
      </c>
      <c r="BA63">
        <v>7.11</v>
      </c>
    </row>
    <row r="64" spans="1:53" x14ac:dyDescent="0.3">
      <c r="A64" t="s">
        <v>1498</v>
      </c>
      <c r="B64" t="s">
        <v>1510</v>
      </c>
      <c r="C64" t="s">
        <v>1495</v>
      </c>
      <c r="D64" t="s">
        <v>470</v>
      </c>
      <c r="E64">
        <v>10000000</v>
      </c>
      <c r="H64">
        <v>5</v>
      </c>
      <c r="I64" t="s">
        <v>1167</v>
      </c>
      <c r="J64">
        <v>5.0000000000000001E-3</v>
      </c>
      <c r="K64" t="s">
        <v>252</v>
      </c>
      <c r="O64">
        <v>2433</v>
      </c>
      <c r="P64" t="s">
        <v>121</v>
      </c>
      <c r="S64">
        <v>2</v>
      </c>
      <c r="T64">
        <v>20</v>
      </c>
      <c r="V64">
        <v>50</v>
      </c>
      <c r="W64" t="s">
        <v>1505</v>
      </c>
      <c r="X64" t="s">
        <v>957</v>
      </c>
      <c r="Y64">
        <v>1</v>
      </c>
      <c r="Z64">
        <v>4</v>
      </c>
      <c r="AB64">
        <v>0.6</v>
      </c>
      <c r="AC64" t="s">
        <v>85</v>
      </c>
      <c r="AI64">
        <v>1</v>
      </c>
      <c r="AV64" t="s">
        <v>1171</v>
      </c>
    </row>
    <row r="65" spans="1:53" x14ac:dyDescent="0.3">
      <c r="A65" t="s">
        <v>1498</v>
      </c>
      <c r="B65" t="s">
        <v>1510</v>
      </c>
      <c r="C65" t="s">
        <v>1495</v>
      </c>
      <c r="D65" t="s">
        <v>470</v>
      </c>
      <c r="E65">
        <v>10000000</v>
      </c>
      <c r="H65">
        <v>5</v>
      </c>
      <c r="I65" t="s">
        <v>1167</v>
      </c>
      <c r="J65">
        <v>5.0000000000000001E-3</v>
      </c>
      <c r="K65" t="s">
        <v>252</v>
      </c>
      <c r="O65">
        <v>2433</v>
      </c>
      <c r="P65" t="s">
        <v>121</v>
      </c>
      <c r="S65">
        <v>2</v>
      </c>
      <c r="T65">
        <v>20</v>
      </c>
      <c r="V65">
        <v>50</v>
      </c>
      <c r="W65" t="s">
        <v>1505</v>
      </c>
      <c r="X65" t="s">
        <v>957</v>
      </c>
      <c r="Y65">
        <v>3</v>
      </c>
      <c r="Z65">
        <v>4</v>
      </c>
      <c r="AB65">
        <v>3.53</v>
      </c>
      <c r="AC65" t="s">
        <v>85</v>
      </c>
      <c r="AI65">
        <v>1</v>
      </c>
      <c r="AV65" t="s">
        <v>1171</v>
      </c>
    </row>
    <row r="66" spans="1:53" x14ac:dyDescent="0.3">
      <c r="A66" t="s">
        <v>1498</v>
      </c>
      <c r="B66" t="s">
        <v>1510</v>
      </c>
      <c r="C66" t="s">
        <v>1495</v>
      </c>
      <c r="D66" t="s">
        <v>470</v>
      </c>
      <c r="E66">
        <v>10000000</v>
      </c>
      <c r="H66">
        <v>5</v>
      </c>
      <c r="I66" t="s">
        <v>1167</v>
      </c>
      <c r="J66">
        <v>5.0000000000000001E-3</v>
      </c>
      <c r="K66" t="s">
        <v>252</v>
      </c>
      <c r="O66">
        <v>2433</v>
      </c>
      <c r="P66" t="s">
        <v>121</v>
      </c>
      <c r="S66">
        <v>2</v>
      </c>
      <c r="T66">
        <v>20</v>
      </c>
      <c r="V66">
        <v>50</v>
      </c>
      <c r="W66" t="s">
        <v>1505</v>
      </c>
      <c r="X66" t="s">
        <v>957</v>
      </c>
      <c r="Y66">
        <v>5</v>
      </c>
      <c r="Z66">
        <v>4</v>
      </c>
      <c r="AB66">
        <v>6.53</v>
      </c>
      <c r="AC66" t="s">
        <v>85</v>
      </c>
      <c r="AI66">
        <v>1</v>
      </c>
      <c r="AV66" t="s">
        <v>1171</v>
      </c>
    </row>
    <row r="67" spans="1:53" x14ac:dyDescent="0.3">
      <c r="A67" t="s">
        <v>1498</v>
      </c>
      <c r="B67" t="s">
        <v>1510</v>
      </c>
      <c r="C67" t="s">
        <v>1495</v>
      </c>
      <c r="D67" t="s">
        <v>470</v>
      </c>
      <c r="E67">
        <v>10000000</v>
      </c>
      <c r="H67">
        <v>5</v>
      </c>
      <c r="I67" t="s">
        <v>1167</v>
      </c>
      <c r="J67">
        <v>5.0000000000000001E-3</v>
      </c>
      <c r="K67" t="s">
        <v>252</v>
      </c>
      <c r="O67">
        <v>2433</v>
      </c>
      <c r="P67" t="s">
        <v>121</v>
      </c>
      <c r="S67">
        <v>2</v>
      </c>
      <c r="T67">
        <v>20</v>
      </c>
      <c r="V67">
        <v>50</v>
      </c>
      <c r="W67" t="s">
        <v>1505</v>
      </c>
      <c r="X67" t="s">
        <v>957</v>
      </c>
      <c r="Y67">
        <v>10</v>
      </c>
      <c r="Z67">
        <v>4</v>
      </c>
      <c r="AA67" t="s">
        <v>184</v>
      </c>
      <c r="AB67">
        <v>7.23</v>
      </c>
      <c r="AC67" t="s">
        <v>85</v>
      </c>
      <c r="AI67">
        <v>1</v>
      </c>
      <c r="AV67" t="s">
        <v>1171</v>
      </c>
      <c r="AZ67">
        <v>0</v>
      </c>
      <c r="BA67">
        <v>7.23</v>
      </c>
    </row>
    <row r="68" spans="1:53" x14ac:dyDescent="0.3">
      <c r="A68" t="s">
        <v>1498</v>
      </c>
      <c r="B68" t="s">
        <v>1510</v>
      </c>
      <c r="C68" t="s">
        <v>1495</v>
      </c>
      <c r="D68" t="s">
        <v>470</v>
      </c>
      <c r="E68">
        <v>10000000</v>
      </c>
      <c r="H68">
        <v>5</v>
      </c>
      <c r="I68" t="s">
        <v>1167</v>
      </c>
      <c r="J68">
        <v>5.0000000000000001E-3</v>
      </c>
      <c r="K68" t="s">
        <v>252</v>
      </c>
      <c r="O68">
        <v>2433</v>
      </c>
      <c r="P68" t="s">
        <v>121</v>
      </c>
      <c r="S68">
        <v>2</v>
      </c>
      <c r="T68">
        <v>20</v>
      </c>
      <c r="V68">
        <v>50</v>
      </c>
      <c r="W68" t="s">
        <v>1505</v>
      </c>
      <c r="X68" t="s">
        <v>957</v>
      </c>
      <c r="Y68">
        <v>15</v>
      </c>
      <c r="Z68">
        <v>4</v>
      </c>
      <c r="AA68" t="s">
        <v>184</v>
      </c>
      <c r="AB68">
        <v>7.23</v>
      </c>
      <c r="AC68" t="s">
        <v>85</v>
      </c>
      <c r="AI68">
        <v>1</v>
      </c>
      <c r="AV68" t="s">
        <v>1171</v>
      </c>
      <c r="AZ68">
        <v>0</v>
      </c>
      <c r="BA68">
        <v>7.23</v>
      </c>
    </row>
    <row r="69" spans="1:53" x14ac:dyDescent="0.3">
      <c r="A69" t="s">
        <v>1498</v>
      </c>
      <c r="B69" t="s">
        <v>1510</v>
      </c>
      <c r="C69" t="s">
        <v>1495</v>
      </c>
      <c r="D69" t="s">
        <v>470</v>
      </c>
      <c r="E69">
        <v>10000000</v>
      </c>
      <c r="H69">
        <v>5</v>
      </c>
      <c r="I69" t="s">
        <v>1167</v>
      </c>
      <c r="J69">
        <v>5.0000000000000001E-3</v>
      </c>
      <c r="K69" t="s">
        <v>252</v>
      </c>
      <c r="O69">
        <v>2433</v>
      </c>
      <c r="P69" t="s">
        <v>121</v>
      </c>
      <c r="S69">
        <v>2</v>
      </c>
      <c r="T69">
        <v>20</v>
      </c>
      <c r="V69">
        <v>50</v>
      </c>
      <c r="W69" t="s">
        <v>1505</v>
      </c>
      <c r="X69" t="s">
        <v>957</v>
      </c>
      <c r="Y69">
        <v>30</v>
      </c>
      <c r="Z69">
        <v>4</v>
      </c>
      <c r="AA69" t="s">
        <v>184</v>
      </c>
      <c r="AB69">
        <v>7.23</v>
      </c>
      <c r="AC69" t="s">
        <v>85</v>
      </c>
      <c r="AI69">
        <v>1</v>
      </c>
      <c r="AV69" t="s">
        <v>1171</v>
      </c>
      <c r="AZ69">
        <v>0</v>
      </c>
      <c r="BA69">
        <v>7.23</v>
      </c>
    </row>
    <row r="70" spans="1:53" x14ac:dyDescent="0.3">
      <c r="A70" t="s">
        <v>1498</v>
      </c>
      <c r="B70" t="s">
        <v>1511</v>
      </c>
      <c r="C70" t="s">
        <v>1495</v>
      </c>
      <c r="D70" t="s">
        <v>470</v>
      </c>
      <c r="E70">
        <v>10000000</v>
      </c>
      <c r="H70">
        <v>5</v>
      </c>
      <c r="I70" t="s">
        <v>1167</v>
      </c>
      <c r="J70">
        <v>5.0000000000000001E-3</v>
      </c>
      <c r="K70" t="s">
        <v>252</v>
      </c>
      <c r="O70">
        <v>2970</v>
      </c>
      <c r="P70" t="s">
        <v>121</v>
      </c>
      <c r="S70">
        <v>2</v>
      </c>
      <c r="T70">
        <v>20</v>
      </c>
      <c r="V70">
        <v>50</v>
      </c>
      <c r="W70" t="s">
        <v>1505</v>
      </c>
      <c r="X70" t="s">
        <v>957</v>
      </c>
      <c r="Y70">
        <v>3</v>
      </c>
      <c r="Z70">
        <v>4</v>
      </c>
      <c r="AB70">
        <v>5.1100000000000003</v>
      </c>
      <c r="AC70" t="s">
        <v>85</v>
      </c>
      <c r="AI70">
        <v>1</v>
      </c>
      <c r="AV70" t="s">
        <v>1171</v>
      </c>
    </row>
    <row r="71" spans="1:53" x14ac:dyDescent="0.3">
      <c r="A71" t="s">
        <v>1498</v>
      </c>
      <c r="B71" t="s">
        <v>1511</v>
      </c>
      <c r="C71" t="s">
        <v>1495</v>
      </c>
      <c r="D71" t="s">
        <v>470</v>
      </c>
      <c r="E71">
        <v>10000000</v>
      </c>
      <c r="H71">
        <v>55</v>
      </c>
      <c r="I71" t="s">
        <v>1512</v>
      </c>
      <c r="J71">
        <v>0.20819755000000001</v>
      </c>
      <c r="K71" t="s">
        <v>252</v>
      </c>
      <c r="O71">
        <v>2970</v>
      </c>
      <c r="P71" t="s">
        <v>121</v>
      </c>
      <c r="S71">
        <v>2</v>
      </c>
      <c r="T71">
        <v>20</v>
      </c>
      <c r="V71">
        <v>50</v>
      </c>
      <c r="W71" t="s">
        <v>1513</v>
      </c>
      <c r="X71" t="s">
        <v>957</v>
      </c>
      <c r="Y71">
        <v>5</v>
      </c>
      <c r="Z71">
        <v>4</v>
      </c>
      <c r="AB71">
        <v>6.11</v>
      </c>
      <c r="AC71" t="s">
        <v>85</v>
      </c>
      <c r="AI71">
        <v>1</v>
      </c>
      <c r="AV71" t="s">
        <v>1514</v>
      </c>
    </row>
    <row r="72" spans="1:53" x14ac:dyDescent="0.3">
      <c r="A72" t="s">
        <v>1498</v>
      </c>
      <c r="B72" t="s">
        <v>1511</v>
      </c>
      <c r="C72" t="s">
        <v>1495</v>
      </c>
      <c r="D72" t="s">
        <v>470</v>
      </c>
      <c r="E72">
        <v>10000000</v>
      </c>
      <c r="H72">
        <v>55</v>
      </c>
      <c r="I72" t="s">
        <v>1512</v>
      </c>
      <c r="J72">
        <v>0.20819755000000001</v>
      </c>
      <c r="K72" t="s">
        <v>252</v>
      </c>
      <c r="O72">
        <v>2970</v>
      </c>
      <c r="P72" t="s">
        <v>121</v>
      </c>
      <c r="S72">
        <v>2</v>
      </c>
      <c r="T72">
        <v>20</v>
      </c>
      <c r="V72">
        <v>50</v>
      </c>
      <c r="W72" t="s">
        <v>1513</v>
      </c>
      <c r="X72" t="s">
        <v>957</v>
      </c>
      <c r="Y72">
        <v>10</v>
      </c>
      <c r="Z72">
        <v>4</v>
      </c>
      <c r="AA72" t="s">
        <v>184</v>
      </c>
      <c r="AB72">
        <v>7.11</v>
      </c>
      <c r="AC72" t="s">
        <v>85</v>
      </c>
      <c r="AI72">
        <v>1</v>
      </c>
      <c r="AV72" t="s">
        <v>1514</v>
      </c>
      <c r="AZ72">
        <v>0</v>
      </c>
      <c r="BA72">
        <v>7.11</v>
      </c>
    </row>
    <row r="73" spans="1:53" x14ac:dyDescent="0.3">
      <c r="A73" t="s">
        <v>1498</v>
      </c>
      <c r="B73" t="s">
        <v>1511</v>
      </c>
      <c r="C73" t="s">
        <v>1495</v>
      </c>
      <c r="D73" t="s">
        <v>470</v>
      </c>
      <c r="E73">
        <v>10000000</v>
      </c>
      <c r="H73">
        <v>55</v>
      </c>
      <c r="I73" t="s">
        <v>1512</v>
      </c>
      <c r="J73">
        <v>0.20819755000000001</v>
      </c>
      <c r="K73" t="s">
        <v>252</v>
      </c>
      <c r="O73">
        <v>2970</v>
      </c>
      <c r="P73" t="s">
        <v>121</v>
      </c>
      <c r="S73">
        <v>2</v>
      </c>
      <c r="T73">
        <v>20</v>
      </c>
      <c r="V73">
        <v>50</v>
      </c>
      <c r="W73" t="s">
        <v>1513</v>
      </c>
      <c r="X73" t="s">
        <v>957</v>
      </c>
      <c r="Y73">
        <v>15</v>
      </c>
      <c r="Z73">
        <v>4</v>
      </c>
      <c r="AA73" t="s">
        <v>184</v>
      </c>
      <c r="AB73">
        <v>7.11</v>
      </c>
      <c r="AC73" t="s">
        <v>85</v>
      </c>
      <c r="AI73">
        <v>1</v>
      </c>
      <c r="AV73" t="s">
        <v>1514</v>
      </c>
      <c r="AZ73">
        <v>0</v>
      </c>
      <c r="BA73">
        <v>7.11</v>
      </c>
    </row>
    <row r="74" spans="1:53" x14ac:dyDescent="0.3">
      <c r="A74" t="s">
        <v>1498</v>
      </c>
      <c r="B74" t="s">
        <v>1511</v>
      </c>
      <c r="C74" t="s">
        <v>1495</v>
      </c>
      <c r="D74" t="s">
        <v>470</v>
      </c>
      <c r="E74">
        <v>10000000</v>
      </c>
      <c r="H74">
        <v>55</v>
      </c>
      <c r="I74" t="s">
        <v>1512</v>
      </c>
      <c r="J74">
        <v>0.20819755000000001</v>
      </c>
      <c r="K74" t="s">
        <v>252</v>
      </c>
      <c r="O74">
        <v>2970</v>
      </c>
      <c r="P74" t="s">
        <v>121</v>
      </c>
      <c r="S74">
        <v>2</v>
      </c>
      <c r="T74">
        <v>20</v>
      </c>
      <c r="V74">
        <v>50</v>
      </c>
      <c r="W74" t="s">
        <v>1513</v>
      </c>
      <c r="X74" t="s">
        <v>957</v>
      </c>
      <c r="Y74">
        <v>30</v>
      </c>
      <c r="Z74">
        <v>4</v>
      </c>
      <c r="AA74" t="s">
        <v>184</v>
      </c>
      <c r="AB74">
        <v>7.11</v>
      </c>
      <c r="AC74" t="s">
        <v>85</v>
      </c>
      <c r="AI74">
        <v>1</v>
      </c>
      <c r="AV74" t="s">
        <v>1514</v>
      </c>
      <c r="AZ74">
        <v>0</v>
      </c>
      <c r="BA74">
        <v>7.11</v>
      </c>
    </row>
    <row r="75" spans="1:53" x14ac:dyDescent="0.3">
      <c r="A75" t="s">
        <v>1498</v>
      </c>
      <c r="B75" t="s">
        <v>1515</v>
      </c>
      <c r="C75" t="s">
        <v>1495</v>
      </c>
      <c r="D75" t="s">
        <v>470</v>
      </c>
      <c r="E75">
        <v>10000000</v>
      </c>
      <c r="H75">
        <v>55</v>
      </c>
      <c r="I75" t="s">
        <v>1512</v>
      </c>
      <c r="J75">
        <v>0.20819755000000001</v>
      </c>
      <c r="K75" t="s">
        <v>252</v>
      </c>
      <c r="O75">
        <v>2710</v>
      </c>
      <c r="P75" t="s">
        <v>121</v>
      </c>
      <c r="S75">
        <v>2</v>
      </c>
      <c r="T75">
        <v>20</v>
      </c>
      <c r="V75">
        <v>50</v>
      </c>
      <c r="W75" t="s">
        <v>1513</v>
      </c>
      <c r="X75" t="s">
        <v>957</v>
      </c>
      <c r="Y75">
        <v>3</v>
      </c>
      <c r="Z75">
        <v>4</v>
      </c>
      <c r="AB75">
        <v>5.05</v>
      </c>
      <c r="AC75" t="s">
        <v>85</v>
      </c>
      <c r="AI75">
        <v>1</v>
      </c>
      <c r="AV75" t="s">
        <v>1514</v>
      </c>
    </row>
    <row r="76" spans="1:53" x14ac:dyDescent="0.3">
      <c r="A76" t="s">
        <v>1498</v>
      </c>
      <c r="B76" t="s">
        <v>1515</v>
      </c>
      <c r="C76" t="s">
        <v>1495</v>
      </c>
      <c r="D76" t="s">
        <v>470</v>
      </c>
      <c r="E76">
        <v>10000000</v>
      </c>
      <c r="H76">
        <v>55</v>
      </c>
      <c r="I76" t="s">
        <v>1512</v>
      </c>
      <c r="J76">
        <v>0.20819755000000001</v>
      </c>
      <c r="K76" t="s">
        <v>252</v>
      </c>
      <c r="O76">
        <v>2710</v>
      </c>
      <c r="P76" t="s">
        <v>121</v>
      </c>
      <c r="S76">
        <v>2</v>
      </c>
      <c r="T76">
        <v>20</v>
      </c>
      <c r="V76">
        <v>50</v>
      </c>
      <c r="W76" t="s">
        <v>1513</v>
      </c>
      <c r="X76" t="s">
        <v>957</v>
      </c>
      <c r="Y76">
        <v>5</v>
      </c>
      <c r="Z76">
        <v>4</v>
      </c>
      <c r="AB76">
        <v>6.23</v>
      </c>
      <c r="AC76" t="s">
        <v>85</v>
      </c>
      <c r="AI76">
        <v>1</v>
      </c>
      <c r="AV76" t="s">
        <v>1514</v>
      </c>
    </row>
    <row r="77" spans="1:53" x14ac:dyDescent="0.3">
      <c r="A77" t="s">
        <v>1498</v>
      </c>
      <c r="B77" t="s">
        <v>1515</v>
      </c>
      <c r="C77" t="s">
        <v>1495</v>
      </c>
      <c r="D77" t="s">
        <v>470</v>
      </c>
      <c r="E77">
        <v>10000000</v>
      </c>
      <c r="H77">
        <v>55</v>
      </c>
      <c r="I77" t="s">
        <v>1512</v>
      </c>
      <c r="J77">
        <v>0.20819755000000001</v>
      </c>
      <c r="K77" t="s">
        <v>252</v>
      </c>
      <c r="O77">
        <v>2710</v>
      </c>
      <c r="P77" t="s">
        <v>121</v>
      </c>
      <c r="S77">
        <v>2</v>
      </c>
      <c r="T77">
        <v>20</v>
      </c>
      <c r="V77">
        <v>50</v>
      </c>
      <c r="W77" t="s">
        <v>1513</v>
      </c>
      <c r="X77" t="s">
        <v>957</v>
      </c>
      <c r="Y77">
        <v>10</v>
      </c>
      <c r="Z77">
        <v>4</v>
      </c>
      <c r="AA77" t="s">
        <v>184</v>
      </c>
      <c r="AB77">
        <v>7.23</v>
      </c>
      <c r="AC77" t="s">
        <v>85</v>
      </c>
      <c r="AI77">
        <v>1</v>
      </c>
      <c r="AV77" t="s">
        <v>1514</v>
      </c>
      <c r="AZ77">
        <v>0</v>
      </c>
      <c r="BA77">
        <v>7.23</v>
      </c>
    </row>
    <row r="78" spans="1:53" x14ac:dyDescent="0.3">
      <c r="A78" t="s">
        <v>1498</v>
      </c>
      <c r="B78" t="s">
        <v>1515</v>
      </c>
      <c r="C78" t="s">
        <v>1495</v>
      </c>
      <c r="D78" t="s">
        <v>470</v>
      </c>
      <c r="E78">
        <v>10000000</v>
      </c>
      <c r="H78">
        <v>55</v>
      </c>
      <c r="I78" t="s">
        <v>1512</v>
      </c>
      <c r="J78">
        <v>0.20819755000000001</v>
      </c>
      <c r="K78" t="s">
        <v>252</v>
      </c>
      <c r="O78">
        <v>2710</v>
      </c>
      <c r="P78" t="s">
        <v>121</v>
      </c>
      <c r="S78">
        <v>2</v>
      </c>
      <c r="T78">
        <v>20</v>
      </c>
      <c r="V78">
        <v>50</v>
      </c>
      <c r="W78" t="s">
        <v>1513</v>
      </c>
      <c r="X78" t="s">
        <v>957</v>
      </c>
      <c r="Y78">
        <v>15</v>
      </c>
      <c r="AA78" t="s">
        <v>184</v>
      </c>
      <c r="AB78">
        <v>7.23</v>
      </c>
      <c r="AC78" t="s">
        <v>85</v>
      </c>
      <c r="AI78">
        <v>1</v>
      </c>
      <c r="AV78" t="s">
        <v>1514</v>
      </c>
      <c r="AZ78">
        <v>0</v>
      </c>
      <c r="BA78">
        <v>7.23</v>
      </c>
    </row>
    <row r="79" spans="1:53" x14ac:dyDescent="0.3">
      <c r="A79" t="s">
        <v>1498</v>
      </c>
      <c r="B79" t="s">
        <v>1515</v>
      </c>
      <c r="C79" t="s">
        <v>1495</v>
      </c>
      <c r="D79" t="s">
        <v>470</v>
      </c>
      <c r="E79">
        <v>10000000</v>
      </c>
      <c r="H79">
        <v>55</v>
      </c>
      <c r="I79" t="s">
        <v>1512</v>
      </c>
      <c r="J79">
        <v>0.20819755000000001</v>
      </c>
      <c r="K79" t="s">
        <v>252</v>
      </c>
      <c r="O79">
        <v>2710</v>
      </c>
      <c r="P79" t="s">
        <v>121</v>
      </c>
      <c r="S79">
        <v>2</v>
      </c>
      <c r="T79">
        <v>20</v>
      </c>
      <c r="V79">
        <v>50</v>
      </c>
      <c r="W79" t="s">
        <v>1513</v>
      </c>
      <c r="X79" t="s">
        <v>957</v>
      </c>
      <c r="Y79">
        <v>30</v>
      </c>
      <c r="AA79" t="s">
        <v>184</v>
      </c>
      <c r="AB79">
        <v>7.23</v>
      </c>
      <c r="AC79" t="s">
        <v>85</v>
      </c>
      <c r="AI79">
        <v>1</v>
      </c>
      <c r="AV79" t="s">
        <v>1514</v>
      </c>
      <c r="AZ79">
        <v>0</v>
      </c>
      <c r="BA79">
        <v>7.23</v>
      </c>
    </row>
    <row r="80" spans="1:53" x14ac:dyDescent="0.3">
      <c r="A80" t="s">
        <v>1498</v>
      </c>
      <c r="B80" t="s">
        <v>1516</v>
      </c>
      <c r="C80" t="s">
        <v>1495</v>
      </c>
      <c r="D80" t="s">
        <v>470</v>
      </c>
      <c r="E80">
        <v>10000000</v>
      </c>
      <c r="H80">
        <v>55</v>
      </c>
      <c r="I80" t="s">
        <v>1512</v>
      </c>
      <c r="J80">
        <v>0.20819755000000001</v>
      </c>
      <c r="K80" t="s">
        <v>252</v>
      </c>
      <c r="O80">
        <v>3080</v>
      </c>
      <c r="P80" t="s">
        <v>121</v>
      </c>
      <c r="S80">
        <v>2</v>
      </c>
      <c r="T80">
        <v>20</v>
      </c>
      <c r="V80">
        <v>50</v>
      </c>
      <c r="W80" t="s">
        <v>1513</v>
      </c>
      <c r="X80" t="s">
        <v>957</v>
      </c>
      <c r="Y80">
        <v>3</v>
      </c>
      <c r="AB80">
        <v>4.5999999999999899</v>
      </c>
      <c r="AC80" t="s">
        <v>85</v>
      </c>
      <c r="AI80">
        <v>1</v>
      </c>
      <c r="AV80" t="s">
        <v>1514</v>
      </c>
    </row>
    <row r="81" spans="1:53" x14ac:dyDescent="0.3">
      <c r="A81" t="s">
        <v>1498</v>
      </c>
      <c r="B81" t="s">
        <v>1516</v>
      </c>
      <c r="C81" t="s">
        <v>1495</v>
      </c>
      <c r="D81" t="s">
        <v>470</v>
      </c>
      <c r="E81">
        <v>10000000</v>
      </c>
      <c r="H81">
        <v>55</v>
      </c>
      <c r="I81" t="s">
        <v>1512</v>
      </c>
      <c r="J81">
        <v>0.20819755000000001</v>
      </c>
      <c r="K81" t="s">
        <v>252</v>
      </c>
      <c r="O81">
        <v>3080</v>
      </c>
      <c r="P81" t="s">
        <v>121</v>
      </c>
      <c r="S81">
        <v>2</v>
      </c>
      <c r="T81">
        <v>20</v>
      </c>
      <c r="V81">
        <v>50</v>
      </c>
      <c r="W81" t="s">
        <v>1513</v>
      </c>
      <c r="X81" t="s">
        <v>957</v>
      </c>
      <c r="Y81">
        <v>5</v>
      </c>
      <c r="AB81">
        <v>5.6</v>
      </c>
      <c r="AC81" t="s">
        <v>85</v>
      </c>
      <c r="AI81">
        <v>1</v>
      </c>
      <c r="AV81" t="s">
        <v>1514</v>
      </c>
    </row>
    <row r="82" spans="1:53" x14ac:dyDescent="0.3">
      <c r="A82" t="s">
        <v>1498</v>
      </c>
      <c r="B82" t="s">
        <v>1516</v>
      </c>
      <c r="C82" t="s">
        <v>1495</v>
      </c>
      <c r="D82" t="s">
        <v>470</v>
      </c>
      <c r="E82">
        <v>10000000</v>
      </c>
      <c r="H82">
        <v>55</v>
      </c>
      <c r="I82" t="s">
        <v>1512</v>
      </c>
      <c r="J82">
        <v>0.20819755000000001</v>
      </c>
      <c r="K82" t="s">
        <v>252</v>
      </c>
      <c r="O82">
        <v>3080</v>
      </c>
      <c r="P82" t="s">
        <v>121</v>
      </c>
      <c r="S82">
        <v>2</v>
      </c>
      <c r="T82">
        <v>20</v>
      </c>
      <c r="V82">
        <v>50</v>
      </c>
      <c r="W82" t="s">
        <v>1513</v>
      </c>
      <c r="X82" t="s">
        <v>957</v>
      </c>
      <c r="Y82">
        <v>10</v>
      </c>
      <c r="AA82" t="s">
        <v>184</v>
      </c>
      <c r="AB82">
        <v>6.6</v>
      </c>
      <c r="AC82" t="s">
        <v>85</v>
      </c>
      <c r="AI82">
        <v>1</v>
      </c>
      <c r="AV82" t="s">
        <v>1514</v>
      </c>
      <c r="AZ82">
        <v>0</v>
      </c>
      <c r="BA82">
        <v>6.6</v>
      </c>
    </row>
    <row r="83" spans="1:53" x14ac:dyDescent="0.3">
      <c r="A83" t="s">
        <v>1498</v>
      </c>
      <c r="B83" t="s">
        <v>1516</v>
      </c>
      <c r="C83" t="s">
        <v>1495</v>
      </c>
      <c r="D83" t="s">
        <v>470</v>
      </c>
      <c r="E83">
        <v>10000000</v>
      </c>
      <c r="H83">
        <v>55</v>
      </c>
      <c r="I83" t="s">
        <v>1512</v>
      </c>
      <c r="J83">
        <v>0.20819755000000001</v>
      </c>
      <c r="K83" t="s">
        <v>252</v>
      </c>
      <c r="O83">
        <v>3080</v>
      </c>
      <c r="P83" t="s">
        <v>121</v>
      </c>
      <c r="S83">
        <v>2</v>
      </c>
      <c r="T83">
        <v>20</v>
      </c>
      <c r="V83">
        <v>50</v>
      </c>
      <c r="W83" t="s">
        <v>1513</v>
      </c>
      <c r="X83" t="s">
        <v>957</v>
      </c>
      <c r="Y83">
        <v>15</v>
      </c>
      <c r="AA83" t="s">
        <v>184</v>
      </c>
      <c r="AB83">
        <v>6.6</v>
      </c>
      <c r="AC83" t="s">
        <v>85</v>
      </c>
      <c r="AI83">
        <v>1</v>
      </c>
      <c r="AV83" t="s">
        <v>1514</v>
      </c>
      <c r="AZ83">
        <v>0</v>
      </c>
      <c r="BA83">
        <v>6.6</v>
      </c>
    </row>
    <row r="84" spans="1:53" x14ac:dyDescent="0.3">
      <c r="A84" t="s">
        <v>1498</v>
      </c>
      <c r="B84" t="s">
        <v>1516</v>
      </c>
      <c r="C84" t="s">
        <v>1495</v>
      </c>
      <c r="D84" t="s">
        <v>470</v>
      </c>
      <c r="E84">
        <v>10000000</v>
      </c>
      <c r="H84">
        <v>55</v>
      </c>
      <c r="I84" t="s">
        <v>1512</v>
      </c>
      <c r="J84">
        <v>0.20819755000000001</v>
      </c>
      <c r="K84" t="s">
        <v>252</v>
      </c>
      <c r="O84">
        <v>3080</v>
      </c>
      <c r="P84" t="s">
        <v>121</v>
      </c>
      <c r="S84">
        <v>2</v>
      </c>
      <c r="T84">
        <v>20</v>
      </c>
      <c r="V84">
        <v>50</v>
      </c>
      <c r="W84" t="s">
        <v>1513</v>
      </c>
      <c r="X84" t="s">
        <v>957</v>
      </c>
      <c r="Y84">
        <v>30</v>
      </c>
      <c r="AA84" t="s">
        <v>184</v>
      </c>
      <c r="AB84">
        <v>6.6</v>
      </c>
      <c r="AC84" t="s">
        <v>85</v>
      </c>
      <c r="AI84">
        <v>1</v>
      </c>
      <c r="AV84" t="s">
        <v>1514</v>
      </c>
      <c r="AZ84">
        <v>0</v>
      </c>
      <c r="BA84">
        <v>6.6</v>
      </c>
    </row>
    <row r="85" spans="1:53" x14ac:dyDescent="0.3">
      <c r="A85" t="s">
        <v>1517</v>
      </c>
      <c r="C85" t="s">
        <v>1495</v>
      </c>
      <c r="D85" t="s">
        <v>470</v>
      </c>
      <c r="E85">
        <v>10000000</v>
      </c>
      <c r="O85">
        <v>100</v>
      </c>
      <c r="P85" t="s">
        <v>400</v>
      </c>
      <c r="T85">
        <v>25</v>
      </c>
      <c r="V85">
        <v>50</v>
      </c>
      <c r="W85" t="s">
        <v>1137</v>
      </c>
      <c r="X85" t="s">
        <v>957</v>
      </c>
      <c r="Y85">
        <v>10.065632263684201</v>
      </c>
      <c r="AB85">
        <v>9.9417274933505898E-2</v>
      </c>
      <c r="AC85" t="s">
        <v>85</v>
      </c>
      <c r="AI85">
        <v>3</v>
      </c>
    </row>
    <row r="86" spans="1:53" x14ac:dyDescent="0.3">
      <c r="A86" t="s">
        <v>1517</v>
      </c>
      <c r="C86" t="s">
        <v>1495</v>
      </c>
      <c r="D86" t="s">
        <v>470</v>
      </c>
      <c r="E86">
        <v>10000000</v>
      </c>
      <c r="O86">
        <v>100</v>
      </c>
      <c r="P86" t="s">
        <v>400</v>
      </c>
      <c r="T86">
        <v>25</v>
      </c>
      <c r="V86">
        <v>50</v>
      </c>
      <c r="W86" t="s">
        <v>1137</v>
      </c>
      <c r="X86" t="s">
        <v>957</v>
      </c>
      <c r="Y86">
        <v>30.6882304442404</v>
      </c>
      <c r="AB86">
        <v>9.3580708120421102E-2</v>
      </c>
      <c r="AC86" t="s">
        <v>85</v>
      </c>
      <c r="AI86">
        <v>3</v>
      </c>
    </row>
    <row r="87" spans="1:53" x14ac:dyDescent="0.3">
      <c r="A87" t="s">
        <v>1517</v>
      </c>
      <c r="C87" t="s">
        <v>1495</v>
      </c>
      <c r="D87" t="s">
        <v>470</v>
      </c>
      <c r="E87">
        <v>10000000</v>
      </c>
      <c r="O87">
        <v>100</v>
      </c>
      <c r="P87" t="s">
        <v>400</v>
      </c>
      <c r="T87">
        <v>25</v>
      </c>
      <c r="V87">
        <v>50</v>
      </c>
      <c r="W87" t="s">
        <v>1137</v>
      </c>
      <c r="X87" t="s">
        <v>957</v>
      </c>
      <c r="Y87">
        <v>60.238959199929099</v>
      </c>
      <c r="AB87">
        <v>0.21091526497454299</v>
      </c>
      <c r="AC87" t="s">
        <v>85</v>
      </c>
      <c r="AI87">
        <v>3</v>
      </c>
    </row>
    <row r="88" spans="1:53" x14ac:dyDescent="0.3">
      <c r="A88" t="s">
        <v>1517</v>
      </c>
      <c r="C88" t="s">
        <v>1495</v>
      </c>
      <c r="D88" t="s">
        <v>470</v>
      </c>
      <c r="E88">
        <v>10000000</v>
      </c>
      <c r="O88">
        <v>100</v>
      </c>
      <c r="P88" t="s">
        <v>400</v>
      </c>
      <c r="T88">
        <v>25</v>
      </c>
      <c r="V88">
        <v>50</v>
      </c>
      <c r="W88" t="s">
        <v>1137</v>
      </c>
      <c r="X88" t="s">
        <v>957</v>
      </c>
      <c r="Y88">
        <v>120.46338520875101</v>
      </c>
      <c r="AB88">
        <v>1.03628406798925</v>
      </c>
      <c r="AC88" t="s">
        <v>85</v>
      </c>
      <c r="AI88">
        <v>3</v>
      </c>
    </row>
    <row r="89" spans="1:53" x14ac:dyDescent="0.3">
      <c r="A89" t="s">
        <v>1517</v>
      </c>
      <c r="C89" t="s">
        <v>1495</v>
      </c>
      <c r="D89" t="s">
        <v>470</v>
      </c>
      <c r="E89">
        <v>10000000</v>
      </c>
      <c r="O89">
        <v>100</v>
      </c>
      <c r="P89" t="s">
        <v>400</v>
      </c>
      <c r="T89">
        <v>25</v>
      </c>
      <c r="V89">
        <v>50</v>
      </c>
      <c r="W89" t="s">
        <v>1137</v>
      </c>
      <c r="X89" t="s">
        <v>957</v>
      </c>
      <c r="Y89">
        <v>10.06088102813</v>
      </c>
      <c r="AB89">
        <v>0.30423512094689198</v>
      </c>
      <c r="AC89" t="s">
        <v>85</v>
      </c>
      <c r="AI89">
        <v>3</v>
      </c>
    </row>
    <row r="90" spans="1:53" x14ac:dyDescent="0.3">
      <c r="A90" t="s">
        <v>1517</v>
      </c>
      <c r="C90" t="s">
        <v>1495</v>
      </c>
      <c r="D90" t="s">
        <v>470</v>
      </c>
      <c r="E90">
        <v>10000000</v>
      </c>
      <c r="O90">
        <v>100</v>
      </c>
      <c r="P90" t="s">
        <v>400</v>
      </c>
      <c r="T90">
        <v>25</v>
      </c>
      <c r="V90">
        <v>50</v>
      </c>
      <c r="W90" t="s">
        <v>1137</v>
      </c>
      <c r="X90" t="s">
        <v>957</v>
      </c>
      <c r="Y90">
        <v>29.1966219646824</v>
      </c>
      <c r="AB90">
        <v>1.3943362477350101</v>
      </c>
      <c r="AC90" t="s">
        <v>85</v>
      </c>
      <c r="AI90">
        <v>3</v>
      </c>
    </row>
    <row r="91" spans="1:53" x14ac:dyDescent="0.3">
      <c r="A91" t="s">
        <v>1517</v>
      </c>
      <c r="C91" t="s">
        <v>1495</v>
      </c>
      <c r="D91" t="s">
        <v>470</v>
      </c>
      <c r="E91">
        <v>10000000</v>
      </c>
      <c r="O91">
        <v>100</v>
      </c>
      <c r="P91" t="s">
        <v>400</v>
      </c>
      <c r="T91">
        <v>25</v>
      </c>
      <c r="V91">
        <v>50</v>
      </c>
      <c r="W91" t="s">
        <v>1137</v>
      </c>
      <c r="X91" t="s">
        <v>957</v>
      </c>
      <c r="Y91">
        <v>60.011458862218802</v>
      </c>
      <c r="AB91">
        <v>3.01807565643908</v>
      </c>
      <c r="AC91" t="s">
        <v>85</v>
      </c>
      <c r="AI91">
        <v>3</v>
      </c>
    </row>
    <row r="92" spans="1:53" x14ac:dyDescent="0.3">
      <c r="A92" t="s">
        <v>1517</v>
      </c>
      <c r="C92" t="s">
        <v>1495</v>
      </c>
      <c r="D92" t="s">
        <v>470</v>
      </c>
      <c r="E92">
        <v>10000000</v>
      </c>
      <c r="O92">
        <v>100</v>
      </c>
      <c r="P92" t="s">
        <v>400</v>
      </c>
      <c r="T92">
        <v>25</v>
      </c>
      <c r="V92">
        <v>50</v>
      </c>
      <c r="W92" t="s">
        <v>1137</v>
      </c>
      <c r="X92" t="s">
        <v>957</v>
      </c>
      <c r="Y92">
        <v>89.839995155602907</v>
      </c>
      <c r="AB92">
        <v>5.1595902758045602</v>
      </c>
      <c r="AC92" t="s">
        <v>85</v>
      </c>
      <c r="AI92">
        <v>3</v>
      </c>
    </row>
    <row r="93" spans="1:53" x14ac:dyDescent="0.3">
      <c r="A93" t="s">
        <v>1517</v>
      </c>
      <c r="C93" t="s">
        <v>1495</v>
      </c>
      <c r="D93" t="s">
        <v>470</v>
      </c>
      <c r="E93">
        <v>10000000</v>
      </c>
      <c r="O93">
        <v>100</v>
      </c>
      <c r="P93" t="s">
        <v>400</v>
      </c>
      <c r="T93">
        <v>25</v>
      </c>
      <c r="V93">
        <v>50</v>
      </c>
      <c r="W93" t="s">
        <v>1137</v>
      </c>
      <c r="X93" t="s">
        <v>957</v>
      </c>
      <c r="Y93">
        <v>119.698156800089</v>
      </c>
      <c r="AB93">
        <v>6.0240053847336101</v>
      </c>
      <c r="AC93" t="s">
        <v>85</v>
      </c>
      <c r="AI93">
        <v>3</v>
      </c>
    </row>
    <row r="94" spans="1:53" x14ac:dyDescent="0.3">
      <c r="A94" t="s">
        <v>1517</v>
      </c>
      <c r="C94" t="s">
        <v>1495</v>
      </c>
      <c r="D94" t="s">
        <v>470</v>
      </c>
      <c r="E94">
        <v>10000000</v>
      </c>
      <c r="O94">
        <v>100</v>
      </c>
      <c r="P94" t="s">
        <v>400</v>
      </c>
      <c r="T94">
        <v>25</v>
      </c>
      <c r="V94">
        <v>50</v>
      </c>
      <c r="W94" t="s">
        <v>1137</v>
      </c>
      <c r="X94" t="s">
        <v>957</v>
      </c>
      <c r="Y94">
        <v>10.2118026280853</v>
      </c>
      <c r="AB94">
        <v>0.79825648287458995</v>
      </c>
      <c r="AC94" t="s">
        <v>85</v>
      </c>
      <c r="AI94">
        <v>3</v>
      </c>
    </row>
    <row r="95" spans="1:53" x14ac:dyDescent="0.3">
      <c r="A95" t="s">
        <v>1517</v>
      </c>
      <c r="C95" t="s">
        <v>1495</v>
      </c>
      <c r="D95" t="s">
        <v>470</v>
      </c>
      <c r="E95">
        <v>10000000</v>
      </c>
      <c r="O95">
        <v>100</v>
      </c>
      <c r="P95" t="s">
        <v>400</v>
      </c>
      <c r="T95">
        <v>25</v>
      </c>
      <c r="V95">
        <v>50</v>
      </c>
      <c r="W95" t="s">
        <v>1137</v>
      </c>
      <c r="X95" t="s">
        <v>957</v>
      </c>
      <c r="Y95">
        <v>30.312882835462801</v>
      </c>
      <c r="AB95">
        <v>2.2741905431780101</v>
      </c>
      <c r="AC95" t="s">
        <v>85</v>
      </c>
      <c r="AI95">
        <v>3</v>
      </c>
    </row>
    <row r="96" spans="1:53" x14ac:dyDescent="0.3">
      <c r="A96" t="s">
        <v>1517</v>
      </c>
      <c r="C96" t="s">
        <v>1495</v>
      </c>
      <c r="D96" t="s">
        <v>470</v>
      </c>
      <c r="E96">
        <v>10000000</v>
      </c>
      <c r="O96">
        <v>100</v>
      </c>
      <c r="P96" t="s">
        <v>400</v>
      </c>
      <c r="T96">
        <v>25</v>
      </c>
      <c r="V96">
        <v>50</v>
      </c>
      <c r="W96" t="s">
        <v>1137</v>
      </c>
      <c r="X96" t="s">
        <v>957</v>
      </c>
      <c r="Y96">
        <v>60.458075004308597</v>
      </c>
      <c r="AB96">
        <v>4.7651981311806804</v>
      </c>
      <c r="AC96" t="s">
        <v>85</v>
      </c>
      <c r="AI96">
        <v>3</v>
      </c>
    </row>
    <row r="97" spans="1:35" x14ac:dyDescent="0.3">
      <c r="A97" t="s">
        <v>1517</v>
      </c>
      <c r="C97" t="s">
        <v>1495</v>
      </c>
      <c r="D97" t="s">
        <v>470</v>
      </c>
      <c r="E97">
        <v>10000000</v>
      </c>
      <c r="O97">
        <v>100</v>
      </c>
      <c r="P97" t="s">
        <v>400</v>
      </c>
      <c r="T97">
        <v>25</v>
      </c>
      <c r="V97">
        <v>50</v>
      </c>
      <c r="W97" t="s">
        <v>1137</v>
      </c>
      <c r="X97" t="s">
        <v>957</v>
      </c>
      <c r="Y97">
        <v>90.308131599908705</v>
      </c>
      <c r="AB97">
        <v>5.9790083891914003</v>
      </c>
      <c r="AC97" t="s">
        <v>85</v>
      </c>
      <c r="AI97">
        <v>3</v>
      </c>
    </row>
    <row r="98" spans="1:35" x14ac:dyDescent="0.3">
      <c r="A98" t="s">
        <v>1517</v>
      </c>
      <c r="C98" t="s">
        <v>1495</v>
      </c>
      <c r="D98" t="s">
        <v>470</v>
      </c>
      <c r="E98">
        <v>10000000</v>
      </c>
      <c r="O98">
        <v>100</v>
      </c>
      <c r="P98" t="s">
        <v>400</v>
      </c>
      <c r="T98">
        <v>25</v>
      </c>
      <c r="V98">
        <v>50</v>
      </c>
      <c r="W98" t="s">
        <v>1137</v>
      </c>
      <c r="X98" t="s">
        <v>957</v>
      </c>
      <c r="Y98">
        <v>120.022358755548</v>
      </c>
      <c r="AB98">
        <v>6.0481994214672001</v>
      </c>
      <c r="AC98" t="s">
        <v>85</v>
      </c>
      <c r="AI98">
        <v>3</v>
      </c>
    </row>
    <row r="99" spans="1:35" x14ac:dyDescent="0.3">
      <c r="A99" t="s">
        <v>1517</v>
      </c>
      <c r="C99" t="s">
        <v>1495</v>
      </c>
      <c r="D99" t="s">
        <v>470</v>
      </c>
      <c r="E99">
        <v>10000000</v>
      </c>
      <c r="O99">
        <v>100</v>
      </c>
      <c r="P99" t="s">
        <v>400</v>
      </c>
      <c r="T99">
        <v>25</v>
      </c>
      <c r="V99">
        <v>50</v>
      </c>
      <c r="W99" t="s">
        <v>1137</v>
      </c>
      <c r="X99" t="s">
        <v>957</v>
      </c>
      <c r="Y99">
        <v>9.8778187170732306</v>
      </c>
      <c r="AB99">
        <v>1.1957462467568101</v>
      </c>
      <c r="AC99" t="s">
        <v>85</v>
      </c>
      <c r="AI99">
        <v>3</v>
      </c>
    </row>
    <row r="100" spans="1:35" x14ac:dyDescent="0.3">
      <c r="A100" t="s">
        <v>1517</v>
      </c>
      <c r="C100" t="s">
        <v>1495</v>
      </c>
      <c r="D100" t="s">
        <v>470</v>
      </c>
      <c r="E100">
        <v>10000000</v>
      </c>
      <c r="O100">
        <v>100</v>
      </c>
      <c r="P100" t="s">
        <v>400</v>
      </c>
      <c r="T100">
        <v>25</v>
      </c>
      <c r="V100">
        <v>50</v>
      </c>
      <c r="W100" t="s">
        <v>1137</v>
      </c>
      <c r="X100" t="s">
        <v>957</v>
      </c>
      <c r="Y100">
        <v>29.646591920104701</v>
      </c>
      <c r="AB100">
        <v>2.99688141940833</v>
      </c>
      <c r="AC100" t="s">
        <v>85</v>
      </c>
      <c r="AI100">
        <v>3</v>
      </c>
    </row>
    <row r="101" spans="1:35" x14ac:dyDescent="0.3">
      <c r="A101" t="s">
        <v>1517</v>
      </c>
      <c r="C101" t="s">
        <v>1495</v>
      </c>
      <c r="D101" t="s">
        <v>470</v>
      </c>
      <c r="E101">
        <v>10000000</v>
      </c>
      <c r="O101">
        <v>100</v>
      </c>
      <c r="P101" t="s">
        <v>400</v>
      </c>
      <c r="T101">
        <v>25</v>
      </c>
      <c r="V101">
        <v>50</v>
      </c>
      <c r="W101" t="s">
        <v>1137</v>
      </c>
      <c r="X101" t="s">
        <v>957</v>
      </c>
      <c r="Y101">
        <v>59.7996096533927</v>
      </c>
      <c r="AB101">
        <v>5.1505419669183503</v>
      </c>
      <c r="AC101" t="s">
        <v>85</v>
      </c>
      <c r="AI101">
        <v>3</v>
      </c>
    </row>
    <row r="102" spans="1:35" x14ac:dyDescent="0.3">
      <c r="A102" t="s">
        <v>1517</v>
      </c>
      <c r="C102" t="s">
        <v>1495</v>
      </c>
      <c r="D102" t="s">
        <v>470</v>
      </c>
      <c r="E102">
        <v>10000000</v>
      </c>
      <c r="O102">
        <v>100</v>
      </c>
      <c r="P102" t="s">
        <v>400</v>
      </c>
      <c r="T102">
        <v>25</v>
      </c>
      <c r="V102">
        <v>50</v>
      </c>
      <c r="W102" t="s">
        <v>1137</v>
      </c>
      <c r="X102" t="s">
        <v>957</v>
      </c>
      <c r="Y102">
        <v>89.819033822275699</v>
      </c>
      <c r="AB102">
        <v>6.0631984199812701</v>
      </c>
      <c r="AC102" t="s">
        <v>85</v>
      </c>
      <c r="AI102">
        <v>3</v>
      </c>
    </row>
    <row r="103" spans="1:35" x14ac:dyDescent="0.3">
      <c r="A103" t="s">
        <v>1517</v>
      </c>
      <c r="C103" t="s">
        <v>1495</v>
      </c>
      <c r="D103" t="s">
        <v>470</v>
      </c>
      <c r="E103">
        <v>10000000</v>
      </c>
      <c r="O103">
        <v>100</v>
      </c>
      <c r="P103" t="s">
        <v>400</v>
      </c>
      <c r="T103">
        <v>25</v>
      </c>
      <c r="V103">
        <v>50</v>
      </c>
      <c r="W103" t="s">
        <v>1137</v>
      </c>
      <c r="X103" t="s">
        <v>957</v>
      </c>
      <c r="Y103">
        <v>120.023197208882</v>
      </c>
      <c r="AB103">
        <v>6.01205509570012</v>
      </c>
      <c r="AC103" t="s">
        <v>85</v>
      </c>
      <c r="AI103">
        <v>3</v>
      </c>
    </row>
    <row r="104" spans="1:35" x14ac:dyDescent="0.3">
      <c r="A104" t="s">
        <v>1517</v>
      </c>
      <c r="C104" t="s">
        <v>1495</v>
      </c>
      <c r="D104" t="s">
        <v>470</v>
      </c>
      <c r="E104">
        <v>10000000</v>
      </c>
      <c r="O104">
        <v>100</v>
      </c>
      <c r="P104" t="s">
        <v>400</v>
      </c>
      <c r="T104">
        <v>25</v>
      </c>
      <c r="V104">
        <v>50</v>
      </c>
      <c r="W104" t="s">
        <v>1137</v>
      </c>
      <c r="X104" t="s">
        <v>957</v>
      </c>
      <c r="Y104">
        <v>10.360208868041401</v>
      </c>
      <c r="AB104">
        <v>1.4007108221034901</v>
      </c>
      <c r="AC104" t="s">
        <v>85</v>
      </c>
      <c r="AI104">
        <v>3</v>
      </c>
    </row>
    <row r="105" spans="1:35" x14ac:dyDescent="0.3">
      <c r="A105" t="s">
        <v>1517</v>
      </c>
      <c r="C105" t="s">
        <v>1495</v>
      </c>
      <c r="D105" t="s">
        <v>470</v>
      </c>
      <c r="E105">
        <v>10000000</v>
      </c>
      <c r="O105">
        <v>100</v>
      </c>
      <c r="P105" t="s">
        <v>400</v>
      </c>
      <c r="T105">
        <v>25</v>
      </c>
      <c r="V105">
        <v>50</v>
      </c>
      <c r="W105" t="s">
        <v>1137</v>
      </c>
      <c r="X105" t="s">
        <v>957</v>
      </c>
      <c r="Y105">
        <v>30.277108826584399</v>
      </c>
      <c r="AB105">
        <v>3.8163484425729202</v>
      </c>
      <c r="AC105" t="s">
        <v>85</v>
      </c>
      <c r="AI105">
        <v>3</v>
      </c>
    </row>
    <row r="106" spans="1:35" x14ac:dyDescent="0.3">
      <c r="A106" t="s">
        <v>1517</v>
      </c>
      <c r="C106" t="s">
        <v>1495</v>
      </c>
      <c r="D106" t="s">
        <v>470</v>
      </c>
      <c r="E106">
        <v>10000000</v>
      </c>
      <c r="O106">
        <v>100</v>
      </c>
      <c r="P106" t="s">
        <v>400</v>
      </c>
      <c r="T106">
        <v>25</v>
      </c>
      <c r="V106">
        <v>50</v>
      </c>
      <c r="W106" t="s">
        <v>1137</v>
      </c>
      <c r="X106" t="s">
        <v>957</v>
      </c>
      <c r="Y106">
        <v>59.781443164509099</v>
      </c>
      <c r="AB106">
        <v>5.9336690252048303</v>
      </c>
      <c r="AC106" t="s">
        <v>85</v>
      </c>
      <c r="AI106">
        <v>3</v>
      </c>
    </row>
    <row r="107" spans="1:35" x14ac:dyDescent="0.3">
      <c r="A107" t="s">
        <v>1517</v>
      </c>
      <c r="C107" t="s">
        <v>1495</v>
      </c>
      <c r="D107" t="s">
        <v>470</v>
      </c>
      <c r="E107">
        <v>10000000</v>
      </c>
      <c r="O107">
        <v>100</v>
      </c>
      <c r="P107" t="s">
        <v>400</v>
      </c>
      <c r="T107">
        <v>25</v>
      </c>
      <c r="V107">
        <v>50</v>
      </c>
      <c r="W107" t="s">
        <v>1137</v>
      </c>
      <c r="X107" t="s">
        <v>957</v>
      </c>
      <c r="Y107">
        <v>120.34711967989701</v>
      </c>
      <c r="AB107">
        <v>6.04829724102271</v>
      </c>
      <c r="AC107" t="s">
        <v>85</v>
      </c>
      <c r="AI107">
        <v>3</v>
      </c>
    </row>
    <row r="108" spans="1:35" x14ac:dyDescent="0.3">
      <c r="A108" t="s">
        <v>1517</v>
      </c>
      <c r="C108" t="s">
        <v>1495</v>
      </c>
      <c r="D108" t="s">
        <v>470</v>
      </c>
      <c r="E108">
        <v>10000000</v>
      </c>
      <c r="O108">
        <v>100</v>
      </c>
      <c r="P108" t="s">
        <v>400</v>
      </c>
      <c r="T108">
        <v>25</v>
      </c>
      <c r="V108">
        <v>50</v>
      </c>
      <c r="W108" t="s">
        <v>1137</v>
      </c>
      <c r="X108" t="s">
        <v>957</v>
      </c>
      <c r="Y108">
        <v>9.6735155882448804</v>
      </c>
      <c r="AB108">
        <v>3.0029136253324702</v>
      </c>
      <c r="AC108" t="s">
        <v>85</v>
      </c>
      <c r="AI108">
        <v>3</v>
      </c>
    </row>
    <row r="109" spans="1:35" x14ac:dyDescent="0.3">
      <c r="A109" t="s">
        <v>1517</v>
      </c>
      <c r="C109" t="s">
        <v>1495</v>
      </c>
      <c r="D109" t="s">
        <v>470</v>
      </c>
      <c r="E109">
        <v>10000000</v>
      </c>
      <c r="O109">
        <v>100</v>
      </c>
      <c r="P109" t="s">
        <v>400</v>
      </c>
      <c r="T109">
        <v>25</v>
      </c>
      <c r="V109">
        <v>50</v>
      </c>
      <c r="W109" t="s">
        <v>1137</v>
      </c>
      <c r="X109" t="s">
        <v>957</v>
      </c>
      <c r="Y109">
        <v>59.617385795668902</v>
      </c>
      <c r="AB109">
        <v>6.0059087669612001</v>
      </c>
      <c r="AC109" t="s">
        <v>85</v>
      </c>
      <c r="AI109">
        <v>3</v>
      </c>
    </row>
    <row r="110" spans="1:35" x14ac:dyDescent="0.3">
      <c r="A110" t="s">
        <v>1517</v>
      </c>
      <c r="C110" t="s">
        <v>1495</v>
      </c>
      <c r="D110" t="s">
        <v>470</v>
      </c>
      <c r="E110">
        <v>10000000</v>
      </c>
      <c r="O110">
        <v>100</v>
      </c>
      <c r="P110" t="s">
        <v>400</v>
      </c>
      <c r="T110">
        <v>25</v>
      </c>
      <c r="V110">
        <v>50</v>
      </c>
      <c r="W110" t="s">
        <v>1137</v>
      </c>
      <c r="X110" t="s">
        <v>957</v>
      </c>
      <c r="Y110">
        <v>29.739380755632599</v>
      </c>
      <c r="AB110">
        <v>5.9969093678527603</v>
      </c>
      <c r="AC110" t="s">
        <v>85</v>
      </c>
      <c r="AI110">
        <v>3</v>
      </c>
    </row>
    <row r="111" spans="1:35" x14ac:dyDescent="0.3">
      <c r="A111" t="s">
        <v>1517</v>
      </c>
      <c r="C111" t="s">
        <v>1495</v>
      </c>
      <c r="D111" t="s">
        <v>470</v>
      </c>
      <c r="E111">
        <v>10000000</v>
      </c>
      <c r="O111">
        <v>100</v>
      </c>
      <c r="P111" t="s">
        <v>400</v>
      </c>
      <c r="T111">
        <v>25</v>
      </c>
      <c r="V111">
        <v>50</v>
      </c>
      <c r="W111" t="s">
        <v>1137</v>
      </c>
      <c r="X111" t="s">
        <v>957</v>
      </c>
      <c r="Y111">
        <v>120.346840195452</v>
      </c>
      <c r="AB111">
        <v>6.0603453496117501</v>
      </c>
      <c r="AC111" t="s">
        <v>85</v>
      </c>
      <c r="AI111">
        <v>3</v>
      </c>
    </row>
    <row r="112" spans="1:35" x14ac:dyDescent="0.3">
      <c r="A112" t="s">
        <v>1517</v>
      </c>
      <c r="C112" t="s">
        <v>1495</v>
      </c>
      <c r="D112" t="s">
        <v>470</v>
      </c>
      <c r="E112">
        <v>10000000</v>
      </c>
      <c r="O112">
        <v>100</v>
      </c>
      <c r="P112" t="s">
        <v>400</v>
      </c>
      <c r="T112">
        <v>25</v>
      </c>
      <c r="V112">
        <v>50</v>
      </c>
      <c r="W112" t="s">
        <v>1137</v>
      </c>
      <c r="X112" t="s">
        <v>957</v>
      </c>
      <c r="Y112">
        <v>10.0357274281375</v>
      </c>
      <c r="AB112">
        <v>1.3885648939589299</v>
      </c>
      <c r="AC112" t="s">
        <v>85</v>
      </c>
      <c r="AI112">
        <v>3</v>
      </c>
    </row>
    <row r="113" spans="1:35" x14ac:dyDescent="0.3">
      <c r="A113" t="s">
        <v>1517</v>
      </c>
      <c r="C113" t="s">
        <v>1495</v>
      </c>
      <c r="D113" t="s">
        <v>470</v>
      </c>
      <c r="E113">
        <v>10000000</v>
      </c>
      <c r="O113">
        <v>100</v>
      </c>
      <c r="P113" t="s">
        <v>400</v>
      </c>
      <c r="T113">
        <v>25</v>
      </c>
      <c r="V113">
        <v>50</v>
      </c>
      <c r="W113" t="s">
        <v>1137</v>
      </c>
      <c r="X113" t="s">
        <v>957</v>
      </c>
      <c r="Y113">
        <v>30.266767902143101</v>
      </c>
      <c r="AB113">
        <v>4.2621284603667702</v>
      </c>
      <c r="AC113" t="s">
        <v>85</v>
      </c>
      <c r="AI113">
        <v>3</v>
      </c>
    </row>
    <row r="114" spans="1:35" x14ac:dyDescent="0.3">
      <c r="A114" t="s">
        <v>1517</v>
      </c>
      <c r="C114" t="s">
        <v>1495</v>
      </c>
      <c r="D114" t="s">
        <v>470</v>
      </c>
      <c r="E114">
        <v>10000000</v>
      </c>
      <c r="O114">
        <v>100</v>
      </c>
      <c r="P114" t="s">
        <v>400</v>
      </c>
      <c r="T114">
        <v>25</v>
      </c>
      <c r="V114">
        <v>50</v>
      </c>
      <c r="W114" t="s">
        <v>1137</v>
      </c>
      <c r="X114" t="s">
        <v>957</v>
      </c>
      <c r="Y114">
        <v>59.779766257843001</v>
      </c>
      <c r="AB114">
        <v>6.0059576767389702</v>
      </c>
      <c r="AC114" t="s">
        <v>85</v>
      </c>
      <c r="AI114">
        <v>3</v>
      </c>
    </row>
    <row r="115" spans="1:35" x14ac:dyDescent="0.3">
      <c r="A115" t="s">
        <v>1517</v>
      </c>
      <c r="C115" t="s">
        <v>1495</v>
      </c>
      <c r="D115" t="s">
        <v>470</v>
      </c>
      <c r="E115">
        <v>10000000</v>
      </c>
      <c r="O115">
        <v>100</v>
      </c>
      <c r="P115" t="s">
        <v>400</v>
      </c>
      <c r="T115">
        <v>25</v>
      </c>
      <c r="V115">
        <v>50</v>
      </c>
      <c r="W115" t="s">
        <v>1137</v>
      </c>
      <c r="X115" t="s">
        <v>957</v>
      </c>
      <c r="Y115">
        <v>120.185577671056</v>
      </c>
      <c r="AB115">
        <v>6.01210400547789</v>
      </c>
      <c r="AC115" t="s">
        <v>85</v>
      </c>
      <c r="AI115">
        <v>3</v>
      </c>
    </row>
    <row r="116" spans="1:35" x14ac:dyDescent="0.3">
      <c r="A116" t="s">
        <v>1517</v>
      </c>
      <c r="C116" t="s">
        <v>1495</v>
      </c>
      <c r="D116" t="s">
        <v>470</v>
      </c>
      <c r="E116">
        <v>10000000</v>
      </c>
      <c r="O116">
        <v>100</v>
      </c>
      <c r="P116" t="s">
        <v>400</v>
      </c>
      <c r="T116">
        <v>25</v>
      </c>
      <c r="V116">
        <v>50</v>
      </c>
      <c r="W116" t="s">
        <v>1518</v>
      </c>
      <c r="X116" t="s">
        <v>957</v>
      </c>
      <c r="Y116">
        <v>9.9163636363636307</v>
      </c>
      <c r="AB116">
        <v>0.60666666666666702</v>
      </c>
      <c r="AC116" t="s">
        <v>85</v>
      </c>
      <c r="AI116">
        <v>3</v>
      </c>
    </row>
    <row r="117" spans="1:35" x14ac:dyDescent="0.3">
      <c r="A117" t="s">
        <v>1517</v>
      </c>
      <c r="C117" t="s">
        <v>1495</v>
      </c>
      <c r="D117" t="s">
        <v>470</v>
      </c>
      <c r="E117">
        <v>10000000</v>
      </c>
      <c r="O117">
        <v>100</v>
      </c>
      <c r="P117" t="s">
        <v>400</v>
      </c>
      <c r="T117">
        <v>25</v>
      </c>
      <c r="V117">
        <v>50</v>
      </c>
      <c r="W117" t="s">
        <v>1518</v>
      </c>
      <c r="X117" t="s">
        <v>957</v>
      </c>
      <c r="Y117">
        <v>29.982377622377602</v>
      </c>
      <c r="AB117">
        <v>1.02666666666666</v>
      </c>
      <c r="AC117" t="s">
        <v>85</v>
      </c>
      <c r="AI117">
        <v>3</v>
      </c>
    </row>
    <row r="118" spans="1:35" x14ac:dyDescent="0.3">
      <c r="A118" t="s">
        <v>1517</v>
      </c>
      <c r="C118" t="s">
        <v>1495</v>
      </c>
      <c r="D118" t="s">
        <v>470</v>
      </c>
      <c r="E118">
        <v>10000000</v>
      </c>
      <c r="O118">
        <v>100</v>
      </c>
      <c r="P118" t="s">
        <v>400</v>
      </c>
      <c r="T118">
        <v>25</v>
      </c>
      <c r="V118">
        <v>50</v>
      </c>
      <c r="W118" t="s">
        <v>1518</v>
      </c>
      <c r="X118" t="s">
        <v>957</v>
      </c>
      <c r="Y118">
        <v>59.9613986013985</v>
      </c>
      <c r="AB118">
        <v>1.90166666666666</v>
      </c>
      <c r="AC118" t="s">
        <v>85</v>
      </c>
      <c r="AI118">
        <v>3</v>
      </c>
    </row>
    <row r="119" spans="1:35" x14ac:dyDescent="0.3">
      <c r="A119" t="s">
        <v>1517</v>
      </c>
      <c r="C119" t="s">
        <v>1495</v>
      </c>
      <c r="D119" t="s">
        <v>470</v>
      </c>
      <c r="E119">
        <v>10000000</v>
      </c>
      <c r="O119">
        <v>100</v>
      </c>
      <c r="P119" t="s">
        <v>400</v>
      </c>
      <c r="T119">
        <v>25</v>
      </c>
      <c r="V119">
        <v>50</v>
      </c>
      <c r="W119" t="s">
        <v>1518</v>
      </c>
      <c r="X119" t="s">
        <v>957</v>
      </c>
      <c r="Y119">
        <v>9.9462937062937105</v>
      </c>
      <c r="AB119">
        <v>1.855</v>
      </c>
      <c r="AC119" t="s">
        <v>85</v>
      </c>
      <c r="AI119">
        <v>3</v>
      </c>
    </row>
    <row r="120" spans="1:35" x14ac:dyDescent="0.3">
      <c r="A120" t="s">
        <v>1517</v>
      </c>
      <c r="C120" t="s">
        <v>1495</v>
      </c>
      <c r="D120" t="s">
        <v>470</v>
      </c>
      <c r="E120">
        <v>10000000</v>
      </c>
      <c r="O120">
        <v>100</v>
      </c>
      <c r="P120" t="s">
        <v>400</v>
      </c>
      <c r="T120">
        <v>25</v>
      </c>
      <c r="V120">
        <v>50</v>
      </c>
      <c r="W120" t="s">
        <v>1518</v>
      </c>
      <c r="X120" t="s">
        <v>957</v>
      </c>
      <c r="Y120">
        <v>30.0165034965034</v>
      </c>
      <c r="AB120">
        <v>2.4500000000000002</v>
      </c>
      <c r="AC120" t="s">
        <v>85</v>
      </c>
      <c r="AI120">
        <v>3</v>
      </c>
    </row>
    <row r="121" spans="1:35" x14ac:dyDescent="0.3">
      <c r="A121" t="s">
        <v>1517</v>
      </c>
      <c r="C121" t="s">
        <v>1495</v>
      </c>
      <c r="D121" t="s">
        <v>470</v>
      </c>
      <c r="E121">
        <v>10000000</v>
      </c>
      <c r="O121">
        <v>100</v>
      </c>
      <c r="P121" t="s">
        <v>400</v>
      </c>
      <c r="T121">
        <v>25</v>
      </c>
      <c r="V121">
        <v>50</v>
      </c>
      <c r="W121" t="s">
        <v>1518</v>
      </c>
      <c r="X121" t="s">
        <v>957</v>
      </c>
      <c r="Y121">
        <v>59.933986013986001</v>
      </c>
      <c r="AB121">
        <v>4.2583333333333302</v>
      </c>
      <c r="AC121" t="s">
        <v>85</v>
      </c>
      <c r="AI121">
        <v>3</v>
      </c>
    </row>
    <row r="122" spans="1:35" x14ac:dyDescent="0.3">
      <c r="A122" t="s">
        <v>1517</v>
      </c>
      <c r="C122" t="s">
        <v>1495</v>
      </c>
      <c r="D122" t="s">
        <v>470</v>
      </c>
      <c r="E122">
        <v>10000000</v>
      </c>
      <c r="O122">
        <v>100</v>
      </c>
      <c r="P122" t="s">
        <v>400</v>
      </c>
      <c r="T122">
        <v>25</v>
      </c>
      <c r="V122">
        <v>50</v>
      </c>
      <c r="W122" t="s">
        <v>1518</v>
      </c>
      <c r="X122" t="s">
        <v>957</v>
      </c>
      <c r="Y122">
        <v>9.9619580419580291</v>
      </c>
      <c r="AB122">
        <v>2.5083333333333302</v>
      </c>
      <c r="AC122" t="s">
        <v>85</v>
      </c>
      <c r="AI122">
        <v>3</v>
      </c>
    </row>
    <row r="123" spans="1:35" x14ac:dyDescent="0.3">
      <c r="A123" t="s">
        <v>1517</v>
      </c>
      <c r="C123" t="s">
        <v>1495</v>
      </c>
      <c r="D123" t="s">
        <v>470</v>
      </c>
      <c r="E123">
        <v>10000000</v>
      </c>
      <c r="O123">
        <v>100</v>
      </c>
      <c r="P123" t="s">
        <v>400</v>
      </c>
      <c r="T123">
        <v>25</v>
      </c>
      <c r="V123">
        <v>50</v>
      </c>
      <c r="W123" t="s">
        <v>1518</v>
      </c>
      <c r="X123" t="s">
        <v>957</v>
      </c>
      <c r="Y123">
        <v>30.0797202797201</v>
      </c>
      <c r="AB123">
        <v>5.08666666666665</v>
      </c>
      <c r="AC123" t="s">
        <v>85</v>
      </c>
      <c r="AI123">
        <v>3</v>
      </c>
    </row>
    <row r="124" spans="1:35" x14ac:dyDescent="0.3">
      <c r="A124" t="s">
        <v>1517</v>
      </c>
      <c r="C124" t="s">
        <v>1495</v>
      </c>
      <c r="D124" t="s">
        <v>470</v>
      </c>
      <c r="E124">
        <v>10000000</v>
      </c>
      <c r="O124">
        <v>100</v>
      </c>
      <c r="P124" t="s">
        <v>400</v>
      </c>
      <c r="T124">
        <v>25</v>
      </c>
      <c r="V124">
        <v>50</v>
      </c>
      <c r="W124" t="s">
        <v>1518</v>
      </c>
      <c r="X124" t="s">
        <v>957</v>
      </c>
      <c r="Y124">
        <v>60.058461538461501</v>
      </c>
      <c r="AB124">
        <v>5.9499999999999904</v>
      </c>
      <c r="AC124" t="s">
        <v>85</v>
      </c>
      <c r="AI124">
        <v>3</v>
      </c>
    </row>
    <row r="125" spans="1:35" x14ac:dyDescent="0.3">
      <c r="A125" t="s">
        <v>1517</v>
      </c>
      <c r="C125" t="s">
        <v>1495</v>
      </c>
      <c r="D125" t="s">
        <v>470</v>
      </c>
      <c r="E125">
        <v>10000000</v>
      </c>
      <c r="O125">
        <v>100</v>
      </c>
      <c r="P125" t="s">
        <v>400</v>
      </c>
      <c r="T125">
        <v>25</v>
      </c>
      <c r="V125">
        <v>50</v>
      </c>
      <c r="W125" t="s">
        <v>1137</v>
      </c>
      <c r="X125" t="s">
        <v>957</v>
      </c>
      <c r="Y125">
        <v>9.6887919825008204</v>
      </c>
      <c r="AB125">
        <v>4.8762381438172402E-2</v>
      </c>
      <c r="AC125" t="s">
        <v>85</v>
      </c>
      <c r="AI125">
        <v>3</v>
      </c>
    </row>
    <row r="126" spans="1:35" x14ac:dyDescent="0.3">
      <c r="A126" t="s">
        <v>1517</v>
      </c>
      <c r="C126" t="s">
        <v>1495</v>
      </c>
      <c r="D126" t="s">
        <v>470</v>
      </c>
      <c r="E126">
        <v>10000000</v>
      </c>
      <c r="O126">
        <v>100</v>
      </c>
      <c r="P126" t="s">
        <v>400</v>
      </c>
      <c r="T126">
        <v>25</v>
      </c>
      <c r="V126">
        <v>50</v>
      </c>
      <c r="W126" t="s">
        <v>1137</v>
      </c>
      <c r="X126" t="s">
        <v>957</v>
      </c>
      <c r="Y126">
        <v>29.7221748843853</v>
      </c>
      <c r="AB126">
        <v>0.13437435072590201</v>
      </c>
      <c r="AC126" t="s">
        <v>85</v>
      </c>
      <c r="AI126">
        <v>3</v>
      </c>
    </row>
    <row r="127" spans="1:35" x14ac:dyDescent="0.3">
      <c r="A127" t="s">
        <v>1517</v>
      </c>
      <c r="C127" t="s">
        <v>1495</v>
      </c>
      <c r="D127" t="s">
        <v>470</v>
      </c>
      <c r="E127">
        <v>10000000</v>
      </c>
      <c r="O127">
        <v>100</v>
      </c>
      <c r="P127" t="s">
        <v>400</v>
      </c>
      <c r="T127">
        <v>25</v>
      </c>
      <c r="V127">
        <v>50</v>
      </c>
      <c r="W127" t="s">
        <v>1137</v>
      </c>
      <c r="X127" t="s">
        <v>957</v>
      </c>
      <c r="Y127">
        <v>59.941871730284802</v>
      </c>
      <c r="AB127">
        <v>0.34045424091249599</v>
      </c>
      <c r="AC127" t="s">
        <v>85</v>
      </c>
      <c r="AI127">
        <v>3</v>
      </c>
    </row>
    <row r="128" spans="1:35" x14ac:dyDescent="0.3">
      <c r="A128" t="s">
        <v>1517</v>
      </c>
      <c r="C128" t="s">
        <v>1495</v>
      </c>
      <c r="D128" t="s">
        <v>470</v>
      </c>
      <c r="E128">
        <v>10000000</v>
      </c>
      <c r="O128">
        <v>100</v>
      </c>
      <c r="P128" t="s">
        <v>400</v>
      </c>
      <c r="T128">
        <v>25</v>
      </c>
      <c r="V128">
        <v>50</v>
      </c>
      <c r="W128" t="s">
        <v>1137</v>
      </c>
      <c r="X128" t="s">
        <v>957</v>
      </c>
      <c r="Y128">
        <v>120.382946239521</v>
      </c>
      <c r="AB128">
        <v>0.77650497358548598</v>
      </c>
      <c r="AC128" t="s">
        <v>85</v>
      </c>
      <c r="AI128">
        <v>3</v>
      </c>
    </row>
    <row r="129" spans="1:35" x14ac:dyDescent="0.3">
      <c r="A129" t="s">
        <v>1517</v>
      </c>
      <c r="C129" t="s">
        <v>1495</v>
      </c>
      <c r="D129" t="s">
        <v>470</v>
      </c>
      <c r="E129">
        <v>10000000</v>
      </c>
      <c r="O129">
        <v>100</v>
      </c>
      <c r="P129" t="s">
        <v>400</v>
      </c>
      <c r="T129">
        <v>25</v>
      </c>
      <c r="V129">
        <v>50</v>
      </c>
      <c r="W129" t="s">
        <v>1137</v>
      </c>
      <c r="X129" t="s">
        <v>957</v>
      </c>
      <c r="Y129">
        <v>9.7392165056272209</v>
      </c>
      <c r="AB129">
        <v>0.76549095043222604</v>
      </c>
      <c r="AC129" t="s">
        <v>85</v>
      </c>
      <c r="AI129">
        <v>3</v>
      </c>
    </row>
    <row r="130" spans="1:35" x14ac:dyDescent="0.3">
      <c r="A130" t="s">
        <v>1517</v>
      </c>
      <c r="C130" t="s">
        <v>1495</v>
      </c>
      <c r="D130" t="s">
        <v>470</v>
      </c>
      <c r="E130">
        <v>10000000</v>
      </c>
      <c r="O130">
        <v>100</v>
      </c>
      <c r="P130" t="s">
        <v>400</v>
      </c>
      <c r="T130">
        <v>25</v>
      </c>
      <c r="V130">
        <v>50</v>
      </c>
      <c r="W130" t="s">
        <v>1137</v>
      </c>
      <c r="X130" t="s">
        <v>957</v>
      </c>
      <c r="Y130">
        <v>30.216055074784599</v>
      </c>
      <c r="AB130">
        <v>2.4876658348176601</v>
      </c>
      <c r="AC130" t="s">
        <v>85</v>
      </c>
      <c r="AI130">
        <v>3</v>
      </c>
    </row>
    <row r="131" spans="1:35" x14ac:dyDescent="0.3">
      <c r="A131" t="s">
        <v>1517</v>
      </c>
      <c r="C131" t="s">
        <v>1495</v>
      </c>
      <c r="D131" t="s">
        <v>470</v>
      </c>
      <c r="E131">
        <v>10000000</v>
      </c>
      <c r="O131">
        <v>100</v>
      </c>
      <c r="P131" t="s">
        <v>400</v>
      </c>
      <c r="T131">
        <v>25</v>
      </c>
      <c r="V131">
        <v>50</v>
      </c>
      <c r="W131" t="s">
        <v>1137</v>
      </c>
      <c r="X131" t="s">
        <v>957</v>
      </c>
      <c r="Y131">
        <v>60.182228623854002</v>
      </c>
      <c r="AB131">
        <v>3.7568604197841502</v>
      </c>
      <c r="AC131" t="s">
        <v>85</v>
      </c>
      <c r="AI131">
        <v>3</v>
      </c>
    </row>
    <row r="132" spans="1:35" x14ac:dyDescent="0.3">
      <c r="A132" t="s">
        <v>1517</v>
      </c>
      <c r="C132" t="s">
        <v>1495</v>
      </c>
      <c r="D132" t="s">
        <v>470</v>
      </c>
      <c r="E132">
        <v>10000000</v>
      </c>
      <c r="O132">
        <v>100</v>
      </c>
      <c r="P132" t="s">
        <v>400</v>
      </c>
      <c r="T132">
        <v>25</v>
      </c>
      <c r="V132">
        <v>50</v>
      </c>
      <c r="W132" t="s">
        <v>1137</v>
      </c>
      <c r="X132" t="s">
        <v>957</v>
      </c>
      <c r="Y132">
        <v>120.256044522986</v>
      </c>
      <c r="AB132">
        <v>5.9727380749504402</v>
      </c>
      <c r="AC132" t="s">
        <v>85</v>
      </c>
      <c r="AI132">
        <v>3</v>
      </c>
    </row>
    <row r="133" spans="1:35" x14ac:dyDescent="0.3">
      <c r="A133" t="s">
        <v>1517</v>
      </c>
      <c r="C133" t="s">
        <v>1495</v>
      </c>
      <c r="D133" t="s">
        <v>470</v>
      </c>
      <c r="E133">
        <v>10000000</v>
      </c>
      <c r="O133">
        <v>100</v>
      </c>
      <c r="P133" t="s">
        <v>400</v>
      </c>
      <c r="T133">
        <v>25</v>
      </c>
      <c r="V133">
        <v>50</v>
      </c>
      <c r="W133" t="s">
        <v>1518</v>
      </c>
      <c r="X133" t="s">
        <v>957</v>
      </c>
      <c r="Y133">
        <v>9.4646829908278605</v>
      </c>
      <c r="AB133">
        <v>1.52996874146458</v>
      </c>
      <c r="AC133" t="s">
        <v>85</v>
      </c>
      <c r="AI133">
        <v>3</v>
      </c>
    </row>
    <row r="134" spans="1:35" x14ac:dyDescent="0.3">
      <c r="A134" t="s">
        <v>1517</v>
      </c>
      <c r="C134" t="s">
        <v>1495</v>
      </c>
      <c r="D134" t="s">
        <v>470</v>
      </c>
      <c r="E134">
        <v>10000000</v>
      </c>
      <c r="O134">
        <v>100</v>
      </c>
      <c r="P134" t="s">
        <v>400</v>
      </c>
      <c r="T134">
        <v>25</v>
      </c>
      <c r="V134">
        <v>50</v>
      </c>
      <c r="W134" t="s">
        <v>1518</v>
      </c>
      <c r="X134" t="s">
        <v>957</v>
      </c>
      <c r="Y134">
        <v>29.656903140560601</v>
      </c>
      <c r="AB134">
        <v>3.87327570308359</v>
      </c>
      <c r="AC134" t="s">
        <v>85</v>
      </c>
      <c r="AI134">
        <v>3</v>
      </c>
    </row>
    <row r="135" spans="1:35" x14ac:dyDescent="0.3">
      <c r="A135" t="s">
        <v>1517</v>
      </c>
      <c r="C135" t="s">
        <v>1495</v>
      </c>
      <c r="D135" t="s">
        <v>470</v>
      </c>
      <c r="E135">
        <v>10000000</v>
      </c>
      <c r="O135">
        <v>100</v>
      </c>
      <c r="P135" t="s">
        <v>400</v>
      </c>
      <c r="T135">
        <v>25</v>
      </c>
      <c r="V135">
        <v>50</v>
      </c>
      <c r="W135" t="s">
        <v>1518</v>
      </c>
      <c r="X135" t="s">
        <v>957</v>
      </c>
      <c r="Y135">
        <v>60.109673337799798</v>
      </c>
      <c r="AB135">
        <v>5.0589009788427104</v>
      </c>
      <c r="AC135" t="s">
        <v>85</v>
      </c>
      <c r="AI135">
        <v>3</v>
      </c>
    </row>
    <row r="136" spans="1:35" x14ac:dyDescent="0.3">
      <c r="A136" t="s">
        <v>1517</v>
      </c>
      <c r="C136" t="s">
        <v>1495</v>
      </c>
      <c r="D136" t="s">
        <v>470</v>
      </c>
      <c r="E136">
        <v>10000000</v>
      </c>
      <c r="O136">
        <v>100</v>
      </c>
      <c r="P136" t="s">
        <v>400</v>
      </c>
      <c r="T136">
        <v>25</v>
      </c>
      <c r="V136">
        <v>50</v>
      </c>
      <c r="W136" t="s">
        <v>1518</v>
      </c>
      <c r="X136" t="s">
        <v>957</v>
      </c>
      <c r="Y136">
        <v>120.74684321475</v>
      </c>
      <c r="AB136">
        <v>5.9488961464925598</v>
      </c>
      <c r="AC136" t="s">
        <v>85</v>
      </c>
      <c r="AI136">
        <v>3</v>
      </c>
    </row>
    <row r="137" spans="1:35" x14ac:dyDescent="0.3">
      <c r="A137" t="s">
        <v>1517</v>
      </c>
      <c r="C137" t="s">
        <v>1495</v>
      </c>
      <c r="D137" t="s">
        <v>470</v>
      </c>
      <c r="E137">
        <v>10000000</v>
      </c>
      <c r="O137">
        <v>50</v>
      </c>
      <c r="P137" t="s">
        <v>400</v>
      </c>
      <c r="T137">
        <v>25</v>
      </c>
      <c r="V137">
        <v>50</v>
      </c>
      <c r="W137" t="s">
        <v>1518</v>
      </c>
      <c r="X137" t="s">
        <v>957</v>
      </c>
      <c r="Y137">
        <v>9.8125386018148006</v>
      </c>
      <c r="AB137">
        <v>9.2671208966118301E-2</v>
      </c>
      <c r="AC137" t="s">
        <v>85</v>
      </c>
      <c r="AI137">
        <v>3</v>
      </c>
    </row>
    <row r="138" spans="1:35" x14ac:dyDescent="0.3">
      <c r="A138" t="s">
        <v>1517</v>
      </c>
      <c r="C138" t="s">
        <v>1495</v>
      </c>
      <c r="D138" t="s">
        <v>470</v>
      </c>
      <c r="E138">
        <v>10000000</v>
      </c>
      <c r="O138">
        <v>50</v>
      </c>
      <c r="P138" t="s">
        <v>400</v>
      </c>
      <c r="T138">
        <v>25</v>
      </c>
      <c r="V138">
        <v>50</v>
      </c>
      <c r="W138" t="s">
        <v>1518</v>
      </c>
      <c r="X138" t="s">
        <v>957</v>
      </c>
      <c r="Y138">
        <v>29.9614042882496</v>
      </c>
      <c r="AB138">
        <v>0.20776259609257999</v>
      </c>
      <c r="AC138" t="s">
        <v>85</v>
      </c>
      <c r="AI138">
        <v>3</v>
      </c>
    </row>
    <row r="139" spans="1:35" x14ac:dyDescent="0.3">
      <c r="A139" t="s">
        <v>1517</v>
      </c>
      <c r="C139" t="s">
        <v>1495</v>
      </c>
      <c r="D139" t="s">
        <v>470</v>
      </c>
      <c r="E139">
        <v>10000000</v>
      </c>
      <c r="O139">
        <v>50</v>
      </c>
      <c r="P139" t="s">
        <v>400</v>
      </c>
      <c r="T139">
        <v>25</v>
      </c>
      <c r="V139">
        <v>50</v>
      </c>
      <c r="W139" t="s">
        <v>1518</v>
      </c>
      <c r="X139" t="s">
        <v>957</v>
      </c>
      <c r="Y139">
        <v>59.744697056619202</v>
      </c>
      <c r="AB139">
        <v>0.29850279886043701</v>
      </c>
      <c r="AC139" t="s">
        <v>85</v>
      </c>
      <c r="AI139">
        <v>3</v>
      </c>
    </row>
    <row r="140" spans="1:35" x14ac:dyDescent="0.3">
      <c r="A140" t="s">
        <v>1517</v>
      </c>
      <c r="C140" t="s">
        <v>1495</v>
      </c>
      <c r="D140" t="s">
        <v>470</v>
      </c>
      <c r="E140">
        <v>10000000</v>
      </c>
      <c r="O140">
        <v>50</v>
      </c>
      <c r="P140" t="s">
        <v>400</v>
      </c>
      <c r="T140">
        <v>25</v>
      </c>
      <c r="V140">
        <v>50</v>
      </c>
      <c r="W140" t="s">
        <v>1518</v>
      </c>
      <c r="X140" t="s">
        <v>957</v>
      </c>
      <c r="Y140">
        <v>120.207699124333</v>
      </c>
      <c r="AB140">
        <v>1.2992937546230601</v>
      </c>
      <c r="AC140" t="s">
        <v>85</v>
      </c>
      <c r="AI140">
        <v>3</v>
      </c>
    </row>
    <row r="141" spans="1:35" x14ac:dyDescent="0.3">
      <c r="A141" t="s">
        <v>1517</v>
      </c>
      <c r="C141" t="s">
        <v>1495</v>
      </c>
      <c r="D141" t="s">
        <v>470</v>
      </c>
      <c r="E141">
        <v>10000000</v>
      </c>
      <c r="O141">
        <v>100</v>
      </c>
      <c r="P141" t="s">
        <v>400</v>
      </c>
      <c r="T141">
        <v>25</v>
      </c>
      <c r="V141">
        <v>50</v>
      </c>
      <c r="W141" t="s">
        <v>1518</v>
      </c>
      <c r="X141" t="s">
        <v>957</v>
      </c>
      <c r="Y141">
        <v>9.8731785436160706</v>
      </c>
      <c r="AB141">
        <v>2.5157422167755801</v>
      </c>
      <c r="AC141" t="s">
        <v>85</v>
      </c>
      <c r="AI141">
        <v>3</v>
      </c>
    </row>
    <row r="142" spans="1:35" x14ac:dyDescent="0.3">
      <c r="A142" t="s">
        <v>1517</v>
      </c>
      <c r="C142" t="s">
        <v>1495</v>
      </c>
      <c r="D142" t="s">
        <v>470</v>
      </c>
      <c r="E142">
        <v>10000000</v>
      </c>
      <c r="O142">
        <v>100</v>
      </c>
      <c r="P142" t="s">
        <v>400</v>
      </c>
      <c r="T142">
        <v>25</v>
      </c>
      <c r="V142">
        <v>50</v>
      </c>
      <c r="W142" t="s">
        <v>1518</v>
      </c>
      <c r="X142" t="s">
        <v>957</v>
      </c>
      <c r="Y142">
        <v>30.258745065681001</v>
      </c>
      <c r="AB142">
        <v>5.0890044942887602</v>
      </c>
      <c r="AC142" t="s">
        <v>85</v>
      </c>
      <c r="AI142">
        <v>3</v>
      </c>
    </row>
    <row r="143" spans="1:35" x14ac:dyDescent="0.3">
      <c r="A143" t="s">
        <v>1517</v>
      </c>
      <c r="C143" t="s">
        <v>1495</v>
      </c>
      <c r="D143" t="s">
        <v>470</v>
      </c>
      <c r="E143">
        <v>10000000</v>
      </c>
      <c r="O143">
        <v>100</v>
      </c>
      <c r="P143" t="s">
        <v>400</v>
      </c>
      <c r="T143">
        <v>25</v>
      </c>
      <c r="V143">
        <v>50</v>
      </c>
      <c r="W143" t="s">
        <v>1518</v>
      </c>
      <c r="X143" t="s">
        <v>957</v>
      </c>
      <c r="Y143">
        <v>59.8873620404704</v>
      </c>
      <c r="AB143">
        <v>5.9991577785860901</v>
      </c>
      <c r="AC143" t="s">
        <v>85</v>
      </c>
      <c r="AI143">
        <v>3</v>
      </c>
    </row>
    <row r="144" spans="1:35" x14ac:dyDescent="0.3">
      <c r="A144" t="s">
        <v>1517</v>
      </c>
      <c r="C144" t="s">
        <v>1495</v>
      </c>
      <c r="D144" t="s">
        <v>470</v>
      </c>
      <c r="E144">
        <v>10000000</v>
      </c>
      <c r="O144">
        <v>100</v>
      </c>
      <c r="P144" t="s">
        <v>400</v>
      </c>
      <c r="T144">
        <v>25</v>
      </c>
      <c r="V144">
        <v>50</v>
      </c>
      <c r="W144" t="s">
        <v>1518</v>
      </c>
      <c r="X144" t="s">
        <v>957</v>
      </c>
      <c r="Y144">
        <v>120.14881686200501</v>
      </c>
      <c r="AB144">
        <v>5.9464566890689401</v>
      </c>
      <c r="AC144" t="s">
        <v>85</v>
      </c>
      <c r="AI144">
        <v>3</v>
      </c>
    </row>
    <row r="145" spans="1:35" x14ac:dyDescent="0.3">
      <c r="A145" t="s">
        <v>1517</v>
      </c>
      <c r="C145" t="s">
        <v>1495</v>
      </c>
      <c r="D145" t="s">
        <v>470</v>
      </c>
      <c r="E145">
        <v>10000000</v>
      </c>
      <c r="O145">
        <v>75</v>
      </c>
      <c r="P145" t="s">
        <v>400</v>
      </c>
      <c r="T145">
        <v>25</v>
      </c>
      <c r="V145">
        <v>50</v>
      </c>
      <c r="W145" t="s">
        <v>1518</v>
      </c>
      <c r="X145" t="s">
        <v>957</v>
      </c>
      <c r="Y145">
        <v>30.393013100436601</v>
      </c>
      <c r="AB145">
        <v>0.471175144708466</v>
      </c>
      <c r="AC145" t="s">
        <v>85</v>
      </c>
      <c r="AI145">
        <v>3</v>
      </c>
    </row>
    <row r="146" spans="1:35" x14ac:dyDescent="0.3">
      <c r="A146" t="s">
        <v>1517</v>
      </c>
      <c r="C146" t="s">
        <v>1495</v>
      </c>
      <c r="D146" t="s">
        <v>470</v>
      </c>
      <c r="E146">
        <v>10000000</v>
      </c>
      <c r="O146">
        <v>75</v>
      </c>
      <c r="P146" t="s">
        <v>400</v>
      </c>
      <c r="T146">
        <v>25</v>
      </c>
      <c r="V146">
        <v>50</v>
      </c>
      <c r="W146" t="s">
        <v>1518</v>
      </c>
      <c r="X146" t="s">
        <v>957</v>
      </c>
      <c r="Y146">
        <v>59.912663755458503</v>
      </c>
      <c r="AB146">
        <v>1.74997444173445</v>
      </c>
      <c r="AC146" t="s">
        <v>85</v>
      </c>
      <c r="AI146">
        <v>3</v>
      </c>
    </row>
    <row r="147" spans="1:35" x14ac:dyDescent="0.3">
      <c r="A147" t="s">
        <v>1517</v>
      </c>
      <c r="C147" t="s">
        <v>1495</v>
      </c>
      <c r="D147" t="s">
        <v>470</v>
      </c>
      <c r="E147">
        <v>10000000</v>
      </c>
      <c r="O147">
        <v>75</v>
      </c>
      <c r="P147" t="s">
        <v>400</v>
      </c>
      <c r="T147">
        <v>25</v>
      </c>
      <c r="V147">
        <v>50</v>
      </c>
      <c r="W147" t="s">
        <v>1518</v>
      </c>
      <c r="X147" t="s">
        <v>957</v>
      </c>
      <c r="Y147">
        <v>121.048034934497</v>
      </c>
      <c r="AB147">
        <v>3.7576102778305001</v>
      </c>
      <c r="AC147" t="s">
        <v>85</v>
      </c>
      <c r="AI147">
        <v>3</v>
      </c>
    </row>
    <row r="148" spans="1:35" x14ac:dyDescent="0.3">
      <c r="A148" t="s">
        <v>1517</v>
      </c>
      <c r="C148" t="s">
        <v>1495</v>
      </c>
      <c r="D148" t="s">
        <v>470</v>
      </c>
      <c r="E148">
        <v>10000000</v>
      </c>
      <c r="O148">
        <v>200</v>
      </c>
      <c r="P148" t="s">
        <v>400</v>
      </c>
      <c r="T148">
        <v>25</v>
      </c>
      <c r="V148">
        <v>50</v>
      </c>
      <c r="W148" t="s">
        <v>1137</v>
      </c>
      <c r="X148" t="s">
        <v>957</v>
      </c>
      <c r="Y148">
        <v>59.00943396226404</v>
      </c>
      <c r="AB148">
        <v>0.32277078065227</v>
      </c>
      <c r="AC148" t="s">
        <v>85</v>
      </c>
      <c r="AI148">
        <v>3</v>
      </c>
    </row>
    <row r="149" spans="1:35" x14ac:dyDescent="0.3">
      <c r="A149" t="s">
        <v>1517</v>
      </c>
      <c r="C149" t="s">
        <v>1495</v>
      </c>
      <c r="D149" t="s">
        <v>470</v>
      </c>
      <c r="E149">
        <v>10000000</v>
      </c>
      <c r="O149">
        <v>200</v>
      </c>
      <c r="P149" t="s">
        <v>400</v>
      </c>
      <c r="T149">
        <v>25</v>
      </c>
      <c r="V149">
        <v>50</v>
      </c>
      <c r="W149" t="s">
        <v>1137</v>
      </c>
      <c r="X149" t="s">
        <v>957</v>
      </c>
      <c r="Y149">
        <v>120.56603773584899</v>
      </c>
      <c r="AB149">
        <v>1.3189959800298201</v>
      </c>
      <c r="AC149" t="s">
        <v>85</v>
      </c>
      <c r="AI149">
        <v>3</v>
      </c>
    </row>
    <row r="150" spans="1:35" x14ac:dyDescent="0.3">
      <c r="A150" t="s">
        <v>1517</v>
      </c>
      <c r="C150" t="s">
        <v>1495</v>
      </c>
      <c r="D150" t="s">
        <v>470</v>
      </c>
      <c r="E150">
        <v>10000000</v>
      </c>
      <c r="O150">
        <v>200</v>
      </c>
      <c r="P150" t="s">
        <v>400</v>
      </c>
      <c r="T150">
        <v>25</v>
      </c>
      <c r="V150">
        <v>50</v>
      </c>
      <c r="W150" t="s">
        <v>1137</v>
      </c>
      <c r="X150" t="s">
        <v>957</v>
      </c>
      <c r="Y150">
        <v>180.84905660377319</v>
      </c>
      <c r="AB150">
        <v>2.0386314270894101</v>
      </c>
      <c r="AC150" t="s">
        <v>85</v>
      </c>
      <c r="AI150">
        <v>3</v>
      </c>
    </row>
    <row r="151" spans="1:35" x14ac:dyDescent="0.3">
      <c r="A151" t="s">
        <v>1517</v>
      </c>
      <c r="C151" t="s">
        <v>1495</v>
      </c>
      <c r="D151" t="s">
        <v>470</v>
      </c>
      <c r="E151">
        <v>10000000</v>
      </c>
      <c r="O151">
        <v>200</v>
      </c>
      <c r="P151" t="s">
        <v>400</v>
      </c>
      <c r="T151">
        <v>25</v>
      </c>
      <c r="V151">
        <v>50</v>
      </c>
      <c r="W151" t="s">
        <v>1137</v>
      </c>
      <c r="X151" t="s">
        <v>957</v>
      </c>
      <c r="Y151">
        <v>301.41509433962221</v>
      </c>
      <c r="AB151">
        <v>2.7321978538546201</v>
      </c>
      <c r="AC151" t="s">
        <v>85</v>
      </c>
      <c r="AI151">
        <v>3</v>
      </c>
    </row>
    <row r="152" spans="1:35" x14ac:dyDescent="0.3">
      <c r="A152" t="s">
        <v>1517</v>
      </c>
      <c r="C152" t="s">
        <v>1495</v>
      </c>
      <c r="D152" t="s">
        <v>470</v>
      </c>
      <c r="E152">
        <v>10000000</v>
      </c>
      <c r="O152">
        <v>400</v>
      </c>
      <c r="P152" t="s">
        <v>400</v>
      </c>
      <c r="T152">
        <v>25</v>
      </c>
      <c r="V152">
        <v>50</v>
      </c>
      <c r="W152" t="s">
        <v>1137</v>
      </c>
      <c r="X152" t="s">
        <v>957</v>
      </c>
      <c r="Y152">
        <v>58.584905660377323</v>
      </c>
      <c r="AB152">
        <v>0.79185712896323701</v>
      </c>
      <c r="AC152" t="s">
        <v>85</v>
      </c>
      <c r="AI152">
        <v>3</v>
      </c>
    </row>
    <row r="153" spans="1:35" x14ac:dyDescent="0.3">
      <c r="A153" t="s">
        <v>1517</v>
      </c>
      <c r="C153" t="s">
        <v>1495</v>
      </c>
      <c r="D153" t="s">
        <v>470</v>
      </c>
      <c r="E153">
        <v>10000000</v>
      </c>
      <c r="O153">
        <v>400</v>
      </c>
      <c r="P153" t="s">
        <v>400</v>
      </c>
      <c r="T153">
        <v>25</v>
      </c>
      <c r="V153">
        <v>50</v>
      </c>
      <c r="W153" t="s">
        <v>1137</v>
      </c>
      <c r="X153" t="s">
        <v>957</v>
      </c>
      <c r="Y153">
        <v>120.56603773584899</v>
      </c>
      <c r="AB153">
        <v>1.81212312779614</v>
      </c>
      <c r="AC153" t="s">
        <v>85</v>
      </c>
      <c r="AI153">
        <v>3</v>
      </c>
    </row>
    <row r="154" spans="1:35" x14ac:dyDescent="0.3">
      <c r="A154" t="s">
        <v>1517</v>
      </c>
      <c r="C154" t="s">
        <v>1495</v>
      </c>
      <c r="D154" t="s">
        <v>470</v>
      </c>
      <c r="E154">
        <v>10000000</v>
      </c>
      <c r="O154">
        <v>400</v>
      </c>
      <c r="P154" t="s">
        <v>400</v>
      </c>
      <c r="T154">
        <v>25</v>
      </c>
      <c r="V154">
        <v>50</v>
      </c>
      <c r="W154" t="s">
        <v>1137</v>
      </c>
      <c r="X154" t="s">
        <v>957</v>
      </c>
      <c r="Y154">
        <v>180.424528301886</v>
      </c>
      <c r="AB154">
        <v>2.8805700090773501</v>
      </c>
      <c r="AC154" t="s">
        <v>85</v>
      </c>
      <c r="AI154">
        <v>3</v>
      </c>
    </row>
    <row r="155" spans="1:35" x14ac:dyDescent="0.3">
      <c r="A155" t="s">
        <v>1517</v>
      </c>
      <c r="C155" t="s">
        <v>1495</v>
      </c>
      <c r="D155" t="s">
        <v>470</v>
      </c>
      <c r="E155">
        <v>10000000</v>
      </c>
      <c r="O155">
        <v>400</v>
      </c>
      <c r="P155" t="s">
        <v>400</v>
      </c>
      <c r="T155">
        <v>25</v>
      </c>
      <c r="V155">
        <v>50</v>
      </c>
      <c r="W155" t="s">
        <v>1137</v>
      </c>
      <c r="X155" t="s">
        <v>957</v>
      </c>
      <c r="Y155">
        <v>300.5660377358484</v>
      </c>
      <c r="AB155">
        <v>3.3817107566621201</v>
      </c>
      <c r="AC155" t="s">
        <v>85</v>
      </c>
      <c r="AI155">
        <v>3</v>
      </c>
    </row>
    <row r="156" spans="1:35" x14ac:dyDescent="0.3">
      <c r="A156" t="s">
        <v>1517</v>
      </c>
      <c r="C156" t="s">
        <v>1495</v>
      </c>
      <c r="D156" t="s">
        <v>470</v>
      </c>
      <c r="E156">
        <v>10000000</v>
      </c>
      <c r="O156">
        <v>200</v>
      </c>
      <c r="P156" t="s">
        <v>400</v>
      </c>
      <c r="T156">
        <v>25</v>
      </c>
      <c r="V156">
        <v>50</v>
      </c>
      <c r="W156" t="s">
        <v>1518</v>
      </c>
      <c r="X156" t="s">
        <v>957</v>
      </c>
      <c r="Y156">
        <v>60.283018867924199</v>
      </c>
      <c r="AB156">
        <v>1.6457522855475399</v>
      </c>
      <c r="AC156" t="s">
        <v>85</v>
      </c>
      <c r="AI156">
        <v>3</v>
      </c>
    </row>
    <row r="157" spans="1:35" x14ac:dyDescent="0.3">
      <c r="A157" t="s">
        <v>1517</v>
      </c>
      <c r="C157" t="s">
        <v>1495</v>
      </c>
      <c r="D157" t="s">
        <v>470</v>
      </c>
      <c r="E157">
        <v>10000000</v>
      </c>
      <c r="O157">
        <v>200</v>
      </c>
      <c r="P157" t="s">
        <v>400</v>
      </c>
      <c r="T157">
        <v>25</v>
      </c>
      <c r="V157">
        <v>50</v>
      </c>
      <c r="W157" t="s">
        <v>1518</v>
      </c>
      <c r="X157" t="s">
        <v>957</v>
      </c>
      <c r="Y157">
        <v>119.7169811320752</v>
      </c>
      <c r="Z157">
        <v>2</v>
      </c>
      <c r="AB157">
        <v>3.0028731440056902</v>
      </c>
      <c r="AC157" t="s">
        <v>85</v>
      </c>
      <c r="AI157">
        <v>3</v>
      </c>
    </row>
    <row r="158" spans="1:35" x14ac:dyDescent="0.3">
      <c r="A158" t="s">
        <v>1517</v>
      </c>
      <c r="C158" t="s">
        <v>1495</v>
      </c>
      <c r="D158" t="s">
        <v>470</v>
      </c>
      <c r="E158">
        <v>10000000</v>
      </c>
      <c r="O158">
        <v>200</v>
      </c>
      <c r="P158" t="s">
        <v>400</v>
      </c>
      <c r="T158">
        <v>25</v>
      </c>
      <c r="V158">
        <v>50</v>
      </c>
      <c r="W158" t="s">
        <v>1518</v>
      </c>
      <c r="X158" t="s">
        <v>957</v>
      </c>
      <c r="Y158">
        <v>179.99999999999881</v>
      </c>
      <c r="Z158">
        <v>3</v>
      </c>
      <c r="AB158">
        <v>4.5042955326460401</v>
      </c>
      <c r="AC158" t="s">
        <v>85</v>
      </c>
      <c r="AI158">
        <v>3</v>
      </c>
    </row>
    <row r="159" spans="1:35" x14ac:dyDescent="0.3">
      <c r="A159" t="s">
        <v>1517</v>
      </c>
      <c r="C159" t="s">
        <v>1495</v>
      </c>
      <c r="D159" t="s">
        <v>470</v>
      </c>
      <c r="E159">
        <v>10000000</v>
      </c>
      <c r="O159">
        <v>200</v>
      </c>
      <c r="P159" t="s">
        <v>400</v>
      </c>
      <c r="T159">
        <v>25</v>
      </c>
      <c r="V159">
        <v>50</v>
      </c>
      <c r="W159" t="s">
        <v>1518</v>
      </c>
      <c r="X159" t="s">
        <v>957</v>
      </c>
      <c r="Y159">
        <v>302.26415094339541</v>
      </c>
      <c r="Z159">
        <v>4</v>
      </c>
      <c r="AB159">
        <v>5.9795921675419699</v>
      </c>
      <c r="AC159" t="s">
        <v>85</v>
      </c>
      <c r="AI159">
        <v>3</v>
      </c>
    </row>
    <row r="160" spans="1:35" x14ac:dyDescent="0.3">
      <c r="A160" t="s">
        <v>1517</v>
      </c>
      <c r="C160" t="s">
        <v>1495</v>
      </c>
      <c r="D160" t="s">
        <v>470</v>
      </c>
      <c r="E160">
        <v>10000000</v>
      </c>
      <c r="O160">
        <v>400</v>
      </c>
      <c r="P160" t="s">
        <v>400</v>
      </c>
      <c r="T160">
        <v>25</v>
      </c>
      <c r="V160">
        <v>50</v>
      </c>
      <c r="W160" t="s">
        <v>1518</v>
      </c>
      <c r="X160" t="s">
        <v>957</v>
      </c>
      <c r="Y160">
        <v>60.283018867924199</v>
      </c>
      <c r="Z160">
        <v>4</v>
      </c>
      <c r="AB160">
        <v>2.0306320106334601</v>
      </c>
      <c r="AC160" t="s">
        <v>85</v>
      </c>
      <c r="AI160">
        <v>3</v>
      </c>
    </row>
    <row r="161" spans="1:35" x14ac:dyDescent="0.3">
      <c r="A161" t="s">
        <v>1517</v>
      </c>
      <c r="C161" t="s">
        <v>1495</v>
      </c>
      <c r="D161" t="s">
        <v>470</v>
      </c>
      <c r="E161">
        <v>10000000</v>
      </c>
      <c r="O161">
        <v>400</v>
      </c>
      <c r="P161" t="s">
        <v>400</v>
      </c>
      <c r="T161">
        <v>25</v>
      </c>
      <c r="V161">
        <v>50</v>
      </c>
      <c r="W161" t="s">
        <v>1518</v>
      </c>
      <c r="X161" t="s">
        <v>957</v>
      </c>
      <c r="Y161">
        <v>119.7169811320752</v>
      </c>
      <c r="Z161">
        <v>2</v>
      </c>
      <c r="AB161">
        <v>3.5441102574077501</v>
      </c>
      <c r="AC161" t="s">
        <v>85</v>
      </c>
      <c r="AI161">
        <v>3</v>
      </c>
    </row>
    <row r="162" spans="1:35" x14ac:dyDescent="0.3">
      <c r="A162" t="s">
        <v>1517</v>
      </c>
      <c r="C162" t="s">
        <v>1495</v>
      </c>
      <c r="D162" t="s">
        <v>470</v>
      </c>
      <c r="E162">
        <v>10000000</v>
      </c>
      <c r="O162">
        <v>400</v>
      </c>
      <c r="P162" t="s">
        <v>400</v>
      </c>
      <c r="T162">
        <v>25</v>
      </c>
      <c r="V162">
        <v>50</v>
      </c>
      <c r="W162" t="s">
        <v>1518</v>
      </c>
      <c r="X162" t="s">
        <v>957</v>
      </c>
      <c r="Y162">
        <v>180.84905660377319</v>
      </c>
      <c r="Z162">
        <v>3</v>
      </c>
      <c r="AB162">
        <v>5.0455042793230804</v>
      </c>
      <c r="AC162" t="s">
        <v>85</v>
      </c>
      <c r="AI162">
        <v>3</v>
      </c>
    </row>
    <row r="163" spans="1:35" x14ac:dyDescent="0.3">
      <c r="A163" t="s">
        <v>1517</v>
      </c>
      <c r="C163" t="s">
        <v>1495</v>
      </c>
      <c r="D163" t="s">
        <v>470</v>
      </c>
      <c r="E163">
        <v>10000000</v>
      </c>
      <c r="O163">
        <v>400</v>
      </c>
      <c r="P163" t="s">
        <v>400</v>
      </c>
      <c r="T163">
        <v>25</v>
      </c>
      <c r="V163">
        <v>50</v>
      </c>
      <c r="W163" t="s">
        <v>1518</v>
      </c>
      <c r="X163" t="s">
        <v>957</v>
      </c>
      <c r="Y163">
        <v>298.44339622641422</v>
      </c>
      <c r="Z163">
        <v>4</v>
      </c>
      <c r="AB163">
        <v>5.9316098521688199</v>
      </c>
      <c r="AC163" t="s">
        <v>85</v>
      </c>
      <c r="AI163">
        <v>3</v>
      </c>
    </row>
    <row r="164" spans="1:35" x14ac:dyDescent="0.3">
      <c r="A164" t="s">
        <v>1517</v>
      </c>
      <c r="C164" t="s">
        <v>1495</v>
      </c>
      <c r="D164" t="s">
        <v>470</v>
      </c>
      <c r="E164">
        <v>10000000</v>
      </c>
      <c r="O164">
        <v>100</v>
      </c>
      <c r="P164" t="s">
        <v>400</v>
      </c>
      <c r="T164">
        <v>25</v>
      </c>
      <c r="V164">
        <v>50</v>
      </c>
      <c r="W164" t="s">
        <v>1518</v>
      </c>
      <c r="X164" t="s">
        <v>957</v>
      </c>
      <c r="Y164">
        <v>120</v>
      </c>
      <c r="Z164">
        <v>4</v>
      </c>
      <c r="AB164">
        <v>6</v>
      </c>
      <c r="AC164" t="s">
        <v>85</v>
      </c>
      <c r="AI164">
        <v>3</v>
      </c>
    </row>
    <row r="165" spans="1:35" x14ac:dyDescent="0.3">
      <c r="A165" t="s">
        <v>1517</v>
      </c>
      <c r="C165" t="s">
        <v>1495</v>
      </c>
      <c r="D165" t="s">
        <v>470</v>
      </c>
      <c r="E165">
        <v>10000000</v>
      </c>
      <c r="O165">
        <v>100</v>
      </c>
      <c r="P165" t="s">
        <v>400</v>
      </c>
      <c r="T165">
        <v>25</v>
      </c>
      <c r="V165">
        <v>50</v>
      </c>
      <c r="W165" t="s">
        <v>1518</v>
      </c>
      <c r="X165" t="s">
        <v>957</v>
      </c>
      <c r="Y165">
        <v>120</v>
      </c>
      <c r="Z165">
        <v>3</v>
      </c>
      <c r="AB165">
        <v>6</v>
      </c>
      <c r="AC165" t="s">
        <v>85</v>
      </c>
      <c r="AI165">
        <v>3</v>
      </c>
    </row>
    <row r="166" spans="1:35" x14ac:dyDescent="0.3">
      <c r="A166" t="s">
        <v>1517</v>
      </c>
      <c r="C166" t="s">
        <v>1495</v>
      </c>
      <c r="D166" t="s">
        <v>470</v>
      </c>
      <c r="E166">
        <v>10000000</v>
      </c>
      <c r="O166">
        <v>100</v>
      </c>
      <c r="P166" t="s">
        <v>400</v>
      </c>
      <c r="T166">
        <v>25</v>
      </c>
      <c r="V166">
        <v>50</v>
      </c>
      <c r="W166" t="s">
        <v>1518</v>
      </c>
      <c r="X166" t="s">
        <v>957</v>
      </c>
      <c r="Y166">
        <v>120</v>
      </c>
      <c r="Z166">
        <v>3</v>
      </c>
      <c r="AB166">
        <v>0</v>
      </c>
      <c r="AC166" t="s">
        <v>85</v>
      </c>
      <c r="AI166">
        <v>3</v>
      </c>
    </row>
    <row r="167" spans="1:35" x14ac:dyDescent="0.3">
      <c r="A167" t="s">
        <v>1517</v>
      </c>
      <c r="C167" t="s">
        <v>1495</v>
      </c>
      <c r="D167" t="s">
        <v>470</v>
      </c>
      <c r="E167">
        <v>10000000</v>
      </c>
      <c r="O167">
        <v>100</v>
      </c>
      <c r="P167" t="s">
        <v>400</v>
      </c>
      <c r="T167">
        <v>25</v>
      </c>
      <c r="V167">
        <v>50</v>
      </c>
      <c r="W167" t="s">
        <v>1518</v>
      </c>
      <c r="X167" t="s">
        <v>957</v>
      </c>
      <c r="Y167">
        <v>120</v>
      </c>
      <c r="Z167">
        <v>3</v>
      </c>
      <c r="AB167">
        <v>6</v>
      </c>
      <c r="AC167" t="s">
        <v>85</v>
      </c>
      <c r="AI167">
        <v>3</v>
      </c>
    </row>
    <row r="168" spans="1:35" x14ac:dyDescent="0.3">
      <c r="A168" t="s">
        <v>1517</v>
      </c>
      <c r="C168" t="s">
        <v>1495</v>
      </c>
      <c r="D168" t="s">
        <v>470</v>
      </c>
      <c r="E168">
        <v>10000000</v>
      </c>
      <c r="O168">
        <v>100</v>
      </c>
      <c r="P168" t="s">
        <v>400</v>
      </c>
      <c r="T168">
        <v>25</v>
      </c>
      <c r="V168">
        <v>50</v>
      </c>
      <c r="W168" t="s">
        <v>1518</v>
      </c>
      <c r="X168" t="s">
        <v>957</v>
      </c>
      <c r="Y168">
        <v>120</v>
      </c>
      <c r="Z168">
        <v>3</v>
      </c>
      <c r="AB168">
        <v>5</v>
      </c>
      <c r="AC168" t="s">
        <v>85</v>
      </c>
      <c r="AI168">
        <v>3</v>
      </c>
    </row>
    <row r="169" spans="1:35" x14ac:dyDescent="0.3">
      <c r="A169" t="s">
        <v>1517</v>
      </c>
      <c r="C169" t="s">
        <v>1495</v>
      </c>
      <c r="D169" t="s">
        <v>470</v>
      </c>
      <c r="E169">
        <v>10000000</v>
      </c>
      <c r="O169">
        <v>100</v>
      </c>
      <c r="P169" t="s">
        <v>400</v>
      </c>
      <c r="T169">
        <v>25</v>
      </c>
      <c r="V169">
        <v>50</v>
      </c>
      <c r="W169" t="s">
        <v>1518</v>
      </c>
      <c r="X169" t="s">
        <v>957</v>
      </c>
      <c r="Y169">
        <v>120</v>
      </c>
      <c r="Z169">
        <v>3</v>
      </c>
      <c r="AB169">
        <v>0</v>
      </c>
      <c r="AC169" t="s">
        <v>85</v>
      </c>
      <c r="AI169">
        <v>3</v>
      </c>
    </row>
    <row r="170" spans="1:35" x14ac:dyDescent="0.3">
      <c r="A170" t="s">
        <v>1519</v>
      </c>
      <c r="C170" t="s">
        <v>1495</v>
      </c>
      <c r="D170" t="s">
        <v>470</v>
      </c>
      <c r="E170">
        <v>10000000</v>
      </c>
      <c r="O170">
        <v>20</v>
      </c>
      <c r="P170" t="s">
        <v>1520</v>
      </c>
      <c r="T170">
        <v>25</v>
      </c>
      <c r="W170" t="s">
        <v>1057</v>
      </c>
      <c r="X170" t="s">
        <v>1521</v>
      </c>
      <c r="Y170">
        <v>5</v>
      </c>
      <c r="Z170">
        <v>3</v>
      </c>
      <c r="AB170">
        <v>1</v>
      </c>
      <c r="AC170" t="s">
        <v>85</v>
      </c>
    </row>
    <row r="171" spans="1:35" x14ac:dyDescent="0.3">
      <c r="A171" t="s">
        <v>1519</v>
      </c>
      <c r="C171" t="s">
        <v>1495</v>
      </c>
      <c r="D171" t="s">
        <v>470</v>
      </c>
      <c r="E171">
        <v>10000000</v>
      </c>
      <c r="O171">
        <v>20</v>
      </c>
      <c r="P171" t="s">
        <v>1520</v>
      </c>
      <c r="T171">
        <v>25</v>
      </c>
      <c r="W171" t="s">
        <v>1057</v>
      </c>
      <c r="X171" t="s">
        <v>1521</v>
      </c>
      <c r="Y171">
        <v>10</v>
      </c>
      <c r="Z171">
        <v>3</v>
      </c>
      <c r="AB171">
        <v>1.5</v>
      </c>
      <c r="AC171" t="s">
        <v>85</v>
      </c>
    </row>
    <row r="172" spans="1:35" x14ac:dyDescent="0.3">
      <c r="A172" t="s">
        <v>1519</v>
      </c>
      <c r="C172" t="s">
        <v>1495</v>
      </c>
      <c r="D172" t="s">
        <v>470</v>
      </c>
      <c r="E172">
        <v>10000000</v>
      </c>
      <c r="O172">
        <v>20</v>
      </c>
      <c r="P172" t="s">
        <v>1520</v>
      </c>
      <c r="T172">
        <v>25</v>
      </c>
      <c r="W172" t="s">
        <v>1057</v>
      </c>
      <c r="X172" t="s">
        <v>1521</v>
      </c>
      <c r="Y172">
        <v>15</v>
      </c>
      <c r="Z172">
        <v>3</v>
      </c>
      <c r="AB172">
        <v>2</v>
      </c>
      <c r="AC172" t="s">
        <v>85</v>
      </c>
    </row>
    <row r="173" spans="1:35" x14ac:dyDescent="0.3">
      <c r="A173" t="s">
        <v>1519</v>
      </c>
      <c r="C173" t="s">
        <v>1495</v>
      </c>
      <c r="D173" t="s">
        <v>470</v>
      </c>
      <c r="E173">
        <v>10000000</v>
      </c>
      <c r="O173">
        <v>20</v>
      </c>
      <c r="P173" t="s">
        <v>1520</v>
      </c>
      <c r="T173">
        <v>25</v>
      </c>
      <c r="W173" t="s">
        <v>1057</v>
      </c>
      <c r="X173" t="s">
        <v>1521</v>
      </c>
      <c r="Y173">
        <v>30</v>
      </c>
      <c r="Z173">
        <v>3</v>
      </c>
      <c r="AB173">
        <v>2.5</v>
      </c>
      <c r="AC173" t="s">
        <v>85</v>
      </c>
    </row>
    <row r="174" spans="1:35" x14ac:dyDescent="0.3">
      <c r="A174" t="s">
        <v>1519</v>
      </c>
      <c r="C174" t="s">
        <v>1495</v>
      </c>
      <c r="D174" t="s">
        <v>470</v>
      </c>
      <c r="E174">
        <v>10000000</v>
      </c>
      <c r="O174">
        <v>2</v>
      </c>
      <c r="P174" t="s">
        <v>1520</v>
      </c>
      <c r="T174">
        <v>25</v>
      </c>
      <c r="W174" t="s">
        <v>1057</v>
      </c>
      <c r="X174" t="s">
        <v>1521</v>
      </c>
      <c r="Y174">
        <v>5</v>
      </c>
      <c r="Z174">
        <v>3</v>
      </c>
      <c r="AB174">
        <v>2</v>
      </c>
      <c r="AC174" t="s">
        <v>85</v>
      </c>
    </row>
    <row r="175" spans="1:35" x14ac:dyDescent="0.3">
      <c r="A175" t="s">
        <v>1519</v>
      </c>
      <c r="C175" t="s">
        <v>1495</v>
      </c>
      <c r="D175" t="s">
        <v>470</v>
      </c>
      <c r="E175">
        <v>10000000</v>
      </c>
      <c r="O175">
        <v>2</v>
      </c>
      <c r="P175" t="s">
        <v>1520</v>
      </c>
      <c r="T175">
        <v>25</v>
      </c>
      <c r="W175" t="s">
        <v>1057</v>
      </c>
      <c r="X175" t="s">
        <v>1521</v>
      </c>
      <c r="Y175">
        <v>10</v>
      </c>
      <c r="Z175">
        <v>4</v>
      </c>
      <c r="AB175">
        <v>2.2999999999999998</v>
      </c>
      <c r="AC175" t="s">
        <v>85</v>
      </c>
    </row>
    <row r="176" spans="1:35" x14ac:dyDescent="0.3">
      <c r="A176" t="s">
        <v>1519</v>
      </c>
      <c r="C176" t="s">
        <v>1495</v>
      </c>
      <c r="D176" t="s">
        <v>470</v>
      </c>
      <c r="E176">
        <v>10000000</v>
      </c>
      <c r="O176">
        <v>2</v>
      </c>
      <c r="P176" t="s">
        <v>1520</v>
      </c>
      <c r="T176">
        <v>25</v>
      </c>
      <c r="W176" t="s">
        <v>1057</v>
      </c>
      <c r="X176" t="s">
        <v>1521</v>
      </c>
      <c r="Y176">
        <v>15</v>
      </c>
      <c r="Z176">
        <v>4</v>
      </c>
      <c r="AB176">
        <v>2.8</v>
      </c>
      <c r="AC176" t="s">
        <v>85</v>
      </c>
    </row>
    <row r="177" spans="1:48" x14ac:dyDescent="0.3">
      <c r="A177" t="s">
        <v>1519</v>
      </c>
      <c r="C177" t="s">
        <v>1495</v>
      </c>
      <c r="D177" t="s">
        <v>470</v>
      </c>
      <c r="E177">
        <v>10000000</v>
      </c>
      <c r="O177">
        <v>2</v>
      </c>
      <c r="P177" t="s">
        <v>1520</v>
      </c>
      <c r="T177">
        <v>25</v>
      </c>
      <c r="W177" t="s">
        <v>1057</v>
      </c>
      <c r="X177" t="s">
        <v>1521</v>
      </c>
      <c r="Y177">
        <v>30</v>
      </c>
      <c r="Z177">
        <v>4</v>
      </c>
      <c r="AB177">
        <v>2.9</v>
      </c>
      <c r="AC177" t="s">
        <v>85</v>
      </c>
    </row>
    <row r="178" spans="1:48" x14ac:dyDescent="0.3">
      <c r="A178" t="s">
        <v>1519</v>
      </c>
      <c r="C178" t="s">
        <v>1495</v>
      </c>
      <c r="D178" t="s">
        <v>470</v>
      </c>
      <c r="E178">
        <v>10000000</v>
      </c>
      <c r="O178">
        <v>20</v>
      </c>
      <c r="P178" t="s">
        <v>1520</v>
      </c>
      <c r="T178">
        <v>25</v>
      </c>
      <c r="W178" t="s">
        <v>1057</v>
      </c>
      <c r="X178" t="s">
        <v>1521</v>
      </c>
      <c r="Y178">
        <v>30</v>
      </c>
      <c r="Z178">
        <v>4</v>
      </c>
      <c r="AB178">
        <v>2</v>
      </c>
      <c r="AC178" t="s">
        <v>85</v>
      </c>
    </row>
    <row r="179" spans="1:48" x14ac:dyDescent="0.3">
      <c r="A179" t="s">
        <v>1519</v>
      </c>
      <c r="C179" t="s">
        <v>1495</v>
      </c>
      <c r="D179" t="s">
        <v>470</v>
      </c>
      <c r="E179">
        <v>10000000</v>
      </c>
      <c r="O179">
        <v>20</v>
      </c>
      <c r="P179" t="s">
        <v>1520</v>
      </c>
      <c r="T179">
        <v>25</v>
      </c>
      <c r="W179" t="s">
        <v>1057</v>
      </c>
      <c r="X179" t="s">
        <v>1521</v>
      </c>
      <c r="Y179">
        <v>30</v>
      </c>
      <c r="Z179">
        <v>4</v>
      </c>
      <c r="AB179">
        <v>4.5</v>
      </c>
      <c r="AC179" t="s">
        <v>85</v>
      </c>
    </row>
    <row r="180" spans="1:48" x14ac:dyDescent="0.3">
      <c r="A180" t="s">
        <v>1519</v>
      </c>
      <c r="C180" t="s">
        <v>1495</v>
      </c>
      <c r="D180" t="s">
        <v>470</v>
      </c>
      <c r="E180">
        <v>10000000</v>
      </c>
      <c r="O180">
        <v>20</v>
      </c>
      <c r="P180" t="s">
        <v>1520</v>
      </c>
      <c r="T180">
        <v>25</v>
      </c>
      <c r="W180" t="s">
        <v>1057</v>
      </c>
      <c r="X180" t="s">
        <v>1521</v>
      </c>
      <c r="Y180">
        <v>30</v>
      </c>
      <c r="Z180">
        <v>4</v>
      </c>
      <c r="AB180">
        <v>0.5</v>
      </c>
      <c r="AC180" t="s">
        <v>85</v>
      </c>
    </row>
    <row r="181" spans="1:48" x14ac:dyDescent="0.3">
      <c r="A181" t="s">
        <v>919</v>
      </c>
      <c r="C181" t="s">
        <v>1495</v>
      </c>
      <c r="E181">
        <v>10000000</v>
      </c>
      <c r="H181">
        <v>5</v>
      </c>
      <c r="I181" t="s">
        <v>82</v>
      </c>
      <c r="J181">
        <v>5.0000000000000004E-6</v>
      </c>
      <c r="K181" t="s">
        <v>252</v>
      </c>
      <c r="O181">
        <v>5</v>
      </c>
      <c r="P181" t="s">
        <v>921</v>
      </c>
      <c r="S181">
        <v>1</v>
      </c>
      <c r="T181">
        <v>23</v>
      </c>
      <c r="V181">
        <v>50</v>
      </c>
      <c r="W181" t="s">
        <v>1057</v>
      </c>
      <c r="X181" t="s">
        <v>114</v>
      </c>
      <c r="Y181">
        <v>5</v>
      </c>
      <c r="Z181">
        <v>2</v>
      </c>
      <c r="AB181">
        <v>7.0000000000000007E-2</v>
      </c>
      <c r="AC181" t="s">
        <v>85</v>
      </c>
      <c r="AI181">
        <v>3</v>
      </c>
      <c r="AV181" t="s">
        <v>256</v>
      </c>
    </row>
    <row r="182" spans="1:48" x14ac:dyDescent="0.3">
      <c r="A182" t="s">
        <v>919</v>
      </c>
      <c r="C182" t="s">
        <v>1495</v>
      </c>
      <c r="E182">
        <v>10000000</v>
      </c>
      <c r="H182">
        <v>5</v>
      </c>
      <c r="I182" t="s">
        <v>82</v>
      </c>
      <c r="J182">
        <v>5.0000000000000004E-6</v>
      </c>
      <c r="K182" t="s">
        <v>252</v>
      </c>
      <c r="O182">
        <v>10</v>
      </c>
      <c r="P182" t="s">
        <v>921</v>
      </c>
      <c r="S182">
        <v>1</v>
      </c>
      <c r="T182">
        <v>23</v>
      </c>
      <c r="V182">
        <v>50</v>
      </c>
      <c r="W182" t="s">
        <v>1057</v>
      </c>
      <c r="X182" t="s">
        <v>114</v>
      </c>
      <c r="Y182">
        <v>5</v>
      </c>
      <c r="Z182">
        <v>2</v>
      </c>
      <c r="AB182">
        <v>1.64</v>
      </c>
      <c r="AC182" t="s">
        <v>85</v>
      </c>
      <c r="AI182">
        <v>3</v>
      </c>
      <c r="AV182" t="s">
        <v>256</v>
      </c>
    </row>
    <row r="183" spans="1:48" x14ac:dyDescent="0.3">
      <c r="A183" t="s">
        <v>919</v>
      </c>
      <c r="C183" t="s">
        <v>1495</v>
      </c>
      <c r="E183">
        <v>10000000</v>
      </c>
      <c r="H183">
        <v>5</v>
      </c>
      <c r="I183" t="s">
        <v>82</v>
      </c>
      <c r="J183">
        <v>5.0000000000000004E-6</v>
      </c>
      <c r="K183" t="s">
        <v>252</v>
      </c>
      <c r="O183">
        <v>25</v>
      </c>
      <c r="P183" t="s">
        <v>921</v>
      </c>
      <c r="S183">
        <v>1</v>
      </c>
      <c r="T183">
        <v>23</v>
      </c>
      <c r="V183">
        <v>50</v>
      </c>
      <c r="W183" t="s">
        <v>1057</v>
      </c>
      <c r="X183" t="s">
        <v>114</v>
      </c>
      <c r="Y183">
        <v>5</v>
      </c>
      <c r="Z183">
        <v>2</v>
      </c>
      <c r="AB183">
        <v>3.23</v>
      </c>
      <c r="AC183" t="s">
        <v>85</v>
      </c>
      <c r="AI183">
        <v>3</v>
      </c>
      <c r="AV183" t="s">
        <v>256</v>
      </c>
    </row>
    <row r="184" spans="1:48" x14ac:dyDescent="0.3">
      <c r="A184" t="s">
        <v>919</v>
      </c>
      <c r="C184" t="s">
        <v>1495</v>
      </c>
      <c r="E184">
        <v>10000000</v>
      </c>
      <c r="H184">
        <v>5</v>
      </c>
      <c r="I184" t="s">
        <v>82</v>
      </c>
      <c r="J184">
        <v>5.0000000000000004E-6</v>
      </c>
      <c r="K184" t="s">
        <v>252</v>
      </c>
      <c r="O184">
        <v>50</v>
      </c>
      <c r="P184" t="s">
        <v>921</v>
      </c>
      <c r="S184">
        <v>1</v>
      </c>
      <c r="T184">
        <v>23</v>
      </c>
      <c r="V184">
        <v>50</v>
      </c>
      <c r="W184" t="s">
        <v>1057</v>
      </c>
      <c r="X184" t="s">
        <v>114</v>
      </c>
      <c r="Y184">
        <v>5</v>
      </c>
      <c r="Z184">
        <v>2</v>
      </c>
      <c r="AB184">
        <v>4.34</v>
      </c>
      <c r="AC184" t="s">
        <v>85</v>
      </c>
      <c r="AI184">
        <v>3</v>
      </c>
      <c r="AV184" t="s">
        <v>256</v>
      </c>
    </row>
    <row r="185" spans="1:48" x14ac:dyDescent="0.3">
      <c r="A185" t="s">
        <v>919</v>
      </c>
      <c r="C185" t="s">
        <v>1495</v>
      </c>
      <c r="E185">
        <v>10000000</v>
      </c>
      <c r="H185">
        <v>5</v>
      </c>
      <c r="I185" t="s">
        <v>82</v>
      </c>
      <c r="J185">
        <v>5.0000000000000004E-6</v>
      </c>
      <c r="K185" t="s">
        <v>252</v>
      </c>
      <c r="O185">
        <v>5</v>
      </c>
      <c r="P185" t="s">
        <v>921</v>
      </c>
      <c r="S185">
        <v>1</v>
      </c>
      <c r="T185">
        <v>23</v>
      </c>
      <c r="V185">
        <v>50</v>
      </c>
      <c r="W185" t="s">
        <v>1057</v>
      </c>
      <c r="X185" t="s">
        <v>114</v>
      </c>
      <c r="Y185">
        <v>5</v>
      </c>
      <c r="Z185">
        <v>2</v>
      </c>
      <c r="AB185">
        <v>7.0000000000000007E-2</v>
      </c>
      <c r="AC185" t="s">
        <v>85</v>
      </c>
      <c r="AI185">
        <v>3</v>
      </c>
      <c r="AV185" t="s">
        <v>256</v>
      </c>
    </row>
    <row r="186" spans="1:48" x14ac:dyDescent="0.3">
      <c r="A186" t="s">
        <v>919</v>
      </c>
      <c r="C186" t="s">
        <v>1495</v>
      </c>
      <c r="E186">
        <v>10000000</v>
      </c>
      <c r="H186">
        <v>5</v>
      </c>
      <c r="I186" t="s">
        <v>82</v>
      </c>
      <c r="J186">
        <v>5.0000000000000004E-6</v>
      </c>
      <c r="K186" t="s">
        <v>252</v>
      </c>
      <c r="O186">
        <v>10</v>
      </c>
      <c r="P186" t="s">
        <v>921</v>
      </c>
      <c r="S186">
        <v>1</v>
      </c>
      <c r="T186">
        <v>23</v>
      </c>
      <c r="V186">
        <v>50</v>
      </c>
      <c r="W186" t="s">
        <v>1057</v>
      </c>
      <c r="X186" t="s">
        <v>114</v>
      </c>
      <c r="Y186">
        <v>5</v>
      </c>
      <c r="Z186">
        <v>2</v>
      </c>
      <c r="AB186">
        <v>1.03</v>
      </c>
      <c r="AC186" t="s">
        <v>85</v>
      </c>
      <c r="AI186">
        <v>3</v>
      </c>
      <c r="AV186" t="s">
        <v>256</v>
      </c>
    </row>
    <row r="187" spans="1:48" x14ac:dyDescent="0.3">
      <c r="A187" t="s">
        <v>919</v>
      </c>
      <c r="C187" t="s">
        <v>1495</v>
      </c>
      <c r="E187">
        <v>10000000</v>
      </c>
      <c r="H187">
        <v>5</v>
      </c>
      <c r="I187" t="s">
        <v>82</v>
      </c>
      <c r="J187">
        <v>5.0000000000000004E-6</v>
      </c>
      <c r="K187" t="s">
        <v>252</v>
      </c>
      <c r="O187">
        <v>25</v>
      </c>
      <c r="P187" t="s">
        <v>921</v>
      </c>
      <c r="S187">
        <v>1</v>
      </c>
      <c r="T187">
        <v>23</v>
      </c>
      <c r="V187">
        <v>50</v>
      </c>
      <c r="W187" t="s">
        <v>1057</v>
      </c>
      <c r="X187" t="s">
        <v>114</v>
      </c>
      <c r="Y187">
        <v>5</v>
      </c>
      <c r="Z187">
        <v>4</v>
      </c>
      <c r="AB187">
        <v>3.34</v>
      </c>
      <c r="AC187" t="s">
        <v>85</v>
      </c>
      <c r="AI187">
        <v>3</v>
      </c>
      <c r="AV187" t="s">
        <v>256</v>
      </c>
    </row>
    <row r="188" spans="1:48" x14ac:dyDescent="0.3">
      <c r="A188" t="s">
        <v>919</v>
      </c>
      <c r="C188" t="s">
        <v>1495</v>
      </c>
      <c r="E188">
        <v>10000000</v>
      </c>
      <c r="H188">
        <v>5</v>
      </c>
      <c r="I188" t="s">
        <v>82</v>
      </c>
      <c r="J188">
        <v>5.0000000000000004E-6</v>
      </c>
      <c r="K188" t="s">
        <v>252</v>
      </c>
      <c r="O188">
        <v>50</v>
      </c>
      <c r="P188" t="s">
        <v>921</v>
      </c>
      <c r="S188">
        <v>1</v>
      </c>
      <c r="T188">
        <v>23</v>
      </c>
      <c r="V188">
        <v>50</v>
      </c>
      <c r="W188" t="s">
        <v>1057</v>
      </c>
      <c r="X188" t="s">
        <v>114</v>
      </c>
      <c r="Y188">
        <v>5</v>
      </c>
      <c r="Z188">
        <v>4</v>
      </c>
      <c r="AB188">
        <v>5.48</v>
      </c>
      <c r="AC188" t="s">
        <v>85</v>
      </c>
      <c r="AI188">
        <v>3</v>
      </c>
      <c r="AV188" t="s">
        <v>256</v>
      </c>
    </row>
    <row r="189" spans="1:48" x14ac:dyDescent="0.3">
      <c r="A189" t="s">
        <v>919</v>
      </c>
      <c r="C189" t="s">
        <v>1495</v>
      </c>
      <c r="E189">
        <v>10000000</v>
      </c>
      <c r="H189">
        <v>5</v>
      </c>
      <c r="I189" t="s">
        <v>82</v>
      </c>
      <c r="J189">
        <v>5.0000000000000004E-6</v>
      </c>
      <c r="K189" t="s">
        <v>252</v>
      </c>
      <c r="O189">
        <v>5</v>
      </c>
      <c r="P189" t="s">
        <v>921</v>
      </c>
      <c r="S189">
        <v>1</v>
      </c>
      <c r="T189">
        <v>23</v>
      </c>
      <c r="V189">
        <v>50</v>
      </c>
      <c r="W189" t="s">
        <v>1057</v>
      </c>
      <c r="X189" t="s">
        <v>114</v>
      </c>
      <c r="Y189">
        <v>5</v>
      </c>
      <c r="Z189">
        <v>4</v>
      </c>
      <c r="AB189">
        <v>0.01</v>
      </c>
      <c r="AC189" t="s">
        <v>85</v>
      </c>
      <c r="AI189">
        <v>3</v>
      </c>
      <c r="AV189" t="s">
        <v>256</v>
      </c>
    </row>
    <row r="190" spans="1:48" x14ac:dyDescent="0.3">
      <c r="A190" t="s">
        <v>919</v>
      </c>
      <c r="C190" t="s">
        <v>1495</v>
      </c>
      <c r="E190">
        <v>10000000</v>
      </c>
      <c r="H190">
        <v>5</v>
      </c>
      <c r="I190" t="s">
        <v>82</v>
      </c>
      <c r="J190">
        <v>5.0000000000000004E-6</v>
      </c>
      <c r="K190" t="s">
        <v>252</v>
      </c>
      <c r="O190">
        <v>10</v>
      </c>
      <c r="P190" t="s">
        <v>921</v>
      </c>
      <c r="S190">
        <v>1</v>
      </c>
      <c r="T190">
        <v>23</v>
      </c>
      <c r="V190">
        <v>50</v>
      </c>
      <c r="W190" t="s">
        <v>1057</v>
      </c>
      <c r="X190" t="s">
        <v>114</v>
      </c>
      <c r="Y190">
        <v>5</v>
      </c>
      <c r="Z190">
        <v>4</v>
      </c>
      <c r="AB190">
        <v>1</v>
      </c>
      <c r="AC190" t="s">
        <v>85</v>
      </c>
      <c r="AI190">
        <v>3</v>
      </c>
      <c r="AV190" t="s">
        <v>256</v>
      </c>
    </row>
    <row r="191" spans="1:48" x14ac:dyDescent="0.3">
      <c r="A191" t="s">
        <v>919</v>
      </c>
      <c r="C191" t="s">
        <v>1495</v>
      </c>
      <c r="E191">
        <v>10000000</v>
      </c>
      <c r="H191">
        <v>5</v>
      </c>
      <c r="I191" t="s">
        <v>82</v>
      </c>
      <c r="J191">
        <v>5.0000000000000004E-6</v>
      </c>
      <c r="K191" t="s">
        <v>252</v>
      </c>
      <c r="O191">
        <v>25</v>
      </c>
      <c r="P191" t="s">
        <v>921</v>
      </c>
      <c r="S191">
        <v>1</v>
      </c>
      <c r="T191">
        <v>23</v>
      </c>
      <c r="V191">
        <v>50</v>
      </c>
      <c r="W191" t="s">
        <v>1057</v>
      </c>
      <c r="X191" t="s">
        <v>114</v>
      </c>
      <c r="Y191">
        <v>5</v>
      </c>
      <c r="Z191">
        <v>4</v>
      </c>
      <c r="AB191">
        <v>3.47</v>
      </c>
      <c r="AC191" t="s">
        <v>85</v>
      </c>
      <c r="AI191">
        <v>3</v>
      </c>
      <c r="AV191" t="s">
        <v>256</v>
      </c>
    </row>
    <row r="192" spans="1:48" x14ac:dyDescent="0.3">
      <c r="A192" t="s">
        <v>919</v>
      </c>
      <c r="C192" t="s">
        <v>1495</v>
      </c>
      <c r="E192">
        <v>10000000</v>
      </c>
      <c r="H192">
        <v>5</v>
      </c>
      <c r="I192" t="s">
        <v>82</v>
      </c>
      <c r="J192">
        <v>5.0000000000000004E-6</v>
      </c>
      <c r="K192" t="s">
        <v>252</v>
      </c>
      <c r="O192">
        <v>50</v>
      </c>
      <c r="P192" t="s">
        <v>921</v>
      </c>
      <c r="S192">
        <v>1</v>
      </c>
      <c r="T192">
        <v>23</v>
      </c>
      <c r="V192">
        <v>50</v>
      </c>
      <c r="W192" t="s">
        <v>1057</v>
      </c>
      <c r="X192" t="s">
        <v>114</v>
      </c>
      <c r="Y192">
        <v>5</v>
      </c>
      <c r="Z192">
        <v>4</v>
      </c>
      <c r="AB192">
        <v>4.4400000000000004</v>
      </c>
      <c r="AC192" t="s">
        <v>85</v>
      </c>
      <c r="AI192">
        <v>3</v>
      </c>
      <c r="AV192" t="s">
        <v>256</v>
      </c>
    </row>
    <row r="193" spans="1:48" x14ac:dyDescent="0.3">
      <c r="A193" t="s">
        <v>919</v>
      </c>
      <c r="C193" t="s">
        <v>1495</v>
      </c>
      <c r="E193">
        <v>10000000</v>
      </c>
      <c r="H193">
        <v>5</v>
      </c>
      <c r="I193" t="s">
        <v>82</v>
      </c>
      <c r="J193">
        <v>5.0000000000000004E-6</v>
      </c>
      <c r="K193" t="s">
        <v>252</v>
      </c>
      <c r="O193">
        <v>5</v>
      </c>
      <c r="P193" t="s">
        <v>921</v>
      </c>
      <c r="S193">
        <v>1</v>
      </c>
      <c r="T193">
        <v>23</v>
      </c>
      <c r="V193">
        <v>50</v>
      </c>
      <c r="W193" t="s">
        <v>1057</v>
      </c>
      <c r="X193" t="s">
        <v>114</v>
      </c>
      <c r="Y193">
        <v>5</v>
      </c>
      <c r="Z193">
        <v>4</v>
      </c>
      <c r="AB193">
        <v>0.41</v>
      </c>
      <c r="AC193" t="s">
        <v>85</v>
      </c>
      <c r="AI193">
        <v>3</v>
      </c>
      <c r="AV193" t="s">
        <v>256</v>
      </c>
    </row>
    <row r="194" spans="1:48" x14ac:dyDescent="0.3">
      <c r="A194" t="s">
        <v>919</v>
      </c>
      <c r="C194" t="s">
        <v>1495</v>
      </c>
      <c r="E194">
        <v>10000000</v>
      </c>
      <c r="H194">
        <v>5</v>
      </c>
      <c r="I194" t="s">
        <v>82</v>
      </c>
      <c r="J194">
        <v>5.0000000000000004E-6</v>
      </c>
      <c r="K194" t="s">
        <v>252</v>
      </c>
      <c r="O194">
        <v>10</v>
      </c>
      <c r="P194" t="s">
        <v>921</v>
      </c>
      <c r="S194">
        <v>1</v>
      </c>
      <c r="T194">
        <v>23</v>
      </c>
      <c r="V194">
        <v>50</v>
      </c>
      <c r="W194" t="s">
        <v>1057</v>
      </c>
      <c r="X194" t="s">
        <v>114</v>
      </c>
      <c r="Y194">
        <v>5</v>
      </c>
      <c r="Z194">
        <v>4</v>
      </c>
      <c r="AB194">
        <v>0.16</v>
      </c>
      <c r="AC194" t="s">
        <v>85</v>
      </c>
      <c r="AI194">
        <v>3</v>
      </c>
      <c r="AV194" t="s">
        <v>256</v>
      </c>
    </row>
    <row r="195" spans="1:48" x14ac:dyDescent="0.3">
      <c r="A195" t="s">
        <v>919</v>
      </c>
      <c r="C195" t="s">
        <v>1495</v>
      </c>
      <c r="E195">
        <v>10000000</v>
      </c>
      <c r="H195">
        <v>5</v>
      </c>
      <c r="I195" t="s">
        <v>82</v>
      </c>
      <c r="J195">
        <v>5.0000000000000004E-6</v>
      </c>
      <c r="K195" t="s">
        <v>252</v>
      </c>
      <c r="O195">
        <v>25</v>
      </c>
      <c r="P195" t="s">
        <v>921</v>
      </c>
      <c r="S195">
        <v>1</v>
      </c>
      <c r="T195">
        <v>23</v>
      </c>
      <c r="V195">
        <v>50</v>
      </c>
      <c r="W195" t="s">
        <v>1057</v>
      </c>
      <c r="X195" t="s">
        <v>114</v>
      </c>
      <c r="Y195">
        <v>5</v>
      </c>
      <c r="Z195">
        <v>4</v>
      </c>
      <c r="AB195">
        <v>2.71</v>
      </c>
      <c r="AC195" t="s">
        <v>85</v>
      </c>
      <c r="AI195">
        <v>3</v>
      </c>
      <c r="AV195" t="s">
        <v>256</v>
      </c>
    </row>
    <row r="196" spans="1:48" x14ac:dyDescent="0.3">
      <c r="A196" t="s">
        <v>919</v>
      </c>
      <c r="C196" t="s">
        <v>1495</v>
      </c>
      <c r="E196">
        <v>10000000</v>
      </c>
      <c r="H196">
        <v>5</v>
      </c>
      <c r="I196" t="s">
        <v>82</v>
      </c>
      <c r="J196">
        <v>5.0000000000000004E-6</v>
      </c>
      <c r="K196" t="s">
        <v>252</v>
      </c>
      <c r="O196">
        <v>50</v>
      </c>
      <c r="P196" t="s">
        <v>921</v>
      </c>
      <c r="S196">
        <v>1</v>
      </c>
      <c r="T196">
        <v>23</v>
      </c>
      <c r="V196">
        <v>50</v>
      </c>
      <c r="W196" t="s">
        <v>1057</v>
      </c>
      <c r="X196" t="s">
        <v>114</v>
      </c>
      <c r="Y196">
        <v>5</v>
      </c>
      <c r="Z196">
        <v>4</v>
      </c>
      <c r="AB196">
        <v>3.99</v>
      </c>
      <c r="AC196" t="s">
        <v>85</v>
      </c>
      <c r="AI196">
        <v>3</v>
      </c>
      <c r="AV196" t="s">
        <v>256</v>
      </c>
    </row>
    <row r="197" spans="1:48" x14ac:dyDescent="0.3">
      <c r="A197" t="s">
        <v>919</v>
      </c>
      <c r="C197" t="s">
        <v>1495</v>
      </c>
      <c r="E197">
        <v>10000000</v>
      </c>
      <c r="H197">
        <v>5</v>
      </c>
      <c r="I197" t="s">
        <v>82</v>
      </c>
      <c r="J197">
        <v>5.0000000000000004E-6</v>
      </c>
      <c r="K197" t="s">
        <v>252</v>
      </c>
      <c r="O197">
        <v>5</v>
      </c>
      <c r="P197" t="s">
        <v>921</v>
      </c>
      <c r="S197">
        <v>1</v>
      </c>
      <c r="T197">
        <v>23</v>
      </c>
      <c r="V197">
        <v>50</v>
      </c>
      <c r="W197" t="s">
        <v>1057</v>
      </c>
      <c r="X197" t="s">
        <v>114</v>
      </c>
      <c r="Y197">
        <v>5</v>
      </c>
      <c r="Z197">
        <v>4</v>
      </c>
      <c r="AB197">
        <v>0.08</v>
      </c>
      <c r="AC197" t="s">
        <v>85</v>
      </c>
      <c r="AI197">
        <v>3</v>
      </c>
      <c r="AV197" t="s">
        <v>256</v>
      </c>
    </row>
    <row r="198" spans="1:48" x14ac:dyDescent="0.3">
      <c r="A198" t="s">
        <v>919</v>
      </c>
      <c r="C198" t="s">
        <v>1495</v>
      </c>
      <c r="E198">
        <v>10000000</v>
      </c>
      <c r="H198">
        <v>5</v>
      </c>
      <c r="I198" t="s">
        <v>82</v>
      </c>
      <c r="J198">
        <v>5.0000000000000004E-6</v>
      </c>
      <c r="K198" t="s">
        <v>252</v>
      </c>
      <c r="O198">
        <v>10</v>
      </c>
      <c r="P198" t="s">
        <v>921</v>
      </c>
      <c r="S198">
        <v>1</v>
      </c>
      <c r="T198">
        <v>23</v>
      </c>
      <c r="V198">
        <v>50</v>
      </c>
      <c r="W198" t="s">
        <v>1057</v>
      </c>
      <c r="X198" t="s">
        <v>114</v>
      </c>
      <c r="Y198">
        <v>5</v>
      </c>
      <c r="Z198">
        <v>4</v>
      </c>
      <c r="AB198">
        <v>1.7</v>
      </c>
      <c r="AC198" t="s">
        <v>85</v>
      </c>
      <c r="AI198">
        <v>3</v>
      </c>
      <c r="AV198" t="s">
        <v>256</v>
      </c>
    </row>
    <row r="199" spans="1:48" x14ac:dyDescent="0.3">
      <c r="A199" t="s">
        <v>919</v>
      </c>
      <c r="C199" t="s">
        <v>1495</v>
      </c>
      <c r="E199">
        <v>10000000</v>
      </c>
      <c r="H199">
        <v>5</v>
      </c>
      <c r="I199" t="s">
        <v>82</v>
      </c>
      <c r="J199">
        <v>5.0000000000000004E-6</v>
      </c>
      <c r="K199" t="s">
        <v>252</v>
      </c>
      <c r="O199">
        <v>25</v>
      </c>
      <c r="P199" t="s">
        <v>921</v>
      </c>
      <c r="S199">
        <v>1</v>
      </c>
      <c r="T199">
        <v>23</v>
      </c>
      <c r="V199">
        <v>50</v>
      </c>
      <c r="W199" t="s">
        <v>1057</v>
      </c>
      <c r="X199" t="s">
        <v>114</v>
      </c>
      <c r="Y199">
        <v>5</v>
      </c>
      <c r="Z199">
        <v>4</v>
      </c>
      <c r="AB199">
        <v>3.49</v>
      </c>
      <c r="AC199" t="s">
        <v>85</v>
      </c>
      <c r="AI199">
        <v>3</v>
      </c>
      <c r="AV199" t="s">
        <v>256</v>
      </c>
    </row>
    <row r="200" spans="1:48" x14ac:dyDescent="0.3">
      <c r="A200" t="s">
        <v>919</v>
      </c>
      <c r="C200" t="s">
        <v>1495</v>
      </c>
      <c r="E200">
        <v>10000000</v>
      </c>
      <c r="H200">
        <v>5</v>
      </c>
      <c r="I200" t="s">
        <v>82</v>
      </c>
      <c r="J200">
        <v>5.0000000000000004E-6</v>
      </c>
      <c r="K200" t="s">
        <v>252</v>
      </c>
      <c r="O200">
        <v>50</v>
      </c>
      <c r="P200" t="s">
        <v>921</v>
      </c>
      <c r="S200">
        <v>1</v>
      </c>
      <c r="T200">
        <v>23</v>
      </c>
      <c r="V200">
        <v>50</v>
      </c>
      <c r="W200" t="s">
        <v>1057</v>
      </c>
      <c r="X200" t="s">
        <v>114</v>
      </c>
      <c r="Y200">
        <v>5</v>
      </c>
      <c r="Z200">
        <v>4</v>
      </c>
      <c r="AB200">
        <v>4.6900000000000004</v>
      </c>
      <c r="AC200" t="s">
        <v>85</v>
      </c>
      <c r="AI200">
        <v>3</v>
      </c>
      <c r="AV200" t="s">
        <v>256</v>
      </c>
    </row>
    <row r="201" spans="1:48" x14ac:dyDescent="0.3">
      <c r="A201" t="s">
        <v>919</v>
      </c>
      <c r="C201" t="s">
        <v>1495</v>
      </c>
      <c r="E201">
        <v>10000000</v>
      </c>
      <c r="H201">
        <v>5</v>
      </c>
      <c r="I201" t="s">
        <v>82</v>
      </c>
      <c r="J201">
        <v>5.0000000000000004E-6</v>
      </c>
      <c r="K201" t="s">
        <v>252</v>
      </c>
      <c r="O201">
        <v>5</v>
      </c>
      <c r="P201" t="s">
        <v>921</v>
      </c>
      <c r="S201">
        <v>1</v>
      </c>
      <c r="T201">
        <v>23</v>
      </c>
      <c r="V201">
        <v>50</v>
      </c>
      <c r="W201" t="s">
        <v>1057</v>
      </c>
      <c r="X201" t="s">
        <v>114</v>
      </c>
      <c r="Y201">
        <v>5</v>
      </c>
      <c r="Z201">
        <v>4</v>
      </c>
      <c r="AB201">
        <v>7.0000000000000007E-2</v>
      </c>
      <c r="AC201" t="s">
        <v>85</v>
      </c>
      <c r="AI201">
        <v>3</v>
      </c>
      <c r="AV201" t="s">
        <v>256</v>
      </c>
    </row>
    <row r="202" spans="1:48" x14ac:dyDescent="0.3">
      <c r="A202" t="s">
        <v>919</v>
      </c>
      <c r="C202" t="s">
        <v>1495</v>
      </c>
      <c r="E202">
        <v>10000000</v>
      </c>
      <c r="H202">
        <v>5</v>
      </c>
      <c r="I202" t="s">
        <v>82</v>
      </c>
      <c r="J202">
        <v>5.0000000000000004E-6</v>
      </c>
      <c r="K202" t="s">
        <v>252</v>
      </c>
      <c r="O202">
        <v>10</v>
      </c>
      <c r="P202" t="s">
        <v>921</v>
      </c>
      <c r="S202">
        <v>1</v>
      </c>
      <c r="T202">
        <v>23</v>
      </c>
      <c r="V202">
        <v>50</v>
      </c>
      <c r="W202" t="s">
        <v>1057</v>
      </c>
      <c r="X202" t="s">
        <v>114</v>
      </c>
      <c r="Y202">
        <v>5</v>
      </c>
      <c r="Z202">
        <v>4</v>
      </c>
      <c r="AB202">
        <v>1.53</v>
      </c>
      <c r="AC202" t="s">
        <v>85</v>
      </c>
      <c r="AI202">
        <v>3</v>
      </c>
      <c r="AV202" t="s">
        <v>256</v>
      </c>
    </row>
    <row r="203" spans="1:48" x14ac:dyDescent="0.3">
      <c r="A203" t="s">
        <v>919</v>
      </c>
      <c r="C203" t="s">
        <v>1495</v>
      </c>
      <c r="E203">
        <v>10000000</v>
      </c>
      <c r="H203">
        <v>5</v>
      </c>
      <c r="I203" t="s">
        <v>82</v>
      </c>
      <c r="J203">
        <v>5.0000000000000004E-6</v>
      </c>
      <c r="K203" t="s">
        <v>252</v>
      </c>
      <c r="O203">
        <v>25</v>
      </c>
      <c r="P203" t="s">
        <v>921</v>
      </c>
      <c r="S203">
        <v>1</v>
      </c>
      <c r="T203">
        <v>23</v>
      </c>
      <c r="V203">
        <v>50</v>
      </c>
      <c r="W203" t="s">
        <v>1057</v>
      </c>
      <c r="X203" t="s">
        <v>114</v>
      </c>
      <c r="Y203">
        <v>5</v>
      </c>
      <c r="Z203">
        <v>4</v>
      </c>
      <c r="AB203">
        <v>4.01</v>
      </c>
      <c r="AC203" t="s">
        <v>85</v>
      </c>
      <c r="AI203">
        <v>3</v>
      </c>
      <c r="AV203" t="s">
        <v>256</v>
      </c>
    </row>
    <row r="204" spans="1:48" x14ac:dyDescent="0.3">
      <c r="A204" t="s">
        <v>919</v>
      </c>
      <c r="C204" t="s">
        <v>1495</v>
      </c>
      <c r="E204">
        <v>10000000</v>
      </c>
      <c r="H204">
        <v>5</v>
      </c>
      <c r="I204" t="s">
        <v>82</v>
      </c>
      <c r="J204">
        <v>5.0000000000000004E-6</v>
      </c>
      <c r="K204" t="s">
        <v>252</v>
      </c>
      <c r="O204">
        <v>50</v>
      </c>
      <c r="P204" t="s">
        <v>921</v>
      </c>
      <c r="S204">
        <v>1</v>
      </c>
      <c r="T204">
        <v>23</v>
      </c>
      <c r="V204">
        <v>50</v>
      </c>
      <c r="W204" t="s">
        <v>1057</v>
      </c>
      <c r="X204" t="s">
        <v>114</v>
      </c>
      <c r="Y204">
        <v>5</v>
      </c>
      <c r="Z204">
        <v>4</v>
      </c>
      <c r="AB204">
        <v>4.2300000000000004</v>
      </c>
      <c r="AC204" t="s">
        <v>85</v>
      </c>
      <c r="AI204">
        <v>3</v>
      </c>
      <c r="AV204" t="s">
        <v>256</v>
      </c>
    </row>
    <row r="205" spans="1:48" x14ac:dyDescent="0.3">
      <c r="A205" t="s">
        <v>919</v>
      </c>
      <c r="C205" t="s">
        <v>1495</v>
      </c>
      <c r="E205">
        <v>10000000</v>
      </c>
      <c r="H205">
        <v>5</v>
      </c>
      <c r="I205" t="s">
        <v>82</v>
      </c>
      <c r="J205">
        <v>5.0000000000000004E-6</v>
      </c>
      <c r="K205" t="s">
        <v>252</v>
      </c>
      <c r="O205">
        <v>10</v>
      </c>
      <c r="P205" t="s">
        <v>922</v>
      </c>
      <c r="S205">
        <v>1</v>
      </c>
      <c r="T205">
        <v>23</v>
      </c>
      <c r="V205">
        <v>50</v>
      </c>
      <c r="W205" t="s">
        <v>1057</v>
      </c>
      <c r="X205" t="s">
        <v>114</v>
      </c>
      <c r="Y205">
        <v>5</v>
      </c>
      <c r="Z205">
        <v>4</v>
      </c>
      <c r="AB205">
        <v>0.04</v>
      </c>
      <c r="AC205" t="s">
        <v>85</v>
      </c>
      <c r="AI205">
        <v>3</v>
      </c>
      <c r="AV205" t="s">
        <v>256</v>
      </c>
    </row>
    <row r="206" spans="1:48" x14ac:dyDescent="0.3">
      <c r="A206" t="s">
        <v>919</v>
      </c>
      <c r="C206" t="s">
        <v>1495</v>
      </c>
      <c r="E206">
        <v>10000000</v>
      </c>
      <c r="H206">
        <v>5</v>
      </c>
      <c r="I206" t="s">
        <v>82</v>
      </c>
      <c r="J206">
        <v>5.0000000000000004E-6</v>
      </c>
      <c r="K206" t="s">
        <v>252</v>
      </c>
      <c r="O206">
        <v>25</v>
      </c>
      <c r="P206" t="s">
        <v>922</v>
      </c>
      <c r="S206">
        <v>1</v>
      </c>
      <c r="T206">
        <v>23</v>
      </c>
      <c r="V206">
        <v>50</v>
      </c>
      <c r="W206" t="s">
        <v>1057</v>
      </c>
      <c r="X206" t="s">
        <v>114</v>
      </c>
      <c r="Y206">
        <v>5</v>
      </c>
      <c r="Z206">
        <v>4</v>
      </c>
      <c r="AB206">
        <v>0.08</v>
      </c>
      <c r="AC206" t="s">
        <v>85</v>
      </c>
      <c r="AI206">
        <v>3</v>
      </c>
      <c r="AV206" t="s">
        <v>256</v>
      </c>
    </row>
    <row r="207" spans="1:48" x14ac:dyDescent="0.3">
      <c r="A207" t="s">
        <v>919</v>
      </c>
      <c r="C207" t="s">
        <v>1495</v>
      </c>
      <c r="E207">
        <v>10000000</v>
      </c>
      <c r="H207">
        <v>5</v>
      </c>
      <c r="I207" t="s">
        <v>82</v>
      </c>
      <c r="J207">
        <v>5.0000000000000004E-6</v>
      </c>
      <c r="K207" t="s">
        <v>252</v>
      </c>
      <c r="O207">
        <v>50</v>
      </c>
      <c r="P207" t="s">
        <v>922</v>
      </c>
      <c r="S207">
        <v>1</v>
      </c>
      <c r="T207">
        <v>23</v>
      </c>
      <c r="V207">
        <v>50</v>
      </c>
      <c r="W207" t="s">
        <v>1057</v>
      </c>
      <c r="X207" t="s">
        <v>114</v>
      </c>
      <c r="Y207">
        <v>5</v>
      </c>
      <c r="Z207">
        <v>4</v>
      </c>
      <c r="AB207">
        <v>1.19</v>
      </c>
      <c r="AC207" t="s">
        <v>85</v>
      </c>
      <c r="AI207">
        <v>3</v>
      </c>
      <c r="AV207" t="s">
        <v>256</v>
      </c>
    </row>
    <row r="208" spans="1:48" x14ac:dyDescent="0.3">
      <c r="A208" t="s">
        <v>919</v>
      </c>
      <c r="C208" t="s">
        <v>1495</v>
      </c>
      <c r="E208">
        <v>10000000</v>
      </c>
      <c r="H208">
        <v>5</v>
      </c>
      <c r="I208" t="s">
        <v>82</v>
      </c>
      <c r="J208">
        <v>5.0000000000000004E-6</v>
      </c>
      <c r="K208" t="s">
        <v>252</v>
      </c>
      <c r="O208">
        <v>75</v>
      </c>
      <c r="P208" t="s">
        <v>922</v>
      </c>
      <c r="S208">
        <v>1</v>
      </c>
      <c r="T208">
        <v>23</v>
      </c>
      <c r="V208">
        <v>50</v>
      </c>
      <c r="W208" t="s">
        <v>1057</v>
      </c>
      <c r="X208" t="s">
        <v>114</v>
      </c>
      <c r="Y208">
        <v>5</v>
      </c>
      <c r="Z208">
        <v>4</v>
      </c>
      <c r="AB208">
        <v>4.97</v>
      </c>
      <c r="AC208" t="s">
        <v>85</v>
      </c>
      <c r="AI208">
        <v>3</v>
      </c>
      <c r="AV208" t="s">
        <v>256</v>
      </c>
    </row>
    <row r="209" spans="1:48" x14ac:dyDescent="0.3">
      <c r="A209" t="s">
        <v>919</v>
      </c>
      <c r="C209" t="s">
        <v>1495</v>
      </c>
      <c r="E209">
        <v>10000000</v>
      </c>
      <c r="H209">
        <v>5</v>
      </c>
      <c r="I209" t="s">
        <v>82</v>
      </c>
      <c r="J209">
        <v>5.0000000000000004E-6</v>
      </c>
      <c r="K209" t="s">
        <v>252</v>
      </c>
      <c r="O209">
        <v>10</v>
      </c>
      <c r="P209" t="s">
        <v>922</v>
      </c>
      <c r="S209">
        <v>1</v>
      </c>
      <c r="T209">
        <v>23</v>
      </c>
      <c r="V209">
        <v>50</v>
      </c>
      <c r="W209" t="s">
        <v>1057</v>
      </c>
      <c r="X209" t="s">
        <v>114</v>
      </c>
      <c r="Y209">
        <v>5</v>
      </c>
      <c r="Z209">
        <v>4</v>
      </c>
      <c r="AB209">
        <v>0</v>
      </c>
      <c r="AC209" t="s">
        <v>85</v>
      </c>
      <c r="AI209">
        <v>3</v>
      </c>
      <c r="AV209" t="s">
        <v>256</v>
      </c>
    </row>
    <row r="210" spans="1:48" x14ac:dyDescent="0.3">
      <c r="A210" t="s">
        <v>919</v>
      </c>
      <c r="C210" t="s">
        <v>1495</v>
      </c>
      <c r="E210">
        <v>10000000</v>
      </c>
      <c r="H210">
        <v>5</v>
      </c>
      <c r="I210" t="s">
        <v>82</v>
      </c>
      <c r="J210">
        <v>5.0000000000000004E-6</v>
      </c>
      <c r="K210" t="s">
        <v>252</v>
      </c>
      <c r="O210">
        <v>25</v>
      </c>
      <c r="P210" t="s">
        <v>922</v>
      </c>
      <c r="S210">
        <v>1</v>
      </c>
      <c r="T210">
        <v>23</v>
      </c>
      <c r="V210">
        <v>50</v>
      </c>
      <c r="W210" t="s">
        <v>1057</v>
      </c>
      <c r="X210" t="s">
        <v>114</v>
      </c>
      <c r="Y210">
        <v>5</v>
      </c>
      <c r="Z210">
        <v>4</v>
      </c>
      <c r="AB210">
        <v>0.05</v>
      </c>
      <c r="AC210" t="s">
        <v>85</v>
      </c>
      <c r="AI210">
        <v>3</v>
      </c>
      <c r="AV210" t="s">
        <v>256</v>
      </c>
    </row>
    <row r="211" spans="1:48" x14ac:dyDescent="0.3">
      <c r="A211" t="s">
        <v>919</v>
      </c>
      <c r="C211" t="s">
        <v>1495</v>
      </c>
      <c r="E211">
        <v>10000000</v>
      </c>
      <c r="H211">
        <v>5</v>
      </c>
      <c r="I211" t="s">
        <v>82</v>
      </c>
      <c r="J211">
        <v>5.0000000000000004E-6</v>
      </c>
      <c r="K211" t="s">
        <v>252</v>
      </c>
      <c r="O211">
        <v>50</v>
      </c>
      <c r="P211" t="s">
        <v>922</v>
      </c>
      <c r="S211">
        <v>1</v>
      </c>
      <c r="T211">
        <v>23</v>
      </c>
      <c r="V211">
        <v>50</v>
      </c>
      <c r="W211" t="s">
        <v>1057</v>
      </c>
      <c r="X211" t="s">
        <v>114</v>
      </c>
      <c r="Y211">
        <v>5</v>
      </c>
      <c r="Z211">
        <v>2</v>
      </c>
      <c r="AB211">
        <v>0.62</v>
      </c>
      <c r="AC211" t="s">
        <v>85</v>
      </c>
      <c r="AI211">
        <v>3</v>
      </c>
      <c r="AV211" t="s">
        <v>256</v>
      </c>
    </row>
    <row r="212" spans="1:48" x14ac:dyDescent="0.3">
      <c r="A212" t="s">
        <v>919</v>
      </c>
      <c r="C212" t="s">
        <v>1495</v>
      </c>
      <c r="E212">
        <v>10000000</v>
      </c>
      <c r="H212">
        <v>5</v>
      </c>
      <c r="I212" t="s">
        <v>82</v>
      </c>
      <c r="J212">
        <v>5.0000000000000004E-6</v>
      </c>
      <c r="K212" t="s">
        <v>252</v>
      </c>
      <c r="O212">
        <v>75</v>
      </c>
      <c r="P212" t="s">
        <v>922</v>
      </c>
      <c r="S212">
        <v>1</v>
      </c>
      <c r="T212">
        <v>23</v>
      </c>
      <c r="V212">
        <v>50</v>
      </c>
      <c r="W212" t="s">
        <v>1057</v>
      </c>
      <c r="X212" t="s">
        <v>114</v>
      </c>
      <c r="Y212">
        <v>5</v>
      </c>
      <c r="Z212">
        <v>2</v>
      </c>
      <c r="AB212">
        <v>4.18</v>
      </c>
      <c r="AC212" t="s">
        <v>85</v>
      </c>
      <c r="AI212">
        <v>3</v>
      </c>
      <c r="AV212" t="s">
        <v>256</v>
      </c>
    </row>
    <row r="213" spans="1:48" x14ac:dyDescent="0.3">
      <c r="A213" t="s">
        <v>919</v>
      </c>
      <c r="C213" t="s">
        <v>1495</v>
      </c>
      <c r="E213">
        <v>10000000</v>
      </c>
      <c r="H213">
        <v>5</v>
      </c>
      <c r="I213" t="s">
        <v>82</v>
      </c>
      <c r="J213">
        <v>5.0000000000000004E-6</v>
      </c>
      <c r="K213" t="s">
        <v>252</v>
      </c>
      <c r="O213">
        <v>10</v>
      </c>
      <c r="P213" t="s">
        <v>922</v>
      </c>
      <c r="S213">
        <v>1</v>
      </c>
      <c r="T213">
        <v>23</v>
      </c>
      <c r="V213">
        <v>50</v>
      </c>
      <c r="W213" t="s">
        <v>1057</v>
      </c>
      <c r="X213" t="s">
        <v>114</v>
      </c>
      <c r="Y213">
        <v>5</v>
      </c>
      <c r="Z213">
        <v>2</v>
      </c>
      <c r="AB213">
        <v>0</v>
      </c>
      <c r="AC213" t="s">
        <v>85</v>
      </c>
      <c r="AI213">
        <v>3</v>
      </c>
      <c r="AV213" t="s">
        <v>256</v>
      </c>
    </row>
    <row r="214" spans="1:48" x14ac:dyDescent="0.3">
      <c r="A214" t="s">
        <v>919</v>
      </c>
      <c r="C214" t="s">
        <v>1495</v>
      </c>
      <c r="E214">
        <v>10000000</v>
      </c>
      <c r="H214">
        <v>5</v>
      </c>
      <c r="I214" t="s">
        <v>82</v>
      </c>
      <c r="J214">
        <v>5.0000000000000004E-6</v>
      </c>
      <c r="K214" t="s">
        <v>252</v>
      </c>
      <c r="O214">
        <v>25</v>
      </c>
      <c r="P214" t="s">
        <v>922</v>
      </c>
      <c r="S214">
        <v>1</v>
      </c>
      <c r="T214">
        <v>23</v>
      </c>
      <c r="V214">
        <v>50</v>
      </c>
      <c r="W214" t="s">
        <v>1057</v>
      </c>
      <c r="X214" t="s">
        <v>114</v>
      </c>
      <c r="Y214">
        <v>5</v>
      </c>
      <c r="Z214">
        <v>2</v>
      </c>
      <c r="AB214">
        <v>0.08</v>
      </c>
      <c r="AC214" t="s">
        <v>85</v>
      </c>
      <c r="AI214">
        <v>3</v>
      </c>
      <c r="AV214" t="s">
        <v>256</v>
      </c>
    </row>
    <row r="215" spans="1:48" x14ac:dyDescent="0.3">
      <c r="A215" t="s">
        <v>919</v>
      </c>
      <c r="C215" t="s">
        <v>1495</v>
      </c>
      <c r="E215">
        <v>10000000</v>
      </c>
      <c r="H215">
        <v>5</v>
      </c>
      <c r="I215" t="s">
        <v>82</v>
      </c>
      <c r="J215">
        <v>5.0000000000000004E-6</v>
      </c>
      <c r="K215" t="s">
        <v>252</v>
      </c>
      <c r="O215">
        <v>50</v>
      </c>
      <c r="P215" t="s">
        <v>922</v>
      </c>
      <c r="S215">
        <v>1</v>
      </c>
      <c r="T215">
        <v>23</v>
      </c>
      <c r="V215">
        <v>50</v>
      </c>
      <c r="W215" t="s">
        <v>1057</v>
      </c>
      <c r="X215" t="s">
        <v>114</v>
      </c>
      <c r="Y215">
        <v>5</v>
      </c>
      <c r="Z215">
        <v>2</v>
      </c>
      <c r="AB215">
        <v>0.7</v>
      </c>
      <c r="AC215" t="s">
        <v>85</v>
      </c>
      <c r="AI215">
        <v>3</v>
      </c>
      <c r="AV215" t="s">
        <v>256</v>
      </c>
    </row>
    <row r="216" spans="1:48" x14ac:dyDescent="0.3">
      <c r="A216" t="s">
        <v>919</v>
      </c>
      <c r="C216" t="s">
        <v>1495</v>
      </c>
      <c r="E216">
        <v>10000000</v>
      </c>
      <c r="H216">
        <v>5</v>
      </c>
      <c r="I216" t="s">
        <v>82</v>
      </c>
      <c r="J216">
        <v>5.0000000000000004E-6</v>
      </c>
      <c r="K216" t="s">
        <v>252</v>
      </c>
      <c r="O216">
        <v>75</v>
      </c>
      <c r="P216" t="s">
        <v>922</v>
      </c>
      <c r="S216">
        <v>1</v>
      </c>
      <c r="T216">
        <v>23</v>
      </c>
      <c r="V216">
        <v>50</v>
      </c>
      <c r="W216" t="s">
        <v>1057</v>
      </c>
      <c r="X216" t="s">
        <v>114</v>
      </c>
      <c r="Y216">
        <v>5</v>
      </c>
      <c r="Z216">
        <v>2</v>
      </c>
      <c r="AB216">
        <v>3.92</v>
      </c>
      <c r="AC216" t="s">
        <v>85</v>
      </c>
      <c r="AI216">
        <v>3</v>
      </c>
      <c r="AV216" t="s">
        <v>256</v>
      </c>
    </row>
    <row r="217" spans="1:48" x14ac:dyDescent="0.3">
      <c r="A217" t="s">
        <v>919</v>
      </c>
      <c r="C217" t="s">
        <v>1495</v>
      </c>
      <c r="E217">
        <v>10000000</v>
      </c>
      <c r="H217">
        <v>5</v>
      </c>
      <c r="I217" t="s">
        <v>82</v>
      </c>
      <c r="J217">
        <v>5.0000000000000004E-6</v>
      </c>
      <c r="K217" t="s">
        <v>252</v>
      </c>
      <c r="O217">
        <v>10</v>
      </c>
      <c r="P217" t="s">
        <v>922</v>
      </c>
      <c r="S217">
        <v>1</v>
      </c>
      <c r="T217">
        <v>23</v>
      </c>
      <c r="V217">
        <v>50</v>
      </c>
      <c r="W217" t="s">
        <v>1057</v>
      </c>
      <c r="X217" t="s">
        <v>114</v>
      </c>
      <c r="Y217">
        <v>5</v>
      </c>
      <c r="Z217">
        <v>4</v>
      </c>
      <c r="AB217">
        <v>0.1</v>
      </c>
      <c r="AC217" t="s">
        <v>85</v>
      </c>
      <c r="AI217">
        <v>3</v>
      </c>
      <c r="AV217" t="s">
        <v>256</v>
      </c>
    </row>
    <row r="218" spans="1:48" x14ac:dyDescent="0.3">
      <c r="A218" t="s">
        <v>919</v>
      </c>
      <c r="C218" t="s">
        <v>1495</v>
      </c>
      <c r="E218">
        <v>10000000</v>
      </c>
      <c r="H218">
        <v>5</v>
      </c>
      <c r="I218" t="s">
        <v>82</v>
      </c>
      <c r="J218">
        <v>5.0000000000000004E-6</v>
      </c>
      <c r="K218" t="s">
        <v>252</v>
      </c>
      <c r="O218">
        <v>25</v>
      </c>
      <c r="P218" t="s">
        <v>922</v>
      </c>
      <c r="S218">
        <v>1</v>
      </c>
      <c r="T218">
        <v>23</v>
      </c>
      <c r="V218">
        <v>50</v>
      </c>
      <c r="W218" t="s">
        <v>1057</v>
      </c>
      <c r="X218" t="s">
        <v>114</v>
      </c>
      <c r="Y218">
        <v>5</v>
      </c>
      <c r="Z218">
        <v>4</v>
      </c>
      <c r="AB218">
        <v>0.27</v>
      </c>
      <c r="AC218" t="s">
        <v>85</v>
      </c>
      <c r="AI218">
        <v>3</v>
      </c>
      <c r="AV218" t="s">
        <v>256</v>
      </c>
    </row>
    <row r="219" spans="1:48" x14ac:dyDescent="0.3">
      <c r="A219" t="s">
        <v>919</v>
      </c>
      <c r="C219" t="s">
        <v>1495</v>
      </c>
      <c r="E219">
        <v>10000000</v>
      </c>
      <c r="H219">
        <v>5</v>
      </c>
      <c r="I219" t="s">
        <v>82</v>
      </c>
      <c r="J219">
        <v>5.0000000000000004E-6</v>
      </c>
      <c r="K219" t="s">
        <v>252</v>
      </c>
      <c r="O219">
        <v>50</v>
      </c>
      <c r="P219" t="s">
        <v>922</v>
      </c>
      <c r="S219">
        <v>1</v>
      </c>
      <c r="T219">
        <v>23</v>
      </c>
      <c r="V219">
        <v>50</v>
      </c>
      <c r="W219" t="s">
        <v>1057</v>
      </c>
      <c r="X219" t="s">
        <v>114</v>
      </c>
      <c r="Y219">
        <v>5</v>
      </c>
      <c r="Z219">
        <v>4</v>
      </c>
      <c r="AB219">
        <v>0.89</v>
      </c>
      <c r="AC219" t="s">
        <v>85</v>
      </c>
      <c r="AI219">
        <v>3</v>
      </c>
      <c r="AV219" t="s">
        <v>256</v>
      </c>
    </row>
    <row r="220" spans="1:48" x14ac:dyDescent="0.3">
      <c r="A220" t="s">
        <v>919</v>
      </c>
      <c r="C220" t="s">
        <v>1495</v>
      </c>
      <c r="E220">
        <v>10000000</v>
      </c>
      <c r="H220">
        <v>5</v>
      </c>
      <c r="I220" t="s">
        <v>82</v>
      </c>
      <c r="J220">
        <v>5.0000000000000004E-6</v>
      </c>
      <c r="K220" t="s">
        <v>252</v>
      </c>
      <c r="O220">
        <v>75</v>
      </c>
      <c r="P220" t="s">
        <v>922</v>
      </c>
      <c r="S220">
        <v>1</v>
      </c>
      <c r="T220">
        <v>23</v>
      </c>
      <c r="V220">
        <v>50</v>
      </c>
      <c r="W220" t="s">
        <v>1057</v>
      </c>
      <c r="X220" t="s">
        <v>114</v>
      </c>
      <c r="Y220">
        <v>5</v>
      </c>
      <c r="Z220">
        <v>4</v>
      </c>
      <c r="AB220">
        <v>3.65</v>
      </c>
      <c r="AC220" t="s">
        <v>85</v>
      </c>
      <c r="AI220">
        <v>3</v>
      </c>
      <c r="AV220" t="s">
        <v>256</v>
      </c>
    </row>
    <row r="221" spans="1:48" x14ac:dyDescent="0.3">
      <c r="A221" t="s">
        <v>919</v>
      </c>
      <c r="C221" t="s">
        <v>1495</v>
      </c>
      <c r="E221">
        <v>10000000</v>
      </c>
      <c r="H221">
        <v>5</v>
      </c>
      <c r="I221" t="s">
        <v>82</v>
      </c>
      <c r="J221">
        <v>5.0000000000000004E-6</v>
      </c>
      <c r="K221" t="s">
        <v>252</v>
      </c>
      <c r="O221">
        <v>10</v>
      </c>
      <c r="P221" t="s">
        <v>922</v>
      </c>
      <c r="S221">
        <v>1</v>
      </c>
      <c r="T221">
        <v>23</v>
      </c>
      <c r="V221">
        <v>50</v>
      </c>
      <c r="W221" t="s">
        <v>1057</v>
      </c>
      <c r="X221" t="s">
        <v>114</v>
      </c>
      <c r="Y221">
        <v>5</v>
      </c>
      <c r="Z221">
        <v>4</v>
      </c>
      <c r="AB221">
        <v>0.09</v>
      </c>
      <c r="AC221" t="s">
        <v>85</v>
      </c>
      <c r="AI221">
        <v>3</v>
      </c>
      <c r="AV221" t="s">
        <v>256</v>
      </c>
    </row>
    <row r="222" spans="1:48" x14ac:dyDescent="0.3">
      <c r="A222" t="s">
        <v>919</v>
      </c>
      <c r="C222" t="s">
        <v>1495</v>
      </c>
      <c r="E222">
        <v>10000000</v>
      </c>
      <c r="H222">
        <v>5</v>
      </c>
      <c r="I222" t="s">
        <v>82</v>
      </c>
      <c r="J222">
        <v>5.0000000000000004E-6</v>
      </c>
      <c r="K222" t="s">
        <v>252</v>
      </c>
      <c r="O222">
        <v>25</v>
      </c>
      <c r="P222" t="s">
        <v>922</v>
      </c>
      <c r="S222">
        <v>1</v>
      </c>
      <c r="T222">
        <v>23</v>
      </c>
      <c r="V222">
        <v>50</v>
      </c>
      <c r="W222" t="s">
        <v>1057</v>
      </c>
      <c r="X222" t="s">
        <v>114</v>
      </c>
      <c r="Y222">
        <v>5</v>
      </c>
      <c r="Z222">
        <v>4</v>
      </c>
      <c r="AB222">
        <v>0.24</v>
      </c>
      <c r="AC222" t="s">
        <v>85</v>
      </c>
      <c r="AI222">
        <v>3</v>
      </c>
      <c r="AV222" t="s">
        <v>256</v>
      </c>
    </row>
    <row r="223" spans="1:48" x14ac:dyDescent="0.3">
      <c r="A223" t="s">
        <v>919</v>
      </c>
      <c r="C223" t="s">
        <v>1495</v>
      </c>
      <c r="E223">
        <v>10000000</v>
      </c>
      <c r="H223">
        <v>5</v>
      </c>
      <c r="I223" t="s">
        <v>82</v>
      </c>
      <c r="J223">
        <v>5.0000000000000004E-6</v>
      </c>
      <c r="K223" t="s">
        <v>252</v>
      </c>
      <c r="O223">
        <v>50</v>
      </c>
      <c r="P223" t="s">
        <v>922</v>
      </c>
      <c r="S223">
        <v>1</v>
      </c>
      <c r="T223">
        <v>23</v>
      </c>
      <c r="V223">
        <v>50</v>
      </c>
      <c r="W223" t="s">
        <v>1057</v>
      </c>
      <c r="X223" t="s">
        <v>114</v>
      </c>
      <c r="Y223">
        <v>5</v>
      </c>
      <c r="Z223">
        <v>4</v>
      </c>
      <c r="AB223">
        <v>1.33</v>
      </c>
      <c r="AC223" t="s">
        <v>85</v>
      </c>
      <c r="AI223">
        <v>3</v>
      </c>
      <c r="AV223" t="s">
        <v>256</v>
      </c>
    </row>
    <row r="224" spans="1:48" x14ac:dyDescent="0.3">
      <c r="A224" t="s">
        <v>919</v>
      </c>
      <c r="C224" t="s">
        <v>1495</v>
      </c>
      <c r="E224">
        <v>10000000</v>
      </c>
      <c r="H224">
        <v>5</v>
      </c>
      <c r="I224" t="s">
        <v>82</v>
      </c>
      <c r="J224">
        <v>5.0000000000000004E-6</v>
      </c>
      <c r="K224" t="s">
        <v>252</v>
      </c>
      <c r="O224">
        <v>75</v>
      </c>
      <c r="P224" t="s">
        <v>922</v>
      </c>
      <c r="S224">
        <v>1</v>
      </c>
      <c r="T224">
        <v>23</v>
      </c>
      <c r="V224">
        <v>50</v>
      </c>
      <c r="W224" t="s">
        <v>1057</v>
      </c>
      <c r="X224" t="s">
        <v>114</v>
      </c>
      <c r="Y224">
        <v>5</v>
      </c>
      <c r="Z224">
        <v>4</v>
      </c>
      <c r="AB224">
        <v>4.1500000000000004</v>
      </c>
      <c r="AC224" t="s">
        <v>85</v>
      </c>
      <c r="AI224">
        <v>3</v>
      </c>
      <c r="AV224" t="s">
        <v>256</v>
      </c>
    </row>
    <row r="225" spans="1:48" x14ac:dyDescent="0.3">
      <c r="A225" t="s">
        <v>919</v>
      </c>
      <c r="C225" t="s">
        <v>1495</v>
      </c>
      <c r="E225">
        <v>10000000</v>
      </c>
      <c r="H225">
        <v>5</v>
      </c>
      <c r="I225" t="s">
        <v>82</v>
      </c>
      <c r="J225">
        <v>5.0000000000000004E-6</v>
      </c>
      <c r="K225" t="s">
        <v>252</v>
      </c>
      <c r="O225">
        <v>10</v>
      </c>
      <c r="P225" t="s">
        <v>922</v>
      </c>
      <c r="S225">
        <v>1</v>
      </c>
      <c r="T225">
        <v>23</v>
      </c>
      <c r="V225">
        <v>50</v>
      </c>
      <c r="W225" t="s">
        <v>1057</v>
      </c>
      <c r="X225" t="s">
        <v>114</v>
      </c>
      <c r="Y225">
        <v>5</v>
      </c>
      <c r="Z225">
        <v>4</v>
      </c>
      <c r="AB225">
        <v>0.15</v>
      </c>
      <c r="AC225" t="s">
        <v>85</v>
      </c>
      <c r="AI225">
        <v>3</v>
      </c>
      <c r="AV225" t="s">
        <v>256</v>
      </c>
    </row>
    <row r="226" spans="1:48" x14ac:dyDescent="0.3">
      <c r="A226" t="s">
        <v>919</v>
      </c>
      <c r="C226" t="s">
        <v>1495</v>
      </c>
      <c r="E226">
        <v>10000000</v>
      </c>
      <c r="H226">
        <v>5</v>
      </c>
      <c r="I226" t="s">
        <v>82</v>
      </c>
      <c r="J226">
        <v>5.0000000000000004E-6</v>
      </c>
      <c r="K226" t="s">
        <v>252</v>
      </c>
      <c r="O226">
        <v>25</v>
      </c>
      <c r="P226" t="s">
        <v>922</v>
      </c>
      <c r="S226">
        <v>1</v>
      </c>
      <c r="T226">
        <v>23</v>
      </c>
      <c r="V226">
        <v>50</v>
      </c>
      <c r="W226" t="s">
        <v>1057</v>
      </c>
      <c r="X226" t="s">
        <v>114</v>
      </c>
      <c r="Y226">
        <v>5</v>
      </c>
      <c r="Z226">
        <v>4</v>
      </c>
      <c r="AB226">
        <v>0.14000000000000001</v>
      </c>
      <c r="AC226" t="s">
        <v>85</v>
      </c>
      <c r="AI226">
        <v>3</v>
      </c>
      <c r="AV226" t="s">
        <v>256</v>
      </c>
    </row>
    <row r="227" spans="1:48" x14ac:dyDescent="0.3">
      <c r="A227" t="s">
        <v>919</v>
      </c>
      <c r="C227" t="s">
        <v>1495</v>
      </c>
      <c r="E227">
        <v>10000000</v>
      </c>
      <c r="H227">
        <v>5</v>
      </c>
      <c r="I227" t="s">
        <v>82</v>
      </c>
      <c r="J227">
        <v>5.0000000000000004E-6</v>
      </c>
      <c r="K227" t="s">
        <v>252</v>
      </c>
      <c r="O227">
        <v>50</v>
      </c>
      <c r="P227" t="s">
        <v>922</v>
      </c>
      <c r="S227">
        <v>1</v>
      </c>
      <c r="T227">
        <v>23</v>
      </c>
      <c r="V227">
        <v>50</v>
      </c>
      <c r="W227" t="s">
        <v>1057</v>
      </c>
      <c r="X227" t="s">
        <v>114</v>
      </c>
      <c r="Y227">
        <v>5</v>
      </c>
      <c r="Z227">
        <v>4</v>
      </c>
      <c r="AB227">
        <v>0.84</v>
      </c>
      <c r="AC227" t="s">
        <v>85</v>
      </c>
      <c r="AI227">
        <v>3</v>
      </c>
      <c r="AV227" t="s">
        <v>256</v>
      </c>
    </row>
    <row r="228" spans="1:48" x14ac:dyDescent="0.3">
      <c r="A228" t="s">
        <v>919</v>
      </c>
      <c r="C228" t="s">
        <v>1495</v>
      </c>
      <c r="E228">
        <v>10000000</v>
      </c>
      <c r="H228">
        <v>5</v>
      </c>
      <c r="I228" t="s">
        <v>82</v>
      </c>
      <c r="J228">
        <v>5.0000000000000004E-6</v>
      </c>
      <c r="K228" t="s">
        <v>252</v>
      </c>
      <c r="O228">
        <v>75</v>
      </c>
      <c r="P228" t="s">
        <v>922</v>
      </c>
      <c r="S228">
        <v>1</v>
      </c>
      <c r="T228">
        <v>23</v>
      </c>
      <c r="V228">
        <v>50</v>
      </c>
      <c r="W228" t="s">
        <v>1057</v>
      </c>
      <c r="X228" t="s">
        <v>114</v>
      </c>
      <c r="Y228">
        <v>5</v>
      </c>
      <c r="Z228">
        <v>4</v>
      </c>
      <c r="AB228">
        <v>2.73</v>
      </c>
      <c r="AC228" t="s">
        <v>85</v>
      </c>
      <c r="AI228">
        <v>3</v>
      </c>
      <c r="AV228" t="s">
        <v>256</v>
      </c>
    </row>
    <row r="229" spans="1:48" x14ac:dyDescent="0.3">
      <c r="A229" t="s">
        <v>919</v>
      </c>
      <c r="C229" t="s">
        <v>1495</v>
      </c>
      <c r="E229">
        <v>10000000</v>
      </c>
      <c r="H229">
        <v>5</v>
      </c>
      <c r="I229" t="s">
        <v>82</v>
      </c>
      <c r="J229">
        <v>5.0000000000000004E-6</v>
      </c>
      <c r="K229" t="s">
        <v>252</v>
      </c>
      <c r="O229">
        <v>40</v>
      </c>
      <c r="P229" t="s">
        <v>922</v>
      </c>
      <c r="S229">
        <v>1</v>
      </c>
      <c r="T229">
        <v>23</v>
      </c>
      <c r="V229">
        <v>50</v>
      </c>
      <c r="W229" t="s">
        <v>1057</v>
      </c>
      <c r="X229" t="s">
        <v>114</v>
      </c>
      <c r="Y229">
        <v>5</v>
      </c>
      <c r="Z229">
        <v>4</v>
      </c>
      <c r="AB229">
        <v>0.05</v>
      </c>
      <c r="AC229" t="s">
        <v>85</v>
      </c>
      <c r="AI229">
        <v>3</v>
      </c>
      <c r="AV229" t="s">
        <v>256</v>
      </c>
    </row>
    <row r="230" spans="1:48" x14ac:dyDescent="0.3">
      <c r="A230" t="s">
        <v>919</v>
      </c>
      <c r="C230" t="s">
        <v>1495</v>
      </c>
      <c r="E230">
        <v>10000000</v>
      </c>
      <c r="H230">
        <v>5</v>
      </c>
      <c r="I230" t="s">
        <v>82</v>
      </c>
      <c r="J230">
        <v>5.0000000000000004E-6</v>
      </c>
      <c r="K230" t="s">
        <v>252</v>
      </c>
      <c r="O230">
        <v>80</v>
      </c>
      <c r="P230" t="s">
        <v>922</v>
      </c>
      <c r="S230">
        <v>1</v>
      </c>
      <c r="T230">
        <v>23</v>
      </c>
      <c r="V230">
        <v>50</v>
      </c>
      <c r="W230" t="s">
        <v>1057</v>
      </c>
      <c r="X230" t="s">
        <v>114</v>
      </c>
      <c r="Y230">
        <v>5</v>
      </c>
      <c r="Z230">
        <v>4</v>
      </c>
      <c r="AB230">
        <v>0</v>
      </c>
      <c r="AC230" t="s">
        <v>85</v>
      </c>
      <c r="AI230">
        <v>3</v>
      </c>
      <c r="AV230" t="s">
        <v>256</v>
      </c>
    </row>
    <row r="231" spans="1:48" x14ac:dyDescent="0.3">
      <c r="A231" t="s">
        <v>919</v>
      </c>
      <c r="C231" t="s">
        <v>1495</v>
      </c>
      <c r="E231">
        <v>10000000</v>
      </c>
      <c r="H231">
        <v>5</v>
      </c>
      <c r="I231" t="s">
        <v>82</v>
      </c>
      <c r="J231">
        <v>5.0000000000000004E-6</v>
      </c>
      <c r="K231" t="s">
        <v>252</v>
      </c>
      <c r="O231">
        <v>40</v>
      </c>
      <c r="P231" t="s">
        <v>922</v>
      </c>
      <c r="S231">
        <v>1</v>
      </c>
      <c r="T231">
        <v>23</v>
      </c>
      <c r="V231">
        <v>50</v>
      </c>
      <c r="W231" t="s">
        <v>1057</v>
      </c>
      <c r="X231" t="s">
        <v>114</v>
      </c>
      <c r="Y231">
        <v>5</v>
      </c>
      <c r="Z231">
        <v>4</v>
      </c>
      <c r="AB231">
        <v>-0.03</v>
      </c>
      <c r="AC231" t="s">
        <v>85</v>
      </c>
      <c r="AI231">
        <v>3</v>
      </c>
      <c r="AV231" t="s">
        <v>256</v>
      </c>
    </row>
    <row r="232" spans="1:48" x14ac:dyDescent="0.3">
      <c r="A232" t="s">
        <v>919</v>
      </c>
      <c r="C232" t="s">
        <v>1495</v>
      </c>
      <c r="E232">
        <v>10000000</v>
      </c>
      <c r="H232">
        <v>5</v>
      </c>
      <c r="I232" t="s">
        <v>82</v>
      </c>
      <c r="J232">
        <v>5.0000000000000004E-6</v>
      </c>
      <c r="K232" t="s">
        <v>252</v>
      </c>
      <c r="O232">
        <v>80</v>
      </c>
      <c r="P232" t="s">
        <v>922</v>
      </c>
      <c r="S232">
        <v>1</v>
      </c>
      <c r="T232">
        <v>23</v>
      </c>
      <c r="V232">
        <v>50</v>
      </c>
      <c r="W232" t="s">
        <v>1057</v>
      </c>
      <c r="X232" t="s">
        <v>114</v>
      </c>
      <c r="Y232">
        <v>5</v>
      </c>
      <c r="Z232">
        <v>4</v>
      </c>
      <c r="AB232">
        <v>-0.02</v>
      </c>
      <c r="AC232" t="s">
        <v>85</v>
      </c>
      <c r="AI232">
        <v>3</v>
      </c>
      <c r="AV232" t="s">
        <v>256</v>
      </c>
    </row>
    <row r="233" spans="1:48" x14ac:dyDescent="0.3">
      <c r="A233" t="s">
        <v>919</v>
      </c>
      <c r="C233" t="s">
        <v>1495</v>
      </c>
      <c r="E233">
        <v>10000000</v>
      </c>
      <c r="H233">
        <v>5</v>
      </c>
      <c r="I233" t="s">
        <v>82</v>
      </c>
      <c r="J233">
        <v>5.0000000000000004E-6</v>
      </c>
      <c r="K233" t="s">
        <v>252</v>
      </c>
      <c r="O233">
        <v>40</v>
      </c>
      <c r="P233" t="s">
        <v>922</v>
      </c>
      <c r="S233">
        <v>1</v>
      </c>
      <c r="T233">
        <v>23</v>
      </c>
      <c r="V233">
        <v>50</v>
      </c>
      <c r="W233" t="s">
        <v>1057</v>
      </c>
      <c r="X233" t="s">
        <v>114</v>
      </c>
      <c r="Y233">
        <v>5</v>
      </c>
      <c r="Z233">
        <v>4</v>
      </c>
      <c r="AB233">
        <v>0.03</v>
      </c>
      <c r="AC233" t="s">
        <v>85</v>
      </c>
      <c r="AI233">
        <v>3</v>
      </c>
      <c r="AV233" t="s">
        <v>256</v>
      </c>
    </row>
    <row r="234" spans="1:48" x14ac:dyDescent="0.3">
      <c r="A234" t="s">
        <v>919</v>
      </c>
      <c r="C234" t="s">
        <v>1495</v>
      </c>
      <c r="E234">
        <v>10000000</v>
      </c>
      <c r="H234">
        <v>5</v>
      </c>
      <c r="I234" t="s">
        <v>82</v>
      </c>
      <c r="J234">
        <v>5.0000000000000004E-6</v>
      </c>
      <c r="K234" t="s">
        <v>252</v>
      </c>
      <c r="O234">
        <v>80</v>
      </c>
      <c r="P234" t="s">
        <v>922</v>
      </c>
      <c r="S234">
        <v>1</v>
      </c>
      <c r="T234">
        <v>23</v>
      </c>
      <c r="V234">
        <v>50</v>
      </c>
      <c r="W234" t="s">
        <v>1057</v>
      </c>
      <c r="X234" t="s">
        <v>114</v>
      </c>
      <c r="Y234">
        <v>5</v>
      </c>
      <c r="Z234">
        <v>4</v>
      </c>
      <c r="AB234">
        <v>0.02</v>
      </c>
      <c r="AC234" t="s">
        <v>85</v>
      </c>
      <c r="AI234">
        <v>3</v>
      </c>
      <c r="AV234" t="s">
        <v>256</v>
      </c>
    </row>
    <row r="235" spans="1:48" x14ac:dyDescent="0.3">
      <c r="A235" t="s">
        <v>919</v>
      </c>
      <c r="C235" t="s">
        <v>1495</v>
      </c>
      <c r="E235">
        <v>10000000</v>
      </c>
      <c r="H235">
        <v>5</v>
      </c>
      <c r="I235" t="s">
        <v>82</v>
      </c>
      <c r="J235">
        <v>5.0000000000000004E-6</v>
      </c>
      <c r="K235" t="s">
        <v>252</v>
      </c>
      <c r="O235">
        <v>40</v>
      </c>
      <c r="P235" t="s">
        <v>922</v>
      </c>
      <c r="S235">
        <v>1</v>
      </c>
      <c r="T235">
        <v>23</v>
      </c>
      <c r="V235">
        <v>50</v>
      </c>
      <c r="W235" t="s">
        <v>1057</v>
      </c>
      <c r="X235" t="s">
        <v>114</v>
      </c>
      <c r="Y235">
        <v>5</v>
      </c>
      <c r="Z235">
        <v>2</v>
      </c>
      <c r="AB235">
        <v>-0.01</v>
      </c>
      <c r="AC235" t="s">
        <v>85</v>
      </c>
      <c r="AI235">
        <v>3</v>
      </c>
      <c r="AV235" t="s">
        <v>256</v>
      </c>
    </row>
    <row r="236" spans="1:48" x14ac:dyDescent="0.3">
      <c r="A236" t="s">
        <v>919</v>
      </c>
      <c r="C236" t="s">
        <v>1495</v>
      </c>
      <c r="E236">
        <v>10000000</v>
      </c>
      <c r="H236">
        <v>5</v>
      </c>
      <c r="I236" t="s">
        <v>82</v>
      </c>
      <c r="J236">
        <v>5.0000000000000004E-6</v>
      </c>
      <c r="K236" t="s">
        <v>252</v>
      </c>
      <c r="O236">
        <v>80</v>
      </c>
      <c r="P236" t="s">
        <v>922</v>
      </c>
      <c r="S236">
        <v>1</v>
      </c>
      <c r="T236">
        <v>23</v>
      </c>
      <c r="V236">
        <v>50</v>
      </c>
      <c r="W236" t="s">
        <v>1057</v>
      </c>
      <c r="X236" t="s">
        <v>114</v>
      </c>
      <c r="Y236">
        <v>5</v>
      </c>
      <c r="Z236">
        <v>2</v>
      </c>
      <c r="AB236">
        <v>0.06</v>
      </c>
      <c r="AC236" t="s">
        <v>85</v>
      </c>
      <c r="AI236">
        <v>3</v>
      </c>
      <c r="AV236" t="s">
        <v>256</v>
      </c>
    </row>
    <row r="237" spans="1:48" x14ac:dyDescent="0.3">
      <c r="A237" t="s">
        <v>919</v>
      </c>
      <c r="C237" t="s">
        <v>1495</v>
      </c>
      <c r="E237">
        <v>10000000</v>
      </c>
      <c r="H237">
        <v>5</v>
      </c>
      <c r="I237" t="s">
        <v>82</v>
      </c>
      <c r="J237">
        <v>5.0000000000000004E-6</v>
      </c>
      <c r="K237" t="s">
        <v>252</v>
      </c>
      <c r="O237">
        <v>40</v>
      </c>
      <c r="P237" t="s">
        <v>922</v>
      </c>
      <c r="S237">
        <v>1</v>
      </c>
      <c r="T237">
        <v>23</v>
      </c>
      <c r="V237">
        <v>50</v>
      </c>
      <c r="W237" t="s">
        <v>1057</v>
      </c>
      <c r="X237" t="s">
        <v>114</v>
      </c>
      <c r="Y237">
        <v>5</v>
      </c>
      <c r="Z237">
        <v>2</v>
      </c>
      <c r="AB237">
        <v>-0.09</v>
      </c>
      <c r="AC237" t="s">
        <v>85</v>
      </c>
      <c r="AI237">
        <v>3</v>
      </c>
      <c r="AV237" t="s">
        <v>256</v>
      </c>
    </row>
    <row r="238" spans="1:48" x14ac:dyDescent="0.3">
      <c r="A238" t="s">
        <v>919</v>
      </c>
      <c r="C238" t="s">
        <v>1495</v>
      </c>
      <c r="E238">
        <v>10000000</v>
      </c>
      <c r="H238">
        <v>5</v>
      </c>
      <c r="I238" t="s">
        <v>82</v>
      </c>
      <c r="J238">
        <v>5.0000000000000004E-6</v>
      </c>
      <c r="K238" t="s">
        <v>252</v>
      </c>
      <c r="O238">
        <v>80</v>
      </c>
      <c r="P238" t="s">
        <v>922</v>
      </c>
      <c r="S238">
        <v>1</v>
      </c>
      <c r="T238">
        <v>23</v>
      </c>
      <c r="V238">
        <v>50</v>
      </c>
      <c r="W238" t="s">
        <v>1057</v>
      </c>
      <c r="X238" t="s">
        <v>114</v>
      </c>
      <c r="Y238">
        <v>5</v>
      </c>
      <c r="Z238">
        <v>4</v>
      </c>
      <c r="AB238">
        <v>-0.12</v>
      </c>
      <c r="AC238" t="s">
        <v>85</v>
      </c>
      <c r="AI238">
        <v>3</v>
      </c>
      <c r="AV238" t="s">
        <v>256</v>
      </c>
    </row>
    <row r="239" spans="1:48" x14ac:dyDescent="0.3">
      <c r="A239" t="s">
        <v>919</v>
      </c>
      <c r="C239" t="s">
        <v>1495</v>
      </c>
      <c r="E239">
        <v>10000000</v>
      </c>
      <c r="H239">
        <v>5</v>
      </c>
      <c r="I239" t="s">
        <v>82</v>
      </c>
      <c r="J239">
        <v>5.0000000000000004E-6</v>
      </c>
      <c r="K239" t="s">
        <v>252</v>
      </c>
      <c r="O239">
        <v>40</v>
      </c>
      <c r="P239" t="s">
        <v>922</v>
      </c>
      <c r="S239">
        <v>1</v>
      </c>
      <c r="T239">
        <v>23</v>
      </c>
      <c r="V239">
        <v>50</v>
      </c>
      <c r="W239" t="s">
        <v>1057</v>
      </c>
      <c r="X239" t="s">
        <v>114</v>
      </c>
      <c r="Y239">
        <v>5</v>
      </c>
      <c r="Z239">
        <v>4</v>
      </c>
      <c r="AB239">
        <v>0.06</v>
      </c>
      <c r="AC239" t="s">
        <v>85</v>
      </c>
      <c r="AI239">
        <v>3</v>
      </c>
      <c r="AV239" t="s">
        <v>256</v>
      </c>
    </row>
    <row r="240" spans="1:48" x14ac:dyDescent="0.3">
      <c r="A240" t="s">
        <v>919</v>
      </c>
      <c r="C240" t="s">
        <v>1495</v>
      </c>
      <c r="E240">
        <v>10000000</v>
      </c>
      <c r="H240">
        <v>5</v>
      </c>
      <c r="I240" t="s">
        <v>82</v>
      </c>
      <c r="J240">
        <v>5.0000000000000004E-6</v>
      </c>
      <c r="K240" t="s">
        <v>252</v>
      </c>
      <c r="O240">
        <v>80</v>
      </c>
      <c r="P240" t="s">
        <v>922</v>
      </c>
      <c r="S240">
        <v>1</v>
      </c>
      <c r="T240">
        <v>23</v>
      </c>
      <c r="V240">
        <v>50</v>
      </c>
      <c r="W240" t="s">
        <v>1057</v>
      </c>
      <c r="X240" t="s">
        <v>114</v>
      </c>
      <c r="Y240">
        <v>5</v>
      </c>
      <c r="Z240">
        <v>4</v>
      </c>
      <c r="AB240">
        <v>0.16</v>
      </c>
      <c r="AC240" t="s">
        <v>85</v>
      </c>
      <c r="AI240">
        <v>3</v>
      </c>
      <c r="AV240" t="s">
        <v>256</v>
      </c>
    </row>
    <row r="241" spans="1:48" x14ac:dyDescent="0.3">
      <c r="A241" t="s">
        <v>1522</v>
      </c>
      <c r="C241" t="s">
        <v>1495</v>
      </c>
      <c r="D241" t="s">
        <v>81</v>
      </c>
      <c r="E241">
        <v>10000000</v>
      </c>
      <c r="H241">
        <v>10</v>
      </c>
      <c r="I241" t="s">
        <v>82</v>
      </c>
      <c r="J241">
        <v>9.9999999999999991E-6</v>
      </c>
      <c r="K241" t="s">
        <v>252</v>
      </c>
      <c r="L241" t="s">
        <v>58</v>
      </c>
      <c r="O241">
        <v>0.5</v>
      </c>
      <c r="P241" t="s">
        <v>59</v>
      </c>
      <c r="S241" t="s">
        <v>1523</v>
      </c>
      <c r="T241">
        <v>20</v>
      </c>
      <c r="V241">
        <v>50</v>
      </c>
      <c r="W241" t="s">
        <v>1524</v>
      </c>
      <c r="X241" t="s">
        <v>932</v>
      </c>
      <c r="Y241">
        <v>0.14859282593836301</v>
      </c>
      <c r="Z241">
        <v>2</v>
      </c>
      <c r="AB241">
        <v>0.177489177489176</v>
      </c>
      <c r="AC241" t="s">
        <v>85</v>
      </c>
      <c r="AD241" t="s">
        <v>1525</v>
      </c>
      <c r="AE241" t="s">
        <v>1526</v>
      </c>
      <c r="AI241">
        <v>3</v>
      </c>
      <c r="AV241" t="s">
        <v>256</v>
      </c>
    </row>
    <row r="242" spans="1:48" x14ac:dyDescent="0.3">
      <c r="A242" t="s">
        <v>1522</v>
      </c>
      <c r="C242" t="s">
        <v>1495</v>
      </c>
      <c r="D242" t="s">
        <v>81</v>
      </c>
      <c r="E242">
        <v>10000000</v>
      </c>
      <c r="H242">
        <v>10</v>
      </c>
      <c r="I242" t="s">
        <v>82</v>
      </c>
      <c r="J242">
        <v>9.9999999999999991E-6</v>
      </c>
      <c r="K242" t="s">
        <v>252</v>
      </c>
      <c r="L242" t="s">
        <v>58</v>
      </c>
      <c r="O242">
        <v>0.5</v>
      </c>
      <c r="P242" t="s">
        <v>59</v>
      </c>
      <c r="S242" t="s">
        <v>1523</v>
      </c>
      <c r="T242">
        <v>20</v>
      </c>
      <c r="V242">
        <v>50</v>
      </c>
      <c r="W242" t="s">
        <v>1524</v>
      </c>
      <c r="X242" t="s">
        <v>932</v>
      </c>
      <c r="Y242">
        <v>5.0215459597610597</v>
      </c>
      <c r="Z242">
        <v>2</v>
      </c>
      <c r="AB242">
        <v>0.26406926406926301</v>
      </c>
      <c r="AC242" t="s">
        <v>85</v>
      </c>
      <c r="AD242" t="s">
        <v>1525</v>
      </c>
      <c r="AE242" t="s">
        <v>1526</v>
      </c>
      <c r="AI242">
        <v>3</v>
      </c>
      <c r="AV242" t="s">
        <v>256</v>
      </c>
    </row>
    <row r="243" spans="1:48" x14ac:dyDescent="0.3">
      <c r="A243" t="s">
        <v>1522</v>
      </c>
      <c r="C243" t="s">
        <v>1495</v>
      </c>
      <c r="D243" t="s">
        <v>81</v>
      </c>
      <c r="E243">
        <v>10000000</v>
      </c>
      <c r="H243">
        <v>10</v>
      </c>
      <c r="I243" t="s">
        <v>82</v>
      </c>
      <c r="J243">
        <v>9.9999999999999991E-6</v>
      </c>
      <c r="K243" t="s">
        <v>252</v>
      </c>
      <c r="L243" t="s">
        <v>58</v>
      </c>
      <c r="O243">
        <v>0.5</v>
      </c>
      <c r="P243" t="s">
        <v>59</v>
      </c>
      <c r="S243" t="s">
        <v>1523</v>
      </c>
      <c r="T243">
        <v>20</v>
      </c>
      <c r="V243">
        <v>50</v>
      </c>
      <c r="W243" t="s">
        <v>1524</v>
      </c>
      <c r="X243" t="s">
        <v>932</v>
      </c>
      <c r="Y243">
        <v>10.087372581651699</v>
      </c>
      <c r="Z243">
        <v>2</v>
      </c>
      <c r="AB243">
        <v>1.3030303030303001</v>
      </c>
      <c r="AC243" t="s">
        <v>85</v>
      </c>
      <c r="AD243" t="s">
        <v>1525</v>
      </c>
      <c r="AE243" t="s">
        <v>1526</v>
      </c>
      <c r="AI243">
        <v>3</v>
      </c>
      <c r="AV243" t="s">
        <v>256</v>
      </c>
    </row>
    <row r="244" spans="1:48" x14ac:dyDescent="0.3">
      <c r="A244" t="s">
        <v>1522</v>
      </c>
      <c r="C244" t="s">
        <v>1495</v>
      </c>
      <c r="D244" t="s">
        <v>81</v>
      </c>
      <c r="E244">
        <v>10000000</v>
      </c>
      <c r="H244">
        <v>10</v>
      </c>
      <c r="I244" t="s">
        <v>82</v>
      </c>
      <c r="J244">
        <v>9.9999999999999991E-6</v>
      </c>
      <c r="K244" t="s">
        <v>252</v>
      </c>
      <c r="L244" t="s">
        <v>58</v>
      </c>
      <c r="O244">
        <v>0.5</v>
      </c>
      <c r="P244" t="s">
        <v>59</v>
      </c>
      <c r="S244" t="s">
        <v>1523</v>
      </c>
      <c r="T244">
        <v>20</v>
      </c>
      <c r="V244">
        <v>50</v>
      </c>
      <c r="W244" t="s">
        <v>1524</v>
      </c>
      <c r="X244" t="s">
        <v>932</v>
      </c>
      <c r="Y244">
        <v>14.939522719843</v>
      </c>
      <c r="Z244">
        <v>4</v>
      </c>
      <c r="AB244">
        <v>2.9047619047619002</v>
      </c>
      <c r="AC244" t="s">
        <v>85</v>
      </c>
      <c r="AD244" t="s">
        <v>1525</v>
      </c>
      <c r="AE244" t="s">
        <v>1526</v>
      </c>
      <c r="AI244">
        <v>3</v>
      </c>
      <c r="AV244" t="s">
        <v>256</v>
      </c>
    </row>
    <row r="245" spans="1:48" x14ac:dyDescent="0.3">
      <c r="A245" t="s">
        <v>1522</v>
      </c>
      <c r="C245" t="s">
        <v>1495</v>
      </c>
      <c r="D245" t="s">
        <v>81</v>
      </c>
      <c r="E245">
        <v>10000000</v>
      </c>
      <c r="H245">
        <v>10</v>
      </c>
      <c r="I245" t="s">
        <v>82</v>
      </c>
      <c r="J245">
        <v>9.9999999999999991E-6</v>
      </c>
      <c r="K245" t="s">
        <v>252</v>
      </c>
      <c r="L245" t="s">
        <v>58</v>
      </c>
      <c r="O245">
        <v>0.5</v>
      </c>
      <c r="P245" t="s">
        <v>59</v>
      </c>
      <c r="S245" t="s">
        <v>1523</v>
      </c>
      <c r="T245">
        <v>20</v>
      </c>
      <c r="V245">
        <v>50</v>
      </c>
      <c r="W245" t="s">
        <v>1524</v>
      </c>
      <c r="X245" t="s">
        <v>932</v>
      </c>
      <c r="Y245">
        <v>20.0781598264435</v>
      </c>
      <c r="Z245">
        <v>4</v>
      </c>
      <c r="AB245">
        <v>3.6406926406926399</v>
      </c>
      <c r="AC245" t="s">
        <v>85</v>
      </c>
      <c r="AD245" t="s">
        <v>1525</v>
      </c>
      <c r="AE245" t="s">
        <v>1526</v>
      </c>
      <c r="AI245">
        <v>3</v>
      </c>
      <c r="AV245" t="s">
        <v>256</v>
      </c>
    </row>
    <row r="246" spans="1:48" x14ac:dyDescent="0.3">
      <c r="A246" t="s">
        <v>1522</v>
      </c>
      <c r="C246" t="s">
        <v>1495</v>
      </c>
      <c r="D246" t="s">
        <v>81</v>
      </c>
      <c r="E246">
        <v>10000000</v>
      </c>
      <c r="H246">
        <v>10</v>
      </c>
      <c r="I246" t="s">
        <v>82</v>
      </c>
      <c r="J246">
        <v>9.9999999999999991E-6</v>
      </c>
      <c r="K246" t="s">
        <v>252</v>
      </c>
      <c r="L246" t="s">
        <v>58</v>
      </c>
      <c r="O246">
        <v>0.5</v>
      </c>
      <c r="P246" t="s">
        <v>59</v>
      </c>
      <c r="S246" t="s">
        <v>1523</v>
      </c>
      <c r="T246">
        <v>20</v>
      </c>
      <c r="V246">
        <v>50</v>
      </c>
      <c r="W246" t="s">
        <v>1524</v>
      </c>
      <c r="X246" t="s">
        <v>932</v>
      </c>
      <c r="Y246">
        <v>5.0185741032422904</v>
      </c>
      <c r="Z246">
        <v>4</v>
      </c>
      <c r="AB246">
        <v>0.48051948051947901</v>
      </c>
      <c r="AC246" t="s">
        <v>85</v>
      </c>
      <c r="AD246" t="s">
        <v>1525</v>
      </c>
      <c r="AE246" t="s">
        <v>1526</v>
      </c>
      <c r="AI246">
        <v>3</v>
      </c>
      <c r="AV246" t="s">
        <v>256</v>
      </c>
    </row>
    <row r="247" spans="1:48" x14ac:dyDescent="0.3">
      <c r="A247" t="s">
        <v>1522</v>
      </c>
      <c r="C247" t="s">
        <v>1495</v>
      </c>
      <c r="D247" t="s">
        <v>81</v>
      </c>
      <c r="E247">
        <v>10000000</v>
      </c>
      <c r="H247">
        <v>10</v>
      </c>
      <c r="I247" t="s">
        <v>82</v>
      </c>
      <c r="J247">
        <v>9.9999999999999991E-6</v>
      </c>
      <c r="K247" t="s">
        <v>252</v>
      </c>
      <c r="L247" t="s">
        <v>58</v>
      </c>
      <c r="O247">
        <v>0.5</v>
      </c>
      <c r="P247" t="s">
        <v>59</v>
      </c>
      <c r="S247" t="s">
        <v>1523</v>
      </c>
      <c r="T247">
        <v>20</v>
      </c>
      <c r="V247">
        <v>50</v>
      </c>
      <c r="W247" t="s">
        <v>1524</v>
      </c>
      <c r="X247" t="s">
        <v>932</v>
      </c>
      <c r="Y247">
        <v>10.089750066866699</v>
      </c>
      <c r="Z247">
        <v>2</v>
      </c>
      <c r="AB247">
        <v>1.1298701298701199</v>
      </c>
      <c r="AC247" t="s">
        <v>85</v>
      </c>
      <c r="AD247" t="s">
        <v>1525</v>
      </c>
      <c r="AE247" t="s">
        <v>1526</v>
      </c>
      <c r="AI247">
        <v>3</v>
      </c>
      <c r="AV247" t="s">
        <v>256</v>
      </c>
    </row>
    <row r="248" spans="1:48" x14ac:dyDescent="0.3">
      <c r="A248" t="s">
        <v>1522</v>
      </c>
      <c r="C248" t="s">
        <v>1495</v>
      </c>
      <c r="D248" t="s">
        <v>81</v>
      </c>
      <c r="E248">
        <v>10000000</v>
      </c>
      <c r="H248">
        <v>10</v>
      </c>
      <c r="I248" t="s">
        <v>82</v>
      </c>
      <c r="J248">
        <v>9.9999999999999991E-6</v>
      </c>
      <c r="K248" t="s">
        <v>252</v>
      </c>
      <c r="L248" t="s">
        <v>58</v>
      </c>
      <c r="O248">
        <v>0.5</v>
      </c>
      <c r="P248" t="s">
        <v>59</v>
      </c>
      <c r="S248" t="s">
        <v>1523</v>
      </c>
      <c r="T248">
        <v>20</v>
      </c>
      <c r="V248">
        <v>50</v>
      </c>
      <c r="W248" t="s">
        <v>1524</v>
      </c>
      <c r="X248" t="s">
        <v>932</v>
      </c>
      <c r="Y248">
        <v>15.018871288894101</v>
      </c>
      <c r="Z248">
        <v>2</v>
      </c>
      <c r="AB248">
        <v>2.1255411255411198</v>
      </c>
      <c r="AC248" t="s">
        <v>85</v>
      </c>
      <c r="AD248" t="s">
        <v>1525</v>
      </c>
      <c r="AE248" t="s">
        <v>1526</v>
      </c>
      <c r="AI248">
        <v>3</v>
      </c>
      <c r="AV248" t="s">
        <v>256</v>
      </c>
    </row>
    <row r="249" spans="1:48" x14ac:dyDescent="0.3">
      <c r="A249" t="s">
        <v>1522</v>
      </c>
      <c r="C249" t="s">
        <v>1495</v>
      </c>
      <c r="D249" t="s">
        <v>81</v>
      </c>
      <c r="E249">
        <v>10000000</v>
      </c>
      <c r="H249">
        <v>10</v>
      </c>
      <c r="I249" t="s">
        <v>82</v>
      </c>
      <c r="J249">
        <v>9.9999999999999991E-6</v>
      </c>
      <c r="K249" t="s">
        <v>252</v>
      </c>
      <c r="L249" t="s">
        <v>58</v>
      </c>
      <c r="O249">
        <v>0.5</v>
      </c>
      <c r="P249" t="s">
        <v>59</v>
      </c>
      <c r="S249" t="s">
        <v>1523</v>
      </c>
      <c r="T249">
        <v>20</v>
      </c>
      <c r="V249">
        <v>50</v>
      </c>
      <c r="W249" t="s">
        <v>1524</v>
      </c>
      <c r="X249" t="s">
        <v>932</v>
      </c>
      <c r="Y249">
        <v>20.0136705399863</v>
      </c>
      <c r="Z249">
        <v>2</v>
      </c>
      <c r="AB249">
        <v>3.33766233766233</v>
      </c>
      <c r="AC249" t="s">
        <v>85</v>
      </c>
      <c r="AD249" t="s">
        <v>1525</v>
      </c>
      <c r="AE249" t="s">
        <v>1526</v>
      </c>
      <c r="AI249">
        <v>3</v>
      </c>
      <c r="AV249" t="s">
        <v>256</v>
      </c>
    </row>
    <row r="250" spans="1:48" x14ac:dyDescent="0.3">
      <c r="A250" t="s">
        <v>1522</v>
      </c>
      <c r="C250" t="s">
        <v>1495</v>
      </c>
      <c r="D250" t="s">
        <v>81</v>
      </c>
      <c r="E250">
        <v>10000000</v>
      </c>
      <c r="H250">
        <v>10</v>
      </c>
      <c r="I250" t="s">
        <v>82</v>
      </c>
      <c r="J250">
        <v>9.9999999999999991E-6</v>
      </c>
      <c r="K250" t="s">
        <v>252</v>
      </c>
      <c r="L250" t="s">
        <v>58</v>
      </c>
      <c r="O250">
        <v>0.5</v>
      </c>
      <c r="P250" t="s">
        <v>59</v>
      </c>
      <c r="S250" t="s">
        <v>1523</v>
      </c>
      <c r="T250">
        <v>20</v>
      </c>
      <c r="V250">
        <v>50</v>
      </c>
      <c r="W250" t="s">
        <v>1524</v>
      </c>
      <c r="X250" t="s">
        <v>932</v>
      </c>
      <c r="Y250">
        <v>10.091533180778001</v>
      </c>
      <c r="Z250">
        <v>2</v>
      </c>
      <c r="AB250">
        <v>0.999999999999999</v>
      </c>
      <c r="AC250" t="s">
        <v>85</v>
      </c>
      <c r="AD250" t="s">
        <v>1525</v>
      </c>
      <c r="AE250" t="s">
        <v>1526</v>
      </c>
      <c r="AI250">
        <v>3</v>
      </c>
      <c r="AV250" t="s">
        <v>256</v>
      </c>
    </row>
    <row r="251" spans="1:48" x14ac:dyDescent="0.3">
      <c r="A251" t="s">
        <v>1522</v>
      </c>
      <c r="C251" t="s">
        <v>1495</v>
      </c>
      <c r="D251" t="s">
        <v>81</v>
      </c>
      <c r="E251">
        <v>10000000</v>
      </c>
      <c r="H251">
        <v>10</v>
      </c>
      <c r="I251" t="s">
        <v>82</v>
      </c>
      <c r="J251">
        <v>9.9999999999999991E-6</v>
      </c>
      <c r="K251" t="s">
        <v>252</v>
      </c>
      <c r="L251" t="s">
        <v>58</v>
      </c>
      <c r="O251">
        <v>0.5</v>
      </c>
      <c r="P251" t="s">
        <v>59</v>
      </c>
      <c r="S251" t="s">
        <v>1523</v>
      </c>
      <c r="T251">
        <v>20</v>
      </c>
      <c r="V251">
        <v>50</v>
      </c>
      <c r="W251" t="s">
        <v>1524</v>
      </c>
      <c r="X251" t="s">
        <v>932</v>
      </c>
      <c r="Y251">
        <v>15.0156022467235</v>
      </c>
      <c r="Z251">
        <v>2</v>
      </c>
      <c r="AB251">
        <v>2.3636363636363602</v>
      </c>
      <c r="AC251" t="s">
        <v>85</v>
      </c>
      <c r="AD251" t="s">
        <v>1525</v>
      </c>
      <c r="AE251" t="s">
        <v>1526</v>
      </c>
      <c r="AI251">
        <v>3</v>
      </c>
      <c r="AV251" t="s">
        <v>256</v>
      </c>
    </row>
    <row r="252" spans="1:48" x14ac:dyDescent="0.3">
      <c r="A252" t="s">
        <v>1522</v>
      </c>
      <c r="C252" t="s">
        <v>1495</v>
      </c>
      <c r="D252" t="s">
        <v>81</v>
      </c>
      <c r="E252">
        <v>10000000</v>
      </c>
      <c r="H252">
        <v>10</v>
      </c>
      <c r="I252" t="s">
        <v>82</v>
      </c>
      <c r="J252">
        <v>9.9999999999999991E-6</v>
      </c>
      <c r="K252" t="s">
        <v>252</v>
      </c>
      <c r="L252" t="s">
        <v>58</v>
      </c>
      <c r="O252">
        <v>0.5</v>
      </c>
      <c r="P252" t="s">
        <v>59</v>
      </c>
      <c r="S252" t="s">
        <v>1523</v>
      </c>
      <c r="T252">
        <v>20</v>
      </c>
      <c r="V252">
        <v>50</v>
      </c>
      <c r="W252" t="s">
        <v>1524</v>
      </c>
      <c r="X252" t="s">
        <v>932</v>
      </c>
      <c r="Y252">
        <v>19.9462093970103</v>
      </c>
      <c r="Z252">
        <v>2</v>
      </c>
      <c r="AB252">
        <v>3.2510822510822499</v>
      </c>
      <c r="AC252" t="s">
        <v>85</v>
      </c>
      <c r="AD252" t="s">
        <v>1525</v>
      </c>
      <c r="AE252" t="s">
        <v>1526</v>
      </c>
      <c r="AI252">
        <v>3</v>
      </c>
      <c r="AV252" t="s">
        <v>256</v>
      </c>
    </row>
    <row r="253" spans="1:48" x14ac:dyDescent="0.3">
      <c r="A253" t="s">
        <v>1522</v>
      </c>
      <c r="C253" t="s">
        <v>1495</v>
      </c>
      <c r="D253" t="s">
        <v>81</v>
      </c>
      <c r="E253">
        <v>10000000</v>
      </c>
      <c r="H253">
        <v>10</v>
      </c>
      <c r="I253" t="s">
        <v>82</v>
      </c>
      <c r="J253">
        <v>9.9999999999999991E-6</v>
      </c>
      <c r="K253" t="s">
        <v>252</v>
      </c>
      <c r="L253" t="s">
        <v>58</v>
      </c>
      <c r="O253">
        <v>0.5</v>
      </c>
      <c r="P253" t="s">
        <v>59</v>
      </c>
      <c r="S253" t="s">
        <v>1523</v>
      </c>
      <c r="T253">
        <v>20</v>
      </c>
      <c r="V253">
        <v>50</v>
      </c>
      <c r="W253" t="s">
        <v>1524</v>
      </c>
      <c r="X253" t="s">
        <v>932</v>
      </c>
      <c r="Y253">
        <v>10.157508395494601</v>
      </c>
      <c r="Z253">
        <v>2</v>
      </c>
      <c r="AB253">
        <v>1.1948051948051901</v>
      </c>
      <c r="AC253" t="s">
        <v>85</v>
      </c>
      <c r="AD253" t="s">
        <v>1525</v>
      </c>
      <c r="AE253" t="s">
        <v>1526</v>
      </c>
      <c r="AI253">
        <v>3</v>
      </c>
      <c r="AV253" t="s">
        <v>256</v>
      </c>
    </row>
    <row r="254" spans="1:48" x14ac:dyDescent="0.3">
      <c r="A254" t="s">
        <v>1522</v>
      </c>
      <c r="C254" t="s">
        <v>1495</v>
      </c>
      <c r="D254" t="s">
        <v>81</v>
      </c>
      <c r="E254">
        <v>10000000</v>
      </c>
      <c r="H254">
        <v>10</v>
      </c>
      <c r="I254" t="s">
        <v>82</v>
      </c>
      <c r="J254">
        <v>9.9999999999999991E-6</v>
      </c>
      <c r="K254" t="s">
        <v>252</v>
      </c>
      <c r="L254" t="s">
        <v>58</v>
      </c>
      <c r="O254">
        <v>0.5</v>
      </c>
      <c r="P254" t="s">
        <v>59</v>
      </c>
      <c r="S254" t="s">
        <v>1523</v>
      </c>
      <c r="T254">
        <v>20</v>
      </c>
      <c r="V254">
        <v>50</v>
      </c>
      <c r="W254" t="s">
        <v>1524</v>
      </c>
      <c r="X254" t="s">
        <v>932</v>
      </c>
      <c r="Y254">
        <v>15.0069838628191</v>
      </c>
      <c r="Z254">
        <v>1</v>
      </c>
      <c r="AB254">
        <v>2.9913419913419901</v>
      </c>
      <c r="AC254" t="s">
        <v>85</v>
      </c>
      <c r="AD254" t="s">
        <v>1525</v>
      </c>
      <c r="AE254" t="s">
        <v>1526</v>
      </c>
      <c r="AI254">
        <v>3</v>
      </c>
      <c r="AV254" t="s">
        <v>256</v>
      </c>
    </row>
    <row r="255" spans="1:48" x14ac:dyDescent="0.3">
      <c r="A255" t="s">
        <v>1522</v>
      </c>
      <c r="C255" t="s">
        <v>1495</v>
      </c>
      <c r="D255" t="s">
        <v>81</v>
      </c>
      <c r="E255">
        <v>10000000</v>
      </c>
      <c r="H255">
        <v>10</v>
      </c>
      <c r="I255" t="s">
        <v>82</v>
      </c>
      <c r="J255">
        <v>9.9999999999999991E-6</v>
      </c>
      <c r="K255" t="s">
        <v>252</v>
      </c>
      <c r="L255" t="s">
        <v>58</v>
      </c>
      <c r="O255">
        <v>0.5</v>
      </c>
      <c r="P255" t="s">
        <v>59</v>
      </c>
      <c r="S255" t="s">
        <v>1523</v>
      </c>
      <c r="T255">
        <v>20</v>
      </c>
      <c r="V255">
        <v>50</v>
      </c>
      <c r="W255" t="s">
        <v>1524</v>
      </c>
      <c r="X255" t="s">
        <v>932</v>
      </c>
      <c r="Y255">
        <v>24.9433861333174</v>
      </c>
      <c r="Z255">
        <v>1</v>
      </c>
      <c r="AB255">
        <v>4.2900432900432897</v>
      </c>
      <c r="AC255" t="s">
        <v>85</v>
      </c>
      <c r="AD255" t="s">
        <v>1525</v>
      </c>
      <c r="AE255" t="s">
        <v>1526</v>
      </c>
      <c r="AI255">
        <v>3</v>
      </c>
      <c r="AV255" t="s">
        <v>256</v>
      </c>
    </row>
    <row r="256" spans="1:48" x14ac:dyDescent="0.3">
      <c r="A256" t="s">
        <v>1522</v>
      </c>
      <c r="C256" t="s">
        <v>1495</v>
      </c>
      <c r="D256" t="s">
        <v>81</v>
      </c>
      <c r="E256">
        <v>10000000</v>
      </c>
      <c r="H256">
        <v>10</v>
      </c>
      <c r="I256" t="s">
        <v>82</v>
      </c>
      <c r="J256">
        <v>9.9999999999999991E-6</v>
      </c>
      <c r="K256" t="s">
        <v>252</v>
      </c>
      <c r="L256" t="s">
        <v>58</v>
      </c>
      <c r="O256">
        <v>1.5</v>
      </c>
      <c r="P256" t="s">
        <v>927</v>
      </c>
      <c r="S256" t="s">
        <v>1523</v>
      </c>
      <c r="T256">
        <v>20</v>
      </c>
      <c r="V256">
        <v>50</v>
      </c>
      <c r="W256" t="s">
        <v>1524</v>
      </c>
      <c r="X256" t="s">
        <v>932</v>
      </c>
      <c r="Y256">
        <v>0</v>
      </c>
      <c r="Z256">
        <v>1</v>
      </c>
      <c r="AB256">
        <v>-4.1666666666665499E-2</v>
      </c>
      <c r="AC256" t="s">
        <v>85</v>
      </c>
      <c r="AD256" t="s">
        <v>1525</v>
      </c>
      <c r="AE256" t="s">
        <v>1526</v>
      </c>
      <c r="AI256">
        <v>3</v>
      </c>
      <c r="AV256" t="s">
        <v>256</v>
      </c>
    </row>
    <row r="257" spans="1:48" x14ac:dyDescent="0.3">
      <c r="A257" t="s">
        <v>1522</v>
      </c>
      <c r="C257" t="s">
        <v>1495</v>
      </c>
      <c r="D257" t="s">
        <v>81</v>
      </c>
      <c r="E257">
        <v>10000000</v>
      </c>
      <c r="H257">
        <v>10</v>
      </c>
      <c r="I257" t="s">
        <v>82</v>
      </c>
      <c r="J257">
        <v>9.9999999999999991E-6</v>
      </c>
      <c r="K257" t="s">
        <v>252</v>
      </c>
      <c r="L257" t="s">
        <v>58</v>
      </c>
      <c r="O257">
        <v>1.5</v>
      </c>
      <c r="P257" t="s">
        <v>927</v>
      </c>
      <c r="S257" t="s">
        <v>1523</v>
      </c>
      <c r="T257">
        <v>20</v>
      </c>
      <c r="V257">
        <v>50</v>
      </c>
      <c r="W257" t="s">
        <v>1524</v>
      </c>
      <c r="X257" t="s">
        <v>932</v>
      </c>
      <c r="Y257">
        <v>4.9084249084248999</v>
      </c>
      <c r="Z257">
        <v>1</v>
      </c>
      <c r="AB257">
        <v>0.146359042192376</v>
      </c>
      <c r="AC257" t="s">
        <v>85</v>
      </c>
      <c r="AD257" t="s">
        <v>1525</v>
      </c>
      <c r="AE257" t="s">
        <v>1526</v>
      </c>
      <c r="AI257">
        <v>3</v>
      </c>
      <c r="AV257" t="s">
        <v>256</v>
      </c>
    </row>
    <row r="258" spans="1:48" x14ac:dyDescent="0.3">
      <c r="A258" t="s">
        <v>1522</v>
      </c>
      <c r="C258" t="s">
        <v>1495</v>
      </c>
      <c r="D258" t="s">
        <v>81</v>
      </c>
      <c r="E258">
        <v>10000000</v>
      </c>
      <c r="H258">
        <v>10</v>
      </c>
      <c r="I258" t="s">
        <v>82</v>
      </c>
      <c r="J258">
        <v>9.9999999999999991E-6</v>
      </c>
      <c r="K258" t="s">
        <v>252</v>
      </c>
      <c r="L258" t="s">
        <v>58</v>
      </c>
      <c r="O258">
        <v>1.5</v>
      </c>
      <c r="P258" t="s">
        <v>927</v>
      </c>
      <c r="S258" t="s">
        <v>1523</v>
      </c>
      <c r="T258">
        <v>20</v>
      </c>
      <c r="V258">
        <v>50</v>
      </c>
      <c r="W258" t="s">
        <v>1524</v>
      </c>
      <c r="X258" t="s">
        <v>932</v>
      </c>
      <c r="Y258">
        <v>10.036630036629999</v>
      </c>
      <c r="Z258">
        <v>1</v>
      </c>
      <c r="AB258">
        <v>1.37617860534527</v>
      </c>
      <c r="AC258" t="s">
        <v>85</v>
      </c>
      <c r="AD258" t="s">
        <v>1525</v>
      </c>
      <c r="AE258" t="s">
        <v>1526</v>
      </c>
      <c r="AI258">
        <v>3</v>
      </c>
      <c r="AV258" t="s">
        <v>256</v>
      </c>
    </row>
    <row r="259" spans="1:48" x14ac:dyDescent="0.3">
      <c r="A259" t="s">
        <v>1522</v>
      </c>
      <c r="C259" t="s">
        <v>1495</v>
      </c>
      <c r="D259" t="s">
        <v>81</v>
      </c>
      <c r="E259">
        <v>10000000</v>
      </c>
      <c r="H259">
        <v>10</v>
      </c>
      <c r="I259" t="s">
        <v>82</v>
      </c>
      <c r="J259">
        <v>9.9999999999999991E-6</v>
      </c>
      <c r="K259" t="s">
        <v>252</v>
      </c>
      <c r="L259" t="s">
        <v>58</v>
      </c>
      <c r="O259">
        <v>1.5</v>
      </c>
      <c r="P259" t="s">
        <v>927</v>
      </c>
      <c r="S259" t="s">
        <v>1523</v>
      </c>
      <c r="T259">
        <v>20</v>
      </c>
      <c r="V259">
        <v>50</v>
      </c>
      <c r="W259" t="s">
        <v>1524</v>
      </c>
      <c r="X259" t="s">
        <v>932</v>
      </c>
      <c r="Y259">
        <v>15.018315018315</v>
      </c>
      <c r="Z259">
        <v>1</v>
      </c>
      <c r="AB259">
        <v>2.5133207841541099</v>
      </c>
      <c r="AC259" t="s">
        <v>85</v>
      </c>
      <c r="AD259" t="s">
        <v>1525</v>
      </c>
      <c r="AE259" t="s">
        <v>1526</v>
      </c>
      <c r="AI259">
        <v>3</v>
      </c>
      <c r="AV259" t="s">
        <v>256</v>
      </c>
    </row>
    <row r="260" spans="1:48" x14ac:dyDescent="0.3">
      <c r="A260" t="s">
        <v>1522</v>
      </c>
      <c r="C260" t="s">
        <v>1495</v>
      </c>
      <c r="D260" t="s">
        <v>81</v>
      </c>
      <c r="E260">
        <v>10000000</v>
      </c>
      <c r="H260">
        <v>10</v>
      </c>
      <c r="I260" t="s">
        <v>82</v>
      </c>
      <c r="J260">
        <v>9.9999999999999991E-6</v>
      </c>
      <c r="K260" t="s">
        <v>252</v>
      </c>
      <c r="L260" t="s">
        <v>58</v>
      </c>
      <c r="O260">
        <v>1.5</v>
      </c>
      <c r="P260" t="s">
        <v>927</v>
      </c>
      <c r="S260" t="s">
        <v>1523</v>
      </c>
      <c r="T260">
        <v>20</v>
      </c>
      <c r="V260">
        <v>50</v>
      </c>
      <c r="W260" t="s">
        <v>1524</v>
      </c>
      <c r="X260" t="s">
        <v>932</v>
      </c>
      <c r="Y260">
        <v>20</v>
      </c>
      <c r="Z260">
        <v>1</v>
      </c>
      <c r="AB260">
        <v>4.0208333333333304</v>
      </c>
      <c r="AC260" t="s">
        <v>85</v>
      </c>
      <c r="AD260" t="s">
        <v>1525</v>
      </c>
      <c r="AE260" t="s">
        <v>1526</v>
      </c>
      <c r="AI260">
        <v>3</v>
      </c>
      <c r="AV260" t="s">
        <v>256</v>
      </c>
    </row>
    <row r="261" spans="1:48" x14ac:dyDescent="0.3">
      <c r="A261" t="s">
        <v>1522</v>
      </c>
      <c r="C261" t="s">
        <v>1495</v>
      </c>
      <c r="D261" t="s">
        <v>81</v>
      </c>
      <c r="E261">
        <v>10000000</v>
      </c>
      <c r="H261">
        <v>10</v>
      </c>
      <c r="I261" t="s">
        <v>82</v>
      </c>
      <c r="J261">
        <v>9.9999999999999991E-6</v>
      </c>
      <c r="K261" t="s">
        <v>252</v>
      </c>
      <c r="L261" t="s">
        <v>58</v>
      </c>
      <c r="O261">
        <v>1.5</v>
      </c>
      <c r="P261" t="s">
        <v>927</v>
      </c>
      <c r="S261" t="s">
        <v>1523</v>
      </c>
      <c r="T261">
        <v>20</v>
      </c>
      <c r="V261">
        <v>50</v>
      </c>
      <c r="W261" t="s">
        <v>1524</v>
      </c>
      <c r="X261" t="s">
        <v>932</v>
      </c>
      <c r="Y261">
        <v>5.0549450549450503</v>
      </c>
      <c r="Z261">
        <v>1</v>
      </c>
      <c r="AB261">
        <v>0.95662901912901999</v>
      </c>
      <c r="AC261" t="s">
        <v>85</v>
      </c>
      <c r="AD261" t="s">
        <v>1525</v>
      </c>
      <c r="AE261" t="s">
        <v>1526</v>
      </c>
      <c r="AI261">
        <v>3</v>
      </c>
      <c r="AV261" t="s">
        <v>256</v>
      </c>
    </row>
    <row r="262" spans="1:48" x14ac:dyDescent="0.3">
      <c r="A262" t="s">
        <v>1522</v>
      </c>
      <c r="C262" t="s">
        <v>1495</v>
      </c>
      <c r="D262" t="s">
        <v>81</v>
      </c>
      <c r="E262">
        <v>10000000</v>
      </c>
      <c r="H262">
        <v>10</v>
      </c>
      <c r="I262" t="s">
        <v>82</v>
      </c>
      <c r="J262">
        <v>9.9999999999999991E-6</v>
      </c>
      <c r="K262" t="s">
        <v>252</v>
      </c>
      <c r="L262" t="s">
        <v>58</v>
      </c>
      <c r="O262">
        <v>1.5</v>
      </c>
      <c r="P262" t="s">
        <v>927</v>
      </c>
      <c r="S262" t="s">
        <v>1523</v>
      </c>
      <c r="T262">
        <v>20</v>
      </c>
      <c r="V262">
        <v>50</v>
      </c>
      <c r="W262" t="s">
        <v>1524</v>
      </c>
      <c r="X262" t="s">
        <v>932</v>
      </c>
      <c r="Y262">
        <v>9.8901098901098798</v>
      </c>
      <c r="Z262">
        <v>1</v>
      </c>
      <c r="AB262">
        <v>2.8575752950752902</v>
      </c>
      <c r="AC262" t="s">
        <v>85</v>
      </c>
      <c r="AD262" t="s">
        <v>1525</v>
      </c>
      <c r="AE262" t="s">
        <v>1526</v>
      </c>
      <c r="AI262">
        <v>3</v>
      </c>
      <c r="AV262" t="s">
        <v>256</v>
      </c>
    </row>
    <row r="263" spans="1:48" x14ac:dyDescent="0.3">
      <c r="A263" t="s">
        <v>1522</v>
      </c>
      <c r="C263" t="s">
        <v>1495</v>
      </c>
      <c r="D263" t="s">
        <v>81</v>
      </c>
      <c r="E263">
        <v>10000000</v>
      </c>
      <c r="H263">
        <v>10</v>
      </c>
      <c r="I263" t="s">
        <v>82</v>
      </c>
      <c r="J263">
        <v>9.9999999999999991E-6</v>
      </c>
      <c r="K263" t="s">
        <v>252</v>
      </c>
      <c r="L263" t="s">
        <v>58</v>
      </c>
      <c r="O263">
        <v>1.5</v>
      </c>
      <c r="P263" t="s">
        <v>927</v>
      </c>
      <c r="S263" t="s">
        <v>1523</v>
      </c>
      <c r="T263">
        <v>20</v>
      </c>
      <c r="V263">
        <v>50</v>
      </c>
      <c r="W263" t="s">
        <v>1524</v>
      </c>
      <c r="X263" t="s">
        <v>932</v>
      </c>
      <c r="Y263">
        <v>14.871794871794799</v>
      </c>
      <c r="Z263">
        <v>1</v>
      </c>
      <c r="AB263">
        <v>3.80953228869895</v>
      </c>
      <c r="AC263" t="s">
        <v>85</v>
      </c>
      <c r="AD263" t="s">
        <v>1525</v>
      </c>
      <c r="AE263" t="s">
        <v>1526</v>
      </c>
      <c r="AI263">
        <v>3</v>
      </c>
      <c r="AV263" t="s">
        <v>256</v>
      </c>
    </row>
    <row r="264" spans="1:48" x14ac:dyDescent="0.3">
      <c r="A264" t="s">
        <v>1522</v>
      </c>
      <c r="C264" t="s">
        <v>1495</v>
      </c>
      <c r="D264" t="s">
        <v>81</v>
      </c>
      <c r="E264">
        <v>10000000</v>
      </c>
      <c r="H264">
        <v>10</v>
      </c>
      <c r="I264" t="s">
        <v>82</v>
      </c>
      <c r="J264">
        <v>9.9999999999999991E-6</v>
      </c>
      <c r="K264" t="s">
        <v>252</v>
      </c>
      <c r="L264" t="s">
        <v>58</v>
      </c>
      <c r="O264">
        <v>1.5</v>
      </c>
      <c r="P264" t="s">
        <v>927</v>
      </c>
      <c r="S264" t="s">
        <v>1523</v>
      </c>
      <c r="T264">
        <v>20</v>
      </c>
      <c r="V264">
        <v>50</v>
      </c>
      <c r="W264" t="s">
        <v>1524</v>
      </c>
      <c r="X264" t="s">
        <v>932</v>
      </c>
      <c r="Y264">
        <v>20</v>
      </c>
      <c r="Z264">
        <v>1</v>
      </c>
      <c r="AB264">
        <v>3.8356481481481399</v>
      </c>
      <c r="AC264" t="s">
        <v>85</v>
      </c>
      <c r="AD264" t="s">
        <v>1525</v>
      </c>
      <c r="AE264" t="s">
        <v>1526</v>
      </c>
      <c r="AI264">
        <v>3</v>
      </c>
      <c r="AV264" t="s">
        <v>256</v>
      </c>
    </row>
    <row r="265" spans="1:48" x14ac:dyDescent="0.3">
      <c r="A265" t="s">
        <v>1522</v>
      </c>
      <c r="C265" t="s">
        <v>1495</v>
      </c>
      <c r="D265" t="s">
        <v>81</v>
      </c>
      <c r="E265">
        <v>10000000</v>
      </c>
      <c r="H265">
        <v>10</v>
      </c>
      <c r="I265" t="s">
        <v>82</v>
      </c>
      <c r="J265">
        <v>9.9999999999999991E-6</v>
      </c>
      <c r="K265" t="s">
        <v>252</v>
      </c>
      <c r="L265" t="s">
        <v>58</v>
      </c>
      <c r="O265">
        <v>1.5</v>
      </c>
      <c r="P265" t="s">
        <v>927</v>
      </c>
      <c r="S265" t="s">
        <v>1523</v>
      </c>
      <c r="T265">
        <v>20</v>
      </c>
      <c r="V265">
        <v>50</v>
      </c>
      <c r="W265" t="s">
        <v>1524</v>
      </c>
      <c r="X265" t="s">
        <v>932</v>
      </c>
      <c r="Y265">
        <v>5.0328598685605197</v>
      </c>
      <c r="Z265">
        <v>1</v>
      </c>
      <c r="AB265">
        <v>5.66037735849068E-2</v>
      </c>
      <c r="AC265" t="s">
        <v>85</v>
      </c>
      <c r="AD265" t="s">
        <v>1525</v>
      </c>
      <c r="AE265" t="s">
        <v>1526</v>
      </c>
      <c r="AI265">
        <v>3</v>
      </c>
      <c r="AV265" t="s">
        <v>256</v>
      </c>
    </row>
    <row r="266" spans="1:48" x14ac:dyDescent="0.3">
      <c r="A266" t="s">
        <v>1522</v>
      </c>
      <c r="C266" t="s">
        <v>1495</v>
      </c>
      <c r="D266" t="s">
        <v>81</v>
      </c>
      <c r="E266">
        <v>10000000</v>
      </c>
      <c r="H266">
        <v>10</v>
      </c>
      <c r="I266" t="s">
        <v>82</v>
      </c>
      <c r="J266">
        <v>9.9999999999999991E-6</v>
      </c>
      <c r="K266" t="s">
        <v>252</v>
      </c>
      <c r="L266" t="s">
        <v>58</v>
      </c>
      <c r="O266">
        <v>1.5</v>
      </c>
      <c r="P266" t="s">
        <v>927</v>
      </c>
      <c r="S266" t="s">
        <v>1523</v>
      </c>
      <c r="T266">
        <v>20</v>
      </c>
      <c r="V266">
        <v>50</v>
      </c>
      <c r="W266" t="s">
        <v>1524</v>
      </c>
      <c r="X266" t="s">
        <v>932</v>
      </c>
      <c r="Y266">
        <v>9.9625468164793993</v>
      </c>
      <c r="Z266">
        <v>1</v>
      </c>
      <c r="AB266">
        <v>1</v>
      </c>
      <c r="AC266" t="s">
        <v>85</v>
      </c>
      <c r="AD266" t="s">
        <v>1525</v>
      </c>
      <c r="AE266" t="s">
        <v>1526</v>
      </c>
      <c r="AI266">
        <v>3</v>
      </c>
      <c r="AV266" t="s">
        <v>256</v>
      </c>
    </row>
    <row r="267" spans="1:48" x14ac:dyDescent="0.3">
      <c r="A267" t="s">
        <v>1522</v>
      </c>
      <c r="C267" t="s">
        <v>1495</v>
      </c>
      <c r="D267" t="s">
        <v>81</v>
      </c>
      <c r="E267">
        <v>10000000</v>
      </c>
      <c r="H267">
        <v>10</v>
      </c>
      <c r="I267" t="s">
        <v>82</v>
      </c>
      <c r="J267">
        <v>9.9999999999999991E-6</v>
      </c>
      <c r="K267" t="s">
        <v>252</v>
      </c>
      <c r="L267" t="s">
        <v>58</v>
      </c>
      <c r="O267">
        <v>1.5</v>
      </c>
      <c r="P267" t="s">
        <v>927</v>
      </c>
      <c r="S267" t="s">
        <v>1523</v>
      </c>
      <c r="T267">
        <v>20</v>
      </c>
      <c r="V267">
        <v>50</v>
      </c>
      <c r="W267" t="s">
        <v>1524</v>
      </c>
      <c r="X267" t="s">
        <v>932</v>
      </c>
      <c r="Y267">
        <v>20.032153204720501</v>
      </c>
      <c r="Z267">
        <v>1</v>
      </c>
      <c r="AB267">
        <v>3.8537735849056598</v>
      </c>
      <c r="AC267" t="s">
        <v>85</v>
      </c>
      <c r="AD267" t="s">
        <v>1525</v>
      </c>
      <c r="AE267" t="s">
        <v>1526</v>
      </c>
      <c r="AI267">
        <v>3</v>
      </c>
      <c r="AV267" t="s">
        <v>256</v>
      </c>
    </row>
    <row r="268" spans="1:48" x14ac:dyDescent="0.3">
      <c r="A268" t="s">
        <v>1522</v>
      </c>
      <c r="C268" t="s">
        <v>1495</v>
      </c>
      <c r="D268" t="s">
        <v>81</v>
      </c>
      <c r="E268">
        <v>10000000</v>
      </c>
      <c r="H268">
        <v>10</v>
      </c>
      <c r="I268" t="s">
        <v>82</v>
      </c>
      <c r="J268">
        <v>9.9999999999999991E-6</v>
      </c>
      <c r="K268" t="s">
        <v>252</v>
      </c>
      <c r="L268" t="s">
        <v>58</v>
      </c>
      <c r="O268">
        <v>1.5</v>
      </c>
      <c r="P268" t="s">
        <v>927</v>
      </c>
      <c r="S268" t="s">
        <v>1523</v>
      </c>
      <c r="T268">
        <v>20</v>
      </c>
      <c r="V268">
        <v>50</v>
      </c>
      <c r="W268" t="s">
        <v>1524</v>
      </c>
      <c r="X268" t="s">
        <v>932</v>
      </c>
      <c r="Y268">
        <v>9.9633699633699599</v>
      </c>
      <c r="Z268">
        <v>1</v>
      </c>
      <c r="AB268">
        <v>1.05206213539546</v>
      </c>
      <c r="AC268" t="s">
        <v>85</v>
      </c>
      <c r="AD268" t="s">
        <v>1525</v>
      </c>
      <c r="AE268" t="s">
        <v>1526</v>
      </c>
      <c r="AI268">
        <v>3</v>
      </c>
      <c r="AV268" t="s">
        <v>256</v>
      </c>
    </row>
    <row r="269" spans="1:48" x14ac:dyDescent="0.3">
      <c r="A269" t="s">
        <v>1522</v>
      </c>
      <c r="C269" t="s">
        <v>1495</v>
      </c>
      <c r="D269" t="s">
        <v>81</v>
      </c>
      <c r="E269">
        <v>10000000</v>
      </c>
      <c r="H269">
        <v>10</v>
      </c>
      <c r="I269" t="s">
        <v>82</v>
      </c>
      <c r="J269">
        <v>9.9999999999999991E-6</v>
      </c>
      <c r="K269" t="s">
        <v>252</v>
      </c>
      <c r="L269" t="s">
        <v>58</v>
      </c>
      <c r="O269">
        <v>1.5</v>
      </c>
      <c r="P269" t="s">
        <v>927</v>
      </c>
      <c r="S269" t="s">
        <v>1523</v>
      </c>
      <c r="T269">
        <v>20</v>
      </c>
      <c r="V269">
        <v>50</v>
      </c>
      <c r="W269" t="s">
        <v>1524</v>
      </c>
      <c r="X269" t="s">
        <v>932</v>
      </c>
      <c r="Y269">
        <v>20</v>
      </c>
      <c r="Z269">
        <v>1</v>
      </c>
      <c r="AB269">
        <v>2.5393518518518499</v>
      </c>
      <c r="AC269" t="s">
        <v>85</v>
      </c>
      <c r="AD269" t="s">
        <v>1525</v>
      </c>
      <c r="AE269" t="s">
        <v>1526</v>
      </c>
      <c r="AI269">
        <v>3</v>
      </c>
      <c r="AV269" t="s">
        <v>256</v>
      </c>
    </row>
    <row r="270" spans="1:48" x14ac:dyDescent="0.3">
      <c r="A270" t="s">
        <v>1522</v>
      </c>
      <c r="C270" t="s">
        <v>1495</v>
      </c>
      <c r="D270" t="s">
        <v>81</v>
      </c>
      <c r="E270">
        <v>10000000</v>
      </c>
      <c r="H270">
        <v>10</v>
      </c>
      <c r="I270" t="s">
        <v>82</v>
      </c>
      <c r="J270">
        <v>9.9999999999999991E-6</v>
      </c>
      <c r="K270" t="s">
        <v>252</v>
      </c>
      <c r="L270" t="s">
        <v>58</v>
      </c>
      <c r="O270">
        <v>1.5</v>
      </c>
      <c r="P270" t="s">
        <v>927</v>
      </c>
      <c r="S270" t="s">
        <v>1523</v>
      </c>
      <c r="T270">
        <v>20</v>
      </c>
      <c r="V270">
        <v>50</v>
      </c>
      <c r="W270" t="s">
        <v>1524</v>
      </c>
      <c r="X270" t="s">
        <v>932</v>
      </c>
      <c r="Y270">
        <v>30.109890109890099</v>
      </c>
      <c r="Z270">
        <v>1</v>
      </c>
      <c r="AB270">
        <v>3.58686914936915</v>
      </c>
      <c r="AC270" t="s">
        <v>85</v>
      </c>
      <c r="AD270" t="s">
        <v>1525</v>
      </c>
      <c r="AE270" t="s">
        <v>1526</v>
      </c>
      <c r="AI270">
        <v>3</v>
      </c>
      <c r="AV270" t="s">
        <v>256</v>
      </c>
    </row>
    <row r="271" spans="1:48" x14ac:dyDescent="0.3">
      <c r="A271" t="s">
        <v>1522</v>
      </c>
      <c r="C271" t="s">
        <v>1495</v>
      </c>
      <c r="D271" t="s">
        <v>81</v>
      </c>
      <c r="E271">
        <v>10000000</v>
      </c>
      <c r="H271">
        <v>10</v>
      </c>
      <c r="I271" t="s">
        <v>82</v>
      </c>
      <c r="J271">
        <v>9.9999999999999991E-6</v>
      </c>
      <c r="K271" t="s">
        <v>252</v>
      </c>
      <c r="L271" t="s">
        <v>58</v>
      </c>
      <c r="O271">
        <v>1.5</v>
      </c>
      <c r="P271" t="s">
        <v>927</v>
      </c>
      <c r="S271" t="s">
        <v>1523</v>
      </c>
      <c r="T271">
        <v>20</v>
      </c>
      <c r="V271">
        <v>50</v>
      </c>
      <c r="W271" t="s">
        <v>1524</v>
      </c>
      <c r="X271" t="s">
        <v>932</v>
      </c>
      <c r="Y271">
        <v>40</v>
      </c>
      <c r="Z271">
        <v>1</v>
      </c>
      <c r="AB271">
        <v>4.9120370370370301</v>
      </c>
      <c r="AC271" t="s">
        <v>85</v>
      </c>
      <c r="AD271" t="s">
        <v>1525</v>
      </c>
      <c r="AE271" t="s">
        <v>1526</v>
      </c>
      <c r="AI271">
        <v>3</v>
      </c>
      <c r="AV271" t="s">
        <v>256</v>
      </c>
    </row>
    <row r="272" spans="1:48" x14ac:dyDescent="0.3">
      <c r="A272" t="s">
        <v>1522</v>
      </c>
      <c r="C272" t="s">
        <v>1495</v>
      </c>
      <c r="D272" t="s">
        <v>81</v>
      </c>
      <c r="E272">
        <v>10000000</v>
      </c>
      <c r="H272">
        <v>10</v>
      </c>
      <c r="I272" t="s">
        <v>82</v>
      </c>
      <c r="J272">
        <v>9.9999999999999991E-6</v>
      </c>
      <c r="K272" t="s">
        <v>252</v>
      </c>
      <c r="L272" t="s">
        <v>58</v>
      </c>
      <c r="O272">
        <v>0.3</v>
      </c>
      <c r="P272" t="s">
        <v>927</v>
      </c>
      <c r="S272" t="s">
        <v>1523</v>
      </c>
      <c r="T272">
        <v>20</v>
      </c>
      <c r="V272">
        <v>50</v>
      </c>
      <c r="W272" t="s">
        <v>1524</v>
      </c>
      <c r="X272" t="s">
        <v>932</v>
      </c>
      <c r="Y272">
        <v>0.55343082114736197</v>
      </c>
      <c r="Z272">
        <v>1</v>
      </c>
      <c r="AB272">
        <v>1.78571428571415E-2</v>
      </c>
      <c r="AC272" t="s">
        <v>85</v>
      </c>
      <c r="AD272" t="s">
        <v>1525</v>
      </c>
      <c r="AE272" t="s">
        <v>1526</v>
      </c>
      <c r="AI272">
        <v>3</v>
      </c>
      <c r="AV272" t="s">
        <v>256</v>
      </c>
    </row>
    <row r="273" spans="1:48" x14ac:dyDescent="0.3">
      <c r="A273" t="s">
        <v>1522</v>
      </c>
      <c r="C273" t="s">
        <v>1495</v>
      </c>
      <c r="D273" t="s">
        <v>81</v>
      </c>
      <c r="E273">
        <v>10000000</v>
      </c>
      <c r="H273">
        <v>10</v>
      </c>
      <c r="I273" t="s">
        <v>82</v>
      </c>
      <c r="J273">
        <v>9.9999999999999991E-6</v>
      </c>
      <c r="K273" t="s">
        <v>252</v>
      </c>
      <c r="L273" t="s">
        <v>58</v>
      </c>
      <c r="O273">
        <v>0.3</v>
      </c>
      <c r="P273" t="s">
        <v>927</v>
      </c>
      <c r="S273" t="s">
        <v>1523</v>
      </c>
      <c r="T273">
        <v>20</v>
      </c>
      <c r="V273">
        <v>50</v>
      </c>
      <c r="W273" t="s">
        <v>1524</v>
      </c>
      <c r="X273" t="s">
        <v>932</v>
      </c>
      <c r="Y273">
        <v>30.491563554555601</v>
      </c>
      <c r="Z273">
        <v>1</v>
      </c>
      <c r="AB273">
        <v>0.93303571428571297</v>
      </c>
      <c r="AC273" t="s">
        <v>85</v>
      </c>
      <c r="AD273" t="s">
        <v>1525</v>
      </c>
      <c r="AE273" t="s">
        <v>1526</v>
      </c>
      <c r="AI273">
        <v>3</v>
      </c>
      <c r="AV273" t="s">
        <v>256</v>
      </c>
    </row>
    <row r="274" spans="1:48" x14ac:dyDescent="0.3">
      <c r="A274" t="s">
        <v>1522</v>
      </c>
      <c r="C274" t="s">
        <v>1495</v>
      </c>
      <c r="D274" t="s">
        <v>81</v>
      </c>
      <c r="E274">
        <v>100000000</v>
      </c>
      <c r="H274">
        <v>10</v>
      </c>
      <c r="I274" t="s">
        <v>82</v>
      </c>
      <c r="J274">
        <v>9.9999999999999991E-6</v>
      </c>
      <c r="K274" t="s">
        <v>252</v>
      </c>
      <c r="L274" t="s">
        <v>58</v>
      </c>
      <c r="O274">
        <v>0.3</v>
      </c>
      <c r="P274" t="s">
        <v>927</v>
      </c>
      <c r="S274" t="s">
        <v>1523</v>
      </c>
      <c r="T274">
        <v>20</v>
      </c>
      <c r="V274">
        <v>50</v>
      </c>
      <c r="W274" t="s">
        <v>1524</v>
      </c>
      <c r="X274" t="s">
        <v>932</v>
      </c>
      <c r="Y274">
        <v>60.674915635545503</v>
      </c>
      <c r="Z274">
        <v>1</v>
      </c>
      <c r="AB274">
        <v>1.9821428571428501</v>
      </c>
      <c r="AC274" t="s">
        <v>85</v>
      </c>
      <c r="AD274" t="s">
        <v>1525</v>
      </c>
      <c r="AE274" t="s">
        <v>1526</v>
      </c>
      <c r="AI274">
        <v>3</v>
      </c>
      <c r="AV274" t="s">
        <v>256</v>
      </c>
    </row>
    <row r="275" spans="1:48" x14ac:dyDescent="0.3">
      <c r="A275" t="s">
        <v>1522</v>
      </c>
      <c r="C275" t="s">
        <v>1495</v>
      </c>
      <c r="D275" t="s">
        <v>81</v>
      </c>
      <c r="E275">
        <v>100000000</v>
      </c>
      <c r="H275">
        <v>10</v>
      </c>
      <c r="I275" t="s">
        <v>82</v>
      </c>
      <c r="J275">
        <v>9.9999999999999991E-6</v>
      </c>
      <c r="K275" t="s">
        <v>252</v>
      </c>
      <c r="L275" t="s">
        <v>58</v>
      </c>
      <c r="O275">
        <v>0.3</v>
      </c>
      <c r="P275" t="s">
        <v>927</v>
      </c>
      <c r="S275" t="s">
        <v>1523</v>
      </c>
      <c r="T275">
        <v>20</v>
      </c>
      <c r="V275">
        <v>50</v>
      </c>
      <c r="W275" t="s">
        <v>1524</v>
      </c>
      <c r="X275" t="s">
        <v>932</v>
      </c>
      <c r="Y275">
        <v>90.346456692913307</v>
      </c>
      <c r="Z275">
        <v>1</v>
      </c>
      <c r="AB275">
        <v>3.1874999999999898</v>
      </c>
      <c r="AC275" t="s">
        <v>85</v>
      </c>
      <c r="AD275" t="s">
        <v>1525</v>
      </c>
      <c r="AE275" t="s">
        <v>1526</v>
      </c>
      <c r="AI275">
        <v>3</v>
      </c>
      <c r="AV275" t="s">
        <v>256</v>
      </c>
    </row>
    <row r="276" spans="1:48" x14ac:dyDescent="0.3">
      <c r="A276" t="s">
        <v>1522</v>
      </c>
      <c r="C276" t="s">
        <v>1495</v>
      </c>
      <c r="D276" t="s">
        <v>81</v>
      </c>
      <c r="E276">
        <v>1000000</v>
      </c>
      <c r="H276">
        <v>10</v>
      </c>
      <c r="I276" t="s">
        <v>82</v>
      </c>
      <c r="J276">
        <v>9.9999999999999991E-6</v>
      </c>
      <c r="K276" t="s">
        <v>252</v>
      </c>
      <c r="L276" t="s">
        <v>58</v>
      </c>
      <c r="O276">
        <v>0.3</v>
      </c>
      <c r="P276" t="s">
        <v>927</v>
      </c>
      <c r="S276" t="s">
        <v>1523</v>
      </c>
      <c r="T276">
        <v>20</v>
      </c>
      <c r="V276">
        <v>50</v>
      </c>
      <c r="W276" t="s">
        <v>1524</v>
      </c>
      <c r="X276" t="s">
        <v>932</v>
      </c>
      <c r="Y276">
        <v>120.030371203599</v>
      </c>
      <c r="Z276">
        <v>1</v>
      </c>
      <c r="AB276">
        <v>4.1473214285714199</v>
      </c>
      <c r="AC276" t="s">
        <v>85</v>
      </c>
      <c r="AD276" t="s">
        <v>1525</v>
      </c>
      <c r="AE276" t="s">
        <v>1526</v>
      </c>
      <c r="AI276">
        <v>3</v>
      </c>
      <c r="AV276" t="s">
        <v>256</v>
      </c>
    </row>
    <row r="277" spans="1:48" x14ac:dyDescent="0.3">
      <c r="A277" t="s">
        <v>1522</v>
      </c>
      <c r="C277" t="s">
        <v>1495</v>
      </c>
      <c r="D277" t="s">
        <v>81</v>
      </c>
      <c r="E277">
        <v>1000000</v>
      </c>
      <c r="H277">
        <v>10</v>
      </c>
      <c r="I277" t="s">
        <v>82</v>
      </c>
      <c r="J277">
        <v>9.9999999999999991E-6</v>
      </c>
      <c r="K277" t="s">
        <v>252</v>
      </c>
      <c r="L277" t="s">
        <v>58</v>
      </c>
      <c r="O277">
        <v>0.3</v>
      </c>
      <c r="P277" t="s">
        <v>927</v>
      </c>
      <c r="S277" t="s">
        <v>1523</v>
      </c>
      <c r="T277">
        <v>20</v>
      </c>
      <c r="V277">
        <v>50</v>
      </c>
      <c r="W277" t="s">
        <v>1524</v>
      </c>
      <c r="X277" t="s">
        <v>932</v>
      </c>
      <c r="Y277">
        <v>30.467941507311501</v>
      </c>
      <c r="Z277">
        <v>1</v>
      </c>
      <c r="AB277">
        <v>1.40178571428571</v>
      </c>
      <c r="AC277" t="s">
        <v>85</v>
      </c>
      <c r="AD277" t="s">
        <v>1525</v>
      </c>
      <c r="AE277" t="s">
        <v>1526</v>
      </c>
      <c r="AI277">
        <v>3</v>
      </c>
      <c r="AV277" t="s">
        <v>256</v>
      </c>
    </row>
    <row r="278" spans="1:48" x14ac:dyDescent="0.3">
      <c r="A278" t="s">
        <v>1522</v>
      </c>
      <c r="C278" t="s">
        <v>1495</v>
      </c>
      <c r="D278" t="s">
        <v>81</v>
      </c>
      <c r="E278">
        <v>1900</v>
      </c>
      <c r="H278">
        <v>10</v>
      </c>
      <c r="I278" t="s">
        <v>82</v>
      </c>
      <c r="J278">
        <v>9.9999999999999991E-6</v>
      </c>
      <c r="K278" t="s">
        <v>252</v>
      </c>
      <c r="L278" t="s">
        <v>58</v>
      </c>
      <c r="O278">
        <v>0.3</v>
      </c>
      <c r="P278" t="s">
        <v>927</v>
      </c>
      <c r="S278" t="s">
        <v>1523</v>
      </c>
      <c r="T278">
        <v>20</v>
      </c>
      <c r="V278">
        <v>50</v>
      </c>
      <c r="W278" t="s">
        <v>1524</v>
      </c>
      <c r="X278" t="s">
        <v>932</v>
      </c>
      <c r="Y278">
        <v>60.385826771653498</v>
      </c>
      <c r="Z278">
        <v>1</v>
      </c>
      <c r="AB278">
        <v>2.7187499999999898</v>
      </c>
      <c r="AC278" t="s">
        <v>85</v>
      </c>
      <c r="AD278" t="s">
        <v>1525</v>
      </c>
      <c r="AE278" t="s">
        <v>1526</v>
      </c>
      <c r="AI278">
        <v>3</v>
      </c>
      <c r="AV278" t="s">
        <v>256</v>
      </c>
    </row>
    <row r="279" spans="1:48" x14ac:dyDescent="0.3">
      <c r="A279" t="s">
        <v>1522</v>
      </c>
      <c r="C279" t="s">
        <v>1495</v>
      </c>
      <c r="D279" t="s">
        <v>81</v>
      </c>
      <c r="E279">
        <v>1900</v>
      </c>
      <c r="H279">
        <v>10</v>
      </c>
      <c r="I279" t="s">
        <v>82</v>
      </c>
      <c r="J279">
        <v>9.9999999999999991E-6</v>
      </c>
      <c r="K279" t="s">
        <v>252</v>
      </c>
      <c r="L279" t="s">
        <v>58</v>
      </c>
      <c r="O279">
        <v>0.3</v>
      </c>
      <c r="P279" t="s">
        <v>927</v>
      </c>
      <c r="S279" t="s">
        <v>1523</v>
      </c>
      <c r="T279">
        <v>20</v>
      </c>
      <c r="V279">
        <v>50</v>
      </c>
      <c r="W279" t="s">
        <v>1524</v>
      </c>
      <c r="X279" t="s">
        <v>932</v>
      </c>
      <c r="Y279">
        <v>90.0719910011248</v>
      </c>
      <c r="Z279">
        <v>1</v>
      </c>
      <c r="AB279">
        <v>3.633928571428569</v>
      </c>
      <c r="AC279" t="s">
        <v>85</v>
      </c>
      <c r="AD279" t="s">
        <v>1525</v>
      </c>
      <c r="AE279" t="s">
        <v>1526</v>
      </c>
      <c r="AI279">
        <v>3</v>
      </c>
      <c r="AV279" t="s">
        <v>256</v>
      </c>
    </row>
    <row r="280" spans="1:48" x14ac:dyDescent="0.3">
      <c r="A280" t="s">
        <v>1522</v>
      </c>
      <c r="C280" t="s">
        <v>1495</v>
      </c>
      <c r="D280" t="s">
        <v>81</v>
      </c>
      <c r="E280">
        <v>1900</v>
      </c>
      <c r="H280">
        <v>10</v>
      </c>
      <c r="I280" t="s">
        <v>82</v>
      </c>
      <c r="J280">
        <v>9.9999999999999991E-6</v>
      </c>
      <c r="K280" t="s">
        <v>252</v>
      </c>
      <c r="L280" t="s">
        <v>58</v>
      </c>
      <c r="O280">
        <v>0.3</v>
      </c>
      <c r="P280" t="s">
        <v>927</v>
      </c>
      <c r="S280" t="s">
        <v>1523</v>
      </c>
      <c r="T280">
        <v>20</v>
      </c>
      <c r="V280">
        <v>50</v>
      </c>
      <c r="W280" t="s">
        <v>1524</v>
      </c>
      <c r="X280" t="s">
        <v>932</v>
      </c>
      <c r="Y280">
        <v>120.019122609673</v>
      </c>
      <c r="Z280">
        <v>1</v>
      </c>
      <c r="AB280">
        <v>4.37053571428571</v>
      </c>
      <c r="AC280" t="s">
        <v>85</v>
      </c>
      <c r="AD280" t="s">
        <v>1525</v>
      </c>
      <c r="AE280" t="s">
        <v>1526</v>
      </c>
      <c r="AI280">
        <v>3</v>
      </c>
      <c r="AV280" t="s">
        <v>256</v>
      </c>
    </row>
    <row r="281" spans="1:48" x14ac:dyDescent="0.3">
      <c r="A281" t="s">
        <v>1522</v>
      </c>
      <c r="C281" t="s">
        <v>1495</v>
      </c>
      <c r="D281" t="s">
        <v>81</v>
      </c>
      <c r="E281">
        <v>1900</v>
      </c>
      <c r="H281">
        <v>10</v>
      </c>
      <c r="I281" t="s">
        <v>82</v>
      </c>
      <c r="J281">
        <v>9.9999999999999991E-6</v>
      </c>
      <c r="K281" t="s">
        <v>252</v>
      </c>
      <c r="L281" t="s">
        <v>58</v>
      </c>
      <c r="O281">
        <v>0.3</v>
      </c>
      <c r="P281" t="s">
        <v>927</v>
      </c>
      <c r="S281" t="s">
        <v>1523</v>
      </c>
      <c r="T281">
        <v>20</v>
      </c>
      <c r="V281">
        <v>50</v>
      </c>
      <c r="W281" t="s">
        <v>1524</v>
      </c>
      <c r="X281" t="s">
        <v>932</v>
      </c>
      <c r="Y281">
        <v>30.512935883014599</v>
      </c>
      <c r="Z281">
        <v>1</v>
      </c>
      <c r="AB281">
        <v>0.50892857142856995</v>
      </c>
      <c r="AC281" t="s">
        <v>85</v>
      </c>
      <c r="AD281" t="s">
        <v>1525</v>
      </c>
      <c r="AE281" t="s">
        <v>1526</v>
      </c>
      <c r="AI281">
        <v>3</v>
      </c>
      <c r="AV281" t="s">
        <v>256</v>
      </c>
    </row>
    <row r="282" spans="1:48" x14ac:dyDescent="0.3">
      <c r="A282" t="s">
        <v>1522</v>
      </c>
      <c r="C282" t="s">
        <v>1495</v>
      </c>
      <c r="D282" t="s">
        <v>81</v>
      </c>
      <c r="E282">
        <v>1900</v>
      </c>
      <c r="H282">
        <v>10</v>
      </c>
      <c r="I282" t="s">
        <v>82</v>
      </c>
      <c r="J282">
        <v>9.9999999999999991E-6</v>
      </c>
      <c r="K282" t="s">
        <v>252</v>
      </c>
      <c r="L282" t="s">
        <v>58</v>
      </c>
      <c r="O282">
        <v>0.3</v>
      </c>
      <c r="P282" t="s">
        <v>927</v>
      </c>
      <c r="S282" t="s">
        <v>1523</v>
      </c>
      <c r="T282">
        <v>20</v>
      </c>
      <c r="V282">
        <v>50</v>
      </c>
      <c r="W282" t="s">
        <v>1524</v>
      </c>
      <c r="X282" t="s">
        <v>932</v>
      </c>
      <c r="Y282">
        <v>60.431946006749101</v>
      </c>
      <c r="Z282">
        <v>1</v>
      </c>
      <c r="AB282">
        <v>1.8035714285714199</v>
      </c>
      <c r="AC282" t="s">
        <v>85</v>
      </c>
      <c r="AD282" t="s">
        <v>1525</v>
      </c>
      <c r="AE282" t="s">
        <v>1526</v>
      </c>
      <c r="AI282">
        <v>3</v>
      </c>
      <c r="AV282" t="s">
        <v>256</v>
      </c>
    </row>
    <row r="283" spans="1:48" x14ac:dyDescent="0.3">
      <c r="A283" t="s">
        <v>1522</v>
      </c>
      <c r="C283" t="s">
        <v>1495</v>
      </c>
      <c r="D283" t="s">
        <v>81</v>
      </c>
      <c r="E283">
        <v>1900</v>
      </c>
      <c r="H283">
        <v>10</v>
      </c>
      <c r="I283" t="s">
        <v>82</v>
      </c>
      <c r="J283">
        <v>9.9999999999999991E-6</v>
      </c>
      <c r="K283" t="s">
        <v>252</v>
      </c>
      <c r="L283" t="s">
        <v>58</v>
      </c>
      <c r="O283">
        <v>0.3</v>
      </c>
      <c r="P283" t="s">
        <v>927</v>
      </c>
      <c r="S283" t="s">
        <v>1523</v>
      </c>
      <c r="T283">
        <v>20</v>
      </c>
      <c r="V283">
        <v>50</v>
      </c>
      <c r="W283" t="s">
        <v>1524</v>
      </c>
      <c r="X283" t="s">
        <v>932</v>
      </c>
      <c r="Y283">
        <v>75.517435320584894</v>
      </c>
      <c r="Z283">
        <v>1</v>
      </c>
      <c r="AB283">
        <v>2.4508928571428501</v>
      </c>
      <c r="AC283" t="s">
        <v>85</v>
      </c>
      <c r="AD283" t="s">
        <v>1525</v>
      </c>
      <c r="AE283" t="s">
        <v>1526</v>
      </c>
      <c r="AI283">
        <v>3</v>
      </c>
      <c r="AV283" t="s">
        <v>256</v>
      </c>
    </row>
    <row r="284" spans="1:48" x14ac:dyDescent="0.3">
      <c r="A284" t="s">
        <v>1522</v>
      </c>
      <c r="C284" t="s">
        <v>1495</v>
      </c>
      <c r="D284" t="s">
        <v>81</v>
      </c>
      <c r="E284">
        <v>1900</v>
      </c>
      <c r="H284">
        <v>10</v>
      </c>
      <c r="I284" t="s">
        <v>82</v>
      </c>
      <c r="J284">
        <v>9.9999999999999991E-6</v>
      </c>
      <c r="K284" t="s">
        <v>252</v>
      </c>
      <c r="L284" t="s">
        <v>58</v>
      </c>
      <c r="O284">
        <v>0.3</v>
      </c>
      <c r="P284" t="s">
        <v>927</v>
      </c>
      <c r="S284" t="s">
        <v>1523</v>
      </c>
      <c r="T284">
        <v>20</v>
      </c>
      <c r="V284">
        <v>50</v>
      </c>
      <c r="W284" t="s">
        <v>1524</v>
      </c>
      <c r="X284" t="s">
        <v>932</v>
      </c>
      <c r="Y284">
        <v>89.858267716535394</v>
      </c>
      <c r="Z284">
        <v>1</v>
      </c>
      <c r="AB284">
        <v>2.8749999999999898</v>
      </c>
      <c r="AC284" t="s">
        <v>85</v>
      </c>
      <c r="AD284" t="s">
        <v>1525</v>
      </c>
      <c r="AE284" t="s">
        <v>1526</v>
      </c>
      <c r="AI284">
        <v>3</v>
      </c>
      <c r="AV284" t="s">
        <v>256</v>
      </c>
    </row>
    <row r="285" spans="1:48" x14ac:dyDescent="0.3">
      <c r="A285" t="s">
        <v>1522</v>
      </c>
      <c r="C285" t="s">
        <v>1495</v>
      </c>
      <c r="D285" t="s">
        <v>81</v>
      </c>
      <c r="E285">
        <v>1900</v>
      </c>
      <c r="H285">
        <v>10</v>
      </c>
      <c r="I285" t="s">
        <v>82</v>
      </c>
      <c r="J285">
        <v>9.9999999999999991E-6</v>
      </c>
      <c r="K285" t="s">
        <v>252</v>
      </c>
      <c r="L285" t="s">
        <v>58</v>
      </c>
      <c r="O285">
        <v>0.3</v>
      </c>
      <c r="P285" t="s">
        <v>927</v>
      </c>
      <c r="S285" t="s">
        <v>1523</v>
      </c>
      <c r="T285">
        <v>20</v>
      </c>
      <c r="V285">
        <v>50</v>
      </c>
      <c r="W285" t="s">
        <v>1524</v>
      </c>
      <c r="X285" t="s">
        <v>932</v>
      </c>
      <c r="Y285">
        <v>40.571428571428498</v>
      </c>
      <c r="Z285">
        <v>1</v>
      </c>
      <c r="AB285">
        <v>0.91071428571428403</v>
      </c>
      <c r="AC285" t="s">
        <v>85</v>
      </c>
      <c r="AD285" t="s">
        <v>1525</v>
      </c>
      <c r="AE285" t="s">
        <v>1526</v>
      </c>
      <c r="AI285">
        <v>3</v>
      </c>
      <c r="AV285" t="s">
        <v>256</v>
      </c>
    </row>
    <row r="286" spans="1:48" x14ac:dyDescent="0.3">
      <c r="A286" t="s">
        <v>1522</v>
      </c>
      <c r="C286" t="s">
        <v>1495</v>
      </c>
      <c r="D286" t="s">
        <v>81</v>
      </c>
      <c r="E286">
        <v>1900</v>
      </c>
      <c r="H286">
        <v>10</v>
      </c>
      <c r="I286" t="s">
        <v>82</v>
      </c>
      <c r="J286">
        <v>9.9999999999999991E-6</v>
      </c>
      <c r="K286" t="s">
        <v>252</v>
      </c>
      <c r="L286" t="s">
        <v>58</v>
      </c>
      <c r="O286">
        <v>0.3</v>
      </c>
      <c r="P286" t="s">
        <v>927</v>
      </c>
      <c r="S286" t="s">
        <v>1523</v>
      </c>
      <c r="T286">
        <v>20</v>
      </c>
      <c r="V286">
        <v>50</v>
      </c>
      <c r="W286" t="s">
        <v>1524</v>
      </c>
      <c r="X286" t="s">
        <v>932</v>
      </c>
      <c r="Y286">
        <v>80.30033745781769</v>
      </c>
      <c r="Z286">
        <v>1</v>
      </c>
      <c r="AB286">
        <v>2.540178571428569</v>
      </c>
      <c r="AC286" t="s">
        <v>85</v>
      </c>
      <c r="AD286" t="s">
        <v>1525</v>
      </c>
      <c r="AE286" t="s">
        <v>1526</v>
      </c>
      <c r="AI286">
        <v>3</v>
      </c>
      <c r="AV286" t="s">
        <v>256</v>
      </c>
    </row>
    <row r="287" spans="1:48" x14ac:dyDescent="0.3">
      <c r="A287" t="s">
        <v>1522</v>
      </c>
      <c r="C287" t="s">
        <v>1495</v>
      </c>
      <c r="D287" t="s">
        <v>81</v>
      </c>
      <c r="E287">
        <v>1900</v>
      </c>
      <c r="H287">
        <v>10</v>
      </c>
      <c r="I287" t="s">
        <v>82</v>
      </c>
      <c r="J287">
        <v>9.9999999999999991E-6</v>
      </c>
      <c r="K287" t="s">
        <v>252</v>
      </c>
      <c r="L287" t="s">
        <v>58</v>
      </c>
      <c r="O287">
        <v>0.3</v>
      </c>
      <c r="P287" t="s">
        <v>927</v>
      </c>
      <c r="S287" t="s">
        <v>1523</v>
      </c>
      <c r="T287">
        <v>20</v>
      </c>
      <c r="V287">
        <v>50</v>
      </c>
      <c r="W287" t="s">
        <v>1524</v>
      </c>
      <c r="X287" t="s">
        <v>932</v>
      </c>
      <c r="Y287">
        <v>120.070866141732</v>
      </c>
      <c r="Z287">
        <v>1</v>
      </c>
      <c r="AB287">
        <v>3.3437499999999898</v>
      </c>
      <c r="AC287" t="s">
        <v>85</v>
      </c>
      <c r="AD287" t="s">
        <v>1525</v>
      </c>
      <c r="AE287" t="s">
        <v>1526</v>
      </c>
      <c r="AI287">
        <v>3</v>
      </c>
      <c r="AV287" t="s">
        <v>256</v>
      </c>
    </row>
    <row r="288" spans="1:48" x14ac:dyDescent="0.3">
      <c r="A288" t="s">
        <v>1522</v>
      </c>
      <c r="C288" t="s">
        <v>1495</v>
      </c>
      <c r="D288" t="s">
        <v>81</v>
      </c>
      <c r="E288">
        <v>1900</v>
      </c>
      <c r="H288">
        <v>10</v>
      </c>
      <c r="I288" t="s">
        <v>82</v>
      </c>
      <c r="J288">
        <v>9.9999999999999991E-6</v>
      </c>
      <c r="K288" t="s">
        <v>252</v>
      </c>
      <c r="L288" t="s">
        <v>58</v>
      </c>
      <c r="O288">
        <v>0.3</v>
      </c>
      <c r="P288" t="s">
        <v>927</v>
      </c>
      <c r="S288" t="s">
        <v>1523</v>
      </c>
      <c r="T288">
        <v>20</v>
      </c>
      <c r="V288">
        <v>50</v>
      </c>
      <c r="W288" t="s">
        <v>1524</v>
      </c>
      <c r="X288" t="s">
        <v>932</v>
      </c>
      <c r="Y288">
        <v>160.35095613048301</v>
      </c>
      <c r="Z288">
        <v>1</v>
      </c>
      <c r="AB288">
        <v>4.0357142857142803</v>
      </c>
      <c r="AC288" t="s">
        <v>85</v>
      </c>
      <c r="AD288" t="s">
        <v>1525</v>
      </c>
      <c r="AE288" t="s">
        <v>1526</v>
      </c>
      <c r="AI288">
        <v>3</v>
      </c>
      <c r="AV288" t="s">
        <v>256</v>
      </c>
    </row>
    <row r="289" spans="1:48" x14ac:dyDescent="0.3">
      <c r="A289" t="s">
        <v>1068</v>
      </c>
      <c r="C289" t="s">
        <v>1495</v>
      </c>
      <c r="D289" t="s">
        <v>470</v>
      </c>
      <c r="E289">
        <v>1900</v>
      </c>
      <c r="O289">
        <v>0.8</v>
      </c>
      <c r="P289" t="s">
        <v>1527</v>
      </c>
      <c r="T289">
        <v>25</v>
      </c>
      <c r="V289">
        <v>50</v>
      </c>
      <c r="W289" t="s">
        <v>1528</v>
      </c>
      <c r="X289" t="s">
        <v>280</v>
      </c>
      <c r="Y289">
        <v>114</v>
      </c>
      <c r="Z289">
        <v>1</v>
      </c>
      <c r="AB289">
        <v>0.98</v>
      </c>
      <c r="AC289" t="s">
        <v>1070</v>
      </c>
      <c r="AE289" t="s">
        <v>1197</v>
      </c>
    </row>
    <row r="290" spans="1:48" x14ac:dyDescent="0.3">
      <c r="A290" t="s">
        <v>1068</v>
      </c>
      <c r="C290" t="s">
        <v>1495</v>
      </c>
      <c r="D290" t="s">
        <v>470</v>
      </c>
      <c r="E290">
        <v>700</v>
      </c>
      <c r="O290">
        <v>0.8</v>
      </c>
      <c r="P290" t="s">
        <v>1527</v>
      </c>
      <c r="T290">
        <v>25</v>
      </c>
      <c r="V290">
        <v>50</v>
      </c>
      <c r="W290" t="s">
        <v>1528</v>
      </c>
      <c r="X290" t="s">
        <v>280</v>
      </c>
      <c r="Y290">
        <v>181</v>
      </c>
      <c r="Z290">
        <v>1</v>
      </c>
      <c r="AB290">
        <v>0.99</v>
      </c>
      <c r="AC290" t="s">
        <v>1070</v>
      </c>
      <c r="AE290" t="s">
        <v>1197</v>
      </c>
    </row>
    <row r="291" spans="1:48" x14ac:dyDescent="0.3">
      <c r="A291" t="s">
        <v>1068</v>
      </c>
      <c r="C291" t="s">
        <v>1495</v>
      </c>
      <c r="D291" t="s">
        <v>470</v>
      </c>
      <c r="E291">
        <v>700</v>
      </c>
      <c r="O291">
        <v>0.8</v>
      </c>
      <c r="P291" t="s">
        <v>1527</v>
      </c>
      <c r="T291">
        <v>25</v>
      </c>
      <c r="V291">
        <v>50</v>
      </c>
      <c r="W291" t="s">
        <v>1528</v>
      </c>
      <c r="X291" t="s">
        <v>280</v>
      </c>
      <c r="Y291">
        <v>25</v>
      </c>
      <c r="Z291">
        <v>3</v>
      </c>
      <c r="AB291">
        <v>0.57999999999999996</v>
      </c>
      <c r="AC291" t="s">
        <v>1070</v>
      </c>
      <c r="AD291" t="s">
        <v>1071</v>
      </c>
      <c r="AE291" t="s">
        <v>1197</v>
      </c>
    </row>
    <row r="292" spans="1:48" x14ac:dyDescent="0.3">
      <c r="A292" t="s">
        <v>1068</v>
      </c>
      <c r="C292" t="s">
        <v>1495</v>
      </c>
      <c r="D292" t="s">
        <v>470</v>
      </c>
      <c r="E292">
        <v>700</v>
      </c>
      <c r="O292">
        <v>0.8</v>
      </c>
      <c r="P292" t="s">
        <v>1527</v>
      </c>
      <c r="T292">
        <v>25</v>
      </c>
      <c r="V292">
        <v>50</v>
      </c>
      <c r="W292" t="s">
        <v>1528</v>
      </c>
      <c r="X292" t="s">
        <v>280</v>
      </c>
      <c r="Y292">
        <v>63</v>
      </c>
      <c r="Z292">
        <v>1</v>
      </c>
      <c r="AB292">
        <v>0.86</v>
      </c>
      <c r="AC292" t="s">
        <v>1070</v>
      </c>
      <c r="AE292" t="s">
        <v>1197</v>
      </c>
    </row>
    <row r="293" spans="1:48" x14ac:dyDescent="0.3">
      <c r="A293" t="s">
        <v>1068</v>
      </c>
      <c r="C293" t="s">
        <v>1495</v>
      </c>
      <c r="D293" t="s">
        <v>470</v>
      </c>
      <c r="E293">
        <v>700</v>
      </c>
      <c r="O293">
        <v>0.8</v>
      </c>
      <c r="P293" t="s">
        <v>1527</v>
      </c>
      <c r="T293">
        <v>25</v>
      </c>
      <c r="V293">
        <v>50</v>
      </c>
      <c r="W293" t="s">
        <v>1528</v>
      </c>
      <c r="X293" t="s">
        <v>280</v>
      </c>
      <c r="Y293">
        <v>114</v>
      </c>
      <c r="AB293">
        <v>0.99</v>
      </c>
      <c r="AC293" t="s">
        <v>1070</v>
      </c>
      <c r="AE293" t="s">
        <v>1197</v>
      </c>
    </row>
    <row r="294" spans="1:48" x14ac:dyDescent="0.3">
      <c r="A294" t="s">
        <v>1068</v>
      </c>
      <c r="C294" t="s">
        <v>1495</v>
      </c>
      <c r="D294" t="s">
        <v>470</v>
      </c>
      <c r="E294">
        <v>700</v>
      </c>
      <c r="O294">
        <v>0.8</v>
      </c>
      <c r="P294" t="s">
        <v>1527</v>
      </c>
      <c r="T294">
        <v>25</v>
      </c>
      <c r="V294">
        <v>50</v>
      </c>
      <c r="W294" t="s">
        <v>1528</v>
      </c>
      <c r="X294" t="s">
        <v>280</v>
      </c>
      <c r="Y294">
        <v>181</v>
      </c>
      <c r="AB294">
        <v>0.99</v>
      </c>
      <c r="AC294" t="s">
        <v>1070</v>
      </c>
      <c r="AE294" t="s">
        <v>1197</v>
      </c>
    </row>
    <row r="295" spans="1:48" x14ac:dyDescent="0.3">
      <c r="A295" t="s">
        <v>1529</v>
      </c>
      <c r="C295" t="s">
        <v>1495</v>
      </c>
      <c r="D295" t="s">
        <v>470</v>
      </c>
      <c r="E295">
        <v>700</v>
      </c>
      <c r="H295">
        <v>40</v>
      </c>
      <c r="I295" t="s">
        <v>82</v>
      </c>
      <c r="J295">
        <v>4.0000000000000003E-5</v>
      </c>
      <c r="K295" t="s">
        <v>252</v>
      </c>
      <c r="L295" t="s">
        <v>58</v>
      </c>
      <c r="N295" t="s">
        <v>1530</v>
      </c>
      <c r="O295">
        <v>8.6</v>
      </c>
      <c r="P295" t="s">
        <v>121</v>
      </c>
      <c r="S295" t="s">
        <v>1531</v>
      </c>
      <c r="T295">
        <v>10</v>
      </c>
      <c r="V295">
        <v>50</v>
      </c>
      <c r="W295" t="s">
        <v>1532</v>
      </c>
      <c r="X295" t="s">
        <v>199</v>
      </c>
      <c r="Y295">
        <v>0.69169489099842796</v>
      </c>
      <c r="AB295">
        <v>-1.8232123264799598E-2</v>
      </c>
      <c r="AC295" t="s">
        <v>85</v>
      </c>
      <c r="AE295" t="s">
        <v>1533</v>
      </c>
      <c r="AI295">
        <v>3</v>
      </c>
      <c r="AV295" t="s">
        <v>256</v>
      </c>
    </row>
    <row r="296" spans="1:48" x14ac:dyDescent="0.3">
      <c r="A296" t="s">
        <v>1529</v>
      </c>
      <c r="C296" t="s">
        <v>1495</v>
      </c>
      <c r="D296" t="s">
        <v>470</v>
      </c>
      <c r="E296">
        <v>700</v>
      </c>
      <c r="H296">
        <v>40</v>
      </c>
      <c r="I296" t="s">
        <v>82</v>
      </c>
      <c r="J296">
        <v>4.0000000000000003E-5</v>
      </c>
      <c r="K296" t="s">
        <v>252</v>
      </c>
      <c r="L296" t="s">
        <v>58</v>
      </c>
      <c r="N296" t="s">
        <v>1530</v>
      </c>
      <c r="O296">
        <v>8.6</v>
      </c>
      <c r="P296" t="s">
        <v>121</v>
      </c>
      <c r="S296" t="s">
        <v>1531</v>
      </c>
      <c r="T296">
        <v>10</v>
      </c>
      <c r="V296">
        <v>50</v>
      </c>
      <c r="W296" t="s">
        <v>1532</v>
      </c>
      <c r="X296" t="s">
        <v>199</v>
      </c>
      <c r="Y296">
        <v>4.8272352875701596</v>
      </c>
      <c r="AB296">
        <v>5.2587892954253E-2</v>
      </c>
      <c r="AC296" t="s">
        <v>85</v>
      </c>
      <c r="AE296" t="s">
        <v>1533</v>
      </c>
      <c r="AI296">
        <v>3</v>
      </c>
      <c r="AV296" t="s">
        <v>256</v>
      </c>
    </row>
    <row r="297" spans="1:48" x14ac:dyDescent="0.3">
      <c r="A297" t="s">
        <v>1529</v>
      </c>
      <c r="C297" t="s">
        <v>1495</v>
      </c>
      <c r="D297" t="s">
        <v>470</v>
      </c>
      <c r="E297">
        <v>700</v>
      </c>
      <c r="H297">
        <v>40</v>
      </c>
      <c r="I297" t="s">
        <v>82</v>
      </c>
      <c r="J297">
        <v>4.0000000000000003E-5</v>
      </c>
      <c r="K297" t="s">
        <v>252</v>
      </c>
      <c r="L297" t="s">
        <v>58</v>
      </c>
      <c r="N297" t="s">
        <v>1530</v>
      </c>
      <c r="O297">
        <v>8.6</v>
      </c>
      <c r="P297" t="s">
        <v>121</v>
      </c>
      <c r="S297" t="s">
        <v>1531</v>
      </c>
      <c r="T297">
        <v>10</v>
      </c>
      <c r="V297">
        <v>50</v>
      </c>
      <c r="W297" t="s">
        <v>1532</v>
      </c>
      <c r="X297" t="s">
        <v>199</v>
      </c>
      <c r="Y297">
        <v>9.3288174402518695</v>
      </c>
      <c r="AB297">
        <v>0.115603682679006</v>
      </c>
      <c r="AC297" t="s">
        <v>85</v>
      </c>
      <c r="AE297" t="s">
        <v>1533</v>
      </c>
      <c r="AI297">
        <v>3</v>
      </c>
      <c r="AV297" t="s">
        <v>256</v>
      </c>
    </row>
    <row r="298" spans="1:48" x14ac:dyDescent="0.3">
      <c r="A298" t="s">
        <v>1529</v>
      </c>
      <c r="C298" t="s">
        <v>1495</v>
      </c>
      <c r="D298" t="s">
        <v>470</v>
      </c>
      <c r="E298">
        <v>700</v>
      </c>
      <c r="H298">
        <v>40</v>
      </c>
      <c r="I298" t="s">
        <v>82</v>
      </c>
      <c r="J298">
        <v>4.0000000000000003E-5</v>
      </c>
      <c r="K298" t="s">
        <v>252</v>
      </c>
      <c r="L298" t="s">
        <v>58</v>
      </c>
      <c r="N298" t="s">
        <v>1530</v>
      </c>
      <c r="O298">
        <v>8.6</v>
      </c>
      <c r="P298" t="s">
        <v>121</v>
      </c>
      <c r="S298" t="s">
        <v>1531</v>
      </c>
      <c r="T298">
        <v>10</v>
      </c>
      <c r="V298">
        <v>50</v>
      </c>
      <c r="W298" t="s">
        <v>1532</v>
      </c>
      <c r="X298" t="s">
        <v>199</v>
      </c>
      <c r="Y298">
        <v>13.9560177455516</v>
      </c>
      <c r="AB298">
        <v>0.13163192291179701</v>
      </c>
      <c r="AC298" t="s">
        <v>85</v>
      </c>
      <c r="AE298" t="s">
        <v>1533</v>
      </c>
      <c r="AI298">
        <v>3</v>
      </c>
      <c r="AV298" t="s">
        <v>256</v>
      </c>
    </row>
    <row r="299" spans="1:48" x14ac:dyDescent="0.3">
      <c r="A299" t="s">
        <v>1529</v>
      </c>
      <c r="C299" t="s">
        <v>1495</v>
      </c>
      <c r="D299" t="s">
        <v>470</v>
      </c>
      <c r="E299">
        <v>700</v>
      </c>
      <c r="H299">
        <v>40</v>
      </c>
      <c r="I299" t="s">
        <v>82</v>
      </c>
      <c r="J299">
        <v>4.0000000000000003E-5</v>
      </c>
      <c r="K299" t="s">
        <v>252</v>
      </c>
      <c r="L299" t="s">
        <v>58</v>
      </c>
      <c r="N299" t="s">
        <v>1530</v>
      </c>
      <c r="O299">
        <v>8.6</v>
      </c>
      <c r="P299" t="s">
        <v>121</v>
      </c>
      <c r="S299" t="s">
        <v>1531</v>
      </c>
      <c r="T299">
        <v>10</v>
      </c>
      <c r="V299">
        <v>50</v>
      </c>
      <c r="W299" t="s">
        <v>1532</v>
      </c>
      <c r="X299" t="s">
        <v>199</v>
      </c>
      <c r="Y299">
        <v>18.8191893653898</v>
      </c>
      <c r="AB299">
        <v>0.24167342460525701</v>
      </c>
      <c r="AC299" t="s">
        <v>85</v>
      </c>
      <c r="AE299" t="s">
        <v>1533</v>
      </c>
      <c r="AI299">
        <v>3</v>
      </c>
      <c r="AV299" t="s">
        <v>256</v>
      </c>
    </row>
    <row r="300" spans="1:48" x14ac:dyDescent="0.3">
      <c r="A300" t="s">
        <v>1529</v>
      </c>
      <c r="C300" t="s">
        <v>1495</v>
      </c>
      <c r="D300" t="s">
        <v>470</v>
      </c>
      <c r="E300">
        <v>700</v>
      </c>
      <c r="H300">
        <v>40</v>
      </c>
      <c r="I300" t="s">
        <v>82</v>
      </c>
      <c r="J300">
        <v>4.0000000000000003E-5</v>
      </c>
      <c r="K300" t="s">
        <v>252</v>
      </c>
      <c r="L300" t="s">
        <v>58</v>
      </c>
      <c r="N300" t="s">
        <v>1530</v>
      </c>
      <c r="O300">
        <v>8.6</v>
      </c>
      <c r="P300" t="s">
        <v>121</v>
      </c>
      <c r="S300" t="s">
        <v>1531</v>
      </c>
      <c r="T300">
        <v>10</v>
      </c>
      <c r="V300">
        <v>50</v>
      </c>
      <c r="W300" t="s">
        <v>1532</v>
      </c>
      <c r="X300" t="s">
        <v>199</v>
      </c>
      <c r="Y300">
        <v>22.834199939575999</v>
      </c>
      <c r="AB300">
        <v>0.29681820350140697</v>
      </c>
      <c r="AC300" t="s">
        <v>85</v>
      </c>
      <c r="AE300" t="s">
        <v>1533</v>
      </c>
      <c r="AI300">
        <v>3</v>
      </c>
      <c r="AV300" t="s">
        <v>256</v>
      </c>
    </row>
    <row r="301" spans="1:48" x14ac:dyDescent="0.3">
      <c r="A301" t="s">
        <v>1529</v>
      </c>
      <c r="C301" t="s">
        <v>1495</v>
      </c>
      <c r="D301" t="s">
        <v>470</v>
      </c>
      <c r="E301">
        <v>700</v>
      </c>
      <c r="H301">
        <v>40</v>
      </c>
      <c r="I301" t="s">
        <v>82</v>
      </c>
      <c r="J301">
        <v>4.0000000000000003E-5</v>
      </c>
      <c r="K301" t="s">
        <v>252</v>
      </c>
      <c r="L301" t="s">
        <v>58</v>
      </c>
      <c r="N301" t="s">
        <v>1530</v>
      </c>
      <c r="O301">
        <v>8.6</v>
      </c>
      <c r="P301" t="s">
        <v>121</v>
      </c>
      <c r="S301" t="s">
        <v>1531</v>
      </c>
      <c r="T301">
        <v>10</v>
      </c>
      <c r="V301">
        <v>50</v>
      </c>
      <c r="W301" t="s">
        <v>1532</v>
      </c>
      <c r="X301" t="s">
        <v>199</v>
      </c>
      <c r="Y301">
        <v>27.3109764823737</v>
      </c>
      <c r="AB301">
        <v>0.66531507894862396</v>
      </c>
      <c r="AC301" t="s">
        <v>85</v>
      </c>
      <c r="AE301" t="s">
        <v>1533</v>
      </c>
      <c r="AI301">
        <v>3</v>
      </c>
      <c r="AV301" t="s">
        <v>256</v>
      </c>
    </row>
    <row r="302" spans="1:48" x14ac:dyDescent="0.3">
      <c r="A302" t="s">
        <v>1529</v>
      </c>
      <c r="C302" t="s">
        <v>1495</v>
      </c>
      <c r="D302" t="s">
        <v>470</v>
      </c>
      <c r="E302">
        <v>700</v>
      </c>
      <c r="H302">
        <v>40</v>
      </c>
      <c r="I302" t="s">
        <v>82</v>
      </c>
      <c r="J302">
        <v>4.0000000000000003E-5</v>
      </c>
      <c r="K302" t="s">
        <v>252</v>
      </c>
      <c r="L302" t="s">
        <v>58</v>
      </c>
      <c r="N302" t="s">
        <v>1530</v>
      </c>
      <c r="O302">
        <v>8.6</v>
      </c>
      <c r="P302" t="s">
        <v>121</v>
      </c>
      <c r="S302" t="s">
        <v>1531</v>
      </c>
      <c r="T302">
        <v>10</v>
      </c>
      <c r="V302">
        <v>50</v>
      </c>
      <c r="W302" t="s">
        <v>1532</v>
      </c>
      <c r="X302" t="s">
        <v>199</v>
      </c>
      <c r="Y302">
        <v>31.678035904530201</v>
      </c>
      <c r="AB302">
        <v>0.88497829509135084</v>
      </c>
      <c r="AC302" t="s">
        <v>85</v>
      </c>
      <c r="AE302" t="s">
        <v>1533</v>
      </c>
      <c r="AI302">
        <v>3</v>
      </c>
      <c r="AV302" t="s">
        <v>256</v>
      </c>
    </row>
    <row r="303" spans="1:48" x14ac:dyDescent="0.3">
      <c r="A303" t="s">
        <v>1529</v>
      </c>
      <c r="C303" t="s">
        <v>1495</v>
      </c>
      <c r="D303" t="s">
        <v>470</v>
      </c>
      <c r="E303">
        <v>700</v>
      </c>
      <c r="H303">
        <v>40</v>
      </c>
      <c r="I303" t="s">
        <v>82</v>
      </c>
      <c r="J303">
        <v>4.0000000000000003E-5</v>
      </c>
      <c r="K303" t="s">
        <v>252</v>
      </c>
      <c r="L303" t="s">
        <v>58</v>
      </c>
      <c r="N303" t="s">
        <v>1530</v>
      </c>
      <c r="O303">
        <v>8.6</v>
      </c>
      <c r="P303" t="s">
        <v>121</v>
      </c>
      <c r="S303" t="s">
        <v>1531</v>
      </c>
      <c r="T303">
        <v>10</v>
      </c>
      <c r="V303">
        <v>50</v>
      </c>
      <c r="W303" t="s">
        <v>1532</v>
      </c>
      <c r="X303" t="s">
        <v>199</v>
      </c>
      <c r="Y303">
        <v>36.160536818839503</v>
      </c>
      <c r="AB303">
        <v>1.18297953537184</v>
      </c>
      <c r="AC303" t="s">
        <v>85</v>
      </c>
      <c r="AE303" t="s">
        <v>1533</v>
      </c>
      <c r="AI303">
        <v>3</v>
      </c>
      <c r="AV303" t="s">
        <v>256</v>
      </c>
    </row>
    <row r="304" spans="1:48" x14ac:dyDescent="0.3">
      <c r="A304" t="s">
        <v>1529</v>
      </c>
      <c r="C304" t="s">
        <v>1495</v>
      </c>
      <c r="D304" t="s">
        <v>470</v>
      </c>
      <c r="E304">
        <v>700</v>
      </c>
      <c r="H304">
        <v>40</v>
      </c>
      <c r="I304" t="s">
        <v>82</v>
      </c>
      <c r="J304">
        <v>4.0000000000000003E-5</v>
      </c>
      <c r="K304" t="s">
        <v>252</v>
      </c>
      <c r="L304" t="s">
        <v>58</v>
      </c>
      <c r="N304" t="s">
        <v>1530</v>
      </c>
      <c r="O304">
        <v>8.6</v>
      </c>
      <c r="P304" t="s">
        <v>121</v>
      </c>
      <c r="S304" t="s">
        <v>1531</v>
      </c>
      <c r="T304">
        <v>10</v>
      </c>
      <c r="V304">
        <v>50</v>
      </c>
      <c r="W304" t="s">
        <v>1532</v>
      </c>
      <c r="X304" t="s">
        <v>199</v>
      </c>
      <c r="Y304">
        <v>40.635405237799901</v>
      </c>
      <c r="AB304">
        <v>1.57497495587463</v>
      </c>
      <c r="AC304" t="s">
        <v>85</v>
      </c>
      <c r="AE304" t="s">
        <v>1533</v>
      </c>
      <c r="AI304">
        <v>3</v>
      </c>
      <c r="AV304" t="s">
        <v>256</v>
      </c>
    </row>
    <row r="305" spans="1:48" x14ac:dyDescent="0.3">
      <c r="A305" t="s">
        <v>1529</v>
      </c>
      <c r="C305" t="s">
        <v>1495</v>
      </c>
      <c r="D305" t="s">
        <v>470</v>
      </c>
      <c r="E305">
        <v>700</v>
      </c>
      <c r="H305">
        <v>40</v>
      </c>
      <c r="I305" t="s">
        <v>82</v>
      </c>
      <c r="J305">
        <v>4.0000000000000003E-5</v>
      </c>
      <c r="K305" t="s">
        <v>252</v>
      </c>
      <c r="L305" t="s">
        <v>58</v>
      </c>
      <c r="N305" t="s">
        <v>1530</v>
      </c>
      <c r="O305">
        <v>8.6</v>
      </c>
      <c r="P305" t="s">
        <v>121</v>
      </c>
      <c r="S305" t="s">
        <v>1531</v>
      </c>
      <c r="T305">
        <v>10</v>
      </c>
      <c r="V305">
        <v>50</v>
      </c>
      <c r="W305" t="s">
        <v>1532</v>
      </c>
      <c r="X305" t="s">
        <v>199</v>
      </c>
      <c r="Y305">
        <v>45.594937111418503</v>
      </c>
      <c r="AB305">
        <v>1.9983399322616</v>
      </c>
      <c r="AC305" t="s">
        <v>85</v>
      </c>
      <c r="AE305" t="s">
        <v>1533</v>
      </c>
      <c r="AI305">
        <v>3</v>
      </c>
      <c r="AV305" t="s">
        <v>256</v>
      </c>
    </row>
    <row r="306" spans="1:48" x14ac:dyDescent="0.3">
      <c r="A306" t="s">
        <v>1529</v>
      </c>
      <c r="C306" t="s">
        <v>1495</v>
      </c>
      <c r="D306" t="s">
        <v>470</v>
      </c>
      <c r="E306">
        <v>700</v>
      </c>
      <c r="H306">
        <v>40</v>
      </c>
      <c r="I306" t="s">
        <v>82</v>
      </c>
      <c r="J306">
        <v>4.0000000000000003E-5</v>
      </c>
      <c r="K306" t="s">
        <v>252</v>
      </c>
      <c r="L306" t="s">
        <v>58</v>
      </c>
      <c r="N306" t="s">
        <v>1530</v>
      </c>
      <c r="O306">
        <v>8.6</v>
      </c>
      <c r="P306" t="s">
        <v>121</v>
      </c>
      <c r="S306" t="s">
        <v>1531</v>
      </c>
      <c r="T306">
        <v>10</v>
      </c>
      <c r="V306">
        <v>50</v>
      </c>
      <c r="W306" t="s">
        <v>1532</v>
      </c>
      <c r="X306" t="s">
        <v>199</v>
      </c>
      <c r="Y306">
        <v>0.44618295727392898</v>
      </c>
      <c r="AB306">
        <v>5.2473405524019398E-3</v>
      </c>
      <c r="AC306" t="s">
        <v>85</v>
      </c>
      <c r="AE306" t="s">
        <v>1533</v>
      </c>
      <c r="AI306">
        <v>3</v>
      </c>
      <c r="AV306" t="s">
        <v>256</v>
      </c>
    </row>
    <row r="307" spans="1:48" x14ac:dyDescent="0.3">
      <c r="A307" t="s">
        <v>1529</v>
      </c>
      <c r="C307" t="s">
        <v>1495</v>
      </c>
      <c r="D307" t="s">
        <v>470</v>
      </c>
      <c r="E307">
        <v>700</v>
      </c>
      <c r="H307">
        <v>40</v>
      </c>
      <c r="I307" t="s">
        <v>82</v>
      </c>
      <c r="J307">
        <v>4.0000000000000003E-5</v>
      </c>
      <c r="K307" t="s">
        <v>252</v>
      </c>
      <c r="L307" t="s">
        <v>58</v>
      </c>
      <c r="N307" t="s">
        <v>1530</v>
      </c>
      <c r="O307">
        <v>8.6</v>
      </c>
      <c r="P307" t="s">
        <v>121</v>
      </c>
      <c r="S307" t="s">
        <v>1531</v>
      </c>
      <c r="T307">
        <v>10</v>
      </c>
      <c r="V307">
        <v>50</v>
      </c>
      <c r="W307" t="s">
        <v>1532</v>
      </c>
      <c r="X307" t="s">
        <v>199</v>
      </c>
      <c r="Y307">
        <v>9.3351778530426603</v>
      </c>
      <c r="AB307">
        <v>3.7275199160425702E-2</v>
      </c>
      <c r="AC307" t="s">
        <v>85</v>
      </c>
      <c r="AE307" t="s">
        <v>1533</v>
      </c>
      <c r="AI307">
        <v>3</v>
      </c>
      <c r="AV307" t="s">
        <v>256</v>
      </c>
    </row>
    <row r="308" spans="1:48" x14ac:dyDescent="0.3">
      <c r="A308" t="s">
        <v>1529</v>
      </c>
      <c r="C308" t="s">
        <v>1495</v>
      </c>
      <c r="D308" t="s">
        <v>470</v>
      </c>
      <c r="E308">
        <v>19498445.997580498</v>
      </c>
      <c r="H308">
        <v>40</v>
      </c>
      <c r="I308" t="s">
        <v>82</v>
      </c>
      <c r="J308">
        <v>4.0000000000000003E-5</v>
      </c>
      <c r="K308" t="s">
        <v>252</v>
      </c>
      <c r="L308" t="s">
        <v>58</v>
      </c>
      <c r="N308" t="s">
        <v>1530</v>
      </c>
      <c r="O308">
        <v>8.6</v>
      </c>
      <c r="P308" t="s">
        <v>121</v>
      </c>
      <c r="S308" t="s">
        <v>1531</v>
      </c>
      <c r="T308">
        <v>10</v>
      </c>
      <c r="V308">
        <v>50</v>
      </c>
      <c r="W308" t="s">
        <v>1532</v>
      </c>
      <c r="X308" t="s">
        <v>199</v>
      </c>
      <c r="Y308">
        <v>18.226716913927699</v>
      </c>
      <c r="AB308">
        <v>3.7971664361017399E-2</v>
      </c>
      <c r="AC308" t="s">
        <v>85</v>
      </c>
      <c r="AE308" t="s">
        <v>1533</v>
      </c>
      <c r="AI308">
        <v>3</v>
      </c>
      <c r="AV308" t="s">
        <v>256</v>
      </c>
    </row>
    <row r="309" spans="1:48" x14ac:dyDescent="0.3">
      <c r="A309" t="s">
        <v>1529</v>
      </c>
      <c r="C309" t="s">
        <v>1495</v>
      </c>
      <c r="D309" t="s">
        <v>470</v>
      </c>
      <c r="E309">
        <v>19498445.997580498</v>
      </c>
      <c r="H309">
        <v>40</v>
      </c>
      <c r="I309" t="s">
        <v>82</v>
      </c>
      <c r="J309">
        <v>4.0000000000000003E-5</v>
      </c>
      <c r="K309" t="s">
        <v>252</v>
      </c>
      <c r="L309" t="s">
        <v>58</v>
      </c>
      <c r="N309" t="s">
        <v>1530</v>
      </c>
      <c r="O309">
        <v>8.6</v>
      </c>
      <c r="P309" t="s">
        <v>121</v>
      </c>
      <c r="S309" t="s">
        <v>1531</v>
      </c>
      <c r="T309">
        <v>10</v>
      </c>
      <c r="V309">
        <v>50</v>
      </c>
      <c r="W309" t="s">
        <v>1532</v>
      </c>
      <c r="X309" t="s">
        <v>199</v>
      </c>
      <c r="Y309">
        <v>27.235605590802798</v>
      </c>
      <c r="AB309">
        <v>9.3507608643801199E-2</v>
      </c>
      <c r="AC309" t="s">
        <v>85</v>
      </c>
      <c r="AE309" t="s">
        <v>1533</v>
      </c>
      <c r="AI309">
        <v>3</v>
      </c>
      <c r="AV309" t="s">
        <v>256</v>
      </c>
    </row>
    <row r="310" spans="1:48" x14ac:dyDescent="0.3">
      <c r="A310" t="s">
        <v>1529</v>
      </c>
      <c r="C310" t="s">
        <v>1495</v>
      </c>
      <c r="D310" t="s">
        <v>470</v>
      </c>
      <c r="E310">
        <v>19498445.997580498</v>
      </c>
      <c r="H310">
        <v>40</v>
      </c>
      <c r="I310" t="s">
        <v>82</v>
      </c>
      <c r="J310">
        <v>4.0000000000000003E-5</v>
      </c>
      <c r="K310" t="s">
        <v>252</v>
      </c>
      <c r="L310" t="s">
        <v>58</v>
      </c>
      <c r="N310" t="s">
        <v>1530</v>
      </c>
      <c r="O310">
        <v>8.6</v>
      </c>
      <c r="P310" t="s">
        <v>121</v>
      </c>
      <c r="S310" t="s">
        <v>1531</v>
      </c>
      <c r="T310">
        <v>10</v>
      </c>
      <c r="V310">
        <v>50</v>
      </c>
      <c r="W310" t="s">
        <v>1532</v>
      </c>
      <c r="X310" t="s">
        <v>199</v>
      </c>
      <c r="Y310">
        <v>36.845871297047097</v>
      </c>
      <c r="AB310">
        <v>0.24308543624481199</v>
      </c>
      <c r="AC310" t="s">
        <v>85</v>
      </c>
      <c r="AE310" t="s">
        <v>1533</v>
      </c>
      <c r="AI310">
        <v>3</v>
      </c>
      <c r="AV310" t="s">
        <v>256</v>
      </c>
    </row>
    <row r="311" spans="1:48" x14ac:dyDescent="0.3">
      <c r="A311" t="s">
        <v>1529</v>
      </c>
      <c r="C311" t="s">
        <v>1495</v>
      </c>
      <c r="D311" t="s">
        <v>470</v>
      </c>
      <c r="E311">
        <v>19498445.997580498</v>
      </c>
      <c r="H311">
        <v>40</v>
      </c>
      <c r="I311" t="s">
        <v>82</v>
      </c>
      <c r="J311">
        <v>4.0000000000000003E-5</v>
      </c>
      <c r="K311" t="s">
        <v>252</v>
      </c>
      <c r="L311" t="s">
        <v>58</v>
      </c>
      <c r="N311" t="s">
        <v>1530</v>
      </c>
      <c r="O311">
        <v>8.6</v>
      </c>
      <c r="P311" t="s">
        <v>121</v>
      </c>
      <c r="S311" t="s">
        <v>1531</v>
      </c>
      <c r="T311">
        <v>10</v>
      </c>
      <c r="V311">
        <v>50</v>
      </c>
      <c r="W311" t="s">
        <v>1532</v>
      </c>
      <c r="X311" t="s">
        <v>199</v>
      </c>
      <c r="Y311">
        <v>45.364372147752299</v>
      </c>
      <c r="AB311">
        <v>0.33774745981014198</v>
      </c>
      <c r="AC311" t="s">
        <v>85</v>
      </c>
      <c r="AE311" t="s">
        <v>1533</v>
      </c>
      <c r="AI311">
        <v>3</v>
      </c>
      <c r="AV311" t="s">
        <v>256</v>
      </c>
    </row>
    <row r="312" spans="1:48" x14ac:dyDescent="0.3">
      <c r="A312" t="s">
        <v>1529</v>
      </c>
      <c r="C312" t="s">
        <v>1495</v>
      </c>
      <c r="D312" t="s">
        <v>470</v>
      </c>
      <c r="E312">
        <v>19498445.997580498</v>
      </c>
      <c r="H312">
        <v>40</v>
      </c>
      <c r="I312" t="s">
        <v>82</v>
      </c>
      <c r="J312">
        <v>4.0000000000000003E-5</v>
      </c>
      <c r="K312" t="s">
        <v>252</v>
      </c>
      <c r="L312" t="s">
        <v>58</v>
      </c>
      <c r="N312" t="s">
        <v>1530</v>
      </c>
      <c r="O312">
        <v>8.6</v>
      </c>
      <c r="P312" t="s">
        <v>121</v>
      </c>
      <c r="S312" t="s">
        <v>1531</v>
      </c>
      <c r="T312">
        <v>10</v>
      </c>
      <c r="V312">
        <v>50</v>
      </c>
      <c r="W312" t="s">
        <v>1532</v>
      </c>
      <c r="X312" t="s">
        <v>199</v>
      </c>
      <c r="Y312">
        <v>54.583790488002599</v>
      </c>
      <c r="AB312">
        <v>0.80061059962791603</v>
      </c>
      <c r="AC312" t="s">
        <v>85</v>
      </c>
      <c r="AE312" t="s">
        <v>1533</v>
      </c>
      <c r="AI312">
        <v>3</v>
      </c>
      <c r="AV312" t="s">
        <v>256</v>
      </c>
    </row>
    <row r="313" spans="1:48" x14ac:dyDescent="0.3">
      <c r="A313" t="s">
        <v>1529</v>
      </c>
      <c r="C313" t="s">
        <v>1495</v>
      </c>
      <c r="D313" t="s">
        <v>470</v>
      </c>
      <c r="E313">
        <v>19498445.997580498</v>
      </c>
      <c r="H313">
        <v>40</v>
      </c>
      <c r="I313" t="s">
        <v>82</v>
      </c>
      <c r="J313">
        <v>4.0000000000000003E-5</v>
      </c>
      <c r="K313" t="s">
        <v>252</v>
      </c>
      <c r="L313" t="s">
        <v>58</v>
      </c>
      <c r="N313" t="s">
        <v>1530</v>
      </c>
      <c r="O313">
        <v>8.6</v>
      </c>
      <c r="P313" t="s">
        <v>121</v>
      </c>
      <c r="S313" t="s">
        <v>1531</v>
      </c>
      <c r="T313">
        <v>10</v>
      </c>
      <c r="V313">
        <v>50</v>
      </c>
      <c r="W313" t="s">
        <v>1532</v>
      </c>
      <c r="X313" t="s">
        <v>199</v>
      </c>
      <c r="Y313">
        <v>63.0800298939401</v>
      </c>
      <c r="AB313">
        <v>1.1694223155082699</v>
      </c>
      <c r="AC313" t="s">
        <v>85</v>
      </c>
      <c r="AE313" t="s">
        <v>1533</v>
      </c>
      <c r="AI313">
        <v>3</v>
      </c>
      <c r="AV313" t="s">
        <v>256</v>
      </c>
    </row>
    <row r="314" spans="1:48" x14ac:dyDescent="0.3">
      <c r="A314" t="s">
        <v>1529</v>
      </c>
      <c r="C314" t="s">
        <v>1495</v>
      </c>
      <c r="D314" t="s">
        <v>470</v>
      </c>
      <c r="E314">
        <v>19498445.997580498</v>
      </c>
      <c r="H314">
        <v>40</v>
      </c>
      <c r="I314" t="s">
        <v>82</v>
      </c>
      <c r="J314">
        <v>4.0000000000000003E-5</v>
      </c>
      <c r="K314" t="s">
        <v>252</v>
      </c>
      <c r="L314" t="s">
        <v>58</v>
      </c>
      <c r="N314" t="s">
        <v>1530</v>
      </c>
      <c r="O314">
        <v>8.6</v>
      </c>
      <c r="P314" t="s">
        <v>121</v>
      </c>
      <c r="S314" t="s">
        <v>1531</v>
      </c>
      <c r="T314">
        <v>10</v>
      </c>
      <c r="V314">
        <v>50</v>
      </c>
      <c r="W314" t="s">
        <v>1532</v>
      </c>
      <c r="X314" t="s">
        <v>199</v>
      </c>
      <c r="Y314">
        <v>72.053936300465907</v>
      </c>
      <c r="AB314">
        <v>1.65576491914325</v>
      </c>
      <c r="AC314" t="s">
        <v>85</v>
      </c>
      <c r="AE314" t="s">
        <v>1533</v>
      </c>
      <c r="AI314">
        <v>3</v>
      </c>
      <c r="AV314" t="s">
        <v>256</v>
      </c>
    </row>
    <row r="315" spans="1:48" x14ac:dyDescent="0.3">
      <c r="A315" t="s">
        <v>1529</v>
      </c>
      <c r="C315" t="s">
        <v>1495</v>
      </c>
      <c r="D315" t="s">
        <v>470</v>
      </c>
      <c r="E315">
        <v>19498445.997580498</v>
      </c>
      <c r="H315">
        <v>40</v>
      </c>
      <c r="I315" t="s">
        <v>82</v>
      </c>
      <c r="J315">
        <v>4.0000000000000003E-5</v>
      </c>
      <c r="K315" t="s">
        <v>252</v>
      </c>
      <c r="L315" t="s">
        <v>58</v>
      </c>
      <c r="N315" t="s">
        <v>1530</v>
      </c>
      <c r="O315">
        <v>8.6</v>
      </c>
      <c r="P315" t="s">
        <v>121</v>
      </c>
      <c r="S315" t="s">
        <v>1531</v>
      </c>
      <c r="T315">
        <v>10</v>
      </c>
      <c r="V315">
        <v>50</v>
      </c>
      <c r="W315" t="s">
        <v>1532</v>
      </c>
      <c r="X315" t="s">
        <v>199</v>
      </c>
      <c r="Y315">
        <v>81.990173162238193</v>
      </c>
      <c r="AB315">
        <v>2.2910079664170202</v>
      </c>
      <c r="AC315" t="s">
        <v>85</v>
      </c>
      <c r="AE315" t="s">
        <v>1533</v>
      </c>
      <c r="AI315">
        <v>3</v>
      </c>
      <c r="AV315" t="s">
        <v>256</v>
      </c>
    </row>
    <row r="316" spans="1:48" x14ac:dyDescent="0.3">
      <c r="A316" t="s">
        <v>1529</v>
      </c>
      <c r="C316" t="s">
        <v>1495</v>
      </c>
      <c r="D316" t="s">
        <v>470</v>
      </c>
      <c r="E316">
        <v>200</v>
      </c>
      <c r="H316">
        <v>40</v>
      </c>
      <c r="I316" t="s">
        <v>82</v>
      </c>
      <c r="J316">
        <v>4.0000000000000003E-5</v>
      </c>
      <c r="K316" t="s">
        <v>252</v>
      </c>
      <c r="L316" t="s">
        <v>58</v>
      </c>
      <c r="O316">
        <v>8.6</v>
      </c>
      <c r="S316" t="s">
        <v>1531</v>
      </c>
      <c r="T316">
        <v>10</v>
      </c>
      <c r="V316">
        <v>50</v>
      </c>
      <c r="W316" t="s">
        <v>1532</v>
      </c>
      <c r="X316" t="s">
        <v>199</v>
      </c>
      <c r="Y316">
        <v>0.44745503983208712</v>
      </c>
      <c r="AB316">
        <v>-1.0418356151314E-2</v>
      </c>
      <c r="AC316" t="s">
        <v>85</v>
      </c>
      <c r="AE316" t="s">
        <v>1533</v>
      </c>
      <c r="AI316">
        <v>3</v>
      </c>
      <c r="AV316" t="s">
        <v>256</v>
      </c>
    </row>
    <row r="317" spans="1:48" x14ac:dyDescent="0.3">
      <c r="A317" t="s">
        <v>1529</v>
      </c>
      <c r="C317" t="s">
        <v>1495</v>
      </c>
      <c r="D317" t="s">
        <v>470</v>
      </c>
      <c r="E317">
        <v>200</v>
      </c>
      <c r="H317">
        <v>40</v>
      </c>
      <c r="I317" t="s">
        <v>82</v>
      </c>
      <c r="J317">
        <v>4.0000000000000003E-5</v>
      </c>
      <c r="K317" t="s">
        <v>252</v>
      </c>
      <c r="L317" t="s">
        <v>58</v>
      </c>
      <c r="O317">
        <v>8.6</v>
      </c>
      <c r="S317" t="s">
        <v>1531</v>
      </c>
      <c r="T317">
        <v>10</v>
      </c>
      <c r="V317">
        <v>50</v>
      </c>
      <c r="W317" t="s">
        <v>1532</v>
      </c>
      <c r="X317" t="s">
        <v>199</v>
      </c>
      <c r="Y317">
        <v>23.471831321852701</v>
      </c>
      <c r="AB317">
        <v>-5.5612269236273097E-2</v>
      </c>
      <c r="AC317" t="s">
        <v>85</v>
      </c>
      <c r="AE317" t="s">
        <v>1533</v>
      </c>
      <c r="AI317">
        <v>3</v>
      </c>
      <c r="AV317" t="s">
        <v>256</v>
      </c>
    </row>
    <row r="318" spans="1:48" x14ac:dyDescent="0.3">
      <c r="A318" t="s">
        <v>1529</v>
      </c>
      <c r="C318" t="s">
        <v>1495</v>
      </c>
      <c r="D318" t="s">
        <v>470</v>
      </c>
      <c r="E318">
        <v>200</v>
      </c>
      <c r="H318">
        <v>40</v>
      </c>
      <c r="I318" t="s">
        <v>82</v>
      </c>
      <c r="J318">
        <v>4.0000000000000003E-5</v>
      </c>
      <c r="K318" t="s">
        <v>252</v>
      </c>
      <c r="L318" t="s">
        <v>58</v>
      </c>
      <c r="O318">
        <v>8.6</v>
      </c>
      <c r="S318" t="s">
        <v>1531</v>
      </c>
      <c r="T318">
        <v>10</v>
      </c>
      <c r="V318">
        <v>50</v>
      </c>
      <c r="W318" t="s">
        <v>1532</v>
      </c>
      <c r="X318" t="s">
        <v>199</v>
      </c>
      <c r="Y318">
        <v>46.491755314919899</v>
      </c>
      <c r="AB318">
        <v>-4.5976243858226101E-2</v>
      </c>
      <c r="AC318" t="s">
        <v>85</v>
      </c>
      <c r="AE318" t="s">
        <v>1533</v>
      </c>
      <c r="AI318">
        <v>3</v>
      </c>
      <c r="AV318" t="s">
        <v>256</v>
      </c>
    </row>
    <row r="319" spans="1:48" x14ac:dyDescent="0.3">
      <c r="A319" t="s">
        <v>1529</v>
      </c>
      <c r="C319" t="s">
        <v>1495</v>
      </c>
      <c r="D319" t="s">
        <v>470</v>
      </c>
      <c r="E319">
        <v>200</v>
      </c>
      <c r="H319">
        <v>40</v>
      </c>
      <c r="I319" t="s">
        <v>82</v>
      </c>
      <c r="J319">
        <v>4.0000000000000003E-5</v>
      </c>
      <c r="K319" t="s">
        <v>252</v>
      </c>
      <c r="L319" t="s">
        <v>58</v>
      </c>
      <c r="O319">
        <v>8.6</v>
      </c>
      <c r="S319" t="s">
        <v>1531</v>
      </c>
      <c r="T319">
        <v>10</v>
      </c>
      <c r="V319">
        <v>50</v>
      </c>
      <c r="W319" t="s">
        <v>1532</v>
      </c>
      <c r="X319" t="s">
        <v>199</v>
      </c>
      <c r="Y319">
        <v>70.364292642592503</v>
      </c>
      <c r="AB319">
        <v>-3.6273434145875798E-2</v>
      </c>
      <c r="AC319" t="s">
        <v>85</v>
      </c>
      <c r="AE319" t="s">
        <v>1533</v>
      </c>
      <c r="AI319">
        <v>3</v>
      </c>
      <c r="AV319" t="s">
        <v>256</v>
      </c>
    </row>
    <row r="320" spans="1:48" x14ac:dyDescent="0.3">
      <c r="A320" t="s">
        <v>1529</v>
      </c>
      <c r="C320" t="s">
        <v>1495</v>
      </c>
      <c r="D320" t="s">
        <v>470</v>
      </c>
      <c r="E320">
        <v>200</v>
      </c>
      <c r="H320">
        <v>40</v>
      </c>
      <c r="I320" t="s">
        <v>82</v>
      </c>
      <c r="J320">
        <v>4.0000000000000003E-5</v>
      </c>
      <c r="K320" t="s">
        <v>252</v>
      </c>
      <c r="L320" t="s">
        <v>58</v>
      </c>
      <c r="N320" t="s">
        <v>1530</v>
      </c>
      <c r="O320">
        <v>6.3</v>
      </c>
      <c r="P320" t="s">
        <v>121</v>
      </c>
      <c r="S320" t="s">
        <v>1531</v>
      </c>
      <c r="T320">
        <v>10</v>
      </c>
      <c r="V320">
        <v>50</v>
      </c>
      <c r="W320" t="s">
        <v>1532</v>
      </c>
      <c r="X320" t="s">
        <v>199</v>
      </c>
      <c r="Y320">
        <v>5.2926525529265103</v>
      </c>
      <c r="AB320">
        <v>0.13399750933997401</v>
      </c>
      <c r="AC320" t="s">
        <v>85</v>
      </c>
      <c r="AE320" t="s">
        <v>1533</v>
      </c>
      <c r="AI320">
        <v>3</v>
      </c>
      <c r="AV320" t="s">
        <v>256</v>
      </c>
    </row>
    <row r="321" spans="1:48" x14ac:dyDescent="0.3">
      <c r="A321" t="s">
        <v>1529</v>
      </c>
      <c r="C321" t="s">
        <v>1495</v>
      </c>
      <c r="D321" t="s">
        <v>470</v>
      </c>
      <c r="E321">
        <v>200</v>
      </c>
      <c r="H321">
        <v>40</v>
      </c>
      <c r="I321" t="s">
        <v>82</v>
      </c>
      <c r="J321">
        <v>4.0000000000000003E-5</v>
      </c>
      <c r="K321" t="s">
        <v>252</v>
      </c>
      <c r="L321" t="s">
        <v>58</v>
      </c>
      <c r="N321" t="s">
        <v>1530</v>
      </c>
      <c r="O321">
        <v>6.3</v>
      </c>
      <c r="P321" t="s">
        <v>121</v>
      </c>
      <c r="S321" t="s">
        <v>1531</v>
      </c>
      <c r="T321">
        <v>10</v>
      </c>
      <c r="V321">
        <v>50</v>
      </c>
      <c r="W321" t="s">
        <v>1532</v>
      </c>
      <c r="X321" t="s">
        <v>199</v>
      </c>
      <c r="Y321">
        <v>10.8966376089663</v>
      </c>
      <c r="AB321">
        <v>0.18925109271603999</v>
      </c>
      <c r="AC321" t="s">
        <v>85</v>
      </c>
      <c r="AE321" t="s">
        <v>1533</v>
      </c>
      <c r="AI321">
        <v>3</v>
      </c>
      <c r="AV321" t="s">
        <v>256</v>
      </c>
    </row>
    <row r="322" spans="1:48" x14ac:dyDescent="0.3">
      <c r="A322" t="s">
        <v>1529</v>
      </c>
      <c r="C322" t="s">
        <v>1495</v>
      </c>
      <c r="D322" t="s">
        <v>470</v>
      </c>
      <c r="E322">
        <v>200</v>
      </c>
      <c r="H322">
        <v>40</v>
      </c>
      <c r="I322" t="s">
        <v>82</v>
      </c>
      <c r="J322">
        <v>4.0000000000000003E-5</v>
      </c>
      <c r="K322" t="s">
        <v>252</v>
      </c>
      <c r="L322" t="s">
        <v>58</v>
      </c>
      <c r="N322" t="s">
        <v>1530</v>
      </c>
      <c r="O322">
        <v>6.3</v>
      </c>
      <c r="P322" t="s">
        <v>121</v>
      </c>
      <c r="S322" t="s">
        <v>1531</v>
      </c>
      <c r="T322">
        <v>10</v>
      </c>
      <c r="V322">
        <v>50</v>
      </c>
      <c r="W322" t="s">
        <v>1532</v>
      </c>
      <c r="X322" t="s">
        <v>199</v>
      </c>
      <c r="Y322">
        <v>16.8119551681195</v>
      </c>
      <c r="AB322">
        <v>0.111190877347202</v>
      </c>
      <c r="AC322" t="s">
        <v>85</v>
      </c>
      <c r="AE322" t="s">
        <v>1533</v>
      </c>
      <c r="AI322">
        <v>3</v>
      </c>
      <c r="AV322" t="s">
        <v>256</v>
      </c>
    </row>
    <row r="323" spans="1:48" x14ac:dyDescent="0.3">
      <c r="A323" t="s">
        <v>1529</v>
      </c>
      <c r="C323" t="s">
        <v>1495</v>
      </c>
      <c r="D323" t="s">
        <v>470</v>
      </c>
      <c r="E323">
        <v>200</v>
      </c>
      <c r="H323">
        <v>40</v>
      </c>
      <c r="I323" t="s">
        <v>82</v>
      </c>
      <c r="J323">
        <v>4.0000000000000003E-5</v>
      </c>
      <c r="K323" t="s">
        <v>252</v>
      </c>
      <c r="L323" t="s">
        <v>58</v>
      </c>
      <c r="N323" t="s">
        <v>1530</v>
      </c>
      <c r="O323">
        <v>6.3</v>
      </c>
      <c r="P323" t="s">
        <v>121</v>
      </c>
      <c r="S323" t="s">
        <v>1531</v>
      </c>
      <c r="T323">
        <v>10</v>
      </c>
      <c r="V323">
        <v>50</v>
      </c>
      <c r="W323" t="s">
        <v>1532</v>
      </c>
      <c r="X323" t="s">
        <v>199</v>
      </c>
      <c r="Y323">
        <v>21.793275217932699</v>
      </c>
      <c r="AB323">
        <v>0.25267990135032797</v>
      </c>
      <c r="AC323" t="s">
        <v>85</v>
      </c>
      <c r="AE323" t="s">
        <v>1533</v>
      </c>
      <c r="AI323">
        <v>3</v>
      </c>
      <c r="AV323" t="s">
        <v>256</v>
      </c>
    </row>
    <row r="324" spans="1:48" x14ac:dyDescent="0.3">
      <c r="A324" t="s">
        <v>1529</v>
      </c>
      <c r="C324" t="s">
        <v>1495</v>
      </c>
      <c r="D324" t="s">
        <v>470</v>
      </c>
      <c r="E324">
        <v>200</v>
      </c>
      <c r="H324">
        <v>40</v>
      </c>
      <c r="I324" t="s">
        <v>82</v>
      </c>
      <c r="J324">
        <v>4.0000000000000003E-5</v>
      </c>
      <c r="K324" t="s">
        <v>252</v>
      </c>
      <c r="L324" t="s">
        <v>58</v>
      </c>
      <c r="N324" t="s">
        <v>1530</v>
      </c>
      <c r="O324">
        <v>6.3</v>
      </c>
      <c r="P324" t="s">
        <v>121</v>
      </c>
      <c r="S324" t="s">
        <v>1531</v>
      </c>
      <c r="T324">
        <v>10</v>
      </c>
      <c r="V324">
        <v>50</v>
      </c>
      <c r="W324" t="s">
        <v>1532</v>
      </c>
      <c r="X324" t="s">
        <v>199</v>
      </c>
      <c r="Y324">
        <v>39.8505603985056</v>
      </c>
      <c r="AB324">
        <v>0.58322467218518703</v>
      </c>
      <c r="AC324" t="s">
        <v>85</v>
      </c>
      <c r="AE324" t="s">
        <v>1533</v>
      </c>
      <c r="AI324">
        <v>3</v>
      </c>
      <c r="AV324" t="s">
        <v>256</v>
      </c>
    </row>
    <row r="325" spans="1:48" x14ac:dyDescent="0.3">
      <c r="A325" t="s">
        <v>1529</v>
      </c>
      <c r="C325" t="s">
        <v>1495</v>
      </c>
      <c r="D325" t="s">
        <v>470</v>
      </c>
      <c r="E325">
        <v>200</v>
      </c>
      <c r="H325">
        <v>40</v>
      </c>
      <c r="I325" t="s">
        <v>82</v>
      </c>
      <c r="J325">
        <v>4.0000000000000003E-5</v>
      </c>
      <c r="K325" t="s">
        <v>252</v>
      </c>
      <c r="L325" t="s">
        <v>58</v>
      </c>
      <c r="N325" t="s">
        <v>1530</v>
      </c>
      <c r="O325">
        <v>6.3</v>
      </c>
      <c r="P325" t="s">
        <v>121</v>
      </c>
      <c r="S325" t="s">
        <v>1531</v>
      </c>
      <c r="T325">
        <v>10</v>
      </c>
      <c r="V325">
        <v>50</v>
      </c>
      <c r="W325" t="s">
        <v>1532</v>
      </c>
      <c r="X325" t="s">
        <v>199</v>
      </c>
      <c r="Y325">
        <v>57.596513075965099</v>
      </c>
      <c r="AB325">
        <v>0.87453422215710597</v>
      </c>
      <c r="AC325" t="s">
        <v>85</v>
      </c>
      <c r="AE325" t="s">
        <v>1533</v>
      </c>
      <c r="AI325">
        <v>3</v>
      </c>
      <c r="AV325" t="s">
        <v>256</v>
      </c>
    </row>
    <row r="326" spans="1:48" x14ac:dyDescent="0.3">
      <c r="A326" t="s">
        <v>1529</v>
      </c>
      <c r="C326" t="s">
        <v>1495</v>
      </c>
      <c r="D326" t="s">
        <v>470</v>
      </c>
      <c r="E326">
        <v>200</v>
      </c>
      <c r="H326">
        <v>40</v>
      </c>
      <c r="I326" t="s">
        <v>82</v>
      </c>
      <c r="J326">
        <v>4.0000000000000003E-5</v>
      </c>
      <c r="K326" t="s">
        <v>252</v>
      </c>
      <c r="L326" t="s">
        <v>58</v>
      </c>
      <c r="N326" t="s">
        <v>1530</v>
      </c>
      <c r="O326">
        <v>6.3</v>
      </c>
      <c r="P326" t="s">
        <v>121</v>
      </c>
      <c r="S326" t="s">
        <v>1531</v>
      </c>
      <c r="T326">
        <v>10</v>
      </c>
      <c r="V326">
        <v>50</v>
      </c>
      <c r="W326" t="s">
        <v>1532</v>
      </c>
      <c r="X326" t="s">
        <v>199</v>
      </c>
      <c r="Y326">
        <v>75.342465753424605</v>
      </c>
      <c r="AB326">
        <v>1.14231436036432</v>
      </c>
      <c r="AC326" t="s">
        <v>85</v>
      </c>
      <c r="AE326" t="s">
        <v>1533</v>
      </c>
      <c r="AI326">
        <v>3</v>
      </c>
      <c r="AV326" t="s">
        <v>256</v>
      </c>
    </row>
    <row r="327" spans="1:48" x14ac:dyDescent="0.3">
      <c r="A327" t="s">
        <v>1529</v>
      </c>
      <c r="C327" t="s">
        <v>1495</v>
      </c>
      <c r="D327" t="s">
        <v>470</v>
      </c>
      <c r="E327">
        <v>200</v>
      </c>
      <c r="H327">
        <v>40</v>
      </c>
      <c r="I327" t="s">
        <v>82</v>
      </c>
      <c r="J327">
        <v>4.0000000000000003E-5</v>
      </c>
      <c r="K327" t="s">
        <v>252</v>
      </c>
      <c r="L327" t="s">
        <v>58</v>
      </c>
      <c r="N327" t="s">
        <v>1530</v>
      </c>
      <c r="O327">
        <v>6.3</v>
      </c>
      <c r="P327" t="s">
        <v>121</v>
      </c>
      <c r="S327" t="s">
        <v>1531</v>
      </c>
      <c r="T327">
        <v>10</v>
      </c>
      <c r="V327">
        <v>50</v>
      </c>
      <c r="W327" t="s">
        <v>1532</v>
      </c>
      <c r="X327" t="s">
        <v>199</v>
      </c>
      <c r="Y327">
        <v>93.711083437110801</v>
      </c>
      <c r="AB327">
        <v>1.81797670500329</v>
      </c>
      <c r="AC327" t="s">
        <v>85</v>
      </c>
      <c r="AE327" t="s">
        <v>1533</v>
      </c>
      <c r="AI327">
        <v>3</v>
      </c>
      <c r="AV327" t="s">
        <v>256</v>
      </c>
    </row>
    <row r="328" spans="1:48" x14ac:dyDescent="0.3">
      <c r="A328" t="s">
        <v>1529</v>
      </c>
      <c r="C328" t="s">
        <v>1495</v>
      </c>
      <c r="D328" t="s">
        <v>470</v>
      </c>
      <c r="E328">
        <v>200</v>
      </c>
      <c r="H328">
        <v>40</v>
      </c>
      <c r="I328" t="s">
        <v>82</v>
      </c>
      <c r="J328">
        <v>4.0000000000000003E-5</v>
      </c>
      <c r="K328" t="s">
        <v>252</v>
      </c>
      <c r="L328" t="s">
        <v>58</v>
      </c>
      <c r="N328" t="s">
        <v>1530</v>
      </c>
      <c r="O328">
        <v>6.3</v>
      </c>
      <c r="P328" t="s">
        <v>121</v>
      </c>
      <c r="S328" t="s">
        <v>1531</v>
      </c>
      <c r="T328">
        <v>10</v>
      </c>
      <c r="V328">
        <v>50</v>
      </c>
      <c r="W328" t="s">
        <v>1532</v>
      </c>
      <c r="X328" t="s">
        <v>199</v>
      </c>
      <c r="Y328">
        <v>111.45703611457</v>
      </c>
      <c r="AB328">
        <v>2.3210509608575598</v>
      </c>
      <c r="AC328" t="s">
        <v>85</v>
      </c>
      <c r="AE328" t="s">
        <v>1533</v>
      </c>
      <c r="AI328">
        <v>3</v>
      </c>
      <c r="AV328" t="s">
        <v>256</v>
      </c>
    </row>
    <row r="329" spans="1:48" x14ac:dyDescent="0.3">
      <c r="A329" t="s">
        <v>1529</v>
      </c>
      <c r="C329" t="s">
        <v>1495</v>
      </c>
      <c r="D329" t="s">
        <v>470</v>
      </c>
      <c r="E329">
        <v>200</v>
      </c>
      <c r="H329">
        <v>40</v>
      </c>
      <c r="I329" t="s">
        <v>82</v>
      </c>
      <c r="J329">
        <v>4.0000000000000003E-5</v>
      </c>
      <c r="K329" t="s">
        <v>252</v>
      </c>
      <c r="L329" t="s">
        <v>58</v>
      </c>
      <c r="N329" t="s">
        <v>1530</v>
      </c>
      <c r="O329">
        <v>6.3</v>
      </c>
      <c r="P329" t="s">
        <v>121</v>
      </c>
      <c r="S329" t="s">
        <v>1531</v>
      </c>
      <c r="T329">
        <v>10</v>
      </c>
      <c r="V329">
        <v>50</v>
      </c>
      <c r="W329" t="s">
        <v>1532</v>
      </c>
      <c r="X329" t="s">
        <v>199</v>
      </c>
      <c r="Y329">
        <v>129.51432129514299</v>
      </c>
      <c r="AB329">
        <v>2.9731643591434</v>
      </c>
      <c r="AC329" t="s">
        <v>85</v>
      </c>
      <c r="AE329" t="s">
        <v>1533</v>
      </c>
      <c r="AI329">
        <v>3</v>
      </c>
      <c r="AV329" t="s">
        <v>256</v>
      </c>
    </row>
    <row r="330" spans="1:48" x14ac:dyDescent="0.3">
      <c r="A330" t="s">
        <v>1529</v>
      </c>
      <c r="C330" t="s">
        <v>1495</v>
      </c>
      <c r="D330" t="s">
        <v>470</v>
      </c>
      <c r="E330">
        <v>200</v>
      </c>
      <c r="H330">
        <v>40</v>
      </c>
      <c r="I330" t="s">
        <v>82</v>
      </c>
      <c r="J330">
        <v>4.0000000000000003E-5</v>
      </c>
      <c r="K330" t="s">
        <v>252</v>
      </c>
      <c r="L330" t="s">
        <v>58</v>
      </c>
      <c r="N330" t="s">
        <v>1530</v>
      </c>
      <c r="O330">
        <v>3.4</v>
      </c>
      <c r="P330" t="s">
        <v>121</v>
      </c>
      <c r="S330" t="s">
        <v>1531</v>
      </c>
      <c r="T330">
        <v>10</v>
      </c>
      <c r="V330">
        <v>50</v>
      </c>
      <c r="W330" t="s">
        <v>1532</v>
      </c>
      <c r="X330" t="s">
        <v>199</v>
      </c>
      <c r="Y330">
        <v>21.4819427148194</v>
      </c>
      <c r="AB330">
        <v>9.5797621663858301E-2</v>
      </c>
      <c r="AC330" t="s">
        <v>85</v>
      </c>
      <c r="AE330" t="s">
        <v>1533</v>
      </c>
      <c r="AI330">
        <v>3</v>
      </c>
      <c r="AV330" t="s">
        <v>256</v>
      </c>
    </row>
    <row r="331" spans="1:48" x14ac:dyDescent="0.3">
      <c r="A331" t="s">
        <v>1529</v>
      </c>
      <c r="C331" t="s">
        <v>1495</v>
      </c>
      <c r="D331" t="s">
        <v>470</v>
      </c>
      <c r="E331">
        <v>200</v>
      </c>
      <c r="H331">
        <v>40</v>
      </c>
      <c r="I331" t="s">
        <v>82</v>
      </c>
      <c r="J331">
        <v>4.0000000000000003E-5</v>
      </c>
      <c r="K331" t="s">
        <v>252</v>
      </c>
      <c r="L331" t="s">
        <v>58</v>
      </c>
      <c r="N331" t="s">
        <v>1530</v>
      </c>
      <c r="O331">
        <v>3.4</v>
      </c>
      <c r="P331" t="s">
        <v>121</v>
      </c>
      <c r="S331" t="s">
        <v>1531</v>
      </c>
      <c r="T331">
        <v>10</v>
      </c>
      <c r="V331">
        <v>50</v>
      </c>
      <c r="W331" t="s">
        <v>1532</v>
      </c>
      <c r="X331" t="s">
        <v>199</v>
      </c>
      <c r="Y331">
        <v>42.652552926525502</v>
      </c>
      <c r="AB331">
        <v>9.7125973677141805E-2</v>
      </c>
      <c r="AC331" t="s">
        <v>85</v>
      </c>
      <c r="AE331" t="s">
        <v>1533</v>
      </c>
      <c r="AI331">
        <v>3</v>
      </c>
      <c r="AV331" t="s">
        <v>256</v>
      </c>
    </row>
    <row r="332" spans="1:48" x14ac:dyDescent="0.3">
      <c r="A332" t="s">
        <v>1529</v>
      </c>
      <c r="C332" t="s">
        <v>1495</v>
      </c>
      <c r="D332" t="s">
        <v>470</v>
      </c>
      <c r="E332">
        <v>200</v>
      </c>
      <c r="H332">
        <v>40</v>
      </c>
      <c r="I332" t="s">
        <v>82</v>
      </c>
      <c r="J332">
        <v>4.0000000000000003E-5</v>
      </c>
      <c r="K332" t="s">
        <v>252</v>
      </c>
      <c r="L332" t="s">
        <v>58</v>
      </c>
      <c r="N332" t="s">
        <v>1530</v>
      </c>
      <c r="O332">
        <v>3.4</v>
      </c>
      <c r="P332" t="s">
        <v>121</v>
      </c>
      <c r="S332" t="s">
        <v>1531</v>
      </c>
      <c r="T332">
        <v>10</v>
      </c>
      <c r="V332">
        <v>50</v>
      </c>
      <c r="W332" t="s">
        <v>1532</v>
      </c>
      <c r="X332" t="s">
        <v>199</v>
      </c>
      <c r="Y332">
        <v>64.445828144458204</v>
      </c>
      <c r="AB332">
        <v>0.15339535565160001</v>
      </c>
      <c r="AC332" t="s">
        <v>85</v>
      </c>
      <c r="AE332" t="s">
        <v>1533</v>
      </c>
      <c r="AI332">
        <v>3</v>
      </c>
      <c r="AV332" t="s">
        <v>256</v>
      </c>
    </row>
    <row r="333" spans="1:48" x14ac:dyDescent="0.3">
      <c r="A333" t="s">
        <v>1529</v>
      </c>
      <c r="C333" t="s">
        <v>1495</v>
      </c>
      <c r="D333" t="s">
        <v>470</v>
      </c>
      <c r="E333">
        <v>200</v>
      </c>
      <c r="H333">
        <v>40</v>
      </c>
      <c r="I333" t="s">
        <v>82</v>
      </c>
      <c r="J333">
        <v>4.0000000000000003E-5</v>
      </c>
      <c r="K333" t="s">
        <v>252</v>
      </c>
      <c r="L333" t="s">
        <v>58</v>
      </c>
      <c r="N333" t="s">
        <v>1530</v>
      </c>
      <c r="O333">
        <v>3.4</v>
      </c>
      <c r="P333" t="s">
        <v>121</v>
      </c>
      <c r="S333" t="s">
        <v>1531</v>
      </c>
      <c r="T333">
        <v>10</v>
      </c>
      <c r="V333">
        <v>50</v>
      </c>
      <c r="W333" t="s">
        <v>1532</v>
      </c>
      <c r="X333" t="s">
        <v>199</v>
      </c>
      <c r="Y333">
        <v>85.616438356164295</v>
      </c>
      <c r="AB333">
        <v>0.154723707664883</v>
      </c>
      <c r="AC333" t="s">
        <v>85</v>
      </c>
      <c r="AE333" t="s">
        <v>1533</v>
      </c>
      <c r="AI333">
        <v>3</v>
      </c>
      <c r="AV333" t="s">
        <v>256</v>
      </c>
    </row>
    <row r="334" spans="1:48" x14ac:dyDescent="0.3">
      <c r="A334" t="s">
        <v>1529</v>
      </c>
      <c r="C334" t="s">
        <v>1495</v>
      </c>
      <c r="D334" t="s">
        <v>470</v>
      </c>
      <c r="E334">
        <v>200</v>
      </c>
      <c r="H334">
        <v>40</v>
      </c>
      <c r="I334" t="s">
        <v>82</v>
      </c>
      <c r="J334">
        <v>4.0000000000000003E-5</v>
      </c>
      <c r="K334" t="s">
        <v>252</v>
      </c>
      <c r="L334" t="s">
        <v>58</v>
      </c>
      <c r="N334" t="s">
        <v>1530</v>
      </c>
      <c r="O334">
        <v>3.4</v>
      </c>
      <c r="P334" t="s">
        <v>121</v>
      </c>
      <c r="S334" t="s">
        <v>1531</v>
      </c>
      <c r="T334">
        <v>10</v>
      </c>
      <c r="V334">
        <v>50</v>
      </c>
      <c r="W334" t="s">
        <v>1532</v>
      </c>
      <c r="X334" t="s">
        <v>199</v>
      </c>
      <c r="Y334">
        <v>107.098381070983</v>
      </c>
      <c r="AB334">
        <v>0.273718653090127</v>
      </c>
      <c r="AC334" t="s">
        <v>85</v>
      </c>
      <c r="AE334" t="s">
        <v>1533</v>
      </c>
      <c r="AI334">
        <v>3</v>
      </c>
      <c r="AV334" t="s">
        <v>256</v>
      </c>
    </row>
    <row r="335" spans="1:48" x14ac:dyDescent="0.3">
      <c r="A335" t="s">
        <v>1529</v>
      </c>
      <c r="C335" t="s">
        <v>1495</v>
      </c>
      <c r="D335" t="s">
        <v>470</v>
      </c>
      <c r="E335">
        <v>200</v>
      </c>
      <c r="H335">
        <v>40</v>
      </c>
      <c r="I335" t="s">
        <v>82</v>
      </c>
      <c r="J335">
        <v>4.0000000000000003E-5</v>
      </c>
      <c r="K335" t="s">
        <v>252</v>
      </c>
      <c r="L335" t="s">
        <v>58</v>
      </c>
      <c r="N335" t="s">
        <v>1530</v>
      </c>
      <c r="O335">
        <v>3.4</v>
      </c>
      <c r="P335" t="s">
        <v>121</v>
      </c>
      <c r="S335" t="s">
        <v>1531</v>
      </c>
      <c r="T335">
        <v>10</v>
      </c>
      <c r="V335">
        <v>50</v>
      </c>
      <c r="W335" t="s">
        <v>1532</v>
      </c>
      <c r="X335" t="s">
        <v>199</v>
      </c>
      <c r="Y335">
        <v>128.89165628891601</v>
      </c>
      <c r="AB335">
        <v>0.40841940761360512</v>
      </c>
      <c r="AC335" t="s">
        <v>85</v>
      </c>
      <c r="AE335" t="s">
        <v>1533</v>
      </c>
      <c r="AI335">
        <v>3</v>
      </c>
      <c r="AV335" t="s">
        <v>256</v>
      </c>
    </row>
    <row r="336" spans="1:48" x14ac:dyDescent="0.3">
      <c r="A336" t="s">
        <v>1529</v>
      </c>
      <c r="C336" t="s">
        <v>1495</v>
      </c>
      <c r="D336" t="s">
        <v>470</v>
      </c>
      <c r="E336">
        <v>200</v>
      </c>
      <c r="H336">
        <v>40</v>
      </c>
      <c r="I336" t="s">
        <v>82</v>
      </c>
      <c r="J336">
        <v>4.0000000000000003E-5</v>
      </c>
      <c r="K336" t="s">
        <v>252</v>
      </c>
      <c r="L336" t="s">
        <v>58</v>
      </c>
      <c r="N336" t="s">
        <v>1530</v>
      </c>
      <c r="O336">
        <v>3.4</v>
      </c>
      <c r="P336" t="s">
        <v>121</v>
      </c>
      <c r="S336" t="s">
        <v>1531</v>
      </c>
      <c r="T336">
        <v>10</v>
      </c>
      <c r="V336">
        <v>50</v>
      </c>
      <c r="W336" t="s">
        <v>1532</v>
      </c>
      <c r="X336" t="s">
        <v>199</v>
      </c>
      <c r="Y336">
        <v>150.062266500622</v>
      </c>
      <c r="AB336">
        <v>0.73915952433277099</v>
      </c>
      <c r="AC336" t="s">
        <v>85</v>
      </c>
      <c r="AE336" t="s">
        <v>1533</v>
      </c>
      <c r="AI336">
        <v>3</v>
      </c>
      <c r="AV336" t="s">
        <v>256</v>
      </c>
    </row>
    <row r="337" spans="1:48" x14ac:dyDescent="0.3">
      <c r="A337" t="s">
        <v>1529</v>
      </c>
      <c r="C337" t="s">
        <v>1495</v>
      </c>
      <c r="D337" t="s">
        <v>470</v>
      </c>
      <c r="E337">
        <v>200</v>
      </c>
      <c r="H337">
        <v>40</v>
      </c>
      <c r="I337" t="s">
        <v>82</v>
      </c>
      <c r="J337">
        <v>4.0000000000000003E-5</v>
      </c>
      <c r="K337" t="s">
        <v>252</v>
      </c>
      <c r="L337" t="s">
        <v>58</v>
      </c>
      <c r="N337" t="s">
        <v>1530</v>
      </c>
      <c r="O337">
        <v>3.4</v>
      </c>
      <c r="P337" t="s">
        <v>121</v>
      </c>
      <c r="S337" t="s">
        <v>1531</v>
      </c>
      <c r="T337">
        <v>10</v>
      </c>
      <c r="V337">
        <v>50</v>
      </c>
      <c r="W337" t="s">
        <v>1532</v>
      </c>
      <c r="X337" t="s">
        <v>199</v>
      </c>
      <c r="Y337">
        <v>172.166874221668</v>
      </c>
      <c r="AB337">
        <v>0.889566087954484</v>
      </c>
      <c r="AC337" t="s">
        <v>85</v>
      </c>
      <c r="AE337" t="s">
        <v>1533</v>
      </c>
      <c r="AI337">
        <v>3</v>
      </c>
      <c r="AV337" t="s">
        <v>256</v>
      </c>
    </row>
    <row r="338" spans="1:48" x14ac:dyDescent="0.3">
      <c r="A338" t="s">
        <v>1529</v>
      </c>
      <c r="C338" t="s">
        <v>1495</v>
      </c>
      <c r="D338" t="s">
        <v>470</v>
      </c>
      <c r="E338">
        <v>200</v>
      </c>
      <c r="H338">
        <v>40</v>
      </c>
      <c r="I338" t="s">
        <v>82</v>
      </c>
      <c r="J338">
        <v>4.0000000000000003E-5</v>
      </c>
      <c r="K338" t="s">
        <v>252</v>
      </c>
      <c r="L338" t="s">
        <v>58</v>
      </c>
      <c r="N338" t="s">
        <v>1530</v>
      </c>
      <c r="O338">
        <v>3.4</v>
      </c>
      <c r="P338" t="s">
        <v>121</v>
      </c>
      <c r="S338" t="s">
        <v>1531</v>
      </c>
      <c r="T338">
        <v>10</v>
      </c>
      <c r="V338">
        <v>50</v>
      </c>
      <c r="W338" t="s">
        <v>1532</v>
      </c>
      <c r="X338" t="s">
        <v>199</v>
      </c>
      <c r="Y338">
        <v>193.648816936488</v>
      </c>
      <c r="AB338">
        <v>1.25954142553659</v>
      </c>
      <c r="AC338" t="s">
        <v>85</v>
      </c>
      <c r="AE338" t="s">
        <v>1533</v>
      </c>
      <c r="AI338">
        <v>3</v>
      </c>
      <c r="AV338" t="s">
        <v>256</v>
      </c>
    </row>
    <row r="339" spans="1:48" x14ac:dyDescent="0.3">
      <c r="A339" t="s">
        <v>1529</v>
      </c>
      <c r="C339" t="s">
        <v>1495</v>
      </c>
      <c r="D339" t="s">
        <v>470</v>
      </c>
      <c r="E339">
        <v>200</v>
      </c>
      <c r="H339">
        <v>40</v>
      </c>
      <c r="I339" t="s">
        <v>82</v>
      </c>
      <c r="J339">
        <v>4.0000000000000003E-5</v>
      </c>
      <c r="K339" t="s">
        <v>252</v>
      </c>
      <c r="L339" t="s">
        <v>58</v>
      </c>
      <c r="N339" t="s">
        <v>1530</v>
      </c>
      <c r="O339">
        <v>3.4</v>
      </c>
      <c r="P339" t="s">
        <v>121</v>
      </c>
      <c r="S339" t="s">
        <v>1531</v>
      </c>
      <c r="T339">
        <v>10</v>
      </c>
      <c r="V339">
        <v>50</v>
      </c>
      <c r="W339" t="s">
        <v>1532</v>
      </c>
      <c r="X339" t="s">
        <v>199</v>
      </c>
      <c r="Y339">
        <v>215.753424657534</v>
      </c>
      <c r="AB339">
        <v>1.77857544013869</v>
      </c>
      <c r="AC339" t="s">
        <v>85</v>
      </c>
      <c r="AE339" t="s">
        <v>1533</v>
      </c>
      <c r="AI339">
        <v>3</v>
      </c>
      <c r="AV339" t="s">
        <v>256</v>
      </c>
    </row>
    <row r="340" spans="1:48" x14ac:dyDescent="0.3">
      <c r="A340" t="s">
        <v>1529</v>
      </c>
      <c r="C340" t="s">
        <v>1495</v>
      </c>
      <c r="D340" t="s">
        <v>470</v>
      </c>
      <c r="E340">
        <v>200</v>
      </c>
      <c r="H340">
        <v>40</v>
      </c>
      <c r="I340" t="s">
        <v>82</v>
      </c>
      <c r="J340">
        <v>4.0000000000000003E-5</v>
      </c>
      <c r="K340" t="s">
        <v>252</v>
      </c>
      <c r="L340" t="s">
        <v>58</v>
      </c>
      <c r="O340">
        <v>0</v>
      </c>
      <c r="S340" t="s">
        <v>1531</v>
      </c>
      <c r="T340">
        <v>10</v>
      </c>
      <c r="V340">
        <v>50</v>
      </c>
      <c r="W340" t="s">
        <v>1532</v>
      </c>
      <c r="X340" t="s">
        <v>199</v>
      </c>
      <c r="AB340">
        <v>8.1556906697918194E-3</v>
      </c>
      <c r="AC340" t="s">
        <v>85</v>
      </c>
      <c r="AE340" t="s">
        <v>1533</v>
      </c>
      <c r="AI340">
        <v>3</v>
      </c>
      <c r="AV340" t="s">
        <v>256</v>
      </c>
    </row>
    <row r="341" spans="1:48" x14ac:dyDescent="0.3">
      <c r="A341" t="s">
        <v>1529</v>
      </c>
      <c r="C341" t="s">
        <v>1495</v>
      </c>
      <c r="D341" t="s">
        <v>470</v>
      </c>
      <c r="E341">
        <v>200</v>
      </c>
      <c r="H341">
        <v>40</v>
      </c>
      <c r="I341" t="s">
        <v>82</v>
      </c>
      <c r="J341">
        <v>4.0000000000000003E-5</v>
      </c>
      <c r="K341" t="s">
        <v>252</v>
      </c>
      <c r="L341" t="s">
        <v>58</v>
      </c>
      <c r="O341">
        <v>0</v>
      </c>
      <c r="S341" t="s">
        <v>1531</v>
      </c>
      <c r="T341">
        <v>10</v>
      </c>
      <c r="V341">
        <v>50</v>
      </c>
      <c r="W341" t="s">
        <v>1532</v>
      </c>
      <c r="X341" t="s">
        <v>199</v>
      </c>
      <c r="Y341">
        <v>22.727272727272709</v>
      </c>
      <c r="AB341">
        <v>-4.53007105706544E-2</v>
      </c>
      <c r="AC341" t="s">
        <v>85</v>
      </c>
      <c r="AE341" t="s">
        <v>1533</v>
      </c>
      <c r="AI341">
        <v>3</v>
      </c>
      <c r="AV341" t="s">
        <v>256</v>
      </c>
    </row>
    <row r="342" spans="1:48" x14ac:dyDescent="0.3">
      <c r="A342" t="s">
        <v>1529</v>
      </c>
      <c r="C342" t="s">
        <v>1495</v>
      </c>
      <c r="D342" t="s">
        <v>470</v>
      </c>
      <c r="E342">
        <v>200</v>
      </c>
      <c r="H342">
        <v>40</v>
      </c>
      <c r="I342" t="s">
        <v>82</v>
      </c>
      <c r="J342">
        <v>4.0000000000000003E-5</v>
      </c>
      <c r="K342" t="s">
        <v>252</v>
      </c>
      <c r="L342" t="s">
        <v>58</v>
      </c>
      <c r="O342">
        <v>0</v>
      </c>
      <c r="S342" t="s">
        <v>1531</v>
      </c>
      <c r="T342">
        <v>10</v>
      </c>
      <c r="V342">
        <v>50</v>
      </c>
      <c r="W342" t="s">
        <v>1532</v>
      </c>
      <c r="X342" t="s">
        <v>199</v>
      </c>
      <c r="Y342">
        <v>45.765877957658702</v>
      </c>
      <c r="AB342">
        <v>-2.8168876516983101E-2</v>
      </c>
      <c r="AC342" t="s">
        <v>85</v>
      </c>
      <c r="AE342" t="s">
        <v>1533</v>
      </c>
      <c r="AI342">
        <v>3</v>
      </c>
      <c r="AV342" t="s">
        <v>256</v>
      </c>
    </row>
    <row r="343" spans="1:48" x14ac:dyDescent="0.3">
      <c r="A343" t="s">
        <v>1529</v>
      </c>
      <c r="C343" t="s">
        <v>1495</v>
      </c>
      <c r="D343" t="s">
        <v>470</v>
      </c>
      <c r="E343">
        <v>200</v>
      </c>
      <c r="H343">
        <v>40</v>
      </c>
      <c r="I343" t="s">
        <v>82</v>
      </c>
      <c r="J343">
        <v>4.0000000000000003E-5</v>
      </c>
      <c r="K343" t="s">
        <v>252</v>
      </c>
      <c r="L343" t="s">
        <v>58</v>
      </c>
      <c r="O343">
        <v>0</v>
      </c>
      <c r="S343" t="s">
        <v>1531</v>
      </c>
      <c r="T343">
        <v>10</v>
      </c>
      <c r="V343">
        <v>50</v>
      </c>
      <c r="W343" t="s">
        <v>1532</v>
      </c>
      <c r="X343" t="s">
        <v>199</v>
      </c>
      <c r="Y343">
        <v>70.049813200498093</v>
      </c>
      <c r="AB343">
        <v>-3.44883158742951E-2</v>
      </c>
      <c r="AC343" t="s">
        <v>85</v>
      </c>
      <c r="AE343" t="s">
        <v>1533</v>
      </c>
      <c r="AI343">
        <v>3</v>
      </c>
      <c r="AV343" t="s">
        <v>256</v>
      </c>
    </row>
    <row r="344" spans="1:48" x14ac:dyDescent="0.3">
      <c r="A344" t="s">
        <v>1529</v>
      </c>
      <c r="C344" t="s">
        <v>1495</v>
      </c>
      <c r="D344" t="s">
        <v>470</v>
      </c>
      <c r="E344">
        <v>200</v>
      </c>
      <c r="H344">
        <v>40</v>
      </c>
      <c r="I344" t="s">
        <v>82</v>
      </c>
      <c r="J344">
        <v>4.0000000000000003E-5</v>
      </c>
      <c r="K344" t="s">
        <v>252</v>
      </c>
      <c r="L344" t="s">
        <v>58</v>
      </c>
      <c r="N344" t="s">
        <v>1530</v>
      </c>
      <c r="O344">
        <v>2.2000000000000002</v>
      </c>
      <c r="P344" t="s">
        <v>121</v>
      </c>
      <c r="S344" t="s">
        <v>1531</v>
      </c>
      <c r="T344">
        <v>10</v>
      </c>
      <c r="V344">
        <v>50</v>
      </c>
      <c r="W344" t="s">
        <v>1534</v>
      </c>
      <c r="X344" t="s">
        <v>199</v>
      </c>
      <c r="Y344">
        <v>11.70773311804864</v>
      </c>
      <c r="AB344">
        <v>-2.2120665499908501E-2</v>
      </c>
      <c r="AC344" t="s">
        <v>85</v>
      </c>
      <c r="AE344" t="s">
        <v>1533</v>
      </c>
      <c r="AI344">
        <v>3</v>
      </c>
      <c r="AV344" t="s">
        <v>256</v>
      </c>
    </row>
    <row r="345" spans="1:48" x14ac:dyDescent="0.3">
      <c r="A345" t="s">
        <v>1529</v>
      </c>
      <c r="C345" t="s">
        <v>1495</v>
      </c>
      <c r="D345" t="s">
        <v>470</v>
      </c>
      <c r="E345">
        <v>200</v>
      </c>
      <c r="H345">
        <v>40</v>
      </c>
      <c r="I345" t="s">
        <v>82</v>
      </c>
      <c r="J345">
        <v>4.0000000000000003E-5</v>
      </c>
      <c r="K345" t="s">
        <v>252</v>
      </c>
      <c r="L345" t="s">
        <v>58</v>
      </c>
      <c r="N345" t="s">
        <v>1530</v>
      </c>
      <c r="O345">
        <v>2.2000000000000002</v>
      </c>
      <c r="P345" t="s">
        <v>121</v>
      </c>
      <c r="S345" t="s">
        <v>1531</v>
      </c>
      <c r="T345">
        <v>10</v>
      </c>
      <c r="V345">
        <v>50</v>
      </c>
      <c r="W345" t="s">
        <v>1534</v>
      </c>
      <c r="X345" t="s">
        <v>199</v>
      </c>
      <c r="Y345">
        <v>34.643854518435447</v>
      </c>
      <c r="AB345">
        <v>4.9755831181096298E-2</v>
      </c>
      <c r="AC345" t="s">
        <v>85</v>
      </c>
      <c r="AE345" t="s">
        <v>1533</v>
      </c>
      <c r="AI345">
        <v>3</v>
      </c>
      <c r="AV345" t="s">
        <v>256</v>
      </c>
    </row>
    <row r="346" spans="1:48" x14ac:dyDescent="0.3">
      <c r="A346" t="s">
        <v>1529</v>
      </c>
      <c r="C346" t="s">
        <v>1495</v>
      </c>
      <c r="D346" t="s">
        <v>470</v>
      </c>
      <c r="E346">
        <v>200</v>
      </c>
      <c r="H346">
        <v>40</v>
      </c>
      <c r="I346" t="s">
        <v>82</v>
      </c>
      <c r="J346">
        <v>4.0000000000000003E-5</v>
      </c>
      <c r="K346" t="s">
        <v>252</v>
      </c>
      <c r="L346" t="s">
        <v>58</v>
      </c>
      <c r="N346" t="s">
        <v>1530</v>
      </c>
      <c r="O346">
        <v>2.2000000000000002</v>
      </c>
      <c r="P346" t="s">
        <v>121</v>
      </c>
      <c r="S346" t="s">
        <v>1531</v>
      </c>
      <c r="T346">
        <v>10</v>
      </c>
      <c r="V346">
        <v>50</v>
      </c>
      <c r="W346" t="s">
        <v>1534</v>
      </c>
      <c r="X346" t="s">
        <v>199</v>
      </c>
      <c r="Y346">
        <v>58.837340555787733</v>
      </c>
      <c r="AB346">
        <v>0.53390388118758603</v>
      </c>
      <c r="AC346" t="s">
        <v>85</v>
      </c>
      <c r="AE346" t="s">
        <v>1533</v>
      </c>
      <c r="AI346">
        <v>3</v>
      </c>
      <c r="AV346" t="s">
        <v>256</v>
      </c>
    </row>
    <row r="347" spans="1:48" x14ac:dyDescent="0.3">
      <c r="A347" t="s">
        <v>1529</v>
      </c>
      <c r="C347" t="s">
        <v>1495</v>
      </c>
      <c r="D347" t="s">
        <v>470</v>
      </c>
      <c r="E347">
        <v>1000000</v>
      </c>
      <c r="H347">
        <v>40</v>
      </c>
      <c r="I347" t="s">
        <v>82</v>
      </c>
      <c r="J347">
        <v>4.0000000000000003E-5</v>
      </c>
      <c r="K347" t="s">
        <v>252</v>
      </c>
      <c r="L347" t="s">
        <v>58</v>
      </c>
      <c r="N347" t="s">
        <v>1530</v>
      </c>
      <c r="O347">
        <v>2.2000000000000002</v>
      </c>
      <c r="P347" t="s">
        <v>121</v>
      </c>
      <c r="S347" t="s">
        <v>1531</v>
      </c>
      <c r="T347">
        <v>10</v>
      </c>
      <c r="V347">
        <v>50</v>
      </c>
      <c r="W347" t="s">
        <v>1534</v>
      </c>
      <c r="X347" t="s">
        <v>199</v>
      </c>
      <c r="Y347">
        <v>69.583128689439079</v>
      </c>
      <c r="AB347">
        <v>0.77962141523917716</v>
      </c>
      <c r="AC347" t="s">
        <v>85</v>
      </c>
      <c r="AE347" t="s">
        <v>1533</v>
      </c>
      <c r="AI347">
        <v>3</v>
      </c>
      <c r="AV347" t="s">
        <v>256</v>
      </c>
    </row>
    <row r="348" spans="1:48" x14ac:dyDescent="0.3">
      <c r="A348" t="s">
        <v>1529</v>
      </c>
      <c r="C348" t="s">
        <v>1495</v>
      </c>
      <c r="D348" t="s">
        <v>470</v>
      </c>
      <c r="E348">
        <v>1000000</v>
      </c>
      <c r="H348">
        <v>40</v>
      </c>
      <c r="I348" t="s">
        <v>82</v>
      </c>
      <c r="J348">
        <v>4.0000000000000003E-5</v>
      </c>
      <c r="K348" t="s">
        <v>252</v>
      </c>
      <c r="L348" t="s">
        <v>58</v>
      </c>
      <c r="N348" t="s">
        <v>1530</v>
      </c>
      <c r="O348">
        <v>2.2000000000000002</v>
      </c>
      <c r="P348" t="s">
        <v>121</v>
      </c>
      <c r="S348" t="s">
        <v>1531</v>
      </c>
      <c r="T348">
        <v>10</v>
      </c>
      <c r="V348">
        <v>50</v>
      </c>
      <c r="W348" t="s">
        <v>1534</v>
      </c>
      <c r="X348" t="s">
        <v>199</v>
      </c>
      <c r="Y348">
        <v>79.428822785237259</v>
      </c>
      <c r="AB348">
        <v>1.02535685351213</v>
      </c>
      <c r="AC348" t="s">
        <v>85</v>
      </c>
      <c r="AE348" t="s">
        <v>1533</v>
      </c>
      <c r="AI348">
        <v>3</v>
      </c>
      <c r="AV348" t="s">
        <v>256</v>
      </c>
    </row>
    <row r="349" spans="1:48" x14ac:dyDescent="0.3">
      <c r="A349" t="s">
        <v>1529</v>
      </c>
      <c r="C349" t="s">
        <v>1495</v>
      </c>
      <c r="D349" t="s">
        <v>470</v>
      </c>
      <c r="E349">
        <v>1000000</v>
      </c>
      <c r="H349">
        <v>40</v>
      </c>
      <c r="I349" t="s">
        <v>82</v>
      </c>
      <c r="J349">
        <v>4.0000000000000003E-5</v>
      </c>
      <c r="K349" t="s">
        <v>252</v>
      </c>
      <c r="L349" t="s">
        <v>58</v>
      </c>
      <c r="N349" t="s">
        <v>1530</v>
      </c>
      <c r="O349">
        <v>2.2000000000000002</v>
      </c>
      <c r="P349" t="s">
        <v>121</v>
      </c>
      <c r="S349" t="s">
        <v>1531</v>
      </c>
      <c r="T349">
        <v>10</v>
      </c>
      <c r="V349">
        <v>50</v>
      </c>
      <c r="W349" t="s">
        <v>1534</v>
      </c>
      <c r="X349" t="s">
        <v>199</v>
      </c>
      <c r="Y349">
        <v>90.119270598297717</v>
      </c>
      <c r="AB349">
        <v>1.51700677227173</v>
      </c>
      <c r="AC349" t="s">
        <v>85</v>
      </c>
      <c r="AE349" t="s">
        <v>1533</v>
      </c>
      <c r="AI349">
        <v>3</v>
      </c>
      <c r="AV349" t="s">
        <v>256</v>
      </c>
    </row>
    <row r="350" spans="1:48" x14ac:dyDescent="0.3">
      <c r="A350" t="s">
        <v>1529</v>
      </c>
      <c r="C350" t="s">
        <v>1495</v>
      </c>
      <c r="D350" t="s">
        <v>470</v>
      </c>
      <c r="E350">
        <v>1000000</v>
      </c>
      <c r="H350">
        <v>40</v>
      </c>
      <c r="I350" t="s">
        <v>82</v>
      </c>
      <c r="J350">
        <v>4.0000000000000003E-5</v>
      </c>
      <c r="K350" t="s">
        <v>252</v>
      </c>
      <c r="L350" t="s">
        <v>58</v>
      </c>
      <c r="N350" t="s">
        <v>1530</v>
      </c>
      <c r="O350">
        <v>2.2000000000000002</v>
      </c>
      <c r="P350" t="s">
        <v>121</v>
      </c>
      <c r="S350" t="s">
        <v>1531</v>
      </c>
      <c r="T350">
        <v>10</v>
      </c>
      <c r="V350">
        <v>50</v>
      </c>
      <c r="W350" t="s">
        <v>1534</v>
      </c>
      <c r="X350" t="s">
        <v>199</v>
      </c>
      <c r="Y350">
        <v>103.9616752003336</v>
      </c>
      <c r="AB350">
        <v>2.0013607208239499</v>
      </c>
      <c r="AC350" t="s">
        <v>85</v>
      </c>
      <c r="AE350" t="s">
        <v>1533</v>
      </c>
      <c r="AI350">
        <v>3</v>
      </c>
      <c r="AV350" t="s">
        <v>256</v>
      </c>
    </row>
    <row r="351" spans="1:48" x14ac:dyDescent="0.3">
      <c r="A351" t="s">
        <v>1529</v>
      </c>
      <c r="C351" t="s">
        <v>1495</v>
      </c>
      <c r="D351" t="s">
        <v>470</v>
      </c>
      <c r="E351">
        <v>1000000</v>
      </c>
      <c r="H351">
        <v>40</v>
      </c>
      <c r="I351" t="s">
        <v>82</v>
      </c>
      <c r="J351">
        <v>4.0000000000000003E-5</v>
      </c>
      <c r="K351" t="s">
        <v>252</v>
      </c>
      <c r="L351" t="s">
        <v>58</v>
      </c>
      <c r="N351" t="s">
        <v>1530</v>
      </c>
      <c r="O351">
        <v>2.2000000000000002</v>
      </c>
      <c r="P351" t="s">
        <v>121</v>
      </c>
      <c r="S351" t="s">
        <v>1531</v>
      </c>
      <c r="T351">
        <v>10</v>
      </c>
      <c r="V351">
        <v>50</v>
      </c>
      <c r="W351" t="s">
        <v>1534</v>
      </c>
      <c r="X351" t="s">
        <v>199</v>
      </c>
      <c r="Y351">
        <v>112.86821150256679</v>
      </c>
      <c r="AB351">
        <v>2.4207133937003902</v>
      </c>
      <c r="AC351" t="s">
        <v>85</v>
      </c>
      <c r="AE351" t="s">
        <v>1533</v>
      </c>
      <c r="AI351">
        <v>3</v>
      </c>
      <c r="AV351" t="s">
        <v>256</v>
      </c>
    </row>
    <row r="352" spans="1:48" x14ac:dyDescent="0.3">
      <c r="A352" t="s">
        <v>1529</v>
      </c>
      <c r="C352" t="s">
        <v>1495</v>
      </c>
      <c r="D352" t="s">
        <v>470</v>
      </c>
      <c r="E352">
        <v>1000000</v>
      </c>
      <c r="H352">
        <v>40</v>
      </c>
      <c r="I352" t="s">
        <v>82</v>
      </c>
      <c r="J352">
        <v>4.0000000000000003E-5</v>
      </c>
      <c r="K352" t="s">
        <v>252</v>
      </c>
      <c r="L352" t="s">
        <v>58</v>
      </c>
      <c r="N352" t="s">
        <v>1530</v>
      </c>
      <c r="O352">
        <v>3.2</v>
      </c>
      <c r="P352" t="s">
        <v>121</v>
      </c>
      <c r="S352" t="s">
        <v>1531</v>
      </c>
      <c r="T352">
        <v>10</v>
      </c>
      <c r="V352">
        <v>50</v>
      </c>
      <c r="W352" t="s">
        <v>1534</v>
      </c>
      <c r="X352" t="s">
        <v>199</v>
      </c>
      <c r="Y352">
        <v>33.041681027344062</v>
      </c>
      <c r="AB352">
        <v>0.425619150355174</v>
      </c>
      <c r="AC352" t="s">
        <v>85</v>
      </c>
      <c r="AE352" t="s">
        <v>1533</v>
      </c>
      <c r="AI352">
        <v>3</v>
      </c>
      <c r="AV352" t="s">
        <v>256</v>
      </c>
    </row>
    <row r="353" spans="1:48" x14ac:dyDescent="0.3">
      <c r="A353" t="s">
        <v>1529</v>
      </c>
      <c r="C353" t="s">
        <v>1495</v>
      </c>
      <c r="D353" t="s">
        <v>470</v>
      </c>
      <c r="E353">
        <v>1000000</v>
      </c>
      <c r="H353">
        <v>40</v>
      </c>
      <c r="I353" t="s">
        <v>82</v>
      </c>
      <c r="J353">
        <v>4.0000000000000003E-5</v>
      </c>
      <c r="K353" t="s">
        <v>252</v>
      </c>
      <c r="L353" t="s">
        <v>58</v>
      </c>
      <c r="N353" t="s">
        <v>1530</v>
      </c>
      <c r="O353">
        <v>3.2</v>
      </c>
      <c r="P353" t="s">
        <v>121</v>
      </c>
      <c r="S353" t="s">
        <v>1531</v>
      </c>
      <c r="T353">
        <v>10</v>
      </c>
      <c r="V353">
        <v>50</v>
      </c>
      <c r="W353" t="s">
        <v>1534</v>
      </c>
      <c r="X353" t="s">
        <v>199</v>
      </c>
      <c r="Y353">
        <v>41.373298539463121</v>
      </c>
      <c r="AB353">
        <v>0.57004355201847601</v>
      </c>
      <c r="AC353" t="s">
        <v>85</v>
      </c>
      <c r="AE353" t="s">
        <v>1533</v>
      </c>
      <c r="AI353">
        <v>3</v>
      </c>
      <c r="AV353" t="s">
        <v>256</v>
      </c>
    </row>
    <row r="354" spans="1:48" x14ac:dyDescent="0.3">
      <c r="A354" t="s">
        <v>1529</v>
      </c>
      <c r="C354" t="s">
        <v>1495</v>
      </c>
      <c r="D354" t="s">
        <v>470</v>
      </c>
      <c r="E354">
        <v>1000000</v>
      </c>
      <c r="H354">
        <v>40</v>
      </c>
      <c r="I354" t="s">
        <v>82</v>
      </c>
      <c r="J354">
        <v>4.0000000000000003E-5</v>
      </c>
      <c r="K354" t="s">
        <v>252</v>
      </c>
      <c r="L354" t="s">
        <v>58</v>
      </c>
      <c r="N354" t="s">
        <v>1530</v>
      </c>
      <c r="O354">
        <v>3.2</v>
      </c>
      <c r="P354" t="s">
        <v>121</v>
      </c>
      <c r="S354" t="s">
        <v>1531</v>
      </c>
      <c r="T354">
        <v>10</v>
      </c>
      <c r="V354">
        <v>50</v>
      </c>
      <c r="W354" t="s">
        <v>1534</v>
      </c>
      <c r="X354" t="s">
        <v>199</v>
      </c>
      <c r="Y354">
        <v>48.376646628858751</v>
      </c>
      <c r="AB354">
        <v>1.3004015021641699</v>
      </c>
      <c r="AC354" t="s">
        <v>85</v>
      </c>
      <c r="AE354" t="s">
        <v>1533</v>
      </c>
      <c r="AI354">
        <v>3</v>
      </c>
      <c r="AV354" t="s">
        <v>256</v>
      </c>
    </row>
    <row r="355" spans="1:48" x14ac:dyDescent="0.3">
      <c r="A355" t="s">
        <v>1529</v>
      </c>
      <c r="C355" t="s">
        <v>1495</v>
      </c>
      <c r="D355" t="s">
        <v>470</v>
      </c>
      <c r="E355">
        <v>1000000</v>
      </c>
      <c r="H355">
        <v>40</v>
      </c>
      <c r="I355" t="s">
        <v>82</v>
      </c>
      <c r="J355">
        <v>4.0000000000000003E-5</v>
      </c>
      <c r="K355" t="s">
        <v>252</v>
      </c>
      <c r="L355" t="s">
        <v>58</v>
      </c>
      <c r="N355" t="s">
        <v>1530</v>
      </c>
      <c r="O355">
        <v>3.2</v>
      </c>
      <c r="P355" t="s">
        <v>121</v>
      </c>
      <c r="S355" t="s">
        <v>1531</v>
      </c>
      <c r="T355">
        <v>10</v>
      </c>
      <c r="V355">
        <v>50</v>
      </c>
      <c r="W355" t="s">
        <v>1534</v>
      </c>
      <c r="X355" t="s">
        <v>199</v>
      </c>
      <c r="Y355">
        <v>56.648956407696872</v>
      </c>
      <c r="AB355">
        <v>1.82819109175465</v>
      </c>
      <c r="AC355" t="s">
        <v>85</v>
      </c>
      <c r="AE355" t="s">
        <v>1533</v>
      </c>
      <c r="AI355">
        <v>3</v>
      </c>
      <c r="AV355" t="s">
        <v>256</v>
      </c>
    </row>
    <row r="356" spans="1:48" x14ac:dyDescent="0.3">
      <c r="A356" t="s">
        <v>1529</v>
      </c>
      <c r="C356" t="s">
        <v>1495</v>
      </c>
      <c r="D356" t="s">
        <v>470</v>
      </c>
      <c r="E356">
        <v>1000000</v>
      </c>
      <c r="H356">
        <v>40</v>
      </c>
      <c r="I356" t="s">
        <v>82</v>
      </c>
      <c r="J356">
        <v>4.0000000000000003E-5</v>
      </c>
      <c r="K356" t="s">
        <v>252</v>
      </c>
      <c r="L356" t="s">
        <v>58</v>
      </c>
      <c r="N356" t="s">
        <v>1530</v>
      </c>
      <c r="O356">
        <v>3.2</v>
      </c>
      <c r="P356" t="s">
        <v>121</v>
      </c>
      <c r="S356" t="s">
        <v>1531</v>
      </c>
      <c r="T356">
        <v>10</v>
      </c>
      <c r="V356">
        <v>50</v>
      </c>
      <c r="W356" t="s">
        <v>1534</v>
      </c>
      <c r="X356" t="s">
        <v>199</v>
      </c>
      <c r="Y356">
        <v>64.914552103522183</v>
      </c>
      <c r="AB356">
        <v>2.3993805139406699</v>
      </c>
      <c r="AC356" t="s">
        <v>85</v>
      </c>
      <c r="AE356" t="s">
        <v>1533</v>
      </c>
      <c r="AI356">
        <v>3</v>
      </c>
      <c r="AV356" t="s">
        <v>256</v>
      </c>
    </row>
    <row r="357" spans="1:48" x14ac:dyDescent="0.3">
      <c r="A357" t="s">
        <v>1529</v>
      </c>
      <c r="C357" t="s">
        <v>1495</v>
      </c>
      <c r="D357" t="s">
        <v>470</v>
      </c>
      <c r="E357">
        <v>1000000</v>
      </c>
      <c r="H357">
        <v>40</v>
      </c>
      <c r="I357" t="s">
        <v>82</v>
      </c>
      <c r="J357">
        <v>4.0000000000000003E-5</v>
      </c>
      <c r="K357" t="s">
        <v>252</v>
      </c>
      <c r="L357" t="s">
        <v>58</v>
      </c>
      <c r="N357" t="s">
        <v>1530</v>
      </c>
      <c r="O357">
        <v>2.4</v>
      </c>
      <c r="P357" t="s">
        <v>121</v>
      </c>
      <c r="S357" t="s">
        <v>1531</v>
      </c>
      <c r="T357">
        <v>10</v>
      </c>
      <c r="V357">
        <v>50</v>
      </c>
      <c r="W357" t="s">
        <v>1535</v>
      </c>
      <c r="X357" t="s">
        <v>199</v>
      </c>
      <c r="Y357">
        <v>62.274611963302092</v>
      </c>
      <c r="AB357">
        <v>9.9726513018606605E-2</v>
      </c>
      <c r="AC357" t="s">
        <v>85</v>
      </c>
      <c r="AE357" t="s">
        <v>1533</v>
      </c>
      <c r="AI357">
        <v>3</v>
      </c>
      <c r="AV357" t="s">
        <v>256</v>
      </c>
    </row>
    <row r="358" spans="1:48" x14ac:dyDescent="0.3">
      <c r="A358" t="s">
        <v>1529</v>
      </c>
      <c r="C358" t="s">
        <v>1495</v>
      </c>
      <c r="D358" t="s">
        <v>470</v>
      </c>
      <c r="E358">
        <v>1000000</v>
      </c>
      <c r="H358">
        <v>40</v>
      </c>
      <c r="I358" t="s">
        <v>82</v>
      </c>
      <c r="J358">
        <v>4.0000000000000003E-5</v>
      </c>
      <c r="K358" t="s">
        <v>252</v>
      </c>
      <c r="L358" t="s">
        <v>58</v>
      </c>
      <c r="N358" t="s">
        <v>1530</v>
      </c>
      <c r="O358">
        <v>2.4</v>
      </c>
      <c r="P358" t="s">
        <v>121</v>
      </c>
      <c r="S358" t="s">
        <v>1531</v>
      </c>
      <c r="T358">
        <v>10</v>
      </c>
      <c r="V358">
        <v>50</v>
      </c>
      <c r="W358" t="s">
        <v>1535</v>
      </c>
      <c r="X358" t="s">
        <v>199</v>
      </c>
      <c r="Y358">
        <v>83.701488885208335</v>
      </c>
      <c r="AB358">
        <v>0.22222719561704601</v>
      </c>
      <c r="AC358" t="s">
        <v>85</v>
      </c>
      <c r="AE358" t="s">
        <v>1533</v>
      </c>
      <c r="AI358">
        <v>3</v>
      </c>
      <c r="AV358" t="s">
        <v>256</v>
      </c>
    </row>
    <row r="359" spans="1:48" x14ac:dyDescent="0.3">
      <c r="A359" t="s">
        <v>1529</v>
      </c>
      <c r="C359" t="s">
        <v>1495</v>
      </c>
      <c r="D359" t="s">
        <v>470</v>
      </c>
      <c r="E359">
        <v>1000000</v>
      </c>
      <c r="H359">
        <v>40</v>
      </c>
      <c r="I359" t="s">
        <v>82</v>
      </c>
      <c r="J359">
        <v>4.0000000000000003E-5</v>
      </c>
      <c r="K359" t="s">
        <v>252</v>
      </c>
      <c r="L359" t="s">
        <v>58</v>
      </c>
      <c r="N359" t="s">
        <v>1530</v>
      </c>
      <c r="O359">
        <v>2.4</v>
      </c>
      <c r="P359" t="s">
        <v>121</v>
      </c>
      <c r="S359" t="s">
        <v>1531</v>
      </c>
      <c r="T359">
        <v>10</v>
      </c>
      <c r="V359">
        <v>50</v>
      </c>
      <c r="W359" t="s">
        <v>1535</v>
      </c>
      <c r="X359" t="s">
        <v>199</v>
      </c>
      <c r="Y359">
        <v>104.65017389475</v>
      </c>
      <c r="AB359">
        <v>0.66300226936005802</v>
      </c>
      <c r="AC359" t="s">
        <v>85</v>
      </c>
      <c r="AE359" t="s">
        <v>1533</v>
      </c>
      <c r="AI359">
        <v>3</v>
      </c>
      <c r="AV359" t="s">
        <v>256</v>
      </c>
    </row>
    <row r="360" spans="1:48" x14ac:dyDescent="0.3">
      <c r="A360" t="s">
        <v>1529</v>
      </c>
      <c r="C360" t="s">
        <v>1495</v>
      </c>
      <c r="D360" t="s">
        <v>470</v>
      </c>
      <c r="E360">
        <v>1000000</v>
      </c>
      <c r="H360">
        <v>40</v>
      </c>
      <c r="I360" t="s">
        <v>82</v>
      </c>
      <c r="J360">
        <v>4.0000000000000003E-5</v>
      </c>
      <c r="K360" t="s">
        <v>252</v>
      </c>
      <c r="L360" t="s">
        <v>58</v>
      </c>
      <c r="N360" t="s">
        <v>1530</v>
      </c>
      <c r="O360">
        <v>2.4</v>
      </c>
      <c r="P360" t="s">
        <v>121</v>
      </c>
      <c r="S360" t="s">
        <v>1531</v>
      </c>
      <c r="T360">
        <v>10</v>
      </c>
      <c r="V360">
        <v>50</v>
      </c>
      <c r="W360" t="s">
        <v>1535</v>
      </c>
      <c r="X360" t="s">
        <v>199</v>
      </c>
      <c r="Y360">
        <v>125.21615617255461</v>
      </c>
      <c r="AB360">
        <v>0.95912018656198605</v>
      </c>
      <c r="AC360" t="s">
        <v>85</v>
      </c>
      <c r="AE360" t="s">
        <v>1533</v>
      </c>
      <c r="AI360">
        <v>3</v>
      </c>
      <c r="AV360" t="s">
        <v>256</v>
      </c>
    </row>
    <row r="361" spans="1:48" x14ac:dyDescent="0.3">
      <c r="A361" t="s">
        <v>1529</v>
      </c>
      <c r="C361" t="s">
        <v>1495</v>
      </c>
      <c r="D361" t="s">
        <v>470</v>
      </c>
      <c r="E361">
        <v>1000000</v>
      </c>
      <c r="H361">
        <v>40</v>
      </c>
      <c r="I361" t="s">
        <v>82</v>
      </c>
      <c r="J361">
        <v>4.0000000000000003E-5</v>
      </c>
      <c r="K361" t="s">
        <v>252</v>
      </c>
      <c r="L361" t="s">
        <v>58</v>
      </c>
      <c r="N361" t="s">
        <v>1530</v>
      </c>
      <c r="O361">
        <v>2.4</v>
      </c>
      <c r="P361" t="s">
        <v>121</v>
      </c>
      <c r="S361" t="s">
        <v>1531</v>
      </c>
      <c r="T361">
        <v>10</v>
      </c>
      <c r="V361">
        <v>50</v>
      </c>
      <c r="W361" t="s">
        <v>1535</v>
      </c>
      <c r="X361" t="s">
        <v>199</v>
      </c>
      <c r="Y361">
        <v>144.50870070557539</v>
      </c>
      <c r="AB361">
        <v>1.4288642904780799</v>
      </c>
      <c r="AC361" t="s">
        <v>85</v>
      </c>
      <c r="AE361" t="s">
        <v>1533</v>
      </c>
      <c r="AI361">
        <v>3</v>
      </c>
      <c r="AV361" t="s">
        <v>256</v>
      </c>
    </row>
    <row r="362" spans="1:48" x14ac:dyDescent="0.3">
      <c r="A362" t="s">
        <v>1529</v>
      </c>
      <c r="C362" t="s">
        <v>1495</v>
      </c>
      <c r="D362" t="s">
        <v>470</v>
      </c>
      <c r="E362">
        <v>1000000</v>
      </c>
      <c r="H362">
        <v>40</v>
      </c>
      <c r="I362" t="s">
        <v>82</v>
      </c>
      <c r="J362">
        <v>4.0000000000000003E-5</v>
      </c>
      <c r="K362" t="s">
        <v>252</v>
      </c>
      <c r="L362" t="s">
        <v>58</v>
      </c>
      <c r="N362" t="s">
        <v>1530</v>
      </c>
      <c r="O362">
        <v>2.4</v>
      </c>
      <c r="P362" t="s">
        <v>121</v>
      </c>
      <c r="S362" t="s">
        <v>1531</v>
      </c>
      <c r="T362">
        <v>10</v>
      </c>
      <c r="V362">
        <v>50</v>
      </c>
      <c r="W362" t="s">
        <v>1535</v>
      </c>
      <c r="X362" t="s">
        <v>199</v>
      </c>
      <c r="Y362">
        <v>165.8505325759846</v>
      </c>
      <c r="AB362">
        <v>1.9636633827340599</v>
      </c>
      <c r="AC362" t="s">
        <v>85</v>
      </c>
      <c r="AE362" t="s">
        <v>1533</v>
      </c>
      <c r="AI362">
        <v>3</v>
      </c>
      <c r="AV362" t="s">
        <v>256</v>
      </c>
    </row>
    <row r="363" spans="1:48" x14ac:dyDescent="0.3">
      <c r="A363" t="s">
        <v>1529</v>
      </c>
      <c r="C363" t="s">
        <v>1495</v>
      </c>
      <c r="D363" t="s">
        <v>470</v>
      </c>
      <c r="E363">
        <v>1000000</v>
      </c>
      <c r="H363">
        <v>40</v>
      </c>
      <c r="I363" t="s">
        <v>82</v>
      </c>
      <c r="J363">
        <v>4.0000000000000003E-5</v>
      </c>
      <c r="K363" t="s">
        <v>252</v>
      </c>
      <c r="L363" t="s">
        <v>58</v>
      </c>
      <c r="N363" t="s">
        <v>1530</v>
      </c>
      <c r="O363">
        <v>2.4</v>
      </c>
      <c r="P363" t="s">
        <v>121</v>
      </c>
      <c r="S363" t="s">
        <v>1531</v>
      </c>
      <c r="T363">
        <v>10</v>
      </c>
      <c r="V363">
        <v>50</v>
      </c>
      <c r="W363" t="s">
        <v>1535</v>
      </c>
      <c r="X363" t="s">
        <v>199</v>
      </c>
      <c r="Y363">
        <v>185.94429101521419</v>
      </c>
      <c r="AB363">
        <v>2.5491224693502099</v>
      </c>
      <c r="AC363" t="s">
        <v>85</v>
      </c>
      <c r="AE363" t="s">
        <v>1533</v>
      </c>
      <c r="AI363">
        <v>3</v>
      </c>
      <c r="AV363" t="s">
        <v>256</v>
      </c>
    </row>
    <row r="364" spans="1:48" x14ac:dyDescent="0.3">
      <c r="A364" t="s">
        <v>1529</v>
      </c>
      <c r="C364" t="s">
        <v>1495</v>
      </c>
      <c r="D364" t="s">
        <v>470</v>
      </c>
      <c r="E364">
        <v>1000000</v>
      </c>
      <c r="H364">
        <v>40</v>
      </c>
      <c r="I364" t="s">
        <v>82</v>
      </c>
      <c r="J364">
        <v>4.0000000000000003E-5</v>
      </c>
      <c r="K364" t="s">
        <v>252</v>
      </c>
      <c r="L364" t="s">
        <v>58</v>
      </c>
      <c r="N364" t="s">
        <v>1530</v>
      </c>
      <c r="O364">
        <v>4.5999999999999996</v>
      </c>
      <c r="P364" t="s">
        <v>121</v>
      </c>
      <c r="S364" t="s">
        <v>1531</v>
      </c>
      <c r="T364">
        <v>10</v>
      </c>
      <c r="V364">
        <v>50</v>
      </c>
      <c r="W364" t="s">
        <v>1535</v>
      </c>
      <c r="X364" t="s">
        <v>199</v>
      </c>
      <c r="Y364">
        <v>26.451151737692179</v>
      </c>
      <c r="AB364">
        <v>0.222943364471758</v>
      </c>
      <c r="AC364" t="s">
        <v>85</v>
      </c>
      <c r="AE364" t="s">
        <v>1533</v>
      </c>
      <c r="AI364">
        <v>3</v>
      </c>
      <c r="AV364" t="s">
        <v>256</v>
      </c>
    </row>
    <row r="365" spans="1:48" x14ac:dyDescent="0.3">
      <c r="A365" t="s">
        <v>1529</v>
      </c>
      <c r="C365" t="s">
        <v>1495</v>
      </c>
      <c r="D365" t="s">
        <v>470</v>
      </c>
      <c r="E365">
        <v>1000000</v>
      </c>
      <c r="H365">
        <v>40</v>
      </c>
      <c r="I365" t="s">
        <v>82</v>
      </c>
      <c r="J365">
        <v>4.0000000000000003E-5</v>
      </c>
      <c r="K365" t="s">
        <v>252</v>
      </c>
      <c r="L365" t="s">
        <v>58</v>
      </c>
      <c r="N365" t="s">
        <v>1530</v>
      </c>
      <c r="O365">
        <v>4.5999999999999996</v>
      </c>
      <c r="P365" t="s">
        <v>121</v>
      </c>
      <c r="S365" t="s">
        <v>1531</v>
      </c>
      <c r="T365">
        <v>10</v>
      </c>
      <c r="V365">
        <v>50</v>
      </c>
      <c r="W365" t="s">
        <v>1535</v>
      </c>
      <c r="X365" t="s">
        <v>199</v>
      </c>
      <c r="Y365">
        <v>32.236939794914782</v>
      </c>
      <c r="AB365">
        <v>0.46140073675870902</v>
      </c>
      <c r="AC365" t="s">
        <v>85</v>
      </c>
      <c r="AE365" t="s">
        <v>1533</v>
      </c>
      <c r="AI365">
        <v>3</v>
      </c>
      <c r="AV365" t="s">
        <v>256</v>
      </c>
    </row>
    <row r="366" spans="1:48" x14ac:dyDescent="0.3">
      <c r="A366" t="s">
        <v>1529</v>
      </c>
      <c r="C366" t="s">
        <v>1495</v>
      </c>
      <c r="D366" t="s">
        <v>470</v>
      </c>
      <c r="E366">
        <v>1000000</v>
      </c>
      <c r="H366">
        <v>40</v>
      </c>
      <c r="I366" t="s">
        <v>82</v>
      </c>
      <c r="J366">
        <v>4.0000000000000003E-5</v>
      </c>
      <c r="K366" t="s">
        <v>252</v>
      </c>
      <c r="L366" t="s">
        <v>58</v>
      </c>
      <c r="N366" t="s">
        <v>1530</v>
      </c>
      <c r="O366">
        <v>4.5999999999999996</v>
      </c>
      <c r="P366" t="s">
        <v>121</v>
      </c>
      <c r="S366" t="s">
        <v>1531</v>
      </c>
      <c r="T366">
        <v>10</v>
      </c>
      <c r="V366">
        <v>50</v>
      </c>
      <c r="W366" t="s">
        <v>1535</v>
      </c>
      <c r="X366" t="s">
        <v>199</v>
      </c>
      <c r="Y366">
        <v>40.129198418278698</v>
      </c>
      <c r="AB366">
        <v>1.1265336084615301</v>
      </c>
      <c r="AC366" t="s">
        <v>85</v>
      </c>
      <c r="AE366" t="s">
        <v>1533</v>
      </c>
      <c r="AI366">
        <v>3</v>
      </c>
      <c r="AV366" t="s">
        <v>256</v>
      </c>
    </row>
    <row r="367" spans="1:48" x14ac:dyDescent="0.3">
      <c r="A367" t="s">
        <v>1529</v>
      </c>
      <c r="C367" t="s">
        <v>1495</v>
      </c>
      <c r="D367" t="s">
        <v>470</v>
      </c>
      <c r="E367">
        <v>1000000</v>
      </c>
      <c r="H367">
        <v>40</v>
      </c>
      <c r="I367" t="s">
        <v>82</v>
      </c>
      <c r="J367">
        <v>4.0000000000000003E-5</v>
      </c>
      <c r="K367" t="s">
        <v>252</v>
      </c>
      <c r="L367" t="s">
        <v>58</v>
      </c>
      <c r="N367" t="s">
        <v>1530</v>
      </c>
      <c r="O367">
        <v>4.5999999999999996</v>
      </c>
      <c r="P367" t="s">
        <v>121</v>
      </c>
      <c r="S367" t="s">
        <v>1531</v>
      </c>
      <c r="T367">
        <v>10</v>
      </c>
      <c r="V367">
        <v>50</v>
      </c>
      <c r="W367" t="s">
        <v>1535</v>
      </c>
      <c r="X367" t="s">
        <v>199</v>
      </c>
      <c r="Y367">
        <v>48.233583142630657</v>
      </c>
      <c r="AB367">
        <v>1.8205907497840299</v>
      </c>
      <c r="AC367" t="s">
        <v>85</v>
      </c>
      <c r="AE367" t="s">
        <v>1533</v>
      </c>
      <c r="AI367">
        <v>3</v>
      </c>
      <c r="AV367" t="s">
        <v>256</v>
      </c>
    </row>
    <row r="368" spans="1:48" x14ac:dyDescent="0.3">
      <c r="A368" t="s">
        <v>1529</v>
      </c>
      <c r="C368" t="s">
        <v>1495</v>
      </c>
      <c r="D368" t="s">
        <v>470</v>
      </c>
      <c r="E368">
        <v>1000000</v>
      </c>
      <c r="H368">
        <v>40</v>
      </c>
      <c r="I368" t="s">
        <v>82</v>
      </c>
      <c r="J368">
        <v>4.0000000000000003E-5</v>
      </c>
      <c r="K368" t="s">
        <v>252</v>
      </c>
      <c r="L368" t="s">
        <v>58</v>
      </c>
      <c r="N368" t="s">
        <v>1530</v>
      </c>
      <c r="O368">
        <v>4.5999999999999996</v>
      </c>
      <c r="P368" t="s">
        <v>121</v>
      </c>
      <c r="S368" t="s">
        <v>1531</v>
      </c>
      <c r="T368">
        <v>10</v>
      </c>
      <c r="V368">
        <v>50</v>
      </c>
      <c r="W368" t="s">
        <v>1535</v>
      </c>
      <c r="X368" t="s">
        <v>199</v>
      </c>
      <c r="Y368">
        <v>56.320063645614567</v>
      </c>
      <c r="AB368">
        <v>2.6810139160560502</v>
      </c>
      <c r="AC368" t="s">
        <v>85</v>
      </c>
      <c r="AE368" t="s">
        <v>1533</v>
      </c>
      <c r="AI368">
        <v>3</v>
      </c>
      <c r="AV368" t="s">
        <v>256</v>
      </c>
    </row>
    <row r="369" spans="1:48" x14ac:dyDescent="0.3">
      <c r="A369" t="s">
        <v>1529</v>
      </c>
      <c r="C369" t="s">
        <v>1495</v>
      </c>
      <c r="D369" t="s">
        <v>470</v>
      </c>
      <c r="E369">
        <v>1000000</v>
      </c>
      <c r="H369">
        <v>40</v>
      </c>
      <c r="I369" t="s">
        <v>82</v>
      </c>
      <c r="J369">
        <v>4.0000000000000003E-5</v>
      </c>
      <c r="K369" t="s">
        <v>252</v>
      </c>
      <c r="L369" t="s">
        <v>58</v>
      </c>
      <c r="N369" t="s">
        <v>1530</v>
      </c>
      <c r="O369">
        <v>4.5999999999999996</v>
      </c>
      <c r="P369" t="s">
        <v>121</v>
      </c>
      <c r="S369" t="s">
        <v>1531</v>
      </c>
      <c r="T369">
        <v>10</v>
      </c>
      <c r="V369">
        <v>50</v>
      </c>
      <c r="W369" t="s">
        <v>1535</v>
      </c>
      <c r="X369" t="s">
        <v>199</v>
      </c>
      <c r="Y369">
        <v>10.109268295341019</v>
      </c>
      <c r="AB369">
        <v>7.1724310799378396E-2</v>
      </c>
      <c r="AC369" t="s">
        <v>85</v>
      </c>
      <c r="AE369" t="s">
        <v>1533</v>
      </c>
      <c r="AI369">
        <v>3</v>
      </c>
      <c r="AV369" t="s">
        <v>256</v>
      </c>
    </row>
    <row r="370" spans="1:48" x14ac:dyDescent="0.3">
      <c r="A370" t="s">
        <v>1529</v>
      </c>
      <c r="C370" t="s">
        <v>1495</v>
      </c>
      <c r="D370" t="s">
        <v>470</v>
      </c>
      <c r="E370">
        <v>1000000</v>
      </c>
      <c r="H370">
        <v>25</v>
      </c>
      <c r="I370" t="s">
        <v>82</v>
      </c>
      <c r="J370">
        <v>2.5000000000000001E-5</v>
      </c>
      <c r="K370" t="s">
        <v>252</v>
      </c>
      <c r="L370" t="s">
        <v>58</v>
      </c>
      <c r="N370" t="s">
        <v>1530</v>
      </c>
      <c r="O370">
        <v>7.9</v>
      </c>
      <c r="P370" t="s">
        <v>121</v>
      </c>
      <c r="S370" t="s">
        <v>1536</v>
      </c>
      <c r="T370">
        <v>33</v>
      </c>
      <c r="V370">
        <v>50</v>
      </c>
      <c r="W370" t="s">
        <v>1532</v>
      </c>
      <c r="X370" t="s">
        <v>199</v>
      </c>
      <c r="Y370">
        <v>7.8392184950332039E-2</v>
      </c>
      <c r="AB370">
        <v>-5.9258343415785003E-3</v>
      </c>
      <c r="AC370" t="s">
        <v>85</v>
      </c>
      <c r="AE370" t="s">
        <v>1533</v>
      </c>
      <c r="AI370">
        <v>3</v>
      </c>
      <c r="AV370" t="s">
        <v>256</v>
      </c>
    </row>
    <row r="371" spans="1:48" x14ac:dyDescent="0.3">
      <c r="A371" t="s">
        <v>1529</v>
      </c>
      <c r="C371" t="s">
        <v>1495</v>
      </c>
      <c r="D371" t="s">
        <v>470</v>
      </c>
      <c r="E371">
        <v>1000000</v>
      </c>
      <c r="H371">
        <v>25</v>
      </c>
      <c r="I371" t="s">
        <v>82</v>
      </c>
      <c r="J371">
        <v>2.5000000000000001E-5</v>
      </c>
      <c r="K371" t="s">
        <v>252</v>
      </c>
      <c r="L371" t="s">
        <v>58</v>
      </c>
      <c r="N371" t="s">
        <v>1530</v>
      </c>
      <c r="O371">
        <v>7.9</v>
      </c>
      <c r="P371" t="s">
        <v>121</v>
      </c>
      <c r="S371" t="s">
        <v>1536</v>
      </c>
      <c r="T371">
        <v>33</v>
      </c>
      <c r="V371">
        <v>50</v>
      </c>
      <c r="W371" t="s">
        <v>1532</v>
      </c>
      <c r="X371" t="s">
        <v>199</v>
      </c>
      <c r="Y371">
        <v>3.8426144277169239</v>
      </c>
      <c r="AB371">
        <v>9.3055911262618099E-2</v>
      </c>
      <c r="AC371" t="s">
        <v>85</v>
      </c>
      <c r="AE371" t="s">
        <v>1533</v>
      </c>
      <c r="AI371">
        <v>3</v>
      </c>
      <c r="AV371" t="s">
        <v>256</v>
      </c>
    </row>
    <row r="372" spans="1:48" x14ac:dyDescent="0.3">
      <c r="A372" t="s">
        <v>1529</v>
      </c>
      <c r="C372" t="s">
        <v>1495</v>
      </c>
      <c r="D372" t="s">
        <v>470</v>
      </c>
      <c r="E372">
        <v>100000</v>
      </c>
      <c r="H372">
        <v>25</v>
      </c>
      <c r="I372" t="s">
        <v>82</v>
      </c>
      <c r="J372">
        <v>2.5000000000000001E-5</v>
      </c>
      <c r="K372" t="s">
        <v>252</v>
      </c>
      <c r="L372" t="s">
        <v>58</v>
      </c>
      <c r="N372" t="s">
        <v>1530</v>
      </c>
      <c r="O372">
        <v>7.9</v>
      </c>
      <c r="P372" t="s">
        <v>121</v>
      </c>
      <c r="S372" t="s">
        <v>1536</v>
      </c>
      <c r="T372">
        <v>33</v>
      </c>
      <c r="V372">
        <v>50</v>
      </c>
      <c r="W372" t="s">
        <v>1532</v>
      </c>
      <c r="X372" t="s">
        <v>199</v>
      </c>
      <c r="Y372">
        <v>6.4755298445336207</v>
      </c>
      <c r="AB372">
        <v>0.22732772248372801</v>
      </c>
      <c r="AC372" t="s">
        <v>85</v>
      </c>
      <c r="AE372" t="s">
        <v>1533</v>
      </c>
      <c r="AI372">
        <v>3</v>
      </c>
      <c r="AV372" t="s">
        <v>256</v>
      </c>
    </row>
    <row r="373" spans="1:48" x14ac:dyDescent="0.3">
      <c r="A373" t="s">
        <v>1529</v>
      </c>
      <c r="C373" t="s">
        <v>1495</v>
      </c>
      <c r="D373" t="s">
        <v>470</v>
      </c>
      <c r="E373">
        <v>100000</v>
      </c>
      <c r="H373">
        <v>25</v>
      </c>
      <c r="I373" t="s">
        <v>82</v>
      </c>
      <c r="J373">
        <v>2.5000000000000001E-5</v>
      </c>
      <c r="K373" t="s">
        <v>252</v>
      </c>
      <c r="L373" t="s">
        <v>58</v>
      </c>
      <c r="N373" t="s">
        <v>1530</v>
      </c>
      <c r="O373">
        <v>7.9</v>
      </c>
      <c r="P373" t="s">
        <v>121</v>
      </c>
      <c r="S373" t="s">
        <v>1536</v>
      </c>
      <c r="T373">
        <v>33</v>
      </c>
      <c r="V373">
        <v>50</v>
      </c>
      <c r="W373" t="s">
        <v>1532</v>
      </c>
      <c r="X373" t="s">
        <v>199</v>
      </c>
      <c r="Y373">
        <v>9.7523511227605315</v>
      </c>
      <c r="AB373">
        <v>0.85139491137742496</v>
      </c>
      <c r="AC373" t="s">
        <v>85</v>
      </c>
      <c r="AE373" t="s">
        <v>1533</v>
      </c>
      <c r="AI373">
        <v>3</v>
      </c>
      <c r="AV373" t="s">
        <v>256</v>
      </c>
    </row>
    <row r="374" spans="1:48" x14ac:dyDescent="0.3">
      <c r="A374" t="s">
        <v>1529</v>
      </c>
      <c r="C374" t="s">
        <v>1495</v>
      </c>
      <c r="D374" t="s">
        <v>470</v>
      </c>
      <c r="E374">
        <v>100000</v>
      </c>
      <c r="H374">
        <v>25</v>
      </c>
      <c r="I374" t="s">
        <v>82</v>
      </c>
      <c r="J374">
        <v>2.5000000000000001E-5</v>
      </c>
      <c r="K374" t="s">
        <v>252</v>
      </c>
      <c r="L374" t="s">
        <v>58</v>
      </c>
      <c r="N374" t="s">
        <v>1530</v>
      </c>
      <c r="O374">
        <v>7.9</v>
      </c>
      <c r="P374" t="s">
        <v>121</v>
      </c>
      <c r="S374" t="s">
        <v>1536</v>
      </c>
      <c r="T374">
        <v>33</v>
      </c>
      <c r="V374">
        <v>50</v>
      </c>
      <c r="W374" t="s">
        <v>1532</v>
      </c>
      <c r="X374" t="s">
        <v>199</v>
      </c>
      <c r="Y374">
        <v>11.497380722867049</v>
      </c>
      <c r="AB374">
        <v>2.2673160651046902</v>
      </c>
      <c r="AC374" t="s">
        <v>85</v>
      </c>
      <c r="AE374" t="s">
        <v>1533</v>
      </c>
      <c r="AI374">
        <v>3</v>
      </c>
      <c r="AV374" t="s">
        <v>256</v>
      </c>
    </row>
    <row r="375" spans="1:48" x14ac:dyDescent="0.3">
      <c r="A375" t="s">
        <v>1529</v>
      </c>
      <c r="C375" t="s">
        <v>1495</v>
      </c>
      <c r="D375" t="s">
        <v>470</v>
      </c>
      <c r="E375">
        <v>100000</v>
      </c>
      <c r="H375">
        <v>25</v>
      </c>
      <c r="I375" t="s">
        <v>82</v>
      </c>
      <c r="J375">
        <v>2.5000000000000001E-5</v>
      </c>
      <c r="K375" t="s">
        <v>252</v>
      </c>
      <c r="L375" t="s">
        <v>58</v>
      </c>
      <c r="N375" t="s">
        <v>1530</v>
      </c>
      <c r="O375">
        <v>7.9</v>
      </c>
      <c r="P375" t="s">
        <v>121</v>
      </c>
      <c r="S375" t="s">
        <v>1536</v>
      </c>
      <c r="T375">
        <v>33</v>
      </c>
      <c r="V375">
        <v>50</v>
      </c>
      <c r="W375" t="s">
        <v>1532</v>
      </c>
      <c r="X375" t="s">
        <v>199</v>
      </c>
      <c r="Y375">
        <v>14.34507116333544</v>
      </c>
      <c r="AB375">
        <v>3.0604020029496701</v>
      </c>
      <c r="AC375" t="s">
        <v>85</v>
      </c>
      <c r="AE375" t="s">
        <v>1533</v>
      </c>
      <c r="AI375">
        <v>3</v>
      </c>
      <c r="AV375" t="s">
        <v>256</v>
      </c>
    </row>
    <row r="376" spans="1:48" x14ac:dyDescent="0.3">
      <c r="A376" t="s">
        <v>1529</v>
      </c>
      <c r="C376" t="s">
        <v>1495</v>
      </c>
      <c r="D376" t="s">
        <v>470</v>
      </c>
      <c r="E376">
        <v>100000</v>
      </c>
      <c r="H376">
        <v>40</v>
      </c>
      <c r="I376" t="s">
        <v>82</v>
      </c>
      <c r="J376">
        <v>4.0000000000000003E-5</v>
      </c>
      <c r="K376" t="s">
        <v>252</v>
      </c>
      <c r="L376" t="s">
        <v>58</v>
      </c>
      <c r="N376" t="s">
        <v>1530</v>
      </c>
      <c r="O376">
        <v>4.7</v>
      </c>
      <c r="P376" t="s">
        <v>121</v>
      </c>
      <c r="S376" t="s">
        <v>1531</v>
      </c>
      <c r="T376">
        <v>10</v>
      </c>
      <c r="V376">
        <v>50</v>
      </c>
      <c r="W376" t="s">
        <v>1532</v>
      </c>
      <c r="X376" t="s">
        <v>199</v>
      </c>
      <c r="Y376">
        <v>6.9380101395146161</v>
      </c>
      <c r="AB376">
        <v>1.30174065864194E-2</v>
      </c>
      <c r="AC376" t="s">
        <v>85</v>
      </c>
      <c r="AE376" t="s">
        <v>1533</v>
      </c>
      <c r="AI376">
        <v>3</v>
      </c>
      <c r="AV376" t="s">
        <v>256</v>
      </c>
    </row>
    <row r="377" spans="1:48" x14ac:dyDescent="0.3">
      <c r="A377" t="s">
        <v>1529</v>
      </c>
      <c r="C377" t="s">
        <v>1495</v>
      </c>
      <c r="D377" t="s">
        <v>470</v>
      </c>
      <c r="E377">
        <v>100000</v>
      </c>
      <c r="H377">
        <v>40</v>
      </c>
      <c r="I377" t="s">
        <v>82</v>
      </c>
      <c r="J377">
        <v>4.0000000000000003E-5</v>
      </c>
      <c r="K377" t="s">
        <v>252</v>
      </c>
      <c r="L377" t="s">
        <v>58</v>
      </c>
      <c r="N377" t="s">
        <v>1530</v>
      </c>
      <c r="O377">
        <v>4.7</v>
      </c>
      <c r="P377" t="s">
        <v>121</v>
      </c>
      <c r="S377" t="s">
        <v>1531</v>
      </c>
      <c r="T377">
        <v>10</v>
      </c>
      <c r="V377">
        <v>50</v>
      </c>
      <c r="W377" t="s">
        <v>1532</v>
      </c>
      <c r="X377" t="s">
        <v>199</v>
      </c>
      <c r="Y377">
        <v>14.293160534548321</v>
      </c>
      <c r="AB377">
        <v>0.12997536053977199</v>
      </c>
      <c r="AC377" t="s">
        <v>85</v>
      </c>
      <c r="AE377" t="s">
        <v>1533</v>
      </c>
      <c r="AI377">
        <v>3</v>
      </c>
      <c r="AV377" t="s">
        <v>256</v>
      </c>
    </row>
    <row r="378" spans="1:48" x14ac:dyDescent="0.3">
      <c r="A378" t="s">
        <v>1529</v>
      </c>
      <c r="C378" t="s">
        <v>1495</v>
      </c>
      <c r="D378" t="s">
        <v>470</v>
      </c>
      <c r="E378">
        <v>100000</v>
      </c>
      <c r="H378">
        <v>40</v>
      </c>
      <c r="I378" t="s">
        <v>82</v>
      </c>
      <c r="J378">
        <v>4.0000000000000003E-5</v>
      </c>
      <c r="K378" t="s">
        <v>252</v>
      </c>
      <c r="L378" t="s">
        <v>58</v>
      </c>
      <c r="N378" t="s">
        <v>1530</v>
      </c>
      <c r="O378">
        <v>4.7</v>
      </c>
      <c r="P378" t="s">
        <v>121</v>
      </c>
      <c r="S378" t="s">
        <v>1531</v>
      </c>
      <c r="T378">
        <v>10</v>
      </c>
      <c r="V378">
        <v>50</v>
      </c>
      <c r="W378" t="s">
        <v>1532</v>
      </c>
      <c r="X378" t="s">
        <v>199</v>
      </c>
      <c r="Y378">
        <v>20.228249001165171</v>
      </c>
      <c r="AB378">
        <v>0.15767488276385799</v>
      </c>
      <c r="AC378" t="s">
        <v>85</v>
      </c>
      <c r="AE378" t="s">
        <v>1533</v>
      </c>
      <c r="AI378">
        <v>3</v>
      </c>
      <c r="AV378" t="s">
        <v>256</v>
      </c>
    </row>
    <row r="379" spans="1:48" x14ac:dyDescent="0.3">
      <c r="A379" t="s">
        <v>1529</v>
      </c>
      <c r="C379" t="s">
        <v>1495</v>
      </c>
      <c r="D379" t="s">
        <v>470</v>
      </c>
      <c r="E379">
        <v>100000</v>
      </c>
      <c r="H379">
        <v>40</v>
      </c>
      <c r="I379" t="s">
        <v>82</v>
      </c>
      <c r="J379">
        <v>4.0000000000000003E-5</v>
      </c>
      <c r="K379" t="s">
        <v>252</v>
      </c>
      <c r="L379" t="s">
        <v>58</v>
      </c>
      <c r="N379" t="s">
        <v>1530</v>
      </c>
      <c r="O379">
        <v>4.7</v>
      </c>
      <c r="P379" t="s">
        <v>121</v>
      </c>
      <c r="S379" t="s">
        <v>1531</v>
      </c>
      <c r="T379">
        <v>10</v>
      </c>
      <c r="V379">
        <v>50</v>
      </c>
      <c r="W379" t="s">
        <v>1532</v>
      </c>
      <c r="X379" t="s">
        <v>199</v>
      </c>
      <c r="Y379">
        <v>25.83310143216255</v>
      </c>
      <c r="AB379">
        <v>0.44347937438732499</v>
      </c>
      <c r="AC379" t="s">
        <v>85</v>
      </c>
      <c r="AE379" t="s">
        <v>1533</v>
      </c>
      <c r="AI379">
        <v>3</v>
      </c>
      <c r="AV379" t="s">
        <v>256</v>
      </c>
    </row>
    <row r="380" spans="1:48" x14ac:dyDescent="0.3">
      <c r="A380" t="s">
        <v>1529</v>
      </c>
      <c r="C380" t="s">
        <v>1495</v>
      </c>
      <c r="D380" t="s">
        <v>470</v>
      </c>
      <c r="E380">
        <v>100000</v>
      </c>
      <c r="H380">
        <v>40</v>
      </c>
      <c r="I380" t="s">
        <v>82</v>
      </c>
      <c r="J380">
        <v>4.0000000000000003E-5</v>
      </c>
      <c r="K380" t="s">
        <v>252</v>
      </c>
      <c r="L380" t="s">
        <v>58</v>
      </c>
      <c r="N380" t="s">
        <v>1530</v>
      </c>
      <c r="O380">
        <v>4.7</v>
      </c>
      <c r="P380" t="s">
        <v>121</v>
      </c>
      <c r="S380" t="s">
        <v>1531</v>
      </c>
      <c r="T380">
        <v>10</v>
      </c>
      <c r="V380">
        <v>50</v>
      </c>
      <c r="W380" t="s">
        <v>1532</v>
      </c>
      <c r="X380" t="s">
        <v>199</v>
      </c>
      <c r="Y380">
        <v>32.151742847688723</v>
      </c>
      <c r="AB380">
        <v>0.702697093603455</v>
      </c>
      <c r="AC380" t="s">
        <v>85</v>
      </c>
      <c r="AE380" t="s">
        <v>1533</v>
      </c>
      <c r="AI380">
        <v>3</v>
      </c>
      <c r="AV380" t="s">
        <v>256</v>
      </c>
    </row>
    <row r="381" spans="1:48" x14ac:dyDescent="0.3">
      <c r="A381" t="s">
        <v>1529</v>
      </c>
      <c r="C381" t="s">
        <v>1495</v>
      </c>
      <c r="D381" t="s">
        <v>470</v>
      </c>
      <c r="E381">
        <v>100000</v>
      </c>
      <c r="H381">
        <v>40</v>
      </c>
      <c r="I381" t="s">
        <v>82</v>
      </c>
      <c r="J381">
        <v>4.0000000000000003E-5</v>
      </c>
      <c r="K381" t="s">
        <v>252</v>
      </c>
      <c r="L381" t="s">
        <v>58</v>
      </c>
      <c r="N381" t="s">
        <v>1530</v>
      </c>
      <c r="O381">
        <v>4.7</v>
      </c>
      <c r="P381" t="s">
        <v>121</v>
      </c>
      <c r="S381" t="s">
        <v>1531</v>
      </c>
      <c r="T381">
        <v>10</v>
      </c>
      <c r="V381">
        <v>50</v>
      </c>
      <c r="W381" t="s">
        <v>1532</v>
      </c>
      <c r="X381" t="s">
        <v>199</v>
      </c>
      <c r="Y381">
        <v>36.399715066899162</v>
      </c>
      <c r="AB381">
        <v>1.20192435067515</v>
      </c>
      <c r="AC381" t="s">
        <v>85</v>
      </c>
      <c r="AE381" t="s">
        <v>1533</v>
      </c>
      <c r="AI381">
        <v>3</v>
      </c>
      <c r="AV381" t="s">
        <v>256</v>
      </c>
    </row>
    <row r="382" spans="1:48" x14ac:dyDescent="0.3">
      <c r="A382" t="s">
        <v>1529</v>
      </c>
      <c r="C382" t="s">
        <v>1495</v>
      </c>
      <c r="D382" t="s">
        <v>470</v>
      </c>
      <c r="E382">
        <v>100000</v>
      </c>
      <c r="H382">
        <v>40</v>
      </c>
      <c r="I382" t="s">
        <v>82</v>
      </c>
      <c r="J382">
        <v>4.0000000000000003E-5</v>
      </c>
      <c r="K382" t="s">
        <v>252</v>
      </c>
      <c r="L382" t="s">
        <v>58</v>
      </c>
      <c r="N382" t="s">
        <v>1530</v>
      </c>
      <c r="O382">
        <v>4.7</v>
      </c>
      <c r="P382" t="s">
        <v>121</v>
      </c>
      <c r="S382" t="s">
        <v>1531</v>
      </c>
      <c r="T382">
        <v>10</v>
      </c>
      <c r="V382">
        <v>50</v>
      </c>
      <c r="W382" t="s">
        <v>1532</v>
      </c>
      <c r="X382" t="s">
        <v>199</v>
      </c>
      <c r="Y382">
        <v>40.249102255920633</v>
      </c>
      <c r="AB382">
        <v>1.7544973638426899</v>
      </c>
      <c r="AC382" t="s">
        <v>85</v>
      </c>
      <c r="AE382" t="s">
        <v>1533</v>
      </c>
      <c r="AI382">
        <v>3</v>
      </c>
      <c r="AV382" t="s">
        <v>256</v>
      </c>
    </row>
    <row r="383" spans="1:48" x14ac:dyDescent="0.3">
      <c r="A383" t="s">
        <v>1529</v>
      </c>
      <c r="C383" t="s">
        <v>1495</v>
      </c>
      <c r="D383" t="s">
        <v>470</v>
      </c>
      <c r="E383">
        <v>100000</v>
      </c>
      <c r="H383">
        <v>40</v>
      </c>
      <c r="I383" t="s">
        <v>82</v>
      </c>
      <c r="J383">
        <v>4.0000000000000003E-5</v>
      </c>
      <c r="K383" t="s">
        <v>252</v>
      </c>
      <c r="L383" t="s">
        <v>58</v>
      </c>
      <c r="N383" t="s">
        <v>1530</v>
      </c>
      <c r="O383">
        <v>4.7</v>
      </c>
      <c r="P383" t="s">
        <v>121</v>
      </c>
      <c r="S383" t="s">
        <v>1531</v>
      </c>
      <c r="T383">
        <v>10</v>
      </c>
      <c r="V383">
        <v>50</v>
      </c>
      <c r="W383" t="s">
        <v>1532</v>
      </c>
      <c r="X383" t="s">
        <v>199</v>
      </c>
      <c r="Y383">
        <v>45.041282792719997</v>
      </c>
      <c r="AB383">
        <v>2.4407593192797101</v>
      </c>
      <c r="AC383" t="s">
        <v>85</v>
      </c>
      <c r="AE383" t="s">
        <v>1533</v>
      </c>
      <c r="AI383">
        <v>3</v>
      </c>
      <c r="AV383" t="s">
        <v>256</v>
      </c>
    </row>
    <row r="384" spans="1:48" x14ac:dyDescent="0.3">
      <c r="A384" t="s">
        <v>1529</v>
      </c>
      <c r="C384" t="s">
        <v>1495</v>
      </c>
      <c r="D384" t="s">
        <v>470</v>
      </c>
      <c r="E384">
        <v>100000</v>
      </c>
      <c r="H384">
        <v>40</v>
      </c>
      <c r="I384" t="s">
        <v>82</v>
      </c>
      <c r="J384">
        <v>4.0000000000000003E-5</v>
      </c>
      <c r="K384" t="s">
        <v>252</v>
      </c>
      <c r="L384" t="s">
        <v>58</v>
      </c>
      <c r="N384" t="s">
        <v>1530</v>
      </c>
      <c r="O384">
        <v>6.9</v>
      </c>
      <c r="P384" t="s">
        <v>121</v>
      </c>
      <c r="S384" t="s">
        <v>1531</v>
      </c>
      <c r="T384">
        <v>10</v>
      </c>
      <c r="V384">
        <v>50</v>
      </c>
      <c r="W384" t="s">
        <v>1537</v>
      </c>
      <c r="X384" t="s">
        <v>199</v>
      </c>
      <c r="Y384">
        <v>8.6266390614205213E-2</v>
      </c>
      <c r="AB384">
        <v>8.9285714285713396E-3</v>
      </c>
      <c r="AC384" t="s">
        <v>85</v>
      </c>
      <c r="AE384" t="s">
        <v>1533</v>
      </c>
      <c r="AI384">
        <v>3</v>
      </c>
      <c r="AV384" t="s">
        <v>256</v>
      </c>
    </row>
    <row r="385" spans="1:48" x14ac:dyDescent="0.3">
      <c r="A385" t="s">
        <v>1529</v>
      </c>
      <c r="C385" t="s">
        <v>1495</v>
      </c>
      <c r="D385" t="s">
        <v>470</v>
      </c>
      <c r="E385">
        <v>100000</v>
      </c>
      <c r="H385">
        <v>40</v>
      </c>
      <c r="I385" t="s">
        <v>82</v>
      </c>
      <c r="J385">
        <v>4.0000000000000003E-5</v>
      </c>
      <c r="K385" t="s">
        <v>252</v>
      </c>
      <c r="L385" t="s">
        <v>58</v>
      </c>
      <c r="N385" t="s">
        <v>1530</v>
      </c>
      <c r="O385">
        <v>6.9</v>
      </c>
      <c r="P385" t="s">
        <v>121</v>
      </c>
      <c r="S385" t="s">
        <v>1531</v>
      </c>
      <c r="T385">
        <v>10</v>
      </c>
      <c r="V385">
        <v>50</v>
      </c>
      <c r="W385" t="s">
        <v>1537</v>
      </c>
      <c r="X385" t="s">
        <v>199</v>
      </c>
      <c r="Y385">
        <v>5.5599077338207676</v>
      </c>
      <c r="AB385">
        <v>0.124999999999999</v>
      </c>
      <c r="AC385" t="s">
        <v>85</v>
      </c>
      <c r="AE385" t="s">
        <v>1533</v>
      </c>
      <c r="AI385">
        <v>3</v>
      </c>
      <c r="AV385" t="s">
        <v>256</v>
      </c>
    </row>
    <row r="386" spans="1:48" x14ac:dyDescent="0.3">
      <c r="A386" t="s">
        <v>1529</v>
      </c>
      <c r="C386" t="s">
        <v>1495</v>
      </c>
      <c r="D386" t="s">
        <v>470</v>
      </c>
      <c r="E386">
        <v>2500000</v>
      </c>
      <c r="H386">
        <v>40</v>
      </c>
      <c r="I386" t="s">
        <v>82</v>
      </c>
      <c r="J386">
        <v>4.0000000000000003E-5</v>
      </c>
      <c r="K386" t="s">
        <v>252</v>
      </c>
      <c r="L386" t="s">
        <v>58</v>
      </c>
      <c r="N386" t="s">
        <v>1530</v>
      </c>
      <c r="O386">
        <v>6.9</v>
      </c>
      <c r="P386" t="s">
        <v>121</v>
      </c>
      <c r="S386" t="s">
        <v>1531</v>
      </c>
      <c r="T386">
        <v>10</v>
      </c>
      <c r="V386">
        <v>50</v>
      </c>
      <c r="W386" t="s">
        <v>1537</v>
      </c>
      <c r="X386" t="s">
        <v>199</v>
      </c>
      <c r="Y386">
        <v>8.4183562444431885</v>
      </c>
      <c r="AB386">
        <v>0.28571428571428498</v>
      </c>
      <c r="AC386" t="s">
        <v>85</v>
      </c>
      <c r="AE386" t="s">
        <v>1533</v>
      </c>
      <c r="AI386">
        <v>3</v>
      </c>
      <c r="AV386" t="s">
        <v>256</v>
      </c>
    </row>
    <row r="387" spans="1:48" x14ac:dyDescent="0.3">
      <c r="A387" t="s">
        <v>1529</v>
      </c>
      <c r="C387" t="s">
        <v>1495</v>
      </c>
      <c r="D387" t="s">
        <v>470</v>
      </c>
      <c r="E387">
        <v>2500000</v>
      </c>
      <c r="H387">
        <v>40</v>
      </c>
      <c r="I387" t="s">
        <v>82</v>
      </c>
      <c r="J387">
        <v>4.0000000000000003E-5</v>
      </c>
      <c r="K387" t="s">
        <v>252</v>
      </c>
      <c r="L387" t="s">
        <v>58</v>
      </c>
      <c r="N387" t="s">
        <v>1530</v>
      </c>
      <c r="O387">
        <v>6.9</v>
      </c>
      <c r="P387" t="s">
        <v>121</v>
      </c>
      <c r="S387" t="s">
        <v>1531</v>
      </c>
      <c r="T387">
        <v>10</v>
      </c>
      <c r="V387">
        <v>50</v>
      </c>
      <c r="W387" t="s">
        <v>1537</v>
      </c>
      <c r="X387" t="s">
        <v>199</v>
      </c>
      <c r="Y387">
        <v>14.94506929289536</v>
      </c>
      <c r="AB387">
        <v>0.30357142857142799</v>
      </c>
      <c r="AC387" t="s">
        <v>85</v>
      </c>
      <c r="AE387" t="s">
        <v>1533</v>
      </c>
      <c r="AI387">
        <v>3</v>
      </c>
      <c r="AV387" t="s">
        <v>256</v>
      </c>
    </row>
    <row r="388" spans="1:48" x14ac:dyDescent="0.3">
      <c r="A388" t="s">
        <v>1529</v>
      </c>
      <c r="C388" t="s">
        <v>1495</v>
      </c>
      <c r="D388" t="s">
        <v>470</v>
      </c>
      <c r="E388">
        <v>2500000</v>
      </c>
      <c r="H388">
        <v>40</v>
      </c>
      <c r="I388" t="s">
        <v>82</v>
      </c>
      <c r="J388">
        <v>4.0000000000000003E-5</v>
      </c>
      <c r="K388" t="s">
        <v>252</v>
      </c>
      <c r="L388" t="s">
        <v>58</v>
      </c>
      <c r="N388" t="s">
        <v>1530</v>
      </c>
      <c r="O388">
        <v>6.9</v>
      </c>
      <c r="P388" t="s">
        <v>121</v>
      </c>
      <c r="S388" t="s">
        <v>1531</v>
      </c>
      <c r="T388">
        <v>10</v>
      </c>
      <c r="V388">
        <v>50</v>
      </c>
      <c r="W388" t="s">
        <v>1537</v>
      </c>
      <c r="X388" t="s">
        <v>199</v>
      </c>
      <c r="Y388">
        <v>35.031149161583912</v>
      </c>
      <c r="AB388">
        <v>0.54464285714285698</v>
      </c>
      <c r="AC388" t="s">
        <v>85</v>
      </c>
      <c r="AE388" t="s">
        <v>1533</v>
      </c>
      <c r="AI388">
        <v>3</v>
      </c>
      <c r="AV388" t="s">
        <v>256</v>
      </c>
    </row>
    <row r="389" spans="1:48" x14ac:dyDescent="0.3">
      <c r="A389" t="s">
        <v>1529</v>
      </c>
      <c r="C389" t="s">
        <v>1495</v>
      </c>
      <c r="D389" t="s">
        <v>470</v>
      </c>
      <c r="E389">
        <v>2500000</v>
      </c>
      <c r="H389">
        <v>40</v>
      </c>
      <c r="I389" t="s">
        <v>82</v>
      </c>
      <c r="J389">
        <v>4.0000000000000003E-5</v>
      </c>
      <c r="K389" t="s">
        <v>252</v>
      </c>
      <c r="L389" t="s">
        <v>58</v>
      </c>
      <c r="N389" t="s">
        <v>1530</v>
      </c>
      <c r="O389">
        <v>6.9</v>
      </c>
      <c r="P389" t="s">
        <v>121</v>
      </c>
      <c r="S389" t="s">
        <v>1531</v>
      </c>
      <c r="T389">
        <v>10</v>
      </c>
      <c r="V389">
        <v>50</v>
      </c>
      <c r="W389" t="s">
        <v>1537</v>
      </c>
      <c r="X389" t="s">
        <v>199</v>
      </c>
      <c r="Y389">
        <v>54.060271451575638</v>
      </c>
      <c r="AB389">
        <v>0.92857142857142805</v>
      </c>
      <c r="AC389" t="s">
        <v>85</v>
      </c>
      <c r="AE389" t="s">
        <v>1533</v>
      </c>
      <c r="AI389">
        <v>3</v>
      </c>
      <c r="AV389" t="s">
        <v>256</v>
      </c>
    </row>
    <row r="390" spans="1:48" x14ac:dyDescent="0.3">
      <c r="A390" t="s">
        <v>1529</v>
      </c>
      <c r="C390" t="s">
        <v>1495</v>
      </c>
      <c r="D390" t="s">
        <v>470</v>
      </c>
      <c r="E390">
        <v>2500000</v>
      </c>
      <c r="H390">
        <v>40</v>
      </c>
      <c r="I390" t="s">
        <v>82</v>
      </c>
      <c r="J390">
        <v>4.0000000000000003E-5</v>
      </c>
      <c r="K390" t="s">
        <v>252</v>
      </c>
      <c r="L390" t="s">
        <v>58</v>
      </c>
      <c r="N390" t="s">
        <v>1530</v>
      </c>
      <c r="O390">
        <v>6.9</v>
      </c>
      <c r="P390" t="s">
        <v>121</v>
      </c>
      <c r="S390" t="s">
        <v>1531</v>
      </c>
      <c r="T390">
        <v>10</v>
      </c>
      <c r="V390">
        <v>50</v>
      </c>
      <c r="W390" t="s">
        <v>1537</v>
      </c>
      <c r="X390" t="s">
        <v>199</v>
      </c>
      <c r="Y390">
        <v>74.128476302389274</v>
      </c>
      <c r="AB390">
        <v>1.375</v>
      </c>
      <c r="AC390" t="s">
        <v>85</v>
      </c>
      <c r="AE390" t="s">
        <v>1533</v>
      </c>
      <c r="AI390">
        <v>3</v>
      </c>
      <c r="AV390" t="s">
        <v>256</v>
      </c>
    </row>
    <row r="391" spans="1:48" x14ac:dyDescent="0.3">
      <c r="A391" t="s">
        <v>1529</v>
      </c>
      <c r="C391" t="s">
        <v>1495</v>
      </c>
      <c r="D391" t="s">
        <v>470</v>
      </c>
      <c r="E391">
        <v>2500000</v>
      </c>
      <c r="H391">
        <v>40</v>
      </c>
      <c r="I391" t="s">
        <v>82</v>
      </c>
      <c r="J391">
        <v>4.0000000000000003E-5</v>
      </c>
      <c r="K391" t="s">
        <v>252</v>
      </c>
      <c r="L391" t="s">
        <v>58</v>
      </c>
      <c r="N391" t="s">
        <v>1530</v>
      </c>
      <c r="O391">
        <v>6.9</v>
      </c>
      <c r="P391" t="s">
        <v>121</v>
      </c>
      <c r="S391" t="s">
        <v>1531</v>
      </c>
      <c r="T391">
        <v>10</v>
      </c>
      <c r="V391">
        <v>50</v>
      </c>
      <c r="W391" t="s">
        <v>1537</v>
      </c>
      <c r="X391" t="s">
        <v>199</v>
      </c>
      <c r="Y391">
        <v>94.149273497099557</v>
      </c>
      <c r="AB391">
        <v>2.3660714285714199</v>
      </c>
      <c r="AC391" t="s">
        <v>85</v>
      </c>
      <c r="AE391" t="s">
        <v>1533</v>
      </c>
      <c r="AI391">
        <v>3</v>
      </c>
      <c r="AV391" t="s">
        <v>256</v>
      </c>
    </row>
    <row r="392" spans="1:48" x14ac:dyDescent="0.3">
      <c r="A392" t="s">
        <v>1529</v>
      </c>
      <c r="C392" t="s">
        <v>1495</v>
      </c>
      <c r="D392" t="s">
        <v>470</v>
      </c>
      <c r="E392">
        <v>2500000</v>
      </c>
      <c r="H392">
        <v>40</v>
      </c>
      <c r="I392" t="s">
        <v>82</v>
      </c>
      <c r="J392">
        <v>4.0000000000000003E-5</v>
      </c>
      <c r="K392" t="s">
        <v>252</v>
      </c>
      <c r="L392" t="s">
        <v>58</v>
      </c>
      <c r="N392" t="s">
        <v>1530</v>
      </c>
      <c r="O392">
        <v>3.7</v>
      </c>
      <c r="P392" t="s">
        <v>121</v>
      </c>
      <c r="S392" t="s">
        <v>1531</v>
      </c>
      <c r="T392">
        <v>10</v>
      </c>
      <c r="V392">
        <v>50</v>
      </c>
      <c r="W392" t="s">
        <v>1537</v>
      </c>
      <c r="X392" t="s">
        <v>199</v>
      </c>
      <c r="Y392">
        <v>39.112954653495137</v>
      </c>
      <c r="AB392">
        <v>4.4642857142856998E-2</v>
      </c>
      <c r="AC392" t="s">
        <v>85</v>
      </c>
      <c r="AE392" t="s">
        <v>1533</v>
      </c>
      <c r="AI392">
        <v>3</v>
      </c>
      <c r="AV392" t="s">
        <v>256</v>
      </c>
    </row>
    <row r="393" spans="1:48" x14ac:dyDescent="0.3">
      <c r="A393" t="s">
        <v>1529</v>
      </c>
      <c r="C393" t="s">
        <v>1495</v>
      </c>
      <c r="D393" t="s">
        <v>470</v>
      </c>
      <c r="E393">
        <v>2500000</v>
      </c>
      <c r="H393">
        <v>40</v>
      </c>
      <c r="I393" t="s">
        <v>82</v>
      </c>
      <c r="J393">
        <v>4.0000000000000003E-5</v>
      </c>
      <c r="K393" t="s">
        <v>252</v>
      </c>
      <c r="L393" t="s">
        <v>58</v>
      </c>
      <c r="N393" t="s">
        <v>1530</v>
      </c>
      <c r="O393">
        <v>3.7</v>
      </c>
      <c r="P393" t="s">
        <v>121</v>
      </c>
      <c r="S393" t="s">
        <v>1531</v>
      </c>
      <c r="T393">
        <v>10</v>
      </c>
      <c r="V393">
        <v>50</v>
      </c>
      <c r="W393" t="s">
        <v>1537</v>
      </c>
      <c r="X393" t="s">
        <v>199</v>
      </c>
      <c r="Y393">
        <v>76.099748397045659</v>
      </c>
      <c r="AB393">
        <v>0.187499999999999</v>
      </c>
      <c r="AC393" t="s">
        <v>85</v>
      </c>
      <c r="AE393" t="s">
        <v>1533</v>
      </c>
      <c r="AI393">
        <v>3</v>
      </c>
      <c r="AV393" t="s">
        <v>256</v>
      </c>
    </row>
    <row r="394" spans="1:48" x14ac:dyDescent="0.3">
      <c r="A394" t="s">
        <v>1529</v>
      </c>
      <c r="C394" t="s">
        <v>1495</v>
      </c>
      <c r="D394" t="s">
        <v>470</v>
      </c>
      <c r="E394">
        <v>2500000</v>
      </c>
      <c r="H394">
        <v>40</v>
      </c>
      <c r="I394" t="s">
        <v>82</v>
      </c>
      <c r="J394">
        <v>4.0000000000000003E-5</v>
      </c>
      <c r="K394" t="s">
        <v>252</v>
      </c>
      <c r="L394" t="s">
        <v>58</v>
      </c>
      <c r="N394" t="s">
        <v>1530</v>
      </c>
      <c r="O394">
        <v>3.7</v>
      </c>
      <c r="P394" t="s">
        <v>121</v>
      </c>
      <c r="S394" t="s">
        <v>1531</v>
      </c>
      <c r="T394">
        <v>10</v>
      </c>
      <c r="V394">
        <v>50</v>
      </c>
      <c r="W394" t="s">
        <v>1537</v>
      </c>
      <c r="X394" t="s">
        <v>199</v>
      </c>
      <c r="Y394">
        <v>113.58366088095811</v>
      </c>
      <c r="AB394">
        <v>0.26785714285714202</v>
      </c>
      <c r="AC394" t="s">
        <v>85</v>
      </c>
      <c r="AE394" t="s">
        <v>1533</v>
      </c>
      <c r="AI394">
        <v>3</v>
      </c>
      <c r="AV394" t="s">
        <v>256</v>
      </c>
    </row>
    <row r="395" spans="1:48" x14ac:dyDescent="0.3">
      <c r="A395" t="s">
        <v>1529</v>
      </c>
      <c r="C395" t="s">
        <v>1495</v>
      </c>
      <c r="D395" t="s">
        <v>470</v>
      </c>
      <c r="E395">
        <v>2500000</v>
      </c>
      <c r="H395">
        <v>40</v>
      </c>
      <c r="I395" t="s">
        <v>82</v>
      </c>
      <c r="J395">
        <v>4.0000000000000003E-5</v>
      </c>
      <c r="K395" t="s">
        <v>252</v>
      </c>
      <c r="L395" t="s">
        <v>58</v>
      </c>
      <c r="N395" t="s">
        <v>1530</v>
      </c>
      <c r="O395">
        <v>3.7</v>
      </c>
      <c r="P395" t="s">
        <v>121</v>
      </c>
      <c r="S395" t="s">
        <v>1531</v>
      </c>
      <c r="T395">
        <v>10</v>
      </c>
      <c r="V395">
        <v>50</v>
      </c>
      <c r="W395" t="s">
        <v>1537</v>
      </c>
      <c r="X395" t="s">
        <v>199</v>
      </c>
      <c r="Y395">
        <v>148.13993530209731</v>
      </c>
      <c r="AB395">
        <v>0.38392857142857112</v>
      </c>
      <c r="AC395" t="s">
        <v>85</v>
      </c>
      <c r="AE395" t="s">
        <v>1533</v>
      </c>
      <c r="AI395">
        <v>3</v>
      </c>
      <c r="AV395" t="s">
        <v>256</v>
      </c>
    </row>
    <row r="396" spans="1:48" x14ac:dyDescent="0.3">
      <c r="A396" t="s">
        <v>1529</v>
      </c>
      <c r="C396" t="s">
        <v>1495</v>
      </c>
      <c r="D396" t="s">
        <v>470</v>
      </c>
      <c r="E396">
        <v>2500000</v>
      </c>
      <c r="H396">
        <v>40</v>
      </c>
      <c r="I396" t="s">
        <v>82</v>
      </c>
      <c r="J396">
        <v>4.0000000000000003E-5</v>
      </c>
      <c r="K396" t="s">
        <v>252</v>
      </c>
      <c r="L396" t="s">
        <v>58</v>
      </c>
      <c r="N396" t="s">
        <v>1530</v>
      </c>
      <c r="O396">
        <v>3.7</v>
      </c>
      <c r="P396" t="s">
        <v>121</v>
      </c>
      <c r="S396" t="s">
        <v>1531</v>
      </c>
      <c r="T396">
        <v>10</v>
      </c>
      <c r="V396">
        <v>50</v>
      </c>
      <c r="W396" t="s">
        <v>1537</v>
      </c>
      <c r="X396" t="s">
        <v>199</v>
      </c>
      <c r="Y396">
        <v>182.16285783853351</v>
      </c>
      <c r="AB396">
        <v>0.78571428571428492</v>
      </c>
      <c r="AC396" t="s">
        <v>85</v>
      </c>
      <c r="AE396" t="s">
        <v>1533</v>
      </c>
      <c r="AI396">
        <v>3</v>
      </c>
      <c r="AV396" t="s">
        <v>256</v>
      </c>
    </row>
    <row r="397" spans="1:48" x14ac:dyDescent="0.3">
      <c r="A397" t="s">
        <v>1529</v>
      </c>
      <c r="C397" t="s">
        <v>1495</v>
      </c>
      <c r="D397" t="s">
        <v>470</v>
      </c>
      <c r="E397">
        <v>2500000</v>
      </c>
      <c r="H397">
        <v>40</v>
      </c>
      <c r="I397" t="s">
        <v>82</v>
      </c>
      <c r="J397">
        <v>4.0000000000000003E-5</v>
      </c>
      <c r="K397" t="s">
        <v>252</v>
      </c>
      <c r="L397" t="s">
        <v>58</v>
      </c>
      <c r="N397" t="s">
        <v>1530</v>
      </c>
      <c r="O397">
        <v>3.7</v>
      </c>
      <c r="P397" t="s">
        <v>121</v>
      </c>
      <c r="S397" t="s">
        <v>1531</v>
      </c>
      <c r="T397">
        <v>10</v>
      </c>
      <c r="V397">
        <v>50</v>
      </c>
      <c r="W397" t="s">
        <v>1537</v>
      </c>
      <c r="X397" t="s">
        <v>199</v>
      </c>
      <c r="Y397">
        <v>216.19012835229049</v>
      </c>
      <c r="AB397">
        <v>1.16071428571428</v>
      </c>
      <c r="AC397" t="s">
        <v>85</v>
      </c>
      <c r="AE397" t="s">
        <v>1533</v>
      </c>
      <c r="AI397">
        <v>3</v>
      </c>
      <c r="AV397" t="s">
        <v>256</v>
      </c>
    </row>
    <row r="398" spans="1:48" x14ac:dyDescent="0.3">
      <c r="A398" t="s">
        <v>1529</v>
      </c>
      <c r="C398" t="s">
        <v>1495</v>
      </c>
      <c r="D398" t="s">
        <v>470</v>
      </c>
      <c r="E398">
        <v>2500000</v>
      </c>
      <c r="H398">
        <v>40</v>
      </c>
      <c r="I398" t="s">
        <v>82</v>
      </c>
      <c r="J398">
        <v>4.0000000000000003E-5</v>
      </c>
      <c r="K398" t="s">
        <v>252</v>
      </c>
      <c r="L398" t="s">
        <v>58</v>
      </c>
      <c r="N398" t="s">
        <v>1530</v>
      </c>
      <c r="O398">
        <v>3.7</v>
      </c>
      <c r="P398" t="s">
        <v>121</v>
      </c>
      <c r="S398" t="s">
        <v>1531</v>
      </c>
      <c r="T398">
        <v>10</v>
      </c>
      <c r="V398">
        <v>50</v>
      </c>
      <c r="W398" t="s">
        <v>1537</v>
      </c>
      <c r="X398" t="s">
        <v>199</v>
      </c>
      <c r="Y398">
        <v>249.22316138532349</v>
      </c>
      <c r="AB398">
        <v>1.66071428571428</v>
      </c>
      <c r="AC398" t="s">
        <v>85</v>
      </c>
      <c r="AE398" t="s">
        <v>1533</v>
      </c>
      <c r="AI398">
        <v>3</v>
      </c>
      <c r="AV398" t="s">
        <v>256</v>
      </c>
    </row>
    <row r="399" spans="1:48" x14ac:dyDescent="0.3">
      <c r="A399" t="s">
        <v>1529</v>
      </c>
      <c r="C399" t="s">
        <v>1495</v>
      </c>
      <c r="D399" t="s">
        <v>470</v>
      </c>
      <c r="E399">
        <v>2500000</v>
      </c>
      <c r="H399">
        <v>40</v>
      </c>
      <c r="I399" t="s">
        <v>82</v>
      </c>
      <c r="J399">
        <v>4.0000000000000003E-5</v>
      </c>
      <c r="K399" t="s">
        <v>252</v>
      </c>
      <c r="L399" t="s">
        <v>58</v>
      </c>
      <c r="N399" t="s">
        <v>1530</v>
      </c>
      <c r="O399">
        <v>3.7</v>
      </c>
      <c r="P399" t="s">
        <v>121</v>
      </c>
      <c r="S399" t="s">
        <v>1531</v>
      </c>
      <c r="T399">
        <v>10</v>
      </c>
      <c r="V399">
        <v>50</v>
      </c>
      <c r="W399" t="s">
        <v>1537</v>
      </c>
      <c r="X399" t="s">
        <v>199</v>
      </c>
      <c r="Y399">
        <v>283.18231358771891</v>
      </c>
      <c r="AB399">
        <v>2.4553571428571401</v>
      </c>
      <c r="AC399" t="s">
        <v>85</v>
      </c>
      <c r="AE399" t="s">
        <v>1533</v>
      </c>
      <c r="AI399">
        <v>3</v>
      </c>
      <c r="AV399" t="s">
        <v>256</v>
      </c>
    </row>
    <row r="400" spans="1:48" x14ac:dyDescent="0.3">
      <c r="A400" t="s">
        <v>1529</v>
      </c>
      <c r="C400" t="s">
        <v>1495</v>
      </c>
      <c r="D400" t="s">
        <v>470</v>
      </c>
      <c r="E400">
        <v>2500000</v>
      </c>
      <c r="H400">
        <v>40</v>
      </c>
      <c r="I400" t="s">
        <v>82</v>
      </c>
      <c r="J400">
        <v>4.0000000000000003E-5</v>
      </c>
      <c r="K400" t="s">
        <v>252</v>
      </c>
      <c r="L400" t="s">
        <v>58</v>
      </c>
      <c r="N400" t="s">
        <v>1530</v>
      </c>
      <c r="O400">
        <v>7</v>
      </c>
      <c r="P400" t="s">
        <v>121</v>
      </c>
      <c r="S400" t="s">
        <v>1531</v>
      </c>
      <c r="T400">
        <v>10</v>
      </c>
      <c r="V400">
        <v>50</v>
      </c>
      <c r="W400" t="s">
        <v>1538</v>
      </c>
      <c r="X400" t="s">
        <v>199</v>
      </c>
      <c r="Y400">
        <v>20.67399031684743</v>
      </c>
      <c r="AB400">
        <v>0.74107142857142805</v>
      </c>
      <c r="AC400" t="s">
        <v>85</v>
      </c>
      <c r="AE400" t="s">
        <v>1533</v>
      </c>
      <c r="AI400">
        <v>3</v>
      </c>
      <c r="AV400" t="s">
        <v>256</v>
      </c>
    </row>
    <row r="401" spans="1:48" x14ac:dyDescent="0.3">
      <c r="A401" t="s">
        <v>1529</v>
      </c>
      <c r="C401" t="s">
        <v>1495</v>
      </c>
      <c r="D401" t="s">
        <v>470</v>
      </c>
      <c r="E401">
        <v>2500000</v>
      </c>
      <c r="H401">
        <v>40</v>
      </c>
      <c r="I401" t="s">
        <v>82</v>
      </c>
      <c r="J401">
        <v>4.0000000000000003E-5</v>
      </c>
      <c r="K401" t="s">
        <v>252</v>
      </c>
      <c r="L401" t="s">
        <v>58</v>
      </c>
      <c r="N401" t="s">
        <v>1530</v>
      </c>
      <c r="O401">
        <v>7</v>
      </c>
      <c r="P401" t="s">
        <v>121</v>
      </c>
      <c r="S401" t="s">
        <v>1531</v>
      </c>
      <c r="T401">
        <v>10</v>
      </c>
      <c r="V401">
        <v>50</v>
      </c>
      <c r="W401" t="s">
        <v>1538</v>
      </c>
      <c r="X401" t="s">
        <v>199</v>
      </c>
      <c r="Y401">
        <v>40.224152724152709</v>
      </c>
      <c r="AB401">
        <v>1.6964285714285701</v>
      </c>
      <c r="AC401" t="s">
        <v>85</v>
      </c>
      <c r="AE401" t="s">
        <v>1533</v>
      </c>
      <c r="AI401">
        <v>3</v>
      </c>
      <c r="AV401" t="s">
        <v>256</v>
      </c>
    </row>
    <row r="402" spans="1:48" x14ac:dyDescent="0.3">
      <c r="A402" t="s">
        <v>1529</v>
      </c>
      <c r="C402" t="s">
        <v>1495</v>
      </c>
      <c r="D402" t="s">
        <v>470</v>
      </c>
      <c r="E402">
        <v>2500000</v>
      </c>
      <c r="H402">
        <v>40</v>
      </c>
      <c r="I402" t="s">
        <v>82</v>
      </c>
      <c r="J402">
        <v>4.0000000000000003E-5</v>
      </c>
      <c r="K402" t="s">
        <v>252</v>
      </c>
      <c r="L402" t="s">
        <v>58</v>
      </c>
      <c r="N402" t="s">
        <v>1530</v>
      </c>
      <c r="O402">
        <v>7</v>
      </c>
      <c r="P402" t="s">
        <v>121</v>
      </c>
      <c r="S402" t="s">
        <v>1531</v>
      </c>
      <c r="T402">
        <v>10</v>
      </c>
      <c r="V402">
        <v>50</v>
      </c>
      <c r="W402" t="s">
        <v>1538</v>
      </c>
      <c r="X402" t="s">
        <v>199</v>
      </c>
      <c r="Y402">
        <v>60.037077894220722</v>
      </c>
      <c r="AB402">
        <v>3.3125</v>
      </c>
      <c r="AC402" t="s">
        <v>85</v>
      </c>
      <c r="AE402" t="s">
        <v>1533</v>
      </c>
      <c r="AI402">
        <v>3</v>
      </c>
      <c r="AV402" t="s">
        <v>256</v>
      </c>
    </row>
    <row r="403" spans="1:48" x14ac:dyDescent="0.3">
      <c r="A403" t="s">
        <v>1529</v>
      </c>
      <c r="C403" t="s">
        <v>1495</v>
      </c>
      <c r="D403" t="s">
        <v>470</v>
      </c>
      <c r="E403">
        <v>2500000</v>
      </c>
      <c r="H403">
        <v>40</v>
      </c>
      <c r="I403" t="s">
        <v>82</v>
      </c>
      <c r="J403">
        <v>4.0000000000000003E-5</v>
      </c>
      <c r="K403" t="s">
        <v>252</v>
      </c>
      <c r="L403" t="s">
        <v>58</v>
      </c>
      <c r="N403" t="s">
        <v>1530</v>
      </c>
      <c r="O403">
        <v>7</v>
      </c>
      <c r="P403" t="s">
        <v>121</v>
      </c>
      <c r="S403" t="s">
        <v>1531</v>
      </c>
      <c r="T403">
        <v>10</v>
      </c>
      <c r="V403">
        <v>50</v>
      </c>
      <c r="W403" t="s">
        <v>1538</v>
      </c>
      <c r="X403" t="s">
        <v>199</v>
      </c>
      <c r="Y403">
        <v>78.302537231108573</v>
      </c>
      <c r="AB403">
        <v>0.375</v>
      </c>
      <c r="AC403" t="s">
        <v>85</v>
      </c>
      <c r="AE403" t="s">
        <v>1533</v>
      </c>
      <c r="AI403">
        <v>3</v>
      </c>
      <c r="AV403" t="s">
        <v>256</v>
      </c>
    </row>
    <row r="404" spans="1:48" x14ac:dyDescent="0.3">
      <c r="A404" t="s">
        <v>1529</v>
      </c>
      <c r="C404" t="s">
        <v>1495</v>
      </c>
      <c r="D404" t="s">
        <v>470</v>
      </c>
      <c r="E404">
        <v>2500000</v>
      </c>
      <c r="H404">
        <v>40</v>
      </c>
      <c r="I404" t="s">
        <v>82</v>
      </c>
      <c r="J404">
        <v>4.0000000000000003E-5</v>
      </c>
      <c r="K404" t="s">
        <v>252</v>
      </c>
      <c r="L404" t="s">
        <v>58</v>
      </c>
      <c r="N404" t="s">
        <v>1530</v>
      </c>
      <c r="O404">
        <v>3.6</v>
      </c>
      <c r="P404" t="s">
        <v>121</v>
      </c>
      <c r="S404" t="s">
        <v>1531</v>
      </c>
      <c r="T404">
        <v>10</v>
      </c>
      <c r="V404">
        <v>50</v>
      </c>
      <c r="W404" t="s">
        <v>1538</v>
      </c>
      <c r="X404" t="s">
        <v>199</v>
      </c>
      <c r="Y404">
        <v>39.678070928070838</v>
      </c>
      <c r="AB404">
        <v>0.16964285714285701</v>
      </c>
      <c r="AC404" t="s">
        <v>85</v>
      </c>
      <c r="AE404" t="s">
        <v>1533</v>
      </c>
      <c r="AI404">
        <v>3</v>
      </c>
      <c r="AV404" t="s">
        <v>256</v>
      </c>
    </row>
    <row r="405" spans="1:48" x14ac:dyDescent="0.3">
      <c r="A405" t="s">
        <v>1529</v>
      </c>
      <c r="C405" t="s">
        <v>1495</v>
      </c>
      <c r="D405" t="s">
        <v>470</v>
      </c>
      <c r="E405">
        <v>2500000</v>
      </c>
      <c r="H405">
        <v>40</v>
      </c>
      <c r="I405" t="s">
        <v>82</v>
      </c>
      <c r="J405">
        <v>4.0000000000000003E-5</v>
      </c>
      <c r="K405" t="s">
        <v>252</v>
      </c>
      <c r="L405" t="s">
        <v>58</v>
      </c>
      <c r="N405" t="s">
        <v>1530</v>
      </c>
      <c r="O405">
        <v>3.6</v>
      </c>
      <c r="P405" t="s">
        <v>121</v>
      </c>
      <c r="S405" t="s">
        <v>1531</v>
      </c>
      <c r="T405">
        <v>10</v>
      </c>
      <c r="V405">
        <v>50</v>
      </c>
      <c r="W405" t="s">
        <v>1538</v>
      </c>
      <c r="X405" t="s">
        <v>199</v>
      </c>
      <c r="Y405">
        <v>76.692764192764159</v>
      </c>
      <c r="AB405">
        <v>0.30357142857142799</v>
      </c>
      <c r="AC405" t="s">
        <v>85</v>
      </c>
      <c r="AE405" t="s">
        <v>1533</v>
      </c>
      <c r="AI405">
        <v>3</v>
      </c>
      <c r="AV405" t="s">
        <v>256</v>
      </c>
    </row>
    <row r="406" spans="1:48" x14ac:dyDescent="0.3">
      <c r="A406" t="s">
        <v>1529</v>
      </c>
      <c r="C406" t="s">
        <v>1495</v>
      </c>
      <c r="D406" t="s">
        <v>470</v>
      </c>
      <c r="E406">
        <v>2500000</v>
      </c>
      <c r="H406">
        <v>40</v>
      </c>
      <c r="I406" t="s">
        <v>82</v>
      </c>
      <c r="J406">
        <v>4.0000000000000003E-5</v>
      </c>
      <c r="K406" t="s">
        <v>252</v>
      </c>
      <c r="L406" t="s">
        <v>58</v>
      </c>
      <c r="N406" t="s">
        <v>1530</v>
      </c>
      <c r="O406">
        <v>3.6</v>
      </c>
      <c r="P406" t="s">
        <v>121</v>
      </c>
      <c r="S406" t="s">
        <v>1531</v>
      </c>
      <c r="T406">
        <v>10</v>
      </c>
      <c r="V406">
        <v>50</v>
      </c>
      <c r="W406" t="s">
        <v>1538</v>
      </c>
      <c r="X406" t="s">
        <v>199</v>
      </c>
      <c r="Y406">
        <v>110.6582773249439</v>
      </c>
      <c r="AB406">
        <v>0.71428571428571397</v>
      </c>
      <c r="AC406" t="s">
        <v>85</v>
      </c>
      <c r="AE406" t="s">
        <v>1533</v>
      </c>
      <c r="AI406">
        <v>3</v>
      </c>
      <c r="AV406" t="s">
        <v>256</v>
      </c>
    </row>
    <row r="407" spans="1:48" x14ac:dyDescent="0.3">
      <c r="A407" t="s">
        <v>1529</v>
      </c>
      <c r="C407" t="s">
        <v>1495</v>
      </c>
      <c r="D407" t="s">
        <v>470</v>
      </c>
      <c r="E407">
        <v>2500000</v>
      </c>
      <c r="H407">
        <v>40</v>
      </c>
      <c r="I407" t="s">
        <v>82</v>
      </c>
      <c r="J407">
        <v>4.0000000000000003E-5</v>
      </c>
      <c r="K407" t="s">
        <v>252</v>
      </c>
      <c r="L407" t="s">
        <v>58</v>
      </c>
      <c r="N407" t="s">
        <v>1530</v>
      </c>
      <c r="O407">
        <v>3.6</v>
      </c>
      <c r="P407" t="s">
        <v>121</v>
      </c>
      <c r="S407" t="s">
        <v>1531</v>
      </c>
      <c r="T407">
        <v>10</v>
      </c>
      <c r="V407">
        <v>50</v>
      </c>
      <c r="W407" t="s">
        <v>1538</v>
      </c>
      <c r="X407" t="s">
        <v>199</v>
      </c>
      <c r="Y407">
        <v>143.57065398732061</v>
      </c>
      <c r="AB407">
        <v>1.4375</v>
      </c>
      <c r="AC407" t="s">
        <v>85</v>
      </c>
      <c r="AE407" t="s">
        <v>1533</v>
      </c>
      <c r="AI407">
        <v>3</v>
      </c>
      <c r="AV407" t="s">
        <v>256</v>
      </c>
    </row>
    <row r="408" spans="1:48" x14ac:dyDescent="0.3">
      <c r="A408" t="s">
        <v>1529</v>
      </c>
      <c r="C408" t="s">
        <v>1495</v>
      </c>
      <c r="D408" t="s">
        <v>470</v>
      </c>
      <c r="E408">
        <v>2500000</v>
      </c>
      <c r="H408">
        <v>40</v>
      </c>
      <c r="I408" t="s">
        <v>82</v>
      </c>
      <c r="J408">
        <v>4.0000000000000003E-5</v>
      </c>
      <c r="K408" t="s">
        <v>252</v>
      </c>
      <c r="L408" t="s">
        <v>58</v>
      </c>
      <c r="N408" t="s">
        <v>1530</v>
      </c>
      <c r="O408">
        <v>3.6</v>
      </c>
      <c r="P408" t="s">
        <v>121</v>
      </c>
      <c r="S408" t="s">
        <v>1531</v>
      </c>
      <c r="T408">
        <v>10</v>
      </c>
      <c r="V408">
        <v>50</v>
      </c>
      <c r="W408" t="s">
        <v>1538</v>
      </c>
      <c r="X408" t="s">
        <v>199</v>
      </c>
      <c r="Y408">
        <v>176.9135206635205</v>
      </c>
      <c r="AB408">
        <v>2.5803571428571401</v>
      </c>
      <c r="AC408" t="s">
        <v>85</v>
      </c>
      <c r="AE408" t="s">
        <v>1533</v>
      </c>
      <c r="AI408">
        <v>3</v>
      </c>
      <c r="AV408" t="s">
        <v>256</v>
      </c>
    </row>
    <row r="409" spans="1:48" x14ac:dyDescent="0.3">
      <c r="A409" t="s">
        <v>1529</v>
      </c>
      <c r="C409" t="s">
        <v>1495</v>
      </c>
      <c r="D409" t="s">
        <v>470</v>
      </c>
      <c r="E409">
        <v>2500000</v>
      </c>
      <c r="H409">
        <v>40</v>
      </c>
      <c r="I409" t="s">
        <v>82</v>
      </c>
      <c r="J409">
        <v>4.0000000000000003E-5</v>
      </c>
      <c r="K409" t="s">
        <v>252</v>
      </c>
      <c r="L409" t="s">
        <v>58</v>
      </c>
      <c r="O409">
        <v>0</v>
      </c>
      <c r="S409" t="s">
        <v>1531</v>
      </c>
      <c r="T409">
        <v>25</v>
      </c>
      <c r="V409">
        <v>50</v>
      </c>
      <c r="W409" t="s">
        <v>1534</v>
      </c>
      <c r="X409" t="s">
        <v>199</v>
      </c>
      <c r="Y409">
        <v>0.175000562341139</v>
      </c>
      <c r="AB409">
        <v>3.42465753424725E-3</v>
      </c>
      <c r="AC409" t="s">
        <v>85</v>
      </c>
      <c r="AE409" t="s">
        <v>1533</v>
      </c>
      <c r="AI409">
        <v>3</v>
      </c>
      <c r="AV409" t="s">
        <v>256</v>
      </c>
    </row>
    <row r="410" spans="1:48" x14ac:dyDescent="0.3">
      <c r="A410" t="s">
        <v>1529</v>
      </c>
      <c r="C410" t="s">
        <v>1495</v>
      </c>
      <c r="D410" t="s">
        <v>470</v>
      </c>
      <c r="E410">
        <v>1000000</v>
      </c>
      <c r="H410">
        <v>40</v>
      </c>
      <c r="I410" t="s">
        <v>82</v>
      </c>
      <c r="J410">
        <v>4.0000000000000003E-5</v>
      </c>
      <c r="K410" t="s">
        <v>252</v>
      </c>
      <c r="L410" t="s">
        <v>58</v>
      </c>
      <c r="O410">
        <v>0</v>
      </c>
      <c r="S410" t="s">
        <v>1531</v>
      </c>
      <c r="T410">
        <v>25</v>
      </c>
      <c r="V410">
        <v>50</v>
      </c>
      <c r="W410" t="s">
        <v>1534</v>
      </c>
      <c r="X410" t="s">
        <v>199</v>
      </c>
      <c r="Y410">
        <v>8.9835121578154098</v>
      </c>
      <c r="AB410">
        <v>-0.16095890410958799</v>
      </c>
      <c r="AC410" t="s">
        <v>85</v>
      </c>
      <c r="AE410" t="s">
        <v>1533</v>
      </c>
      <c r="AI410">
        <v>3</v>
      </c>
      <c r="AV410" t="s">
        <v>256</v>
      </c>
    </row>
    <row r="411" spans="1:48" x14ac:dyDescent="0.3">
      <c r="A411" t="s">
        <v>1529</v>
      </c>
      <c r="C411" t="s">
        <v>1495</v>
      </c>
      <c r="D411" t="s">
        <v>470</v>
      </c>
      <c r="E411">
        <v>1000000</v>
      </c>
      <c r="H411">
        <v>40</v>
      </c>
      <c r="I411" t="s">
        <v>82</v>
      </c>
      <c r="J411">
        <v>4.0000000000000003E-5</v>
      </c>
      <c r="K411" t="s">
        <v>252</v>
      </c>
      <c r="L411" t="s">
        <v>58</v>
      </c>
      <c r="O411">
        <v>0</v>
      </c>
      <c r="S411" t="s">
        <v>1531</v>
      </c>
      <c r="T411">
        <v>25</v>
      </c>
      <c r="V411">
        <v>50</v>
      </c>
      <c r="W411" t="s">
        <v>1534</v>
      </c>
      <c r="X411" t="s">
        <v>199</v>
      </c>
      <c r="Y411">
        <v>18.0385541084643</v>
      </c>
      <c r="AB411">
        <v>4.4520547945206199E-2</v>
      </c>
      <c r="AC411" t="s">
        <v>85</v>
      </c>
      <c r="AE411" t="s">
        <v>1533</v>
      </c>
      <c r="AI411">
        <v>3</v>
      </c>
      <c r="AV411" t="s">
        <v>256</v>
      </c>
    </row>
    <row r="412" spans="1:48" x14ac:dyDescent="0.3">
      <c r="A412" t="s">
        <v>1529</v>
      </c>
      <c r="C412" t="s">
        <v>1495</v>
      </c>
      <c r="D412" t="s">
        <v>470</v>
      </c>
      <c r="E412">
        <v>1000000</v>
      </c>
      <c r="H412">
        <v>40</v>
      </c>
      <c r="I412" t="s">
        <v>82</v>
      </c>
      <c r="J412">
        <v>4.0000000000000003E-5</v>
      </c>
      <c r="K412" t="s">
        <v>252</v>
      </c>
      <c r="L412" t="s">
        <v>58</v>
      </c>
      <c r="O412">
        <v>0</v>
      </c>
      <c r="S412" t="s">
        <v>1531</v>
      </c>
      <c r="T412">
        <v>25</v>
      </c>
      <c r="V412">
        <v>50</v>
      </c>
      <c r="W412" t="s">
        <v>1534</v>
      </c>
      <c r="X412" t="s">
        <v>199</v>
      </c>
      <c r="Y412">
        <v>27.5038801538565</v>
      </c>
      <c r="AB412">
        <v>-0.11986301369862901</v>
      </c>
      <c r="AC412" t="s">
        <v>85</v>
      </c>
      <c r="AE412" t="s">
        <v>1533</v>
      </c>
      <c r="AI412">
        <v>3</v>
      </c>
      <c r="AV412" t="s">
        <v>256</v>
      </c>
    </row>
    <row r="413" spans="1:48" x14ac:dyDescent="0.3">
      <c r="A413" t="s">
        <v>1529</v>
      </c>
      <c r="C413" t="s">
        <v>1495</v>
      </c>
      <c r="D413" t="s">
        <v>470</v>
      </c>
      <c r="E413">
        <v>1000000</v>
      </c>
      <c r="H413">
        <v>40</v>
      </c>
      <c r="I413" t="s">
        <v>82</v>
      </c>
      <c r="J413">
        <v>4.0000000000000003E-5</v>
      </c>
      <c r="K413" t="s">
        <v>252</v>
      </c>
      <c r="L413" t="s">
        <v>58</v>
      </c>
      <c r="O413">
        <v>0</v>
      </c>
      <c r="S413" t="s">
        <v>1531</v>
      </c>
      <c r="T413">
        <v>25</v>
      </c>
      <c r="V413">
        <v>50</v>
      </c>
      <c r="W413" t="s">
        <v>1535</v>
      </c>
      <c r="X413" t="s">
        <v>199</v>
      </c>
      <c r="Y413">
        <v>10.026317565287799</v>
      </c>
      <c r="AB413">
        <v>2.3972602739726599E-2</v>
      </c>
      <c r="AC413" t="s">
        <v>85</v>
      </c>
      <c r="AE413" t="s">
        <v>1533</v>
      </c>
      <c r="AI413">
        <v>3</v>
      </c>
      <c r="AV413" t="s">
        <v>256</v>
      </c>
    </row>
    <row r="414" spans="1:48" x14ac:dyDescent="0.3">
      <c r="A414" t="s">
        <v>1529</v>
      </c>
      <c r="C414" t="s">
        <v>1495</v>
      </c>
      <c r="D414" t="s">
        <v>470</v>
      </c>
      <c r="E414">
        <v>1000000</v>
      </c>
      <c r="H414">
        <v>40</v>
      </c>
      <c r="I414" t="s">
        <v>82</v>
      </c>
      <c r="J414">
        <v>4.0000000000000003E-5</v>
      </c>
      <c r="K414" t="s">
        <v>252</v>
      </c>
      <c r="L414" t="s">
        <v>58</v>
      </c>
      <c r="O414">
        <v>0</v>
      </c>
      <c r="S414" t="s">
        <v>1531</v>
      </c>
      <c r="T414">
        <v>25</v>
      </c>
      <c r="V414">
        <v>50</v>
      </c>
      <c r="W414" t="s">
        <v>1535</v>
      </c>
      <c r="X414" t="s">
        <v>199</v>
      </c>
      <c r="Y414">
        <v>19.619407517376299</v>
      </c>
      <c r="AB414">
        <v>-5.8219178082191202E-2</v>
      </c>
      <c r="AC414" t="s">
        <v>85</v>
      </c>
      <c r="AE414" t="s">
        <v>1533</v>
      </c>
      <c r="AI414">
        <v>3</v>
      </c>
      <c r="AV414" t="s">
        <v>256</v>
      </c>
    </row>
    <row r="415" spans="1:48" x14ac:dyDescent="0.3">
      <c r="A415" t="s">
        <v>1529</v>
      </c>
      <c r="C415" t="s">
        <v>1495</v>
      </c>
      <c r="D415" t="s">
        <v>470</v>
      </c>
      <c r="E415">
        <v>1000000</v>
      </c>
      <c r="H415">
        <v>40</v>
      </c>
      <c r="I415" t="s">
        <v>82</v>
      </c>
      <c r="J415">
        <v>4.0000000000000003E-5</v>
      </c>
      <c r="K415" t="s">
        <v>252</v>
      </c>
      <c r="L415" t="s">
        <v>58</v>
      </c>
      <c r="O415">
        <v>0</v>
      </c>
      <c r="S415" t="s">
        <v>1531</v>
      </c>
      <c r="T415">
        <v>25</v>
      </c>
      <c r="V415">
        <v>50</v>
      </c>
      <c r="W415" t="s">
        <v>1535</v>
      </c>
      <c r="X415" t="s">
        <v>199</v>
      </c>
      <c r="Y415">
        <v>28.945722833299499</v>
      </c>
      <c r="AB415">
        <v>-4.79452054794514E-2</v>
      </c>
      <c r="AC415" t="s">
        <v>85</v>
      </c>
      <c r="AE415" t="s">
        <v>1533</v>
      </c>
      <c r="AI415">
        <v>3</v>
      </c>
      <c r="AV415" t="s">
        <v>256</v>
      </c>
    </row>
    <row r="416" spans="1:48" x14ac:dyDescent="0.3">
      <c r="A416" t="s">
        <v>1529</v>
      </c>
      <c r="C416" t="s">
        <v>1495</v>
      </c>
      <c r="D416" t="s">
        <v>470</v>
      </c>
      <c r="E416">
        <v>10000000</v>
      </c>
      <c r="H416">
        <v>40</v>
      </c>
      <c r="I416" t="s">
        <v>82</v>
      </c>
      <c r="J416">
        <v>4.0000000000000003E-5</v>
      </c>
      <c r="K416" t="s">
        <v>252</v>
      </c>
      <c r="L416" t="s">
        <v>58</v>
      </c>
      <c r="O416">
        <v>0</v>
      </c>
      <c r="S416" t="s">
        <v>1531</v>
      </c>
      <c r="T416">
        <v>25</v>
      </c>
      <c r="V416">
        <v>50</v>
      </c>
      <c r="W416" t="s">
        <v>1532</v>
      </c>
      <c r="X416" t="s">
        <v>199</v>
      </c>
      <c r="Y416">
        <v>22.1139528083316</v>
      </c>
      <c r="AB416">
        <v>-2.73972602739719E-2</v>
      </c>
      <c r="AC416" t="s">
        <v>85</v>
      </c>
      <c r="AE416" t="s">
        <v>1533</v>
      </c>
      <c r="AI416">
        <v>3</v>
      </c>
      <c r="AV416" t="s">
        <v>256</v>
      </c>
    </row>
    <row r="417" spans="1:48" x14ac:dyDescent="0.3">
      <c r="A417" t="s">
        <v>1529</v>
      </c>
      <c r="C417" t="s">
        <v>1495</v>
      </c>
      <c r="D417" t="s">
        <v>470</v>
      </c>
      <c r="E417">
        <v>10000000</v>
      </c>
      <c r="H417">
        <v>40</v>
      </c>
      <c r="I417" t="s">
        <v>82</v>
      </c>
      <c r="J417">
        <v>4.0000000000000003E-5</v>
      </c>
      <c r="K417" t="s">
        <v>252</v>
      </c>
      <c r="L417" t="s">
        <v>58</v>
      </c>
      <c r="O417">
        <v>0</v>
      </c>
      <c r="S417" t="s">
        <v>1531</v>
      </c>
      <c r="T417">
        <v>25</v>
      </c>
      <c r="V417">
        <v>50</v>
      </c>
      <c r="W417" t="s">
        <v>1532</v>
      </c>
      <c r="X417" t="s">
        <v>199</v>
      </c>
      <c r="Y417">
        <v>44.5783566142564</v>
      </c>
      <c r="AB417">
        <v>-5.8219178082191202E-2</v>
      </c>
      <c r="AC417" t="s">
        <v>85</v>
      </c>
      <c r="AE417" t="s">
        <v>1533</v>
      </c>
      <c r="AI417">
        <v>3</v>
      </c>
      <c r="AV417" t="s">
        <v>256</v>
      </c>
    </row>
    <row r="418" spans="1:48" x14ac:dyDescent="0.3">
      <c r="A418" t="s">
        <v>1529</v>
      </c>
      <c r="C418" t="s">
        <v>1495</v>
      </c>
      <c r="D418" t="s">
        <v>470</v>
      </c>
      <c r="E418">
        <v>10000000</v>
      </c>
      <c r="H418">
        <v>40</v>
      </c>
      <c r="I418" t="s">
        <v>82</v>
      </c>
      <c r="J418">
        <v>4.0000000000000003E-5</v>
      </c>
      <c r="K418" t="s">
        <v>252</v>
      </c>
      <c r="L418" t="s">
        <v>58</v>
      </c>
      <c r="O418">
        <v>0</v>
      </c>
      <c r="S418" t="s">
        <v>1531</v>
      </c>
      <c r="T418">
        <v>25</v>
      </c>
      <c r="V418">
        <v>50</v>
      </c>
      <c r="W418" t="s">
        <v>1532</v>
      </c>
      <c r="X418" t="s">
        <v>199</v>
      </c>
      <c r="Y418">
        <v>68.482803607980699</v>
      </c>
      <c r="AB418">
        <v>2.3972602739726599E-2</v>
      </c>
      <c r="AC418" t="s">
        <v>85</v>
      </c>
      <c r="AE418" t="s">
        <v>1533</v>
      </c>
      <c r="AI418">
        <v>3</v>
      </c>
      <c r="AV418" t="s">
        <v>256</v>
      </c>
    </row>
    <row r="419" spans="1:48" x14ac:dyDescent="0.3">
      <c r="A419" t="s">
        <v>1529</v>
      </c>
      <c r="C419" t="s">
        <v>1495</v>
      </c>
      <c r="D419" t="s">
        <v>470</v>
      </c>
      <c r="E419">
        <v>10000000</v>
      </c>
      <c r="H419">
        <v>40</v>
      </c>
      <c r="I419" t="s">
        <v>82</v>
      </c>
      <c r="J419">
        <v>4.0000000000000003E-5</v>
      </c>
      <c r="K419" t="s">
        <v>252</v>
      </c>
      <c r="L419" t="s">
        <v>58</v>
      </c>
      <c r="O419">
        <v>0</v>
      </c>
      <c r="S419" t="s">
        <v>1531</v>
      </c>
      <c r="T419">
        <v>25</v>
      </c>
      <c r="V419">
        <v>50</v>
      </c>
      <c r="W419" t="s">
        <v>1538</v>
      </c>
      <c r="X419" t="s">
        <v>199</v>
      </c>
      <c r="Y419">
        <v>24.349371302607</v>
      </c>
      <c r="AB419">
        <v>-7.8767123287670507E-2</v>
      </c>
      <c r="AC419" t="s">
        <v>85</v>
      </c>
      <c r="AE419" t="s">
        <v>1533</v>
      </c>
      <c r="AI419">
        <v>3</v>
      </c>
      <c r="AV419" t="s">
        <v>256</v>
      </c>
    </row>
    <row r="420" spans="1:48" x14ac:dyDescent="0.3">
      <c r="A420" t="s">
        <v>1529</v>
      </c>
      <c r="C420" t="s">
        <v>1495</v>
      </c>
      <c r="D420" t="s">
        <v>470</v>
      </c>
      <c r="E420">
        <v>10000000</v>
      </c>
      <c r="H420">
        <v>40</v>
      </c>
      <c r="I420" t="s">
        <v>82</v>
      </c>
      <c r="J420">
        <v>4.0000000000000003E-5</v>
      </c>
      <c r="K420" t="s">
        <v>252</v>
      </c>
      <c r="L420" t="s">
        <v>58</v>
      </c>
      <c r="O420">
        <v>0</v>
      </c>
      <c r="S420" t="s">
        <v>1531</v>
      </c>
      <c r="T420">
        <v>25</v>
      </c>
      <c r="V420">
        <v>50</v>
      </c>
      <c r="W420" t="s">
        <v>1538</v>
      </c>
      <c r="X420" t="s">
        <v>199</v>
      </c>
      <c r="Y420">
        <v>47.208313651393397</v>
      </c>
      <c r="AB420">
        <v>-0.11986301369862901</v>
      </c>
      <c r="AC420" t="s">
        <v>85</v>
      </c>
      <c r="AE420" t="s">
        <v>1533</v>
      </c>
      <c r="AI420">
        <v>3</v>
      </c>
      <c r="AV420" t="s">
        <v>256</v>
      </c>
    </row>
    <row r="421" spans="1:48" x14ac:dyDescent="0.3">
      <c r="A421" t="s">
        <v>1529</v>
      </c>
      <c r="C421" t="s">
        <v>1495</v>
      </c>
      <c r="D421" t="s">
        <v>470</v>
      </c>
      <c r="E421">
        <v>10000000</v>
      </c>
      <c r="H421">
        <v>40</v>
      </c>
      <c r="I421" t="s">
        <v>82</v>
      </c>
      <c r="J421">
        <v>4.0000000000000003E-5</v>
      </c>
      <c r="K421" t="s">
        <v>252</v>
      </c>
      <c r="L421" t="s">
        <v>58</v>
      </c>
      <c r="O421">
        <v>0</v>
      </c>
      <c r="S421" t="s">
        <v>1531</v>
      </c>
      <c r="T421">
        <v>25</v>
      </c>
      <c r="V421">
        <v>50</v>
      </c>
      <c r="W421" t="s">
        <v>1538</v>
      </c>
      <c r="X421" t="s">
        <v>199</v>
      </c>
      <c r="Y421">
        <v>71.107362170186903</v>
      </c>
      <c r="AB421">
        <v>8.5616438356165003E-2</v>
      </c>
      <c r="AC421" t="s">
        <v>85</v>
      </c>
      <c r="AE421" t="s">
        <v>1533</v>
      </c>
      <c r="AI421">
        <v>3</v>
      </c>
      <c r="AV421" t="s">
        <v>256</v>
      </c>
    </row>
    <row r="422" spans="1:48" x14ac:dyDescent="0.3">
      <c r="A422" t="s">
        <v>1529</v>
      </c>
      <c r="C422" t="s">
        <v>1495</v>
      </c>
      <c r="D422" t="s">
        <v>470</v>
      </c>
      <c r="E422">
        <v>10000000</v>
      </c>
      <c r="H422">
        <v>40</v>
      </c>
      <c r="I422" t="s">
        <v>82</v>
      </c>
      <c r="J422">
        <v>4.0000000000000003E-5</v>
      </c>
      <c r="K422" t="s">
        <v>252</v>
      </c>
      <c r="L422" t="s">
        <v>58</v>
      </c>
      <c r="O422">
        <v>0</v>
      </c>
      <c r="S422" t="s">
        <v>1531</v>
      </c>
      <c r="T422">
        <v>25</v>
      </c>
      <c r="V422">
        <v>50</v>
      </c>
      <c r="W422" t="s">
        <v>1537</v>
      </c>
      <c r="X422" t="s">
        <v>199</v>
      </c>
      <c r="Y422">
        <v>0.30591357941381803</v>
      </c>
      <c r="AB422">
        <v>1.3698630136987E-2</v>
      </c>
      <c r="AC422" t="s">
        <v>85</v>
      </c>
      <c r="AE422" t="s">
        <v>1533</v>
      </c>
      <c r="AI422">
        <v>3</v>
      </c>
      <c r="AV422" t="s">
        <v>256</v>
      </c>
    </row>
    <row r="423" spans="1:48" x14ac:dyDescent="0.3">
      <c r="A423" t="s">
        <v>1529</v>
      </c>
      <c r="C423" t="s">
        <v>1495</v>
      </c>
      <c r="D423" t="s">
        <v>470</v>
      </c>
      <c r="E423">
        <v>10000000</v>
      </c>
      <c r="H423">
        <v>40</v>
      </c>
      <c r="I423" t="s">
        <v>82</v>
      </c>
      <c r="J423">
        <v>4.0000000000000003E-5</v>
      </c>
      <c r="K423" t="s">
        <v>252</v>
      </c>
      <c r="L423" t="s">
        <v>58</v>
      </c>
      <c r="O423">
        <v>0</v>
      </c>
      <c r="S423" t="s">
        <v>1531</v>
      </c>
      <c r="T423">
        <v>25</v>
      </c>
      <c r="V423">
        <v>50</v>
      </c>
      <c r="W423" t="s">
        <v>1537</v>
      </c>
      <c r="X423" t="s">
        <v>199</v>
      </c>
      <c r="Y423">
        <v>25.135299277953909</v>
      </c>
      <c r="AB423">
        <v>-2.73972602739719E-2</v>
      </c>
      <c r="AC423" t="s">
        <v>85</v>
      </c>
      <c r="AE423" t="s">
        <v>1533</v>
      </c>
      <c r="AI423">
        <v>3</v>
      </c>
      <c r="AV423" t="s">
        <v>256</v>
      </c>
    </row>
    <row r="424" spans="1:48" x14ac:dyDescent="0.3">
      <c r="A424" t="s">
        <v>1529</v>
      </c>
      <c r="C424" t="s">
        <v>1495</v>
      </c>
      <c r="D424" t="s">
        <v>470</v>
      </c>
      <c r="E424">
        <v>10000000</v>
      </c>
      <c r="H424">
        <v>40</v>
      </c>
      <c r="I424" t="s">
        <v>82</v>
      </c>
      <c r="J424">
        <v>4.0000000000000003E-5</v>
      </c>
      <c r="K424" t="s">
        <v>252</v>
      </c>
      <c r="L424" t="s">
        <v>58</v>
      </c>
      <c r="O424">
        <v>0</v>
      </c>
      <c r="S424" t="s">
        <v>1531</v>
      </c>
      <c r="T424">
        <v>25</v>
      </c>
      <c r="V424">
        <v>50</v>
      </c>
      <c r="W424" t="s">
        <v>1537</v>
      </c>
      <c r="X424" t="s">
        <v>199</v>
      </c>
      <c r="Y424">
        <v>48.126054389634902</v>
      </c>
      <c r="AB424">
        <v>-7.8767123287670507E-2</v>
      </c>
      <c r="AC424" t="s">
        <v>85</v>
      </c>
      <c r="AE424" t="s">
        <v>1533</v>
      </c>
      <c r="AI424">
        <v>3</v>
      </c>
      <c r="AV424" t="s">
        <v>256</v>
      </c>
    </row>
    <row r="425" spans="1:48" x14ac:dyDescent="0.3">
      <c r="A425" t="s">
        <v>1529</v>
      </c>
      <c r="C425" t="s">
        <v>1495</v>
      </c>
      <c r="D425" t="s">
        <v>470</v>
      </c>
      <c r="E425">
        <v>10000000</v>
      </c>
      <c r="H425">
        <v>40</v>
      </c>
      <c r="I425" t="s">
        <v>82</v>
      </c>
      <c r="J425">
        <v>4.0000000000000003E-5</v>
      </c>
      <c r="K425" t="s">
        <v>252</v>
      </c>
      <c r="L425" t="s">
        <v>58</v>
      </c>
      <c r="O425">
        <v>0</v>
      </c>
      <c r="S425" t="s">
        <v>1531</v>
      </c>
      <c r="T425">
        <v>25</v>
      </c>
      <c r="V425">
        <v>50</v>
      </c>
      <c r="W425" t="s">
        <v>1537</v>
      </c>
      <c r="X425" t="s">
        <v>199</v>
      </c>
      <c r="Y425">
        <v>72.163663764986396</v>
      </c>
      <c r="AB425">
        <v>-3.7671232876711702E-2</v>
      </c>
      <c r="AC425" t="s">
        <v>85</v>
      </c>
      <c r="AE425" t="s">
        <v>1533</v>
      </c>
      <c r="AI425">
        <v>3</v>
      </c>
      <c r="AV425" t="s">
        <v>256</v>
      </c>
    </row>
    <row r="426" spans="1:48" x14ac:dyDescent="0.3">
      <c r="A426" t="s">
        <v>1529</v>
      </c>
      <c r="C426" t="s">
        <v>1495</v>
      </c>
      <c r="D426" t="s">
        <v>470</v>
      </c>
      <c r="E426">
        <v>10000000</v>
      </c>
      <c r="H426">
        <v>40</v>
      </c>
      <c r="I426" t="s">
        <v>82</v>
      </c>
      <c r="J426">
        <v>4.0000000000000003E-5</v>
      </c>
      <c r="K426" t="s">
        <v>252</v>
      </c>
      <c r="L426" t="s">
        <v>58</v>
      </c>
      <c r="N426" t="s">
        <v>1530</v>
      </c>
      <c r="O426">
        <v>6.3</v>
      </c>
      <c r="P426" t="s">
        <v>121</v>
      </c>
      <c r="S426" t="s">
        <v>1531</v>
      </c>
      <c r="T426">
        <v>25</v>
      </c>
      <c r="V426">
        <v>50</v>
      </c>
      <c r="W426" t="s">
        <v>1532</v>
      </c>
      <c r="X426" t="s">
        <v>199</v>
      </c>
      <c r="AB426">
        <v>-2.05556887867941E-4</v>
      </c>
      <c r="AC426" t="s">
        <v>85</v>
      </c>
      <c r="AE426" t="s">
        <v>1533</v>
      </c>
      <c r="AI426">
        <v>3</v>
      </c>
      <c r="AV426" t="s">
        <v>256</v>
      </c>
    </row>
    <row r="427" spans="1:48" x14ac:dyDescent="0.3">
      <c r="A427" t="s">
        <v>1529</v>
      </c>
      <c r="C427" t="s">
        <v>1495</v>
      </c>
      <c r="D427" t="s">
        <v>470</v>
      </c>
      <c r="E427">
        <v>10000000</v>
      </c>
      <c r="H427">
        <v>40</v>
      </c>
      <c r="I427" t="s">
        <v>82</v>
      </c>
      <c r="J427">
        <v>4.0000000000000003E-5</v>
      </c>
      <c r="K427" t="s">
        <v>252</v>
      </c>
      <c r="L427" t="s">
        <v>58</v>
      </c>
      <c r="N427" t="s">
        <v>1530</v>
      </c>
      <c r="O427">
        <v>6.3</v>
      </c>
      <c r="P427" t="s">
        <v>121</v>
      </c>
      <c r="S427" t="s">
        <v>1531</v>
      </c>
      <c r="T427">
        <v>25</v>
      </c>
      <c r="V427">
        <v>50</v>
      </c>
      <c r="W427" t="s">
        <v>1532</v>
      </c>
      <c r="X427" t="s">
        <v>199</v>
      </c>
      <c r="Y427">
        <v>2.7216166994850801</v>
      </c>
      <c r="AB427">
        <v>2.6420911987393301E-2</v>
      </c>
      <c r="AC427" t="s">
        <v>85</v>
      </c>
      <c r="AE427" t="s">
        <v>1533</v>
      </c>
      <c r="AI427">
        <v>3</v>
      </c>
      <c r="AV427" t="s">
        <v>256</v>
      </c>
    </row>
    <row r="428" spans="1:48" x14ac:dyDescent="0.3">
      <c r="A428" t="s">
        <v>1529</v>
      </c>
      <c r="C428" t="s">
        <v>1495</v>
      </c>
      <c r="D428" t="s">
        <v>470</v>
      </c>
      <c r="E428">
        <v>10000000</v>
      </c>
      <c r="H428">
        <v>40</v>
      </c>
      <c r="I428" t="s">
        <v>82</v>
      </c>
      <c r="J428">
        <v>4.0000000000000003E-5</v>
      </c>
      <c r="K428" t="s">
        <v>252</v>
      </c>
      <c r="L428" t="s">
        <v>58</v>
      </c>
      <c r="N428" t="s">
        <v>1530</v>
      </c>
      <c r="O428">
        <v>6.3</v>
      </c>
      <c r="P428" t="s">
        <v>121</v>
      </c>
      <c r="S428" t="s">
        <v>1531</v>
      </c>
      <c r="T428">
        <v>25</v>
      </c>
      <c r="V428">
        <v>50</v>
      </c>
      <c r="W428" t="s">
        <v>1532</v>
      </c>
      <c r="X428" t="s">
        <v>199</v>
      </c>
      <c r="Y428">
        <v>5.2487700574308418</v>
      </c>
      <c r="AB428">
        <v>4.4139915721676803E-2</v>
      </c>
      <c r="AC428" t="s">
        <v>85</v>
      </c>
      <c r="AE428" t="s">
        <v>1533</v>
      </c>
      <c r="AI428">
        <v>3</v>
      </c>
      <c r="AV428" t="s">
        <v>256</v>
      </c>
    </row>
    <row r="429" spans="1:48" x14ac:dyDescent="0.3">
      <c r="A429" t="s">
        <v>1529</v>
      </c>
      <c r="C429" t="s">
        <v>1495</v>
      </c>
      <c r="D429" t="s">
        <v>470</v>
      </c>
      <c r="E429">
        <v>10000000</v>
      </c>
      <c r="H429">
        <v>40</v>
      </c>
      <c r="I429" t="s">
        <v>82</v>
      </c>
      <c r="J429">
        <v>4.0000000000000003E-5</v>
      </c>
      <c r="K429" t="s">
        <v>252</v>
      </c>
      <c r="L429" t="s">
        <v>58</v>
      </c>
      <c r="N429" t="s">
        <v>1530</v>
      </c>
      <c r="O429">
        <v>6.3</v>
      </c>
      <c r="P429" t="s">
        <v>121</v>
      </c>
      <c r="S429" t="s">
        <v>1531</v>
      </c>
      <c r="T429">
        <v>25</v>
      </c>
      <c r="V429">
        <v>50</v>
      </c>
      <c r="W429" t="s">
        <v>1532</v>
      </c>
      <c r="X429" t="s">
        <v>199</v>
      </c>
      <c r="Y429">
        <v>7.5797199097072223</v>
      </c>
      <c r="AB429">
        <v>9.7666929322690804E-2</v>
      </c>
      <c r="AC429" t="s">
        <v>85</v>
      </c>
      <c r="AE429" t="s">
        <v>1533</v>
      </c>
      <c r="AI429">
        <v>3</v>
      </c>
      <c r="AV429" t="s">
        <v>256</v>
      </c>
    </row>
    <row r="430" spans="1:48" x14ac:dyDescent="0.3">
      <c r="A430" t="s">
        <v>1529</v>
      </c>
      <c r="C430" t="s">
        <v>1495</v>
      </c>
      <c r="D430" t="s">
        <v>470</v>
      </c>
      <c r="E430">
        <v>9200000</v>
      </c>
      <c r="H430">
        <v>40</v>
      </c>
      <c r="I430" t="s">
        <v>82</v>
      </c>
      <c r="J430">
        <v>4.0000000000000003E-5</v>
      </c>
      <c r="K430" t="s">
        <v>252</v>
      </c>
      <c r="L430" t="s">
        <v>58</v>
      </c>
      <c r="N430" t="s">
        <v>1530</v>
      </c>
      <c r="O430">
        <v>6.3</v>
      </c>
      <c r="P430" t="s">
        <v>121</v>
      </c>
      <c r="S430" t="s">
        <v>1531</v>
      </c>
      <c r="T430">
        <v>25</v>
      </c>
      <c r="V430">
        <v>50</v>
      </c>
      <c r="W430" t="s">
        <v>1532</v>
      </c>
      <c r="X430" t="s">
        <v>199</v>
      </c>
      <c r="Y430">
        <v>9.9063193516583326</v>
      </c>
      <c r="AB430">
        <v>0.24067970810921999</v>
      </c>
      <c r="AC430" t="s">
        <v>85</v>
      </c>
      <c r="AE430" t="s">
        <v>1533</v>
      </c>
      <c r="AI430">
        <v>3</v>
      </c>
      <c r="AV430" t="s">
        <v>256</v>
      </c>
    </row>
    <row r="431" spans="1:48" x14ac:dyDescent="0.3">
      <c r="A431" t="s">
        <v>1529</v>
      </c>
      <c r="C431" t="s">
        <v>1495</v>
      </c>
      <c r="D431" t="s">
        <v>470</v>
      </c>
      <c r="E431">
        <v>9200000</v>
      </c>
      <c r="H431">
        <v>40</v>
      </c>
      <c r="I431" t="s">
        <v>82</v>
      </c>
      <c r="J431">
        <v>4.0000000000000003E-5</v>
      </c>
      <c r="K431" t="s">
        <v>252</v>
      </c>
      <c r="L431" t="s">
        <v>58</v>
      </c>
      <c r="N431" t="s">
        <v>1530</v>
      </c>
      <c r="O431">
        <v>6.3</v>
      </c>
      <c r="P431" t="s">
        <v>121</v>
      </c>
      <c r="S431" t="s">
        <v>1531</v>
      </c>
      <c r="T431">
        <v>25</v>
      </c>
      <c r="V431">
        <v>50</v>
      </c>
      <c r="W431" t="s">
        <v>1532</v>
      </c>
      <c r="X431" t="s">
        <v>199</v>
      </c>
      <c r="Y431">
        <v>13.210020952663729</v>
      </c>
      <c r="AB431">
        <v>0.28518962622905902</v>
      </c>
      <c r="AC431" t="s">
        <v>85</v>
      </c>
      <c r="AE431" t="s">
        <v>1533</v>
      </c>
      <c r="AI431">
        <v>3</v>
      </c>
      <c r="AV431" t="s">
        <v>256</v>
      </c>
    </row>
    <row r="432" spans="1:48" x14ac:dyDescent="0.3">
      <c r="A432" t="s">
        <v>1529</v>
      </c>
      <c r="C432" t="s">
        <v>1495</v>
      </c>
      <c r="D432" t="s">
        <v>470</v>
      </c>
      <c r="E432">
        <v>9200000</v>
      </c>
      <c r="H432">
        <v>40</v>
      </c>
      <c r="I432" t="s">
        <v>82</v>
      </c>
      <c r="J432">
        <v>4.0000000000000003E-5</v>
      </c>
      <c r="K432" t="s">
        <v>252</v>
      </c>
      <c r="L432" t="s">
        <v>58</v>
      </c>
      <c r="N432" t="s">
        <v>1530</v>
      </c>
      <c r="O432">
        <v>6.3</v>
      </c>
      <c r="P432" t="s">
        <v>121</v>
      </c>
      <c r="S432" t="s">
        <v>1531</v>
      </c>
      <c r="T432">
        <v>25</v>
      </c>
      <c r="V432">
        <v>50</v>
      </c>
      <c r="W432" t="s">
        <v>1532</v>
      </c>
      <c r="X432" t="s">
        <v>199</v>
      </c>
      <c r="Y432">
        <v>16.889598005771909</v>
      </c>
      <c r="AB432">
        <v>0.59812943232039495</v>
      </c>
      <c r="AC432" t="s">
        <v>85</v>
      </c>
      <c r="AE432" t="s">
        <v>1533</v>
      </c>
      <c r="AI432">
        <v>3</v>
      </c>
      <c r="AV432" t="s">
        <v>256</v>
      </c>
    </row>
    <row r="433" spans="1:48" x14ac:dyDescent="0.3">
      <c r="A433" t="s">
        <v>1529</v>
      </c>
      <c r="C433" t="s">
        <v>1495</v>
      </c>
      <c r="D433" t="s">
        <v>470</v>
      </c>
      <c r="E433">
        <v>9200000</v>
      </c>
      <c r="H433">
        <v>40</v>
      </c>
      <c r="I433" t="s">
        <v>82</v>
      </c>
      <c r="J433">
        <v>4.0000000000000003E-5</v>
      </c>
      <c r="K433" t="s">
        <v>252</v>
      </c>
      <c r="L433" t="s">
        <v>58</v>
      </c>
      <c r="N433" t="s">
        <v>1530</v>
      </c>
      <c r="O433">
        <v>6.3</v>
      </c>
      <c r="P433" t="s">
        <v>121</v>
      </c>
      <c r="S433" t="s">
        <v>1531</v>
      </c>
      <c r="T433">
        <v>25</v>
      </c>
      <c r="V433">
        <v>50</v>
      </c>
      <c r="W433" t="s">
        <v>1532</v>
      </c>
      <c r="X433" t="s">
        <v>199</v>
      </c>
      <c r="Y433">
        <v>20.36601089669016</v>
      </c>
      <c r="AB433">
        <v>1.0900544725752801</v>
      </c>
      <c r="AC433" t="s">
        <v>85</v>
      </c>
      <c r="AE433" t="s">
        <v>1533</v>
      </c>
      <c r="AI433">
        <v>3</v>
      </c>
      <c r="AV433" t="s">
        <v>256</v>
      </c>
    </row>
    <row r="434" spans="1:48" x14ac:dyDescent="0.3">
      <c r="A434" t="s">
        <v>1529</v>
      </c>
      <c r="C434" t="s">
        <v>1495</v>
      </c>
      <c r="D434" t="s">
        <v>470</v>
      </c>
      <c r="E434">
        <v>9200000</v>
      </c>
      <c r="H434">
        <v>40</v>
      </c>
      <c r="I434" t="s">
        <v>82</v>
      </c>
      <c r="J434">
        <v>4.0000000000000003E-5</v>
      </c>
      <c r="K434" t="s">
        <v>252</v>
      </c>
      <c r="L434" t="s">
        <v>58</v>
      </c>
      <c r="N434" t="s">
        <v>1530</v>
      </c>
      <c r="O434">
        <v>6.3</v>
      </c>
      <c r="P434" t="s">
        <v>121</v>
      </c>
      <c r="S434" t="s">
        <v>1531</v>
      </c>
      <c r="T434">
        <v>25</v>
      </c>
      <c r="V434">
        <v>50</v>
      </c>
      <c r="W434" t="s">
        <v>1532</v>
      </c>
      <c r="X434" t="s">
        <v>199</v>
      </c>
      <c r="Y434">
        <v>23.060220011126031</v>
      </c>
      <c r="AB434">
        <v>1.6715200931857801</v>
      </c>
      <c r="AC434" t="s">
        <v>85</v>
      </c>
      <c r="AE434" t="s">
        <v>1533</v>
      </c>
      <c r="AI434">
        <v>3</v>
      </c>
      <c r="AV434" t="s">
        <v>256</v>
      </c>
    </row>
    <row r="435" spans="1:48" x14ac:dyDescent="0.3">
      <c r="A435" t="s">
        <v>1529</v>
      </c>
      <c r="C435" t="s">
        <v>1495</v>
      </c>
      <c r="D435" t="s">
        <v>470</v>
      </c>
      <c r="E435">
        <v>9200000</v>
      </c>
      <c r="H435">
        <v>40</v>
      </c>
      <c r="I435" t="s">
        <v>82</v>
      </c>
      <c r="J435">
        <v>4.0000000000000003E-5</v>
      </c>
      <c r="K435" t="s">
        <v>252</v>
      </c>
      <c r="L435" t="s">
        <v>58</v>
      </c>
      <c r="N435" t="s">
        <v>1530</v>
      </c>
      <c r="O435">
        <v>6.3</v>
      </c>
      <c r="P435" t="s">
        <v>121</v>
      </c>
      <c r="S435" t="s">
        <v>1531</v>
      </c>
      <c r="T435">
        <v>25</v>
      </c>
      <c r="V435">
        <v>50</v>
      </c>
      <c r="W435" t="s">
        <v>1532</v>
      </c>
      <c r="X435" t="s">
        <v>199</v>
      </c>
      <c r="Y435">
        <v>27.123938295955082</v>
      </c>
      <c r="AB435">
        <v>2.0828668333961402</v>
      </c>
      <c r="AC435" t="s">
        <v>85</v>
      </c>
      <c r="AE435" t="s">
        <v>1533</v>
      </c>
      <c r="AI435">
        <v>3</v>
      </c>
      <c r="AV435" t="s">
        <v>256</v>
      </c>
    </row>
    <row r="436" spans="1:48" x14ac:dyDescent="0.3">
      <c r="A436" t="s">
        <v>1529</v>
      </c>
      <c r="C436" t="s">
        <v>1495</v>
      </c>
      <c r="D436" t="s">
        <v>470</v>
      </c>
      <c r="E436">
        <v>9200000</v>
      </c>
      <c r="H436">
        <v>40</v>
      </c>
      <c r="I436" t="s">
        <v>82</v>
      </c>
      <c r="J436">
        <v>4.0000000000000003E-5</v>
      </c>
      <c r="K436" t="s">
        <v>252</v>
      </c>
      <c r="L436" t="s">
        <v>58</v>
      </c>
      <c r="N436" t="s">
        <v>1530</v>
      </c>
      <c r="O436">
        <v>6.3</v>
      </c>
      <c r="P436" t="s">
        <v>121</v>
      </c>
      <c r="S436" t="s">
        <v>1531</v>
      </c>
      <c r="T436">
        <v>25</v>
      </c>
      <c r="V436">
        <v>50</v>
      </c>
      <c r="W436" t="s">
        <v>1532</v>
      </c>
      <c r="X436" t="s">
        <v>199</v>
      </c>
      <c r="Y436">
        <v>30.967525818325711</v>
      </c>
      <c r="AB436">
        <v>3.0221932919935499</v>
      </c>
      <c r="AC436" t="s">
        <v>85</v>
      </c>
      <c r="AE436" t="s">
        <v>1533</v>
      </c>
      <c r="AI436">
        <v>3</v>
      </c>
      <c r="AV436" t="s">
        <v>256</v>
      </c>
    </row>
    <row r="437" spans="1:48" x14ac:dyDescent="0.3">
      <c r="A437" t="s">
        <v>1529</v>
      </c>
      <c r="C437" t="s">
        <v>1495</v>
      </c>
      <c r="D437" t="s">
        <v>470</v>
      </c>
      <c r="E437">
        <v>9200000</v>
      </c>
      <c r="H437">
        <v>40</v>
      </c>
      <c r="I437" t="s">
        <v>82</v>
      </c>
      <c r="J437">
        <v>4.0000000000000003E-5</v>
      </c>
      <c r="K437" t="s">
        <v>252</v>
      </c>
      <c r="L437" t="s">
        <v>58</v>
      </c>
      <c r="N437" t="s">
        <v>1530</v>
      </c>
      <c r="O437">
        <v>3.3</v>
      </c>
      <c r="P437" t="s">
        <v>121</v>
      </c>
      <c r="S437" t="s">
        <v>1531</v>
      </c>
      <c r="T437">
        <v>25</v>
      </c>
      <c r="V437">
        <v>50</v>
      </c>
      <c r="W437" t="s">
        <v>1532</v>
      </c>
      <c r="X437" t="s">
        <v>199</v>
      </c>
      <c r="Y437">
        <v>5.9491070214287882</v>
      </c>
      <c r="AB437">
        <v>-8.9937990338825394E-2</v>
      </c>
      <c r="AC437" t="s">
        <v>85</v>
      </c>
      <c r="AE437" t="s">
        <v>1533</v>
      </c>
      <c r="AI437">
        <v>3</v>
      </c>
      <c r="AV437" t="s">
        <v>256</v>
      </c>
    </row>
    <row r="438" spans="1:48" x14ac:dyDescent="0.3">
      <c r="A438" t="s">
        <v>1529</v>
      </c>
      <c r="C438" t="s">
        <v>1495</v>
      </c>
      <c r="D438" t="s">
        <v>470</v>
      </c>
      <c r="E438">
        <v>9200000</v>
      </c>
      <c r="H438">
        <v>40</v>
      </c>
      <c r="I438" t="s">
        <v>82</v>
      </c>
      <c r="J438">
        <v>4.0000000000000003E-5</v>
      </c>
      <c r="K438" t="s">
        <v>252</v>
      </c>
      <c r="L438" t="s">
        <v>58</v>
      </c>
      <c r="N438" t="s">
        <v>1530</v>
      </c>
      <c r="O438">
        <v>3.3</v>
      </c>
      <c r="P438" t="s">
        <v>121</v>
      </c>
      <c r="S438" t="s">
        <v>1531</v>
      </c>
      <c r="T438">
        <v>25</v>
      </c>
      <c r="V438">
        <v>50</v>
      </c>
      <c r="W438" t="s">
        <v>1532</v>
      </c>
      <c r="X438" t="s">
        <v>199</v>
      </c>
      <c r="Y438">
        <v>13.74116650419367</v>
      </c>
      <c r="AB438">
        <v>-4.5482887389084098E-2</v>
      </c>
      <c r="AC438" t="s">
        <v>85</v>
      </c>
      <c r="AE438" t="s">
        <v>1533</v>
      </c>
      <c r="AI438">
        <v>3</v>
      </c>
      <c r="AV438" t="s">
        <v>256</v>
      </c>
    </row>
    <row r="439" spans="1:48" x14ac:dyDescent="0.3">
      <c r="A439" t="s">
        <v>1529</v>
      </c>
      <c r="C439" t="s">
        <v>1495</v>
      </c>
      <c r="D439" t="s">
        <v>470</v>
      </c>
      <c r="E439">
        <v>9200000</v>
      </c>
      <c r="H439">
        <v>40</v>
      </c>
      <c r="I439" t="s">
        <v>82</v>
      </c>
      <c r="J439">
        <v>4.0000000000000003E-5</v>
      </c>
      <c r="K439" t="s">
        <v>252</v>
      </c>
      <c r="L439" t="s">
        <v>58</v>
      </c>
      <c r="N439" t="s">
        <v>1530</v>
      </c>
      <c r="O439">
        <v>3.3</v>
      </c>
      <c r="P439" t="s">
        <v>121</v>
      </c>
      <c r="S439" t="s">
        <v>1531</v>
      </c>
      <c r="T439">
        <v>25</v>
      </c>
      <c r="V439">
        <v>50</v>
      </c>
      <c r="W439" t="s">
        <v>1532</v>
      </c>
      <c r="X439" t="s">
        <v>199</v>
      </c>
      <c r="Y439">
        <v>20.795712789271999</v>
      </c>
      <c r="AB439">
        <v>-5.4691835965602599E-2</v>
      </c>
      <c r="AC439" t="s">
        <v>85</v>
      </c>
      <c r="AE439" t="s">
        <v>1533</v>
      </c>
      <c r="AI439">
        <v>3</v>
      </c>
      <c r="AV439" t="s">
        <v>256</v>
      </c>
    </row>
    <row r="440" spans="1:48" x14ac:dyDescent="0.3">
      <c r="A440" t="s">
        <v>1529</v>
      </c>
      <c r="C440" t="s">
        <v>1495</v>
      </c>
      <c r="D440" t="s">
        <v>470</v>
      </c>
      <c r="E440">
        <v>9200000</v>
      </c>
      <c r="H440">
        <v>40</v>
      </c>
      <c r="I440" t="s">
        <v>82</v>
      </c>
      <c r="J440">
        <v>4.0000000000000003E-5</v>
      </c>
      <c r="K440" t="s">
        <v>252</v>
      </c>
      <c r="L440" t="s">
        <v>58</v>
      </c>
      <c r="N440" t="s">
        <v>1530</v>
      </c>
      <c r="O440">
        <v>3.3</v>
      </c>
      <c r="P440" t="s">
        <v>121</v>
      </c>
      <c r="S440" t="s">
        <v>1531</v>
      </c>
      <c r="T440">
        <v>25</v>
      </c>
      <c r="V440">
        <v>50</v>
      </c>
      <c r="W440" t="s">
        <v>1532</v>
      </c>
      <c r="X440" t="s">
        <v>199</v>
      </c>
      <c r="Y440">
        <v>25.98737382388758</v>
      </c>
      <c r="AB440">
        <v>7.7563465689137693E-3</v>
      </c>
      <c r="AC440" t="s">
        <v>85</v>
      </c>
      <c r="AE440" t="s">
        <v>1533</v>
      </c>
      <c r="AI440">
        <v>3</v>
      </c>
      <c r="AV440" t="s">
        <v>256</v>
      </c>
    </row>
    <row r="441" spans="1:48" x14ac:dyDescent="0.3">
      <c r="A441" t="s">
        <v>1529</v>
      </c>
      <c r="C441" t="s">
        <v>1495</v>
      </c>
      <c r="D441" t="s">
        <v>470</v>
      </c>
      <c r="E441">
        <v>9200000</v>
      </c>
      <c r="H441">
        <v>40</v>
      </c>
      <c r="I441" t="s">
        <v>82</v>
      </c>
      <c r="J441">
        <v>4.0000000000000003E-5</v>
      </c>
      <c r="K441" t="s">
        <v>252</v>
      </c>
      <c r="L441" t="s">
        <v>58</v>
      </c>
      <c r="N441" t="s">
        <v>1530</v>
      </c>
      <c r="O441">
        <v>3.3</v>
      </c>
      <c r="P441" t="s">
        <v>121</v>
      </c>
      <c r="S441" t="s">
        <v>1531</v>
      </c>
      <c r="T441">
        <v>25</v>
      </c>
      <c r="V441">
        <v>50</v>
      </c>
      <c r="W441" t="s">
        <v>1532</v>
      </c>
      <c r="X441" t="s">
        <v>199</v>
      </c>
      <c r="Y441">
        <v>33.034445313043342</v>
      </c>
      <c r="AB441">
        <v>7.9084586659358802E-2</v>
      </c>
      <c r="AC441" t="s">
        <v>85</v>
      </c>
      <c r="AE441" t="s">
        <v>1533</v>
      </c>
      <c r="AI441">
        <v>3</v>
      </c>
      <c r="AV441" t="s">
        <v>256</v>
      </c>
    </row>
    <row r="442" spans="1:48" x14ac:dyDescent="0.3">
      <c r="A442" t="s">
        <v>1529</v>
      </c>
      <c r="C442" t="s">
        <v>1495</v>
      </c>
      <c r="D442" t="s">
        <v>470</v>
      </c>
      <c r="E442">
        <v>16300000</v>
      </c>
      <c r="H442">
        <v>40</v>
      </c>
      <c r="I442" t="s">
        <v>82</v>
      </c>
      <c r="J442">
        <v>4.0000000000000003E-5</v>
      </c>
      <c r="K442" t="s">
        <v>252</v>
      </c>
      <c r="L442" t="s">
        <v>58</v>
      </c>
      <c r="N442" t="s">
        <v>1530</v>
      </c>
      <c r="O442">
        <v>3.3</v>
      </c>
      <c r="P442" t="s">
        <v>121</v>
      </c>
      <c r="S442" t="s">
        <v>1531</v>
      </c>
      <c r="T442">
        <v>25</v>
      </c>
      <c r="V442">
        <v>50</v>
      </c>
      <c r="W442" t="s">
        <v>1532</v>
      </c>
      <c r="X442" t="s">
        <v>199</v>
      </c>
      <c r="Y442">
        <v>37.482779419810313</v>
      </c>
      <c r="AB442">
        <v>0.15050875329747501</v>
      </c>
      <c r="AC442" t="s">
        <v>85</v>
      </c>
      <c r="AE442" t="s">
        <v>1533</v>
      </c>
      <c r="AI442">
        <v>3</v>
      </c>
      <c r="AV442" t="s">
        <v>256</v>
      </c>
    </row>
    <row r="443" spans="1:48" x14ac:dyDescent="0.3">
      <c r="A443" t="s">
        <v>1529</v>
      </c>
      <c r="C443" t="s">
        <v>1495</v>
      </c>
      <c r="D443" t="s">
        <v>470</v>
      </c>
      <c r="E443">
        <v>16300000</v>
      </c>
      <c r="H443">
        <v>40</v>
      </c>
      <c r="I443" t="s">
        <v>82</v>
      </c>
      <c r="J443">
        <v>4.0000000000000003E-5</v>
      </c>
      <c r="K443" t="s">
        <v>252</v>
      </c>
      <c r="L443" t="s">
        <v>58</v>
      </c>
      <c r="N443" t="s">
        <v>1530</v>
      </c>
      <c r="O443">
        <v>3.3</v>
      </c>
      <c r="P443" t="s">
        <v>121</v>
      </c>
      <c r="S443" t="s">
        <v>1531</v>
      </c>
      <c r="T443">
        <v>25</v>
      </c>
      <c r="V443">
        <v>50</v>
      </c>
      <c r="W443" t="s">
        <v>1532</v>
      </c>
      <c r="X443" t="s">
        <v>199</v>
      </c>
      <c r="Y443">
        <v>46.001555172818193</v>
      </c>
      <c r="AB443">
        <v>0.36495940251464598</v>
      </c>
      <c r="AC443" t="s">
        <v>85</v>
      </c>
      <c r="AE443" t="s">
        <v>1533</v>
      </c>
      <c r="AI443">
        <v>3</v>
      </c>
      <c r="AV443" t="s">
        <v>256</v>
      </c>
    </row>
    <row r="444" spans="1:48" x14ac:dyDescent="0.3">
      <c r="A444" t="s">
        <v>1529</v>
      </c>
      <c r="C444" t="s">
        <v>1495</v>
      </c>
      <c r="D444" t="s">
        <v>470</v>
      </c>
      <c r="E444">
        <v>16300000</v>
      </c>
      <c r="H444">
        <v>40</v>
      </c>
      <c r="I444" t="s">
        <v>82</v>
      </c>
      <c r="J444">
        <v>4.0000000000000003E-5</v>
      </c>
      <c r="K444" t="s">
        <v>252</v>
      </c>
      <c r="L444" t="s">
        <v>58</v>
      </c>
      <c r="N444" t="s">
        <v>1530</v>
      </c>
      <c r="O444">
        <v>3.3</v>
      </c>
      <c r="P444" t="s">
        <v>121</v>
      </c>
      <c r="S444" t="s">
        <v>1531</v>
      </c>
      <c r="T444">
        <v>25</v>
      </c>
      <c r="V444">
        <v>50</v>
      </c>
      <c r="W444" t="s">
        <v>1532</v>
      </c>
      <c r="X444" t="s">
        <v>199</v>
      </c>
      <c r="Y444">
        <v>51.558650674756073</v>
      </c>
      <c r="AB444">
        <v>0.490033916886499</v>
      </c>
      <c r="AC444" t="s">
        <v>85</v>
      </c>
      <c r="AE444" t="s">
        <v>1533</v>
      </c>
      <c r="AI444">
        <v>3</v>
      </c>
      <c r="AV444" t="s">
        <v>256</v>
      </c>
    </row>
    <row r="445" spans="1:48" x14ac:dyDescent="0.3">
      <c r="A445" t="s">
        <v>1529</v>
      </c>
      <c r="C445" t="s">
        <v>1495</v>
      </c>
      <c r="D445" t="s">
        <v>470</v>
      </c>
      <c r="E445">
        <v>16300000</v>
      </c>
      <c r="H445">
        <v>40</v>
      </c>
      <c r="I445" t="s">
        <v>82</v>
      </c>
      <c r="J445">
        <v>4.0000000000000003E-5</v>
      </c>
      <c r="K445" t="s">
        <v>252</v>
      </c>
      <c r="L445" t="s">
        <v>58</v>
      </c>
      <c r="N445" t="s">
        <v>1530</v>
      </c>
      <c r="O445">
        <v>3.3</v>
      </c>
      <c r="P445" t="s">
        <v>121</v>
      </c>
      <c r="S445" t="s">
        <v>1531</v>
      </c>
      <c r="T445">
        <v>25</v>
      </c>
      <c r="V445">
        <v>50</v>
      </c>
      <c r="W445" t="s">
        <v>1532</v>
      </c>
      <c r="X445" t="s">
        <v>199</v>
      </c>
      <c r="Y445">
        <v>57.484502775536967</v>
      </c>
      <c r="AB445">
        <v>0.64194045702148095</v>
      </c>
      <c r="AC445" t="s">
        <v>85</v>
      </c>
      <c r="AE445" t="s">
        <v>1533</v>
      </c>
      <c r="AI445">
        <v>3</v>
      </c>
      <c r="AV445" t="s">
        <v>256</v>
      </c>
    </row>
    <row r="446" spans="1:48" x14ac:dyDescent="0.3">
      <c r="A446" t="s">
        <v>1529</v>
      </c>
      <c r="C446" t="s">
        <v>1495</v>
      </c>
      <c r="D446" t="s">
        <v>470</v>
      </c>
      <c r="E446">
        <v>16300000</v>
      </c>
      <c r="H446">
        <v>40</v>
      </c>
      <c r="I446" t="s">
        <v>82</v>
      </c>
      <c r="J446">
        <v>4.0000000000000003E-5</v>
      </c>
      <c r="K446" t="s">
        <v>252</v>
      </c>
      <c r="L446" t="s">
        <v>58</v>
      </c>
      <c r="N446" t="s">
        <v>1530</v>
      </c>
      <c r="O446">
        <v>3.3</v>
      </c>
      <c r="P446" t="s">
        <v>121</v>
      </c>
      <c r="S446" t="s">
        <v>1531</v>
      </c>
      <c r="T446">
        <v>25</v>
      </c>
      <c r="V446">
        <v>50</v>
      </c>
      <c r="W446" t="s">
        <v>1532</v>
      </c>
      <c r="X446" t="s">
        <v>199</v>
      </c>
      <c r="Y446">
        <v>64.878737008648798</v>
      </c>
      <c r="AB446">
        <v>0.97276371235739501</v>
      </c>
      <c r="AC446" t="s">
        <v>85</v>
      </c>
      <c r="AE446" t="s">
        <v>1533</v>
      </c>
      <c r="AI446">
        <v>3</v>
      </c>
      <c r="AV446" t="s">
        <v>256</v>
      </c>
    </row>
    <row r="447" spans="1:48" x14ac:dyDescent="0.3">
      <c r="A447" t="s">
        <v>1539</v>
      </c>
      <c r="C447" t="s">
        <v>1495</v>
      </c>
      <c r="D447" t="s">
        <v>1540</v>
      </c>
      <c r="E447">
        <v>16300000</v>
      </c>
      <c r="L447" t="s">
        <v>58</v>
      </c>
      <c r="O447">
        <v>0.44900000000000001</v>
      </c>
      <c r="P447" t="s">
        <v>262</v>
      </c>
      <c r="T447">
        <v>5</v>
      </c>
      <c r="V447">
        <v>50</v>
      </c>
      <c r="W447" t="s">
        <v>1137</v>
      </c>
      <c r="X447" t="s">
        <v>280</v>
      </c>
      <c r="Y447">
        <v>7</v>
      </c>
      <c r="AB447">
        <v>0.55000000000000004</v>
      </c>
      <c r="AC447" t="s">
        <v>85</v>
      </c>
    </row>
    <row r="448" spans="1:48" x14ac:dyDescent="0.3">
      <c r="A448" t="s">
        <v>1539</v>
      </c>
      <c r="C448" t="s">
        <v>1495</v>
      </c>
      <c r="D448" t="s">
        <v>1540</v>
      </c>
      <c r="E448">
        <v>10000000</v>
      </c>
      <c r="L448" t="s">
        <v>58</v>
      </c>
      <c r="O448">
        <v>0.44900000000000001</v>
      </c>
      <c r="P448" t="s">
        <v>262</v>
      </c>
      <c r="T448">
        <v>5</v>
      </c>
      <c r="V448">
        <v>50</v>
      </c>
      <c r="W448" t="s">
        <v>1137</v>
      </c>
      <c r="X448" t="s">
        <v>280</v>
      </c>
      <c r="Y448">
        <v>10</v>
      </c>
      <c r="AB448">
        <v>0.45</v>
      </c>
      <c r="AC448" t="s">
        <v>85</v>
      </c>
    </row>
    <row r="449" spans="1:29" x14ac:dyDescent="0.3">
      <c r="A449" t="s">
        <v>1539</v>
      </c>
      <c r="C449" t="s">
        <v>1495</v>
      </c>
      <c r="D449" t="s">
        <v>1540</v>
      </c>
      <c r="E449">
        <v>10000000</v>
      </c>
      <c r="L449" t="s">
        <v>58</v>
      </c>
      <c r="O449">
        <v>0.44900000000000001</v>
      </c>
      <c r="P449" t="s">
        <v>262</v>
      </c>
      <c r="T449">
        <v>5</v>
      </c>
      <c r="V449">
        <v>50</v>
      </c>
      <c r="W449" t="s">
        <v>1137</v>
      </c>
      <c r="X449" t="s">
        <v>280</v>
      </c>
      <c r="Y449">
        <v>11</v>
      </c>
      <c r="AB449">
        <v>0.44</v>
      </c>
      <c r="AC449" t="s">
        <v>85</v>
      </c>
    </row>
    <row r="450" spans="1:29" x14ac:dyDescent="0.3">
      <c r="A450" t="s">
        <v>1539</v>
      </c>
      <c r="C450" t="s">
        <v>1495</v>
      </c>
      <c r="D450" t="s">
        <v>1540</v>
      </c>
      <c r="E450">
        <v>10000000</v>
      </c>
      <c r="L450" t="s">
        <v>58</v>
      </c>
      <c r="O450">
        <v>0.44900000000000001</v>
      </c>
      <c r="P450" t="s">
        <v>262</v>
      </c>
      <c r="T450">
        <v>5</v>
      </c>
      <c r="V450">
        <v>50</v>
      </c>
      <c r="W450" t="s">
        <v>1137</v>
      </c>
      <c r="X450" t="s">
        <v>280</v>
      </c>
      <c r="Y450">
        <v>12</v>
      </c>
      <c r="AB450">
        <v>0.61</v>
      </c>
      <c r="AC450" t="s">
        <v>85</v>
      </c>
    </row>
    <row r="451" spans="1:29" x14ac:dyDescent="0.3">
      <c r="A451" t="s">
        <v>1539</v>
      </c>
      <c r="C451" t="s">
        <v>1495</v>
      </c>
      <c r="D451" t="s">
        <v>1540</v>
      </c>
      <c r="E451">
        <v>10000000</v>
      </c>
      <c r="L451" t="s">
        <v>58</v>
      </c>
      <c r="O451">
        <v>0.44900000000000001</v>
      </c>
      <c r="P451" t="s">
        <v>262</v>
      </c>
      <c r="T451">
        <v>5</v>
      </c>
      <c r="V451">
        <v>50</v>
      </c>
      <c r="W451" t="s">
        <v>1137</v>
      </c>
      <c r="X451" t="s">
        <v>280</v>
      </c>
      <c r="Y451">
        <v>14</v>
      </c>
      <c r="AB451">
        <v>0.69</v>
      </c>
      <c r="AC451" t="s">
        <v>85</v>
      </c>
    </row>
    <row r="452" spans="1:29" x14ac:dyDescent="0.3">
      <c r="A452" t="s">
        <v>1539</v>
      </c>
      <c r="C452" t="s">
        <v>1495</v>
      </c>
      <c r="D452" t="s">
        <v>1540</v>
      </c>
      <c r="E452">
        <v>10000000</v>
      </c>
      <c r="L452" t="s">
        <v>58</v>
      </c>
      <c r="O452">
        <v>0.44900000000000001</v>
      </c>
      <c r="P452" t="s">
        <v>262</v>
      </c>
      <c r="T452">
        <v>5</v>
      </c>
      <c r="V452">
        <v>50</v>
      </c>
      <c r="W452" t="s">
        <v>1137</v>
      </c>
      <c r="X452" t="s">
        <v>280</v>
      </c>
      <c r="Y452">
        <v>15</v>
      </c>
      <c r="AB452">
        <v>0.69</v>
      </c>
      <c r="AC452" t="s">
        <v>85</v>
      </c>
    </row>
    <row r="453" spans="1:29" x14ac:dyDescent="0.3">
      <c r="A453" t="s">
        <v>1539</v>
      </c>
      <c r="C453" t="s">
        <v>1495</v>
      </c>
      <c r="D453" t="s">
        <v>1540</v>
      </c>
      <c r="E453">
        <v>10000000</v>
      </c>
      <c r="L453" t="s">
        <v>58</v>
      </c>
      <c r="O453">
        <v>0.44900000000000001</v>
      </c>
      <c r="P453" t="s">
        <v>262</v>
      </c>
      <c r="T453">
        <v>5</v>
      </c>
      <c r="V453">
        <v>50</v>
      </c>
      <c r="W453" t="s">
        <v>1137</v>
      </c>
      <c r="X453" t="s">
        <v>280</v>
      </c>
      <c r="Y453">
        <v>18</v>
      </c>
      <c r="AB453">
        <v>0.85</v>
      </c>
      <c r="AC453" t="s">
        <v>85</v>
      </c>
    </row>
    <row r="454" spans="1:29" x14ac:dyDescent="0.3">
      <c r="A454" t="s">
        <v>1539</v>
      </c>
      <c r="C454" t="s">
        <v>1495</v>
      </c>
      <c r="D454" t="s">
        <v>1540</v>
      </c>
      <c r="E454">
        <v>10000000</v>
      </c>
      <c r="L454" t="s">
        <v>58</v>
      </c>
      <c r="O454">
        <v>0.44900000000000001</v>
      </c>
      <c r="P454" t="s">
        <v>262</v>
      </c>
      <c r="T454">
        <v>5</v>
      </c>
      <c r="V454">
        <v>50</v>
      </c>
      <c r="W454" t="s">
        <v>1137</v>
      </c>
      <c r="X454" t="s">
        <v>280</v>
      </c>
      <c r="Y454">
        <v>17</v>
      </c>
      <c r="AB454">
        <v>0.95</v>
      </c>
      <c r="AC454" t="s">
        <v>85</v>
      </c>
    </row>
    <row r="455" spans="1:29" x14ac:dyDescent="0.3">
      <c r="A455" t="s">
        <v>1539</v>
      </c>
      <c r="C455" t="s">
        <v>1495</v>
      </c>
      <c r="D455" t="s">
        <v>1540</v>
      </c>
      <c r="E455">
        <v>10000000</v>
      </c>
      <c r="L455" t="s">
        <v>58</v>
      </c>
      <c r="O455">
        <v>0.44900000000000001</v>
      </c>
      <c r="P455" t="s">
        <v>262</v>
      </c>
      <c r="T455">
        <v>5</v>
      </c>
      <c r="V455">
        <v>50</v>
      </c>
      <c r="W455" t="s">
        <v>1137</v>
      </c>
      <c r="X455" t="s">
        <v>280</v>
      </c>
      <c r="Y455">
        <v>16</v>
      </c>
      <c r="AB455">
        <v>0.97</v>
      </c>
      <c r="AC455" t="s">
        <v>85</v>
      </c>
    </row>
    <row r="456" spans="1:29" x14ac:dyDescent="0.3">
      <c r="A456" t="s">
        <v>1539</v>
      </c>
      <c r="C456" t="s">
        <v>1495</v>
      </c>
      <c r="D456" t="s">
        <v>1540</v>
      </c>
      <c r="E456">
        <v>10000000</v>
      </c>
      <c r="L456" t="s">
        <v>58</v>
      </c>
      <c r="O456">
        <v>0.44900000000000001</v>
      </c>
      <c r="P456" t="s">
        <v>262</v>
      </c>
      <c r="T456">
        <v>5</v>
      </c>
      <c r="V456">
        <v>50</v>
      </c>
      <c r="W456" t="s">
        <v>1137</v>
      </c>
      <c r="X456" t="s">
        <v>280</v>
      </c>
      <c r="Y456">
        <v>19</v>
      </c>
      <c r="AB456">
        <v>1.04</v>
      </c>
      <c r="AC456" t="s">
        <v>85</v>
      </c>
    </row>
    <row r="457" spans="1:29" x14ac:dyDescent="0.3">
      <c r="A457" t="s">
        <v>1539</v>
      </c>
      <c r="C457" t="s">
        <v>1495</v>
      </c>
      <c r="D457" t="s">
        <v>1540</v>
      </c>
      <c r="E457">
        <v>10000000</v>
      </c>
      <c r="L457" t="s">
        <v>58</v>
      </c>
      <c r="O457">
        <v>0.44900000000000001</v>
      </c>
      <c r="P457" t="s">
        <v>262</v>
      </c>
      <c r="T457">
        <v>5</v>
      </c>
      <c r="V457">
        <v>50</v>
      </c>
      <c r="W457" t="s">
        <v>1137</v>
      </c>
      <c r="X457" t="s">
        <v>280</v>
      </c>
      <c r="Y457">
        <v>20</v>
      </c>
      <c r="AB457">
        <v>1.01</v>
      </c>
      <c r="AC457" t="s">
        <v>85</v>
      </c>
    </row>
    <row r="458" spans="1:29" x14ac:dyDescent="0.3">
      <c r="A458" t="s">
        <v>1539</v>
      </c>
      <c r="C458" t="s">
        <v>1495</v>
      </c>
      <c r="D458" t="s">
        <v>1540</v>
      </c>
      <c r="E458">
        <v>10000000</v>
      </c>
      <c r="L458" t="s">
        <v>58</v>
      </c>
      <c r="O458">
        <v>0.44900000000000001</v>
      </c>
      <c r="P458" t="s">
        <v>262</v>
      </c>
      <c r="T458">
        <v>5</v>
      </c>
      <c r="V458">
        <v>50</v>
      </c>
      <c r="W458" t="s">
        <v>1137</v>
      </c>
      <c r="X458" t="s">
        <v>280</v>
      </c>
      <c r="Y458">
        <v>22</v>
      </c>
      <c r="AB458">
        <v>1.06</v>
      </c>
      <c r="AC458" t="s">
        <v>85</v>
      </c>
    </row>
    <row r="459" spans="1:29" x14ac:dyDescent="0.3">
      <c r="A459" t="s">
        <v>1539</v>
      </c>
      <c r="C459" t="s">
        <v>1495</v>
      </c>
      <c r="D459" t="s">
        <v>1540</v>
      </c>
      <c r="E459">
        <v>10000000</v>
      </c>
      <c r="L459" t="s">
        <v>58</v>
      </c>
      <c r="O459">
        <v>0.44900000000000001</v>
      </c>
      <c r="P459" t="s">
        <v>262</v>
      </c>
      <c r="T459">
        <v>5</v>
      </c>
      <c r="V459">
        <v>50</v>
      </c>
      <c r="W459" t="s">
        <v>1137</v>
      </c>
      <c r="X459" t="s">
        <v>280</v>
      </c>
      <c r="Y459">
        <v>24</v>
      </c>
      <c r="AB459">
        <v>1.33</v>
      </c>
      <c r="AC459" t="s">
        <v>85</v>
      </c>
    </row>
    <row r="460" spans="1:29" x14ac:dyDescent="0.3">
      <c r="A460" t="s">
        <v>1539</v>
      </c>
      <c r="C460" t="s">
        <v>1495</v>
      </c>
      <c r="D460" t="s">
        <v>1540</v>
      </c>
      <c r="E460">
        <v>10000000</v>
      </c>
      <c r="L460" t="s">
        <v>58</v>
      </c>
      <c r="O460">
        <v>0.44900000000000001</v>
      </c>
      <c r="P460" t="s">
        <v>262</v>
      </c>
      <c r="T460">
        <v>5</v>
      </c>
      <c r="V460">
        <v>50</v>
      </c>
      <c r="W460" t="s">
        <v>1137</v>
      </c>
      <c r="X460" t="s">
        <v>280</v>
      </c>
      <c r="Y460">
        <v>26</v>
      </c>
      <c r="AB460">
        <v>1.59</v>
      </c>
      <c r="AC460" t="s">
        <v>85</v>
      </c>
    </row>
    <row r="461" spans="1:29" x14ac:dyDescent="0.3">
      <c r="A461" t="s">
        <v>1539</v>
      </c>
      <c r="C461" t="s">
        <v>1495</v>
      </c>
      <c r="D461" t="s">
        <v>1540</v>
      </c>
      <c r="E461">
        <v>10000000</v>
      </c>
      <c r="L461" t="s">
        <v>58</v>
      </c>
      <c r="O461">
        <v>0.44900000000000001</v>
      </c>
      <c r="P461" t="s">
        <v>262</v>
      </c>
      <c r="T461">
        <v>5</v>
      </c>
      <c r="V461">
        <v>50</v>
      </c>
      <c r="W461" t="s">
        <v>1137</v>
      </c>
      <c r="X461" t="s">
        <v>280</v>
      </c>
      <c r="Y461">
        <v>28</v>
      </c>
      <c r="AB461">
        <v>1.8</v>
      </c>
      <c r="AC461" t="s">
        <v>85</v>
      </c>
    </row>
    <row r="462" spans="1:29" x14ac:dyDescent="0.3">
      <c r="A462" t="s">
        <v>1539</v>
      </c>
      <c r="C462" t="s">
        <v>1495</v>
      </c>
      <c r="D462" t="s">
        <v>1540</v>
      </c>
      <c r="E462">
        <v>10000000</v>
      </c>
      <c r="L462" t="s">
        <v>58</v>
      </c>
      <c r="O462">
        <v>0.74</v>
      </c>
      <c r="P462" t="s">
        <v>262</v>
      </c>
      <c r="T462">
        <v>5</v>
      </c>
      <c r="V462">
        <v>50</v>
      </c>
      <c r="W462" t="s">
        <v>1137</v>
      </c>
      <c r="X462" t="s">
        <v>280</v>
      </c>
      <c r="Y462">
        <v>20</v>
      </c>
      <c r="AB462">
        <v>1.7</v>
      </c>
      <c r="AC462" t="s">
        <v>85</v>
      </c>
    </row>
    <row r="463" spans="1:29" x14ac:dyDescent="0.3">
      <c r="A463" t="s">
        <v>1539</v>
      </c>
      <c r="C463" t="s">
        <v>1495</v>
      </c>
      <c r="D463" t="s">
        <v>1540</v>
      </c>
      <c r="E463">
        <v>10000000</v>
      </c>
      <c r="L463" t="s">
        <v>58</v>
      </c>
      <c r="O463">
        <v>0.74</v>
      </c>
      <c r="P463" t="s">
        <v>262</v>
      </c>
      <c r="T463">
        <v>5</v>
      </c>
      <c r="V463">
        <v>50</v>
      </c>
      <c r="W463" t="s">
        <v>1137</v>
      </c>
      <c r="X463" t="s">
        <v>280</v>
      </c>
      <c r="Y463">
        <v>17</v>
      </c>
      <c r="AB463">
        <v>1.52</v>
      </c>
      <c r="AC463" t="s">
        <v>85</v>
      </c>
    </row>
    <row r="464" spans="1:29" x14ac:dyDescent="0.3">
      <c r="A464" t="s">
        <v>1539</v>
      </c>
      <c r="C464" t="s">
        <v>1495</v>
      </c>
      <c r="D464" t="s">
        <v>1540</v>
      </c>
      <c r="E464">
        <v>10000000</v>
      </c>
      <c r="L464" t="s">
        <v>58</v>
      </c>
      <c r="O464">
        <v>0.74</v>
      </c>
      <c r="P464" t="s">
        <v>262</v>
      </c>
      <c r="T464">
        <v>5</v>
      </c>
      <c r="V464">
        <v>50</v>
      </c>
      <c r="W464" t="s">
        <v>1137</v>
      </c>
      <c r="X464" t="s">
        <v>280</v>
      </c>
      <c r="Y464">
        <v>15</v>
      </c>
      <c r="AB464">
        <v>1.19</v>
      </c>
      <c r="AC464" t="s">
        <v>85</v>
      </c>
    </row>
    <row r="465" spans="1:29" x14ac:dyDescent="0.3">
      <c r="A465" t="s">
        <v>1539</v>
      </c>
      <c r="C465" t="s">
        <v>1495</v>
      </c>
      <c r="D465" t="s">
        <v>1540</v>
      </c>
      <c r="E465">
        <v>10000000</v>
      </c>
      <c r="L465" t="s">
        <v>58</v>
      </c>
      <c r="O465">
        <v>0.74</v>
      </c>
      <c r="P465" t="s">
        <v>262</v>
      </c>
      <c r="T465">
        <v>5</v>
      </c>
      <c r="V465">
        <v>50</v>
      </c>
      <c r="W465" t="s">
        <v>1137</v>
      </c>
      <c r="X465" t="s">
        <v>280</v>
      </c>
      <c r="Y465">
        <v>15</v>
      </c>
      <c r="AB465">
        <v>1.1000000000000001</v>
      </c>
      <c r="AC465" t="s">
        <v>85</v>
      </c>
    </row>
    <row r="466" spans="1:29" x14ac:dyDescent="0.3">
      <c r="A466" t="s">
        <v>1539</v>
      </c>
      <c r="C466" t="s">
        <v>1495</v>
      </c>
      <c r="D466" t="s">
        <v>1540</v>
      </c>
      <c r="E466">
        <v>10000000</v>
      </c>
      <c r="L466" t="s">
        <v>58</v>
      </c>
      <c r="O466">
        <v>0.74</v>
      </c>
      <c r="P466" t="s">
        <v>262</v>
      </c>
      <c r="T466">
        <v>5</v>
      </c>
      <c r="V466">
        <v>50</v>
      </c>
      <c r="W466" t="s">
        <v>1137</v>
      </c>
      <c r="X466" t="s">
        <v>280</v>
      </c>
      <c r="Y466">
        <v>14</v>
      </c>
      <c r="AB466">
        <v>1.06</v>
      </c>
      <c r="AC466" t="s">
        <v>85</v>
      </c>
    </row>
    <row r="467" spans="1:29" x14ac:dyDescent="0.3">
      <c r="A467" t="s">
        <v>1539</v>
      </c>
      <c r="C467" t="s">
        <v>1495</v>
      </c>
      <c r="D467" t="s">
        <v>1540</v>
      </c>
      <c r="E467">
        <v>10000000</v>
      </c>
      <c r="L467" t="s">
        <v>58</v>
      </c>
      <c r="O467">
        <v>0.74</v>
      </c>
      <c r="P467" t="s">
        <v>262</v>
      </c>
      <c r="T467">
        <v>5</v>
      </c>
      <c r="V467">
        <v>50</v>
      </c>
      <c r="W467" t="s">
        <v>1137</v>
      </c>
      <c r="X467" t="s">
        <v>280</v>
      </c>
      <c r="Y467">
        <v>14</v>
      </c>
      <c r="AB467">
        <v>1.07</v>
      </c>
      <c r="AC467" t="s">
        <v>85</v>
      </c>
    </row>
    <row r="468" spans="1:29" x14ac:dyDescent="0.3">
      <c r="A468" t="s">
        <v>1539</v>
      </c>
      <c r="C468" t="s">
        <v>1495</v>
      </c>
      <c r="D468" t="s">
        <v>1540</v>
      </c>
      <c r="E468">
        <v>10000000</v>
      </c>
      <c r="L468" t="s">
        <v>58</v>
      </c>
      <c r="O468">
        <v>0.74</v>
      </c>
      <c r="P468" t="s">
        <v>262</v>
      </c>
      <c r="T468">
        <v>5</v>
      </c>
      <c r="V468">
        <v>50</v>
      </c>
      <c r="W468" t="s">
        <v>1137</v>
      </c>
      <c r="X468" t="s">
        <v>280</v>
      </c>
      <c r="Y468">
        <v>13</v>
      </c>
      <c r="AB468">
        <v>0.95</v>
      </c>
      <c r="AC468" t="s">
        <v>85</v>
      </c>
    </row>
    <row r="469" spans="1:29" x14ac:dyDescent="0.3">
      <c r="A469" t="s">
        <v>1539</v>
      </c>
      <c r="C469" t="s">
        <v>1495</v>
      </c>
      <c r="D469" t="s">
        <v>1540</v>
      </c>
      <c r="E469">
        <v>10000000</v>
      </c>
      <c r="L469" t="s">
        <v>58</v>
      </c>
      <c r="O469">
        <v>0.74</v>
      </c>
      <c r="P469" t="s">
        <v>262</v>
      </c>
      <c r="T469">
        <v>5</v>
      </c>
      <c r="V469">
        <v>50</v>
      </c>
      <c r="W469" t="s">
        <v>1137</v>
      </c>
      <c r="X469" t="s">
        <v>280</v>
      </c>
      <c r="Y469">
        <v>13</v>
      </c>
      <c r="AB469">
        <v>0.88</v>
      </c>
      <c r="AC469" t="s">
        <v>85</v>
      </c>
    </row>
    <row r="470" spans="1:29" x14ac:dyDescent="0.3">
      <c r="A470" t="s">
        <v>1539</v>
      </c>
      <c r="C470" t="s">
        <v>1495</v>
      </c>
      <c r="D470" t="s">
        <v>1540</v>
      </c>
      <c r="E470">
        <v>10000000</v>
      </c>
      <c r="L470" t="s">
        <v>58</v>
      </c>
      <c r="O470">
        <v>0.74</v>
      </c>
      <c r="P470" t="s">
        <v>262</v>
      </c>
      <c r="T470">
        <v>5</v>
      </c>
      <c r="V470">
        <v>50</v>
      </c>
      <c r="W470" t="s">
        <v>1137</v>
      </c>
      <c r="X470" t="s">
        <v>280</v>
      </c>
      <c r="Y470">
        <v>12</v>
      </c>
      <c r="AB470">
        <v>0.92</v>
      </c>
      <c r="AC470" t="s">
        <v>85</v>
      </c>
    </row>
    <row r="471" spans="1:29" x14ac:dyDescent="0.3">
      <c r="A471" t="s">
        <v>1539</v>
      </c>
      <c r="C471" t="s">
        <v>1495</v>
      </c>
      <c r="D471" t="s">
        <v>1540</v>
      </c>
      <c r="E471">
        <v>10000000</v>
      </c>
      <c r="L471" t="s">
        <v>58</v>
      </c>
      <c r="O471">
        <v>0.74</v>
      </c>
      <c r="P471" t="s">
        <v>262</v>
      </c>
      <c r="T471">
        <v>5</v>
      </c>
      <c r="V471">
        <v>50</v>
      </c>
      <c r="W471" t="s">
        <v>1137</v>
      </c>
      <c r="X471" t="s">
        <v>280</v>
      </c>
      <c r="Y471">
        <v>11</v>
      </c>
      <c r="AB471">
        <v>0.95</v>
      </c>
      <c r="AC471" t="s">
        <v>85</v>
      </c>
    </row>
    <row r="472" spans="1:29" x14ac:dyDescent="0.3">
      <c r="A472" t="s">
        <v>1539</v>
      </c>
      <c r="C472" t="s">
        <v>1495</v>
      </c>
      <c r="D472" t="s">
        <v>1540</v>
      </c>
      <c r="E472">
        <v>10000000</v>
      </c>
      <c r="L472" t="s">
        <v>58</v>
      </c>
      <c r="O472">
        <v>0.74</v>
      </c>
      <c r="P472" t="s">
        <v>262</v>
      </c>
      <c r="T472">
        <v>5</v>
      </c>
      <c r="V472">
        <v>50</v>
      </c>
      <c r="W472" t="s">
        <v>1137</v>
      </c>
      <c r="X472" t="s">
        <v>280</v>
      </c>
      <c r="Y472">
        <v>11</v>
      </c>
      <c r="AB472">
        <v>0.9</v>
      </c>
      <c r="AC472" t="s">
        <v>85</v>
      </c>
    </row>
    <row r="473" spans="1:29" x14ac:dyDescent="0.3">
      <c r="A473" t="s">
        <v>1539</v>
      </c>
      <c r="C473" t="s">
        <v>1495</v>
      </c>
      <c r="D473" t="s">
        <v>1540</v>
      </c>
      <c r="E473">
        <v>10000000</v>
      </c>
      <c r="L473" t="s">
        <v>58</v>
      </c>
      <c r="O473">
        <v>0.74</v>
      </c>
      <c r="P473" t="s">
        <v>262</v>
      </c>
      <c r="T473">
        <v>5</v>
      </c>
      <c r="V473">
        <v>50</v>
      </c>
      <c r="W473" t="s">
        <v>1137</v>
      </c>
      <c r="X473" t="s">
        <v>280</v>
      </c>
      <c r="Y473">
        <v>10</v>
      </c>
      <c r="AB473">
        <v>0.84</v>
      </c>
      <c r="AC473" t="s">
        <v>85</v>
      </c>
    </row>
    <row r="474" spans="1:29" x14ac:dyDescent="0.3">
      <c r="A474" t="s">
        <v>1539</v>
      </c>
      <c r="C474" t="s">
        <v>1495</v>
      </c>
      <c r="D474" t="s">
        <v>1540</v>
      </c>
      <c r="E474">
        <v>10000000</v>
      </c>
      <c r="L474" t="s">
        <v>58</v>
      </c>
      <c r="O474">
        <v>0.74</v>
      </c>
      <c r="P474" t="s">
        <v>262</v>
      </c>
      <c r="T474">
        <v>5</v>
      </c>
      <c r="V474">
        <v>50</v>
      </c>
      <c r="W474" t="s">
        <v>1137</v>
      </c>
      <c r="X474" t="s">
        <v>280</v>
      </c>
      <c r="Y474">
        <v>11</v>
      </c>
      <c r="AB474">
        <v>0.83</v>
      </c>
      <c r="AC474" t="s">
        <v>85</v>
      </c>
    </row>
    <row r="475" spans="1:29" x14ac:dyDescent="0.3">
      <c r="A475" t="s">
        <v>1539</v>
      </c>
      <c r="C475" t="s">
        <v>1495</v>
      </c>
      <c r="D475" t="s">
        <v>1540</v>
      </c>
      <c r="E475">
        <v>10000000</v>
      </c>
      <c r="L475" t="s">
        <v>58</v>
      </c>
      <c r="O475">
        <v>0.74</v>
      </c>
      <c r="P475" t="s">
        <v>262</v>
      </c>
      <c r="T475">
        <v>5</v>
      </c>
      <c r="V475">
        <v>50</v>
      </c>
      <c r="W475" t="s">
        <v>1137</v>
      </c>
      <c r="X475" t="s">
        <v>280</v>
      </c>
      <c r="Y475">
        <v>10</v>
      </c>
      <c r="AB475">
        <v>0.69</v>
      </c>
      <c r="AC475" t="s">
        <v>85</v>
      </c>
    </row>
    <row r="476" spans="1:29" x14ac:dyDescent="0.3">
      <c r="A476" t="s">
        <v>1539</v>
      </c>
      <c r="C476" t="s">
        <v>1495</v>
      </c>
      <c r="D476" t="s">
        <v>1540</v>
      </c>
      <c r="E476">
        <v>10000000</v>
      </c>
      <c r="L476" t="s">
        <v>58</v>
      </c>
      <c r="O476">
        <v>0.74</v>
      </c>
      <c r="P476" t="s">
        <v>262</v>
      </c>
      <c r="T476">
        <v>5</v>
      </c>
      <c r="V476">
        <v>50</v>
      </c>
      <c r="W476" t="s">
        <v>1137</v>
      </c>
      <c r="X476" t="s">
        <v>280</v>
      </c>
      <c r="Y476">
        <v>9</v>
      </c>
      <c r="AB476">
        <v>0.67</v>
      </c>
      <c r="AC476" t="s">
        <v>85</v>
      </c>
    </row>
    <row r="477" spans="1:29" x14ac:dyDescent="0.3">
      <c r="A477" t="s">
        <v>1539</v>
      </c>
      <c r="C477" t="s">
        <v>1495</v>
      </c>
      <c r="D477" t="s">
        <v>1540</v>
      </c>
      <c r="E477">
        <v>10000000</v>
      </c>
      <c r="L477" t="s">
        <v>58</v>
      </c>
      <c r="O477">
        <v>0.74</v>
      </c>
      <c r="P477" t="s">
        <v>262</v>
      </c>
      <c r="T477">
        <v>5</v>
      </c>
      <c r="V477">
        <v>50</v>
      </c>
      <c r="W477" t="s">
        <v>1137</v>
      </c>
      <c r="X477" t="s">
        <v>280</v>
      </c>
      <c r="Y477">
        <v>9</v>
      </c>
      <c r="AB477">
        <v>0.61</v>
      </c>
      <c r="AC477" t="s">
        <v>85</v>
      </c>
    </row>
    <row r="478" spans="1:29" x14ac:dyDescent="0.3">
      <c r="A478" t="s">
        <v>1539</v>
      </c>
      <c r="C478" t="s">
        <v>1495</v>
      </c>
      <c r="D478" t="s">
        <v>1540</v>
      </c>
      <c r="E478">
        <v>10000000</v>
      </c>
      <c r="L478" t="s">
        <v>58</v>
      </c>
      <c r="O478">
        <v>0.74</v>
      </c>
      <c r="P478" t="s">
        <v>262</v>
      </c>
      <c r="T478">
        <v>5</v>
      </c>
      <c r="V478">
        <v>50</v>
      </c>
      <c r="W478" t="s">
        <v>1137</v>
      </c>
      <c r="X478" t="s">
        <v>280</v>
      </c>
      <c r="Y478">
        <v>8</v>
      </c>
      <c r="AB478">
        <v>0.66</v>
      </c>
      <c r="AC478" t="s">
        <v>85</v>
      </c>
    </row>
    <row r="479" spans="1:29" x14ac:dyDescent="0.3">
      <c r="A479" t="s">
        <v>1539</v>
      </c>
      <c r="C479" t="s">
        <v>1495</v>
      </c>
      <c r="D479" t="s">
        <v>1540</v>
      </c>
      <c r="E479">
        <v>10000000</v>
      </c>
      <c r="L479" t="s">
        <v>58</v>
      </c>
      <c r="O479">
        <v>0.74</v>
      </c>
      <c r="P479" t="s">
        <v>262</v>
      </c>
      <c r="T479">
        <v>5</v>
      </c>
      <c r="V479">
        <v>50</v>
      </c>
      <c r="W479" t="s">
        <v>1137</v>
      </c>
      <c r="X479" t="s">
        <v>280</v>
      </c>
      <c r="Y479">
        <v>5</v>
      </c>
      <c r="AB479">
        <v>0.53</v>
      </c>
      <c r="AC479" t="s">
        <v>85</v>
      </c>
    </row>
    <row r="480" spans="1:29" x14ac:dyDescent="0.3">
      <c r="A480" t="s">
        <v>1539</v>
      </c>
      <c r="C480" t="s">
        <v>1495</v>
      </c>
      <c r="D480" t="s">
        <v>1540</v>
      </c>
      <c r="E480">
        <v>10000000</v>
      </c>
      <c r="L480" t="s">
        <v>58</v>
      </c>
      <c r="O480">
        <v>0.74</v>
      </c>
      <c r="P480" t="s">
        <v>262</v>
      </c>
      <c r="T480">
        <v>5</v>
      </c>
      <c r="V480">
        <v>50</v>
      </c>
      <c r="W480" t="s">
        <v>1137</v>
      </c>
      <c r="X480" t="s">
        <v>280</v>
      </c>
      <c r="Y480">
        <v>3</v>
      </c>
      <c r="AB480">
        <v>0.49</v>
      </c>
      <c r="AC480" t="s">
        <v>85</v>
      </c>
    </row>
    <row r="481" spans="1:29" x14ac:dyDescent="0.3">
      <c r="A481" t="s">
        <v>1539</v>
      </c>
      <c r="C481" t="s">
        <v>1495</v>
      </c>
      <c r="D481" t="s">
        <v>1540</v>
      </c>
      <c r="E481">
        <v>10000000</v>
      </c>
      <c r="L481" t="s">
        <v>58</v>
      </c>
      <c r="O481">
        <v>0.74</v>
      </c>
      <c r="P481" t="s">
        <v>262</v>
      </c>
      <c r="T481">
        <v>5</v>
      </c>
      <c r="V481">
        <v>50</v>
      </c>
      <c r="W481" t="s">
        <v>1137</v>
      </c>
      <c r="X481" t="s">
        <v>280</v>
      </c>
      <c r="Y481">
        <v>1</v>
      </c>
      <c r="AB481">
        <v>0.49</v>
      </c>
      <c r="AC481" t="s">
        <v>85</v>
      </c>
    </row>
    <row r="482" spans="1:29" x14ac:dyDescent="0.3">
      <c r="A482" t="s">
        <v>1539</v>
      </c>
      <c r="C482" t="s">
        <v>1495</v>
      </c>
      <c r="D482" t="s">
        <v>1540</v>
      </c>
      <c r="E482">
        <v>10000000</v>
      </c>
      <c r="L482" t="s">
        <v>58</v>
      </c>
      <c r="O482">
        <v>1</v>
      </c>
      <c r="P482" t="s">
        <v>262</v>
      </c>
      <c r="T482">
        <v>5</v>
      </c>
      <c r="V482">
        <v>50</v>
      </c>
      <c r="W482" t="s">
        <v>1137</v>
      </c>
      <c r="X482" t="s">
        <v>280</v>
      </c>
      <c r="Y482">
        <v>20</v>
      </c>
      <c r="AB482">
        <v>2.2200000000000002</v>
      </c>
      <c r="AC482" t="s">
        <v>85</v>
      </c>
    </row>
    <row r="483" spans="1:29" x14ac:dyDescent="0.3">
      <c r="A483" t="s">
        <v>1539</v>
      </c>
      <c r="C483" t="s">
        <v>1495</v>
      </c>
      <c r="D483" t="s">
        <v>1540</v>
      </c>
      <c r="E483">
        <v>10000000</v>
      </c>
      <c r="L483" t="s">
        <v>58</v>
      </c>
      <c r="O483">
        <v>1</v>
      </c>
      <c r="P483" t="s">
        <v>262</v>
      </c>
      <c r="T483">
        <v>5</v>
      </c>
      <c r="V483">
        <v>50</v>
      </c>
      <c r="W483" t="s">
        <v>1137</v>
      </c>
      <c r="X483" t="s">
        <v>280</v>
      </c>
      <c r="Y483">
        <v>17</v>
      </c>
      <c r="AB483">
        <v>1.85</v>
      </c>
      <c r="AC483" t="s">
        <v>85</v>
      </c>
    </row>
    <row r="484" spans="1:29" x14ac:dyDescent="0.3">
      <c r="A484" t="s">
        <v>1539</v>
      </c>
      <c r="C484" t="s">
        <v>1495</v>
      </c>
      <c r="D484" t="s">
        <v>1540</v>
      </c>
      <c r="E484">
        <v>100000000</v>
      </c>
      <c r="L484" t="s">
        <v>58</v>
      </c>
      <c r="O484">
        <v>1</v>
      </c>
      <c r="P484" t="s">
        <v>262</v>
      </c>
      <c r="T484">
        <v>5</v>
      </c>
      <c r="V484">
        <v>50</v>
      </c>
      <c r="W484" t="s">
        <v>1137</v>
      </c>
      <c r="X484" t="s">
        <v>280</v>
      </c>
      <c r="Y484">
        <v>15</v>
      </c>
      <c r="AB484">
        <v>1.62</v>
      </c>
      <c r="AC484" t="s">
        <v>85</v>
      </c>
    </row>
    <row r="485" spans="1:29" x14ac:dyDescent="0.3">
      <c r="A485" t="s">
        <v>1539</v>
      </c>
      <c r="C485" t="s">
        <v>1495</v>
      </c>
      <c r="D485" t="s">
        <v>1540</v>
      </c>
      <c r="E485">
        <v>100000000</v>
      </c>
      <c r="L485" t="s">
        <v>58</v>
      </c>
      <c r="O485">
        <v>1</v>
      </c>
      <c r="P485" t="s">
        <v>262</v>
      </c>
      <c r="T485">
        <v>5</v>
      </c>
      <c r="V485">
        <v>50</v>
      </c>
      <c r="W485" t="s">
        <v>1137</v>
      </c>
      <c r="X485" t="s">
        <v>280</v>
      </c>
      <c r="Y485">
        <v>15</v>
      </c>
      <c r="AB485">
        <v>1.52</v>
      </c>
      <c r="AC485" t="s">
        <v>85</v>
      </c>
    </row>
    <row r="486" spans="1:29" x14ac:dyDescent="0.3">
      <c r="A486" t="s">
        <v>1539</v>
      </c>
      <c r="C486" t="s">
        <v>1495</v>
      </c>
      <c r="D486" t="s">
        <v>1540</v>
      </c>
      <c r="E486">
        <v>100000000</v>
      </c>
      <c r="L486" t="s">
        <v>58</v>
      </c>
      <c r="O486">
        <v>1</v>
      </c>
      <c r="P486" t="s">
        <v>262</v>
      </c>
      <c r="T486">
        <v>5</v>
      </c>
      <c r="V486">
        <v>50</v>
      </c>
      <c r="W486" t="s">
        <v>1137</v>
      </c>
      <c r="X486" t="s">
        <v>280</v>
      </c>
      <c r="Y486">
        <v>14</v>
      </c>
      <c r="AB486">
        <v>1.44</v>
      </c>
      <c r="AC486" t="s">
        <v>85</v>
      </c>
    </row>
    <row r="487" spans="1:29" x14ac:dyDescent="0.3">
      <c r="A487" t="s">
        <v>1539</v>
      </c>
      <c r="C487" t="s">
        <v>1495</v>
      </c>
      <c r="D487" t="s">
        <v>1540</v>
      </c>
      <c r="E487">
        <v>100000000</v>
      </c>
      <c r="L487" t="s">
        <v>58</v>
      </c>
      <c r="O487">
        <v>1</v>
      </c>
      <c r="P487" t="s">
        <v>262</v>
      </c>
      <c r="T487">
        <v>5</v>
      </c>
      <c r="V487">
        <v>50</v>
      </c>
      <c r="W487" t="s">
        <v>1137</v>
      </c>
      <c r="X487" t="s">
        <v>280</v>
      </c>
      <c r="Y487">
        <v>14</v>
      </c>
      <c r="AB487">
        <v>1.43</v>
      </c>
      <c r="AC487" t="s">
        <v>85</v>
      </c>
    </row>
    <row r="488" spans="1:29" x14ac:dyDescent="0.3">
      <c r="A488" t="s">
        <v>1539</v>
      </c>
      <c r="C488" t="s">
        <v>1495</v>
      </c>
      <c r="D488" t="s">
        <v>1540</v>
      </c>
      <c r="E488">
        <v>100000000</v>
      </c>
      <c r="L488" t="s">
        <v>58</v>
      </c>
      <c r="O488">
        <v>1</v>
      </c>
      <c r="P488" t="s">
        <v>262</v>
      </c>
      <c r="T488">
        <v>5</v>
      </c>
      <c r="V488">
        <v>50</v>
      </c>
      <c r="W488" t="s">
        <v>1137</v>
      </c>
      <c r="X488" t="s">
        <v>280</v>
      </c>
      <c r="Y488">
        <v>13</v>
      </c>
      <c r="AB488">
        <v>1.44</v>
      </c>
      <c r="AC488" t="s">
        <v>85</v>
      </c>
    </row>
    <row r="489" spans="1:29" x14ac:dyDescent="0.3">
      <c r="A489" t="s">
        <v>1539</v>
      </c>
      <c r="C489" t="s">
        <v>1495</v>
      </c>
      <c r="D489" t="s">
        <v>1540</v>
      </c>
      <c r="E489">
        <v>100000000</v>
      </c>
      <c r="L489" t="s">
        <v>58</v>
      </c>
      <c r="O489">
        <v>1</v>
      </c>
      <c r="P489" t="s">
        <v>262</v>
      </c>
      <c r="T489">
        <v>5</v>
      </c>
      <c r="V489">
        <v>50</v>
      </c>
      <c r="W489" t="s">
        <v>1137</v>
      </c>
      <c r="X489" t="s">
        <v>280</v>
      </c>
      <c r="Y489">
        <v>13</v>
      </c>
      <c r="AB489">
        <v>1.37</v>
      </c>
      <c r="AC489" t="s">
        <v>85</v>
      </c>
    </row>
    <row r="490" spans="1:29" x14ac:dyDescent="0.3">
      <c r="A490" t="s">
        <v>1539</v>
      </c>
      <c r="C490" t="s">
        <v>1495</v>
      </c>
      <c r="D490" t="s">
        <v>1540</v>
      </c>
      <c r="E490">
        <v>100000000</v>
      </c>
      <c r="L490" t="s">
        <v>58</v>
      </c>
      <c r="O490">
        <v>1</v>
      </c>
      <c r="P490" t="s">
        <v>262</v>
      </c>
      <c r="T490">
        <v>5</v>
      </c>
      <c r="V490">
        <v>50</v>
      </c>
      <c r="W490" t="s">
        <v>1137</v>
      </c>
      <c r="X490" t="s">
        <v>280</v>
      </c>
      <c r="Y490">
        <v>12</v>
      </c>
      <c r="AB490">
        <v>1.26</v>
      </c>
      <c r="AC490" t="s">
        <v>85</v>
      </c>
    </row>
    <row r="491" spans="1:29" x14ac:dyDescent="0.3">
      <c r="A491" t="s">
        <v>1539</v>
      </c>
      <c r="C491" t="s">
        <v>1495</v>
      </c>
      <c r="D491" t="s">
        <v>1540</v>
      </c>
      <c r="E491">
        <v>100000000</v>
      </c>
      <c r="L491" t="s">
        <v>58</v>
      </c>
      <c r="O491">
        <v>1</v>
      </c>
      <c r="P491" t="s">
        <v>262</v>
      </c>
      <c r="T491">
        <v>5</v>
      </c>
      <c r="V491">
        <v>50</v>
      </c>
      <c r="W491" t="s">
        <v>1137</v>
      </c>
      <c r="X491" t="s">
        <v>280</v>
      </c>
      <c r="Y491">
        <v>12</v>
      </c>
      <c r="AB491">
        <v>1.21</v>
      </c>
      <c r="AC491" t="s">
        <v>85</v>
      </c>
    </row>
    <row r="492" spans="1:29" x14ac:dyDescent="0.3">
      <c r="A492" t="s">
        <v>1539</v>
      </c>
      <c r="C492" t="s">
        <v>1495</v>
      </c>
      <c r="D492" t="s">
        <v>1540</v>
      </c>
      <c r="E492">
        <v>100000000</v>
      </c>
      <c r="L492" t="s">
        <v>58</v>
      </c>
      <c r="O492">
        <v>1</v>
      </c>
      <c r="P492" t="s">
        <v>262</v>
      </c>
      <c r="T492">
        <v>5</v>
      </c>
      <c r="V492">
        <v>50</v>
      </c>
      <c r="W492" t="s">
        <v>1137</v>
      </c>
      <c r="X492" t="s">
        <v>280</v>
      </c>
      <c r="Y492">
        <v>11</v>
      </c>
      <c r="AB492">
        <v>1.19</v>
      </c>
      <c r="AC492" t="s">
        <v>85</v>
      </c>
    </row>
    <row r="493" spans="1:29" x14ac:dyDescent="0.3">
      <c r="A493" t="s">
        <v>1539</v>
      </c>
      <c r="C493" t="s">
        <v>1495</v>
      </c>
      <c r="D493" t="s">
        <v>1540</v>
      </c>
      <c r="E493">
        <v>100000000</v>
      </c>
      <c r="L493" t="s">
        <v>58</v>
      </c>
      <c r="O493">
        <v>1</v>
      </c>
      <c r="P493" t="s">
        <v>262</v>
      </c>
      <c r="T493">
        <v>5</v>
      </c>
      <c r="V493">
        <v>50</v>
      </c>
      <c r="W493" t="s">
        <v>1137</v>
      </c>
      <c r="X493" t="s">
        <v>280</v>
      </c>
      <c r="Y493">
        <v>11</v>
      </c>
      <c r="AB493">
        <v>1.19</v>
      </c>
      <c r="AC493" t="s">
        <v>85</v>
      </c>
    </row>
    <row r="494" spans="1:29" x14ac:dyDescent="0.3">
      <c r="A494" t="s">
        <v>1539</v>
      </c>
      <c r="C494" t="s">
        <v>1495</v>
      </c>
      <c r="D494" t="s">
        <v>1540</v>
      </c>
      <c r="E494">
        <v>100000000</v>
      </c>
      <c r="L494" t="s">
        <v>58</v>
      </c>
      <c r="O494">
        <v>1</v>
      </c>
      <c r="P494" t="s">
        <v>262</v>
      </c>
      <c r="T494">
        <v>5</v>
      </c>
      <c r="V494">
        <v>50</v>
      </c>
      <c r="W494" t="s">
        <v>1137</v>
      </c>
      <c r="X494" t="s">
        <v>280</v>
      </c>
      <c r="Y494">
        <v>10</v>
      </c>
      <c r="AB494">
        <v>1</v>
      </c>
      <c r="AC494" t="s">
        <v>85</v>
      </c>
    </row>
    <row r="495" spans="1:29" x14ac:dyDescent="0.3">
      <c r="A495" t="s">
        <v>1539</v>
      </c>
      <c r="C495" t="s">
        <v>1495</v>
      </c>
      <c r="D495" t="s">
        <v>1540</v>
      </c>
      <c r="E495">
        <v>100000000</v>
      </c>
      <c r="L495" t="s">
        <v>58</v>
      </c>
      <c r="O495">
        <v>1</v>
      </c>
      <c r="P495" t="s">
        <v>262</v>
      </c>
      <c r="T495">
        <v>5</v>
      </c>
      <c r="V495">
        <v>50</v>
      </c>
      <c r="W495" t="s">
        <v>1137</v>
      </c>
      <c r="X495" t="s">
        <v>280</v>
      </c>
      <c r="Y495">
        <v>10</v>
      </c>
      <c r="AB495">
        <v>0.99</v>
      </c>
      <c r="AC495" t="s">
        <v>85</v>
      </c>
    </row>
    <row r="496" spans="1:29" x14ac:dyDescent="0.3">
      <c r="A496" t="s">
        <v>1539</v>
      </c>
      <c r="C496" t="s">
        <v>1495</v>
      </c>
      <c r="D496" t="s">
        <v>1540</v>
      </c>
      <c r="E496">
        <v>100000000</v>
      </c>
      <c r="L496" t="s">
        <v>58</v>
      </c>
      <c r="O496">
        <v>1</v>
      </c>
      <c r="P496" t="s">
        <v>262</v>
      </c>
      <c r="T496">
        <v>5</v>
      </c>
      <c r="V496">
        <v>50</v>
      </c>
      <c r="W496" t="s">
        <v>1137</v>
      </c>
      <c r="X496" t="s">
        <v>280</v>
      </c>
      <c r="Y496">
        <v>9</v>
      </c>
      <c r="AB496">
        <v>0.91</v>
      </c>
      <c r="AC496" t="s">
        <v>85</v>
      </c>
    </row>
    <row r="497" spans="1:29" x14ac:dyDescent="0.3">
      <c r="A497" t="s">
        <v>1539</v>
      </c>
      <c r="C497" t="s">
        <v>1495</v>
      </c>
      <c r="D497" t="s">
        <v>1540</v>
      </c>
      <c r="E497">
        <v>100000000</v>
      </c>
      <c r="L497" t="s">
        <v>58</v>
      </c>
      <c r="O497">
        <v>1</v>
      </c>
      <c r="P497" t="s">
        <v>262</v>
      </c>
      <c r="T497">
        <v>5</v>
      </c>
      <c r="V497">
        <v>50</v>
      </c>
      <c r="W497" t="s">
        <v>1137</v>
      </c>
      <c r="X497" t="s">
        <v>280</v>
      </c>
      <c r="Y497">
        <v>9</v>
      </c>
      <c r="AB497">
        <v>0.83</v>
      </c>
      <c r="AC497" t="s">
        <v>85</v>
      </c>
    </row>
    <row r="498" spans="1:29" x14ac:dyDescent="0.3">
      <c r="A498" t="s">
        <v>1539</v>
      </c>
      <c r="C498" t="s">
        <v>1495</v>
      </c>
      <c r="D498" t="s">
        <v>1540</v>
      </c>
      <c r="E498">
        <v>100000000</v>
      </c>
      <c r="L498" t="s">
        <v>58</v>
      </c>
      <c r="O498">
        <v>1</v>
      </c>
      <c r="P498" t="s">
        <v>262</v>
      </c>
      <c r="T498">
        <v>5</v>
      </c>
      <c r="V498">
        <v>50</v>
      </c>
      <c r="W498" t="s">
        <v>1137</v>
      </c>
      <c r="X498" t="s">
        <v>280</v>
      </c>
      <c r="Y498">
        <v>8</v>
      </c>
      <c r="AB498">
        <v>0.76</v>
      </c>
      <c r="AC498" t="s">
        <v>85</v>
      </c>
    </row>
    <row r="499" spans="1:29" x14ac:dyDescent="0.3">
      <c r="A499" t="s">
        <v>1539</v>
      </c>
      <c r="C499" t="s">
        <v>1495</v>
      </c>
      <c r="D499" t="s">
        <v>1540</v>
      </c>
      <c r="E499">
        <v>100000000</v>
      </c>
      <c r="L499" t="s">
        <v>58</v>
      </c>
      <c r="O499">
        <v>1</v>
      </c>
      <c r="P499" t="s">
        <v>262</v>
      </c>
      <c r="T499">
        <v>5</v>
      </c>
      <c r="V499">
        <v>50</v>
      </c>
      <c r="W499" t="s">
        <v>1137</v>
      </c>
      <c r="X499" t="s">
        <v>280</v>
      </c>
      <c r="Y499">
        <v>7</v>
      </c>
      <c r="AB499">
        <v>0.68</v>
      </c>
      <c r="AC499" t="s">
        <v>85</v>
      </c>
    </row>
    <row r="500" spans="1:29" x14ac:dyDescent="0.3">
      <c r="A500" t="s">
        <v>1539</v>
      </c>
      <c r="C500" t="s">
        <v>1495</v>
      </c>
      <c r="D500" t="s">
        <v>1540</v>
      </c>
      <c r="E500">
        <v>100000000</v>
      </c>
      <c r="L500" t="s">
        <v>58</v>
      </c>
      <c r="O500">
        <v>1</v>
      </c>
      <c r="P500" t="s">
        <v>262</v>
      </c>
      <c r="T500">
        <v>5</v>
      </c>
      <c r="V500">
        <v>50</v>
      </c>
      <c r="W500" t="s">
        <v>1137</v>
      </c>
      <c r="X500" t="s">
        <v>280</v>
      </c>
      <c r="Y500">
        <v>7</v>
      </c>
      <c r="AB500">
        <v>0.64</v>
      </c>
      <c r="AC500" t="s">
        <v>85</v>
      </c>
    </row>
    <row r="501" spans="1:29" x14ac:dyDescent="0.3">
      <c r="A501" t="s">
        <v>1539</v>
      </c>
      <c r="C501" t="s">
        <v>1495</v>
      </c>
      <c r="D501" t="s">
        <v>1540</v>
      </c>
      <c r="E501">
        <v>100000000</v>
      </c>
      <c r="L501" t="s">
        <v>58</v>
      </c>
      <c r="O501">
        <v>1</v>
      </c>
      <c r="P501" t="s">
        <v>262</v>
      </c>
      <c r="T501">
        <v>5</v>
      </c>
      <c r="V501">
        <v>50</v>
      </c>
      <c r="W501" t="s">
        <v>1137</v>
      </c>
      <c r="X501" t="s">
        <v>280</v>
      </c>
      <c r="Y501">
        <v>7</v>
      </c>
      <c r="AB501">
        <v>0.59</v>
      </c>
      <c r="AC501" t="s">
        <v>85</v>
      </c>
    </row>
    <row r="502" spans="1:29" x14ac:dyDescent="0.3">
      <c r="A502" t="s">
        <v>1539</v>
      </c>
      <c r="C502" t="s">
        <v>1495</v>
      </c>
      <c r="D502" t="s">
        <v>1540</v>
      </c>
      <c r="E502">
        <v>100000000</v>
      </c>
      <c r="L502" t="s">
        <v>58</v>
      </c>
      <c r="O502">
        <v>1</v>
      </c>
      <c r="P502" t="s">
        <v>262</v>
      </c>
      <c r="T502">
        <v>5</v>
      </c>
      <c r="V502">
        <v>50</v>
      </c>
      <c r="W502" t="s">
        <v>1137</v>
      </c>
      <c r="X502" t="s">
        <v>280</v>
      </c>
      <c r="Y502">
        <v>7</v>
      </c>
      <c r="AB502">
        <v>0.56000000000000005</v>
      </c>
      <c r="AC502" t="s">
        <v>85</v>
      </c>
    </row>
    <row r="503" spans="1:29" x14ac:dyDescent="0.3">
      <c r="A503" t="s">
        <v>1539</v>
      </c>
      <c r="C503" t="s">
        <v>1495</v>
      </c>
      <c r="D503" t="s">
        <v>1540</v>
      </c>
      <c r="E503">
        <v>100000000</v>
      </c>
      <c r="L503" t="s">
        <v>58</v>
      </c>
      <c r="O503">
        <v>1</v>
      </c>
      <c r="P503" t="s">
        <v>262</v>
      </c>
      <c r="T503">
        <v>5</v>
      </c>
      <c r="V503">
        <v>50</v>
      </c>
      <c r="W503" t="s">
        <v>1137</v>
      </c>
      <c r="X503" t="s">
        <v>280</v>
      </c>
      <c r="Y503">
        <v>6</v>
      </c>
      <c r="AB503">
        <v>0.65</v>
      </c>
      <c r="AC503" t="s">
        <v>85</v>
      </c>
    </row>
    <row r="504" spans="1:29" x14ac:dyDescent="0.3">
      <c r="A504" t="s">
        <v>1539</v>
      </c>
      <c r="C504" t="s">
        <v>1495</v>
      </c>
      <c r="D504" t="s">
        <v>1540</v>
      </c>
      <c r="E504">
        <v>100000000</v>
      </c>
      <c r="L504" t="s">
        <v>58</v>
      </c>
      <c r="O504">
        <v>1</v>
      </c>
      <c r="P504" t="s">
        <v>262</v>
      </c>
      <c r="T504">
        <v>5</v>
      </c>
      <c r="V504">
        <v>50</v>
      </c>
      <c r="W504" t="s">
        <v>1137</v>
      </c>
      <c r="X504" t="s">
        <v>280</v>
      </c>
      <c r="Y504">
        <v>5</v>
      </c>
      <c r="AB504">
        <v>0.64</v>
      </c>
      <c r="AC504" t="s">
        <v>85</v>
      </c>
    </row>
    <row r="505" spans="1:29" x14ac:dyDescent="0.3">
      <c r="A505" t="s">
        <v>1539</v>
      </c>
      <c r="C505" t="s">
        <v>1495</v>
      </c>
      <c r="D505" t="s">
        <v>1540</v>
      </c>
      <c r="E505">
        <v>100000000</v>
      </c>
      <c r="L505" t="s">
        <v>58</v>
      </c>
      <c r="O505">
        <v>1</v>
      </c>
      <c r="P505" t="s">
        <v>262</v>
      </c>
      <c r="T505">
        <v>5</v>
      </c>
      <c r="V505">
        <v>50</v>
      </c>
      <c r="W505" t="s">
        <v>1137</v>
      </c>
      <c r="X505" t="s">
        <v>280</v>
      </c>
      <c r="Y505">
        <v>4</v>
      </c>
      <c r="AB505">
        <v>0.54</v>
      </c>
      <c r="AC505" t="s">
        <v>85</v>
      </c>
    </row>
    <row r="506" spans="1:29" x14ac:dyDescent="0.3">
      <c r="A506" t="s">
        <v>1539</v>
      </c>
      <c r="C506" t="s">
        <v>1495</v>
      </c>
      <c r="D506" t="s">
        <v>1540</v>
      </c>
      <c r="E506">
        <v>100000000</v>
      </c>
      <c r="L506" t="s">
        <v>58</v>
      </c>
      <c r="O506">
        <v>1</v>
      </c>
      <c r="P506" t="s">
        <v>262</v>
      </c>
      <c r="T506">
        <v>5</v>
      </c>
      <c r="V506">
        <v>50</v>
      </c>
      <c r="W506" t="s">
        <v>1137</v>
      </c>
      <c r="X506" t="s">
        <v>280</v>
      </c>
      <c r="Y506">
        <v>2</v>
      </c>
      <c r="AB506">
        <v>0.48</v>
      </c>
      <c r="AC506" t="s">
        <v>85</v>
      </c>
    </row>
    <row r="507" spans="1:29" x14ac:dyDescent="0.3">
      <c r="A507" t="s">
        <v>1539</v>
      </c>
      <c r="C507" t="s">
        <v>1495</v>
      </c>
      <c r="D507" t="s">
        <v>1540</v>
      </c>
      <c r="E507">
        <v>100000000</v>
      </c>
      <c r="L507" t="s">
        <v>58</v>
      </c>
      <c r="O507">
        <v>1</v>
      </c>
      <c r="P507" t="s">
        <v>262</v>
      </c>
      <c r="T507">
        <v>5</v>
      </c>
      <c r="V507">
        <v>50</v>
      </c>
      <c r="W507" t="s">
        <v>1137</v>
      </c>
      <c r="X507" t="s">
        <v>280</v>
      </c>
      <c r="Y507">
        <v>1</v>
      </c>
      <c r="AB507">
        <v>0.49</v>
      </c>
      <c r="AC507" t="s">
        <v>85</v>
      </c>
    </row>
    <row r="508" spans="1:29" x14ac:dyDescent="0.3">
      <c r="A508" t="s">
        <v>1539</v>
      </c>
      <c r="C508" t="s">
        <v>1495</v>
      </c>
      <c r="D508" t="s">
        <v>1540</v>
      </c>
      <c r="E508">
        <v>100000000</v>
      </c>
      <c r="L508" t="s">
        <v>58</v>
      </c>
      <c r="O508">
        <v>1.25</v>
      </c>
      <c r="P508" t="s">
        <v>262</v>
      </c>
      <c r="T508">
        <v>5</v>
      </c>
      <c r="V508">
        <v>50</v>
      </c>
      <c r="W508" t="s">
        <v>1137</v>
      </c>
      <c r="X508" t="s">
        <v>280</v>
      </c>
      <c r="Y508">
        <v>12</v>
      </c>
      <c r="AB508">
        <v>1.96</v>
      </c>
      <c r="AC508" t="s">
        <v>85</v>
      </c>
    </row>
    <row r="509" spans="1:29" x14ac:dyDescent="0.3">
      <c r="A509" t="s">
        <v>1539</v>
      </c>
      <c r="C509" t="s">
        <v>1495</v>
      </c>
      <c r="D509" t="s">
        <v>1540</v>
      </c>
      <c r="E509">
        <v>100000000</v>
      </c>
      <c r="L509" t="s">
        <v>58</v>
      </c>
      <c r="O509">
        <v>1.25</v>
      </c>
      <c r="P509" t="s">
        <v>262</v>
      </c>
      <c r="T509">
        <v>5</v>
      </c>
      <c r="V509">
        <v>50</v>
      </c>
      <c r="W509" t="s">
        <v>1137</v>
      </c>
      <c r="X509" t="s">
        <v>280</v>
      </c>
      <c r="Y509">
        <v>10</v>
      </c>
      <c r="AB509">
        <v>1.45</v>
      </c>
      <c r="AC509" t="s">
        <v>85</v>
      </c>
    </row>
    <row r="510" spans="1:29" x14ac:dyDescent="0.3">
      <c r="A510" t="s">
        <v>1539</v>
      </c>
      <c r="C510" t="s">
        <v>1495</v>
      </c>
      <c r="D510" t="s">
        <v>1540</v>
      </c>
      <c r="E510">
        <v>100000000</v>
      </c>
      <c r="L510" t="s">
        <v>58</v>
      </c>
      <c r="O510">
        <v>1.25</v>
      </c>
      <c r="P510" t="s">
        <v>262</v>
      </c>
      <c r="T510">
        <v>5</v>
      </c>
      <c r="V510">
        <v>50</v>
      </c>
      <c r="W510" t="s">
        <v>1137</v>
      </c>
      <c r="X510" t="s">
        <v>280</v>
      </c>
      <c r="Y510">
        <v>9</v>
      </c>
      <c r="AB510">
        <v>1.21</v>
      </c>
      <c r="AC510" t="s">
        <v>85</v>
      </c>
    </row>
    <row r="511" spans="1:29" x14ac:dyDescent="0.3">
      <c r="A511" t="s">
        <v>1539</v>
      </c>
      <c r="C511" t="s">
        <v>1495</v>
      </c>
      <c r="D511" t="s">
        <v>1540</v>
      </c>
      <c r="E511">
        <v>100000000</v>
      </c>
      <c r="L511" t="s">
        <v>58</v>
      </c>
      <c r="O511">
        <v>1.25</v>
      </c>
      <c r="P511" t="s">
        <v>262</v>
      </c>
      <c r="T511">
        <v>5</v>
      </c>
      <c r="V511">
        <v>50</v>
      </c>
      <c r="W511" t="s">
        <v>1137</v>
      </c>
      <c r="X511" t="s">
        <v>280</v>
      </c>
      <c r="Y511">
        <v>8</v>
      </c>
      <c r="AB511">
        <v>1.1399999999999999</v>
      </c>
      <c r="AC511" t="s">
        <v>85</v>
      </c>
    </row>
    <row r="512" spans="1:29" x14ac:dyDescent="0.3">
      <c r="A512" t="s">
        <v>1539</v>
      </c>
      <c r="C512" t="s">
        <v>1495</v>
      </c>
      <c r="D512" t="s">
        <v>1540</v>
      </c>
      <c r="E512">
        <v>100000000</v>
      </c>
      <c r="L512" t="s">
        <v>58</v>
      </c>
      <c r="O512">
        <v>1.25</v>
      </c>
      <c r="P512" t="s">
        <v>262</v>
      </c>
      <c r="T512">
        <v>5</v>
      </c>
      <c r="V512">
        <v>50</v>
      </c>
      <c r="W512" t="s">
        <v>1137</v>
      </c>
      <c r="X512" t="s">
        <v>280</v>
      </c>
      <c r="Y512">
        <v>8</v>
      </c>
      <c r="AB512">
        <v>1.03</v>
      </c>
      <c r="AC512" t="s">
        <v>85</v>
      </c>
    </row>
    <row r="513" spans="1:29" x14ac:dyDescent="0.3">
      <c r="A513" t="s">
        <v>1539</v>
      </c>
      <c r="C513" t="s">
        <v>1495</v>
      </c>
      <c r="D513" t="s">
        <v>1540</v>
      </c>
      <c r="E513">
        <v>100000000</v>
      </c>
      <c r="L513" t="s">
        <v>58</v>
      </c>
      <c r="O513">
        <v>1.25</v>
      </c>
      <c r="P513" t="s">
        <v>262</v>
      </c>
      <c r="T513">
        <v>5</v>
      </c>
      <c r="V513">
        <v>50</v>
      </c>
      <c r="W513" t="s">
        <v>1137</v>
      </c>
      <c r="X513" t="s">
        <v>280</v>
      </c>
      <c r="Y513">
        <v>8</v>
      </c>
      <c r="AB513">
        <v>0.97</v>
      </c>
      <c r="AC513" t="s">
        <v>85</v>
      </c>
    </row>
    <row r="514" spans="1:29" x14ac:dyDescent="0.3">
      <c r="A514" t="s">
        <v>1539</v>
      </c>
      <c r="C514" t="s">
        <v>1495</v>
      </c>
      <c r="D514" t="s">
        <v>1540</v>
      </c>
      <c r="E514">
        <v>100000000</v>
      </c>
      <c r="L514" t="s">
        <v>58</v>
      </c>
      <c r="O514">
        <v>1.25</v>
      </c>
      <c r="P514" t="s">
        <v>262</v>
      </c>
      <c r="T514">
        <v>5</v>
      </c>
      <c r="V514">
        <v>50</v>
      </c>
      <c r="W514" t="s">
        <v>1137</v>
      </c>
      <c r="X514" t="s">
        <v>280</v>
      </c>
      <c r="Y514">
        <v>7</v>
      </c>
      <c r="AB514">
        <v>0.88</v>
      </c>
      <c r="AC514" t="s">
        <v>85</v>
      </c>
    </row>
    <row r="515" spans="1:29" x14ac:dyDescent="0.3">
      <c r="A515" t="s">
        <v>1539</v>
      </c>
      <c r="C515" t="s">
        <v>1495</v>
      </c>
      <c r="D515" t="s">
        <v>1540</v>
      </c>
      <c r="E515">
        <v>100000000</v>
      </c>
      <c r="L515" t="s">
        <v>58</v>
      </c>
      <c r="O515">
        <v>1.25</v>
      </c>
      <c r="P515" t="s">
        <v>262</v>
      </c>
      <c r="T515">
        <v>5</v>
      </c>
      <c r="V515">
        <v>50</v>
      </c>
      <c r="W515" t="s">
        <v>1137</v>
      </c>
      <c r="X515" t="s">
        <v>280</v>
      </c>
      <c r="Y515">
        <v>7</v>
      </c>
      <c r="AB515">
        <v>0.81</v>
      </c>
      <c r="AC515" t="s">
        <v>85</v>
      </c>
    </row>
    <row r="516" spans="1:29" x14ac:dyDescent="0.3">
      <c r="A516" t="s">
        <v>1539</v>
      </c>
      <c r="C516" t="s">
        <v>1495</v>
      </c>
      <c r="D516" t="s">
        <v>1540</v>
      </c>
      <c r="E516">
        <v>109</v>
      </c>
      <c r="L516" t="s">
        <v>58</v>
      </c>
      <c r="O516">
        <v>1.25</v>
      </c>
      <c r="P516" t="s">
        <v>262</v>
      </c>
      <c r="T516">
        <v>5</v>
      </c>
      <c r="V516">
        <v>50</v>
      </c>
      <c r="W516" t="s">
        <v>1137</v>
      </c>
      <c r="X516" t="s">
        <v>280</v>
      </c>
      <c r="Y516">
        <v>6</v>
      </c>
      <c r="AB516">
        <v>0.75</v>
      </c>
      <c r="AC516" t="s">
        <v>85</v>
      </c>
    </row>
    <row r="517" spans="1:29" x14ac:dyDescent="0.3">
      <c r="A517" t="s">
        <v>1539</v>
      </c>
      <c r="C517" t="s">
        <v>1495</v>
      </c>
      <c r="D517" t="s">
        <v>1540</v>
      </c>
      <c r="E517">
        <v>109</v>
      </c>
      <c r="L517" t="s">
        <v>58</v>
      </c>
      <c r="O517">
        <v>1.25</v>
      </c>
      <c r="P517" t="s">
        <v>262</v>
      </c>
      <c r="T517">
        <v>5</v>
      </c>
      <c r="V517">
        <v>50</v>
      </c>
      <c r="W517" t="s">
        <v>1137</v>
      </c>
      <c r="X517" t="s">
        <v>280</v>
      </c>
      <c r="Y517">
        <v>6</v>
      </c>
      <c r="AB517">
        <v>0.99</v>
      </c>
      <c r="AC517" t="s">
        <v>85</v>
      </c>
    </row>
    <row r="518" spans="1:29" x14ac:dyDescent="0.3">
      <c r="A518" t="s">
        <v>1539</v>
      </c>
      <c r="C518" t="s">
        <v>1495</v>
      </c>
      <c r="D518" t="s">
        <v>1540</v>
      </c>
      <c r="E518">
        <v>109</v>
      </c>
      <c r="L518" t="s">
        <v>58</v>
      </c>
      <c r="O518">
        <v>1.25</v>
      </c>
      <c r="P518" t="s">
        <v>262</v>
      </c>
      <c r="T518">
        <v>5</v>
      </c>
      <c r="V518">
        <v>50</v>
      </c>
      <c r="W518" t="s">
        <v>1137</v>
      </c>
      <c r="X518" t="s">
        <v>280</v>
      </c>
      <c r="Y518">
        <v>5</v>
      </c>
      <c r="AB518">
        <v>0.59</v>
      </c>
      <c r="AC518" t="s">
        <v>85</v>
      </c>
    </row>
    <row r="519" spans="1:29" x14ac:dyDescent="0.3">
      <c r="A519" t="s">
        <v>1539</v>
      </c>
      <c r="C519" t="s">
        <v>1495</v>
      </c>
      <c r="D519" t="s">
        <v>1540</v>
      </c>
      <c r="E519">
        <v>109</v>
      </c>
      <c r="L519" t="s">
        <v>58</v>
      </c>
      <c r="O519">
        <v>1.25</v>
      </c>
      <c r="P519" t="s">
        <v>262</v>
      </c>
      <c r="T519">
        <v>5</v>
      </c>
      <c r="V519">
        <v>50</v>
      </c>
      <c r="W519" t="s">
        <v>1137</v>
      </c>
      <c r="X519" t="s">
        <v>280</v>
      </c>
      <c r="Y519">
        <v>5</v>
      </c>
      <c r="AB519">
        <v>0.62</v>
      </c>
      <c r="AC519" t="s">
        <v>85</v>
      </c>
    </row>
    <row r="520" spans="1:29" x14ac:dyDescent="0.3">
      <c r="A520" t="s">
        <v>1539</v>
      </c>
      <c r="C520" t="s">
        <v>1495</v>
      </c>
      <c r="D520" t="s">
        <v>1540</v>
      </c>
      <c r="E520">
        <v>109</v>
      </c>
      <c r="L520" t="s">
        <v>58</v>
      </c>
      <c r="O520">
        <v>1.25</v>
      </c>
      <c r="P520" t="s">
        <v>262</v>
      </c>
      <c r="T520">
        <v>5</v>
      </c>
      <c r="V520">
        <v>50</v>
      </c>
      <c r="W520" t="s">
        <v>1137</v>
      </c>
      <c r="X520" t="s">
        <v>280</v>
      </c>
      <c r="Y520">
        <v>4</v>
      </c>
      <c r="AB520">
        <v>0.61</v>
      </c>
      <c r="AC520" t="s">
        <v>85</v>
      </c>
    </row>
    <row r="521" spans="1:29" x14ac:dyDescent="0.3">
      <c r="A521" t="s">
        <v>1539</v>
      </c>
      <c r="C521" t="s">
        <v>1495</v>
      </c>
      <c r="D521" t="s">
        <v>1540</v>
      </c>
      <c r="E521">
        <v>8000000000</v>
      </c>
      <c r="L521" t="s">
        <v>58</v>
      </c>
      <c r="O521">
        <v>1.25</v>
      </c>
      <c r="P521" t="s">
        <v>262</v>
      </c>
      <c r="T521">
        <v>5</v>
      </c>
      <c r="V521">
        <v>50</v>
      </c>
      <c r="W521" t="s">
        <v>1137</v>
      </c>
      <c r="X521" t="s">
        <v>280</v>
      </c>
      <c r="Y521">
        <v>4</v>
      </c>
      <c r="AB521">
        <v>0.64</v>
      </c>
      <c r="AC521" t="s">
        <v>85</v>
      </c>
    </row>
    <row r="522" spans="1:29" x14ac:dyDescent="0.3">
      <c r="A522" t="s">
        <v>1539</v>
      </c>
      <c r="C522" t="s">
        <v>1495</v>
      </c>
      <c r="D522" t="s">
        <v>1540</v>
      </c>
      <c r="E522">
        <v>8000000000</v>
      </c>
      <c r="L522" t="s">
        <v>58</v>
      </c>
      <c r="O522">
        <v>1.25</v>
      </c>
      <c r="P522" t="s">
        <v>262</v>
      </c>
      <c r="T522">
        <v>5</v>
      </c>
      <c r="V522">
        <v>50</v>
      </c>
      <c r="W522" t="s">
        <v>1137</v>
      </c>
      <c r="X522" t="s">
        <v>280</v>
      </c>
      <c r="Y522">
        <v>3</v>
      </c>
      <c r="AB522">
        <v>0.66</v>
      </c>
      <c r="AC522" t="s">
        <v>85</v>
      </c>
    </row>
    <row r="523" spans="1:29" x14ac:dyDescent="0.3">
      <c r="A523" t="s">
        <v>1539</v>
      </c>
      <c r="C523" t="s">
        <v>1495</v>
      </c>
      <c r="D523" t="s">
        <v>1540</v>
      </c>
      <c r="E523">
        <v>8000000000</v>
      </c>
      <c r="L523" t="s">
        <v>58</v>
      </c>
      <c r="O523">
        <v>1.25</v>
      </c>
      <c r="P523" t="s">
        <v>262</v>
      </c>
      <c r="T523">
        <v>5</v>
      </c>
      <c r="V523">
        <v>50</v>
      </c>
      <c r="W523" t="s">
        <v>1137</v>
      </c>
      <c r="X523" t="s">
        <v>280</v>
      </c>
      <c r="Y523">
        <v>3</v>
      </c>
      <c r="AB523">
        <v>0.55000000000000004</v>
      </c>
      <c r="AC523" t="s">
        <v>85</v>
      </c>
    </row>
    <row r="524" spans="1:29" x14ac:dyDescent="0.3">
      <c r="A524" t="s">
        <v>1539</v>
      </c>
      <c r="C524" t="s">
        <v>1495</v>
      </c>
      <c r="D524" t="s">
        <v>1540</v>
      </c>
      <c r="E524">
        <v>8000000000</v>
      </c>
      <c r="L524" t="s">
        <v>58</v>
      </c>
      <c r="O524">
        <v>1.25</v>
      </c>
      <c r="P524" t="s">
        <v>262</v>
      </c>
      <c r="T524">
        <v>5</v>
      </c>
      <c r="V524">
        <v>50</v>
      </c>
      <c r="W524" t="s">
        <v>1137</v>
      </c>
      <c r="X524" t="s">
        <v>280</v>
      </c>
      <c r="Y524">
        <v>2</v>
      </c>
      <c r="AB524">
        <v>0.54</v>
      </c>
      <c r="AC524" t="s">
        <v>85</v>
      </c>
    </row>
    <row r="525" spans="1:29" x14ac:dyDescent="0.3">
      <c r="A525" t="s">
        <v>1539</v>
      </c>
      <c r="C525" t="s">
        <v>1495</v>
      </c>
      <c r="D525" t="s">
        <v>1540</v>
      </c>
      <c r="E525">
        <v>8000000000</v>
      </c>
      <c r="L525" t="s">
        <v>58</v>
      </c>
      <c r="O525">
        <v>1.25</v>
      </c>
      <c r="P525" t="s">
        <v>262</v>
      </c>
      <c r="T525">
        <v>5</v>
      </c>
      <c r="V525">
        <v>50</v>
      </c>
      <c r="W525" t="s">
        <v>1137</v>
      </c>
      <c r="X525" t="s">
        <v>280</v>
      </c>
      <c r="Y525">
        <v>2</v>
      </c>
      <c r="AB525">
        <v>0.43</v>
      </c>
      <c r="AC525" t="s">
        <v>85</v>
      </c>
    </row>
    <row r="526" spans="1:29" x14ac:dyDescent="0.3">
      <c r="A526" t="s">
        <v>1539</v>
      </c>
      <c r="C526" t="s">
        <v>1495</v>
      </c>
      <c r="D526" t="s">
        <v>1540</v>
      </c>
      <c r="E526">
        <v>8000000000</v>
      </c>
      <c r="L526" t="s">
        <v>58</v>
      </c>
      <c r="O526">
        <v>1.25</v>
      </c>
      <c r="P526" t="s">
        <v>262</v>
      </c>
      <c r="T526">
        <v>5</v>
      </c>
      <c r="V526">
        <v>50</v>
      </c>
      <c r="W526" t="s">
        <v>1137</v>
      </c>
      <c r="X526" t="s">
        <v>280</v>
      </c>
      <c r="Y526">
        <v>1</v>
      </c>
      <c r="AB526">
        <v>0.43</v>
      </c>
      <c r="AC526" t="s">
        <v>85</v>
      </c>
    </row>
    <row r="527" spans="1:29" x14ac:dyDescent="0.3">
      <c r="A527" t="s">
        <v>1539</v>
      </c>
      <c r="C527" t="s">
        <v>1495</v>
      </c>
      <c r="D527" t="s">
        <v>1540</v>
      </c>
      <c r="E527">
        <v>8000000000</v>
      </c>
      <c r="L527" t="s">
        <v>58</v>
      </c>
      <c r="O527">
        <v>0.58599999999999997</v>
      </c>
      <c r="P527" t="s">
        <v>262</v>
      </c>
      <c r="T527">
        <v>20</v>
      </c>
      <c r="V527">
        <v>50</v>
      </c>
      <c r="W527" t="s">
        <v>1137</v>
      </c>
      <c r="X527" t="s">
        <v>280</v>
      </c>
      <c r="Y527">
        <v>14</v>
      </c>
      <c r="AB527">
        <v>2.79</v>
      </c>
      <c r="AC527" t="s">
        <v>85</v>
      </c>
    </row>
    <row r="528" spans="1:29" x14ac:dyDescent="0.3">
      <c r="A528" t="s">
        <v>1539</v>
      </c>
      <c r="C528" t="s">
        <v>1495</v>
      </c>
      <c r="D528" t="s">
        <v>1540</v>
      </c>
      <c r="E528">
        <v>8000000000</v>
      </c>
      <c r="L528" t="s">
        <v>58</v>
      </c>
      <c r="O528">
        <v>0.58599999999999997</v>
      </c>
      <c r="P528" t="s">
        <v>262</v>
      </c>
      <c r="T528">
        <v>20</v>
      </c>
      <c r="V528">
        <v>50</v>
      </c>
      <c r="W528" t="s">
        <v>1137</v>
      </c>
      <c r="X528" t="s">
        <v>280</v>
      </c>
      <c r="Y528">
        <v>12</v>
      </c>
      <c r="AB528">
        <v>2.5299999999999998</v>
      </c>
      <c r="AC528" t="s">
        <v>85</v>
      </c>
    </row>
    <row r="529" spans="1:29" x14ac:dyDescent="0.3">
      <c r="A529" t="s">
        <v>1539</v>
      </c>
      <c r="C529" t="s">
        <v>1495</v>
      </c>
      <c r="D529" t="s">
        <v>1540</v>
      </c>
      <c r="E529">
        <v>8000000000</v>
      </c>
      <c r="L529" t="s">
        <v>58</v>
      </c>
      <c r="O529">
        <v>0.58599999999999997</v>
      </c>
      <c r="P529" t="s">
        <v>262</v>
      </c>
      <c r="T529">
        <v>20</v>
      </c>
      <c r="V529">
        <v>50</v>
      </c>
      <c r="W529" t="s">
        <v>1137</v>
      </c>
      <c r="X529" t="s">
        <v>280</v>
      </c>
      <c r="Y529">
        <v>10</v>
      </c>
      <c r="AB529">
        <v>1.92</v>
      </c>
      <c r="AC529" t="s">
        <v>85</v>
      </c>
    </row>
    <row r="530" spans="1:29" x14ac:dyDescent="0.3">
      <c r="A530" t="s">
        <v>1539</v>
      </c>
      <c r="C530" t="s">
        <v>1495</v>
      </c>
      <c r="D530" t="s">
        <v>1540</v>
      </c>
      <c r="E530">
        <v>8000000000</v>
      </c>
      <c r="L530" t="s">
        <v>58</v>
      </c>
      <c r="O530">
        <v>0.58599999999999997</v>
      </c>
      <c r="P530" t="s">
        <v>262</v>
      </c>
      <c r="T530">
        <v>20</v>
      </c>
      <c r="V530">
        <v>50</v>
      </c>
      <c r="W530" t="s">
        <v>1137</v>
      </c>
      <c r="X530" t="s">
        <v>280</v>
      </c>
      <c r="Y530">
        <v>9</v>
      </c>
      <c r="AB530">
        <v>1.75</v>
      </c>
      <c r="AC530" t="s">
        <v>85</v>
      </c>
    </row>
    <row r="531" spans="1:29" x14ac:dyDescent="0.3">
      <c r="A531" t="s">
        <v>1539</v>
      </c>
      <c r="C531" t="s">
        <v>1495</v>
      </c>
      <c r="D531" t="s">
        <v>1540</v>
      </c>
      <c r="E531">
        <v>8000000000</v>
      </c>
      <c r="L531" t="s">
        <v>58</v>
      </c>
      <c r="O531">
        <v>0.58599999999999997</v>
      </c>
      <c r="P531" t="s">
        <v>262</v>
      </c>
      <c r="T531">
        <v>20</v>
      </c>
      <c r="V531">
        <v>50</v>
      </c>
      <c r="W531" t="s">
        <v>1137</v>
      </c>
      <c r="X531" t="s">
        <v>280</v>
      </c>
      <c r="Y531">
        <v>7</v>
      </c>
      <c r="AB531">
        <v>1.33</v>
      </c>
      <c r="AC531" t="s">
        <v>85</v>
      </c>
    </row>
    <row r="532" spans="1:29" x14ac:dyDescent="0.3">
      <c r="A532" t="s">
        <v>1539</v>
      </c>
      <c r="C532" t="s">
        <v>1495</v>
      </c>
      <c r="D532" t="s">
        <v>1540</v>
      </c>
      <c r="E532">
        <v>8000000000</v>
      </c>
      <c r="L532" t="s">
        <v>58</v>
      </c>
      <c r="O532">
        <v>0.58599999999999997</v>
      </c>
      <c r="P532" t="s">
        <v>262</v>
      </c>
      <c r="T532">
        <v>20</v>
      </c>
      <c r="V532">
        <v>50</v>
      </c>
      <c r="W532" t="s">
        <v>1137</v>
      </c>
      <c r="X532" t="s">
        <v>280</v>
      </c>
      <c r="Y532">
        <v>7</v>
      </c>
      <c r="AB532">
        <v>1.19</v>
      </c>
      <c r="AC532" t="s">
        <v>85</v>
      </c>
    </row>
    <row r="533" spans="1:29" x14ac:dyDescent="0.3">
      <c r="A533" t="s">
        <v>1539</v>
      </c>
      <c r="C533" t="s">
        <v>1495</v>
      </c>
      <c r="D533" t="s">
        <v>1540</v>
      </c>
      <c r="E533">
        <v>8000000000</v>
      </c>
      <c r="L533" t="s">
        <v>58</v>
      </c>
      <c r="O533">
        <v>0.58599999999999997</v>
      </c>
      <c r="P533" t="s">
        <v>262</v>
      </c>
      <c r="T533">
        <v>20</v>
      </c>
      <c r="V533">
        <v>50</v>
      </c>
      <c r="W533" t="s">
        <v>1137</v>
      </c>
      <c r="X533" t="s">
        <v>280</v>
      </c>
      <c r="Y533">
        <v>6</v>
      </c>
      <c r="AB533">
        <v>1.1299999999999999</v>
      </c>
      <c r="AC533" t="s">
        <v>85</v>
      </c>
    </row>
    <row r="534" spans="1:29" x14ac:dyDescent="0.3">
      <c r="A534" t="s">
        <v>1539</v>
      </c>
      <c r="C534" t="s">
        <v>1495</v>
      </c>
      <c r="D534" t="s">
        <v>1540</v>
      </c>
      <c r="E534">
        <v>8000000000</v>
      </c>
      <c r="L534" t="s">
        <v>58</v>
      </c>
      <c r="O534">
        <v>0.58599999999999997</v>
      </c>
      <c r="P534" t="s">
        <v>262</v>
      </c>
      <c r="T534">
        <v>20</v>
      </c>
      <c r="V534">
        <v>50</v>
      </c>
      <c r="W534" t="s">
        <v>1137</v>
      </c>
      <c r="X534" t="s">
        <v>280</v>
      </c>
      <c r="Y534">
        <v>6</v>
      </c>
      <c r="AB534">
        <v>1.18</v>
      </c>
      <c r="AC534" t="s">
        <v>85</v>
      </c>
    </row>
    <row r="535" spans="1:29" x14ac:dyDescent="0.3">
      <c r="A535" t="s">
        <v>1539</v>
      </c>
      <c r="C535" t="s">
        <v>1495</v>
      </c>
      <c r="D535" t="s">
        <v>1540</v>
      </c>
      <c r="E535">
        <v>8000000000</v>
      </c>
      <c r="L535" t="s">
        <v>58</v>
      </c>
      <c r="O535">
        <v>0.58599999999999997</v>
      </c>
      <c r="P535" t="s">
        <v>262</v>
      </c>
      <c r="T535">
        <v>20</v>
      </c>
      <c r="V535">
        <v>50</v>
      </c>
      <c r="W535" t="s">
        <v>1137</v>
      </c>
      <c r="X535" t="s">
        <v>280</v>
      </c>
      <c r="Y535">
        <v>5</v>
      </c>
      <c r="AB535">
        <v>1.1299999999999999</v>
      </c>
      <c r="AC535" t="s">
        <v>85</v>
      </c>
    </row>
    <row r="536" spans="1:29" x14ac:dyDescent="0.3">
      <c r="A536" t="s">
        <v>1539</v>
      </c>
      <c r="C536" t="s">
        <v>1495</v>
      </c>
      <c r="D536" t="s">
        <v>1540</v>
      </c>
      <c r="E536">
        <v>8000000000</v>
      </c>
      <c r="L536" t="s">
        <v>58</v>
      </c>
      <c r="O536">
        <v>0.58599999999999997</v>
      </c>
      <c r="P536" t="s">
        <v>262</v>
      </c>
      <c r="T536">
        <v>20</v>
      </c>
      <c r="V536">
        <v>50</v>
      </c>
      <c r="W536" t="s">
        <v>1137</v>
      </c>
      <c r="X536" t="s">
        <v>280</v>
      </c>
      <c r="Y536">
        <v>4</v>
      </c>
      <c r="AB536">
        <v>0.81</v>
      </c>
      <c r="AC536" t="s">
        <v>85</v>
      </c>
    </row>
    <row r="537" spans="1:29" x14ac:dyDescent="0.3">
      <c r="A537" t="s">
        <v>1539</v>
      </c>
      <c r="C537" t="s">
        <v>1495</v>
      </c>
      <c r="D537" t="s">
        <v>1540</v>
      </c>
      <c r="E537">
        <v>10000000000</v>
      </c>
      <c r="L537" t="s">
        <v>58</v>
      </c>
      <c r="O537">
        <v>0.58599999999999997</v>
      </c>
      <c r="P537" t="s">
        <v>262</v>
      </c>
      <c r="T537">
        <v>20</v>
      </c>
      <c r="V537">
        <v>50</v>
      </c>
      <c r="W537" t="s">
        <v>1137</v>
      </c>
      <c r="X537" t="s">
        <v>280</v>
      </c>
      <c r="Y537">
        <v>3</v>
      </c>
      <c r="AB537">
        <v>0.78</v>
      </c>
      <c r="AC537" t="s">
        <v>85</v>
      </c>
    </row>
    <row r="538" spans="1:29" x14ac:dyDescent="0.3">
      <c r="A538" t="s">
        <v>1539</v>
      </c>
      <c r="C538" t="s">
        <v>1495</v>
      </c>
      <c r="D538" t="s">
        <v>1540</v>
      </c>
      <c r="E538">
        <v>10000000000</v>
      </c>
      <c r="L538" t="s">
        <v>58</v>
      </c>
      <c r="O538">
        <v>0.58599999999999997</v>
      </c>
      <c r="P538" t="s">
        <v>262</v>
      </c>
      <c r="T538">
        <v>20</v>
      </c>
      <c r="V538">
        <v>50</v>
      </c>
      <c r="W538" t="s">
        <v>1137</v>
      </c>
      <c r="X538" t="s">
        <v>280</v>
      </c>
      <c r="Y538">
        <v>4</v>
      </c>
      <c r="AB538">
        <v>0.65</v>
      </c>
      <c r="AC538" t="s">
        <v>85</v>
      </c>
    </row>
    <row r="539" spans="1:29" x14ac:dyDescent="0.3">
      <c r="A539" t="s">
        <v>1539</v>
      </c>
      <c r="C539" t="s">
        <v>1495</v>
      </c>
      <c r="D539" t="s">
        <v>1540</v>
      </c>
      <c r="E539">
        <v>10000000000</v>
      </c>
      <c r="L539" t="s">
        <v>58</v>
      </c>
      <c r="O539">
        <v>0.58599999999999997</v>
      </c>
      <c r="P539" t="s">
        <v>262</v>
      </c>
      <c r="T539">
        <v>20</v>
      </c>
      <c r="V539">
        <v>50</v>
      </c>
      <c r="W539" t="s">
        <v>1137</v>
      </c>
      <c r="X539" t="s">
        <v>280</v>
      </c>
      <c r="Y539">
        <v>3</v>
      </c>
      <c r="AB539">
        <v>0.61</v>
      </c>
      <c r="AC539" t="s">
        <v>85</v>
      </c>
    </row>
    <row r="540" spans="1:29" x14ac:dyDescent="0.3">
      <c r="A540" t="s">
        <v>1539</v>
      </c>
      <c r="C540" t="s">
        <v>1495</v>
      </c>
      <c r="D540" t="s">
        <v>1540</v>
      </c>
      <c r="E540">
        <v>10000000000</v>
      </c>
      <c r="L540" t="s">
        <v>58</v>
      </c>
      <c r="O540">
        <v>0.90200000000000002</v>
      </c>
      <c r="P540" t="s">
        <v>262</v>
      </c>
      <c r="T540">
        <v>20</v>
      </c>
      <c r="V540">
        <v>50</v>
      </c>
      <c r="W540" t="s">
        <v>1137</v>
      </c>
      <c r="X540" t="s">
        <v>280</v>
      </c>
      <c r="Y540">
        <v>6</v>
      </c>
      <c r="AB540">
        <v>2.12</v>
      </c>
      <c r="AC540" t="s">
        <v>85</v>
      </c>
    </row>
    <row r="541" spans="1:29" x14ac:dyDescent="0.3">
      <c r="A541" t="s">
        <v>1539</v>
      </c>
      <c r="C541" t="s">
        <v>1495</v>
      </c>
      <c r="D541" t="s">
        <v>1540</v>
      </c>
      <c r="E541">
        <v>10000000000</v>
      </c>
      <c r="L541" t="s">
        <v>58</v>
      </c>
      <c r="O541">
        <v>0.90200000000000002</v>
      </c>
      <c r="P541" t="s">
        <v>262</v>
      </c>
      <c r="T541">
        <v>20</v>
      </c>
      <c r="V541">
        <v>50</v>
      </c>
      <c r="W541" t="s">
        <v>1137</v>
      </c>
      <c r="X541" t="s">
        <v>280</v>
      </c>
      <c r="Y541">
        <v>5</v>
      </c>
      <c r="AB541">
        <v>1.46</v>
      </c>
      <c r="AC541" t="s">
        <v>85</v>
      </c>
    </row>
    <row r="542" spans="1:29" x14ac:dyDescent="0.3">
      <c r="A542" t="s">
        <v>1539</v>
      </c>
      <c r="C542" t="s">
        <v>1495</v>
      </c>
      <c r="D542" t="s">
        <v>1540</v>
      </c>
      <c r="E542">
        <v>10000000000</v>
      </c>
      <c r="L542" t="s">
        <v>58</v>
      </c>
      <c r="O542">
        <v>0.90200000000000002</v>
      </c>
      <c r="P542" t="s">
        <v>262</v>
      </c>
      <c r="T542">
        <v>20</v>
      </c>
      <c r="V542">
        <v>50</v>
      </c>
      <c r="W542" t="s">
        <v>1137</v>
      </c>
      <c r="X542" t="s">
        <v>280</v>
      </c>
      <c r="Y542">
        <v>4</v>
      </c>
      <c r="AB542">
        <v>1.33</v>
      </c>
      <c r="AC542" t="s">
        <v>85</v>
      </c>
    </row>
    <row r="543" spans="1:29" x14ac:dyDescent="0.3">
      <c r="A543" t="s">
        <v>1539</v>
      </c>
      <c r="C543" t="s">
        <v>1495</v>
      </c>
      <c r="D543" t="s">
        <v>1540</v>
      </c>
      <c r="E543">
        <v>10000000000</v>
      </c>
      <c r="L543" t="s">
        <v>58</v>
      </c>
      <c r="O543">
        <v>0.90200000000000002</v>
      </c>
      <c r="P543" t="s">
        <v>262</v>
      </c>
      <c r="T543">
        <v>20</v>
      </c>
      <c r="V543">
        <v>50</v>
      </c>
      <c r="W543" t="s">
        <v>1137</v>
      </c>
      <c r="X543" t="s">
        <v>280</v>
      </c>
      <c r="Y543">
        <v>4</v>
      </c>
      <c r="AB543">
        <v>1.1599999999999999</v>
      </c>
      <c r="AC543" t="s">
        <v>85</v>
      </c>
    </row>
    <row r="544" spans="1:29" x14ac:dyDescent="0.3">
      <c r="A544" t="s">
        <v>1539</v>
      </c>
      <c r="C544" t="s">
        <v>1495</v>
      </c>
      <c r="D544" t="s">
        <v>1540</v>
      </c>
      <c r="E544">
        <v>10000000000</v>
      </c>
      <c r="L544" t="s">
        <v>58</v>
      </c>
      <c r="O544">
        <v>0.90200000000000002</v>
      </c>
      <c r="P544" t="s">
        <v>262</v>
      </c>
      <c r="T544">
        <v>20</v>
      </c>
      <c r="V544">
        <v>50</v>
      </c>
      <c r="W544" t="s">
        <v>1137</v>
      </c>
      <c r="X544" t="s">
        <v>280</v>
      </c>
      <c r="Y544">
        <v>2</v>
      </c>
      <c r="AB544">
        <v>0.75</v>
      </c>
      <c r="AC544" t="s">
        <v>85</v>
      </c>
    </row>
    <row r="545" spans="1:29" x14ac:dyDescent="0.3">
      <c r="A545" t="s">
        <v>1539</v>
      </c>
      <c r="C545" t="s">
        <v>1495</v>
      </c>
      <c r="D545" t="s">
        <v>1540</v>
      </c>
      <c r="E545">
        <v>10000000000</v>
      </c>
      <c r="L545" t="s">
        <v>58</v>
      </c>
      <c r="O545">
        <v>0.90200000000000002</v>
      </c>
      <c r="P545" t="s">
        <v>262</v>
      </c>
      <c r="T545">
        <v>20</v>
      </c>
      <c r="V545">
        <v>50</v>
      </c>
      <c r="W545" t="s">
        <v>1137</v>
      </c>
      <c r="X545" t="s">
        <v>280</v>
      </c>
      <c r="Y545">
        <v>0</v>
      </c>
      <c r="AB545">
        <v>0.7</v>
      </c>
      <c r="AC545" t="s">
        <v>85</v>
      </c>
    </row>
    <row r="546" spans="1:29" x14ac:dyDescent="0.3">
      <c r="A546" t="s">
        <v>1539</v>
      </c>
      <c r="C546" t="s">
        <v>1495</v>
      </c>
      <c r="D546" t="s">
        <v>1540</v>
      </c>
      <c r="E546">
        <v>10000000000</v>
      </c>
      <c r="L546" t="s">
        <v>58</v>
      </c>
      <c r="O546">
        <v>1.19</v>
      </c>
      <c r="P546" t="s">
        <v>262</v>
      </c>
      <c r="T546">
        <v>20</v>
      </c>
      <c r="V546">
        <v>50</v>
      </c>
      <c r="W546" t="s">
        <v>1137</v>
      </c>
      <c r="X546" t="s">
        <v>280</v>
      </c>
      <c r="Y546">
        <v>5</v>
      </c>
      <c r="AB546">
        <v>3.1</v>
      </c>
      <c r="AC546" t="s">
        <v>85</v>
      </c>
    </row>
    <row r="547" spans="1:29" x14ac:dyDescent="0.3">
      <c r="A547" t="s">
        <v>1539</v>
      </c>
      <c r="C547" t="s">
        <v>1495</v>
      </c>
      <c r="D547" t="s">
        <v>1540</v>
      </c>
      <c r="E547">
        <v>10000000000</v>
      </c>
      <c r="L547" t="s">
        <v>58</v>
      </c>
      <c r="O547">
        <v>1.19</v>
      </c>
      <c r="P547" t="s">
        <v>262</v>
      </c>
      <c r="T547">
        <v>20</v>
      </c>
      <c r="V547">
        <v>50</v>
      </c>
      <c r="W547" t="s">
        <v>1137</v>
      </c>
      <c r="X547" t="s">
        <v>280</v>
      </c>
      <c r="Y547">
        <v>4</v>
      </c>
      <c r="AB547">
        <v>2.8</v>
      </c>
      <c r="AC547" t="s">
        <v>85</v>
      </c>
    </row>
    <row r="548" spans="1:29" x14ac:dyDescent="0.3">
      <c r="A548" t="s">
        <v>1539</v>
      </c>
      <c r="C548" t="s">
        <v>1495</v>
      </c>
      <c r="D548" t="s">
        <v>1540</v>
      </c>
      <c r="E548">
        <v>10000000000</v>
      </c>
      <c r="L548" t="s">
        <v>58</v>
      </c>
      <c r="O548">
        <v>1.19</v>
      </c>
      <c r="P548" t="s">
        <v>262</v>
      </c>
      <c r="T548">
        <v>20</v>
      </c>
      <c r="V548">
        <v>50</v>
      </c>
      <c r="W548" t="s">
        <v>1137</v>
      </c>
      <c r="X548" t="s">
        <v>280</v>
      </c>
      <c r="Y548">
        <v>3</v>
      </c>
      <c r="AB548">
        <v>1.6</v>
      </c>
      <c r="AC548" t="s">
        <v>85</v>
      </c>
    </row>
    <row r="549" spans="1:29" x14ac:dyDescent="0.3">
      <c r="A549" t="s">
        <v>1539</v>
      </c>
      <c r="C549" t="s">
        <v>1495</v>
      </c>
      <c r="D549" t="s">
        <v>1540</v>
      </c>
      <c r="E549">
        <v>10000000000</v>
      </c>
      <c r="L549" t="s">
        <v>58</v>
      </c>
      <c r="O549">
        <v>1.19</v>
      </c>
      <c r="P549" t="s">
        <v>262</v>
      </c>
      <c r="T549">
        <v>20</v>
      </c>
      <c r="V549">
        <v>50</v>
      </c>
      <c r="W549" t="s">
        <v>1137</v>
      </c>
      <c r="X549" t="s">
        <v>280</v>
      </c>
      <c r="Y549">
        <v>4</v>
      </c>
      <c r="AB549">
        <v>1.6</v>
      </c>
      <c r="AC549" t="s">
        <v>85</v>
      </c>
    </row>
    <row r="550" spans="1:29" x14ac:dyDescent="0.3">
      <c r="A550" t="s">
        <v>1539</v>
      </c>
      <c r="C550" t="s">
        <v>1495</v>
      </c>
      <c r="D550" t="s">
        <v>1540</v>
      </c>
      <c r="E550">
        <v>10000000000</v>
      </c>
      <c r="L550" t="s">
        <v>58</v>
      </c>
      <c r="O550">
        <v>1.19</v>
      </c>
      <c r="P550" t="s">
        <v>262</v>
      </c>
      <c r="T550">
        <v>20</v>
      </c>
      <c r="V550">
        <v>50</v>
      </c>
      <c r="W550" t="s">
        <v>1137</v>
      </c>
      <c r="X550" t="s">
        <v>280</v>
      </c>
      <c r="Y550">
        <v>3</v>
      </c>
      <c r="AB550">
        <v>1.2</v>
      </c>
      <c r="AC550" t="s">
        <v>85</v>
      </c>
    </row>
    <row r="551" spans="1:29" x14ac:dyDescent="0.3">
      <c r="A551" t="s">
        <v>1539</v>
      </c>
      <c r="C551" t="s">
        <v>1495</v>
      </c>
      <c r="D551" t="s">
        <v>1540</v>
      </c>
      <c r="E551">
        <v>10000000000</v>
      </c>
      <c r="L551" t="s">
        <v>58</v>
      </c>
      <c r="O551">
        <v>1.19</v>
      </c>
      <c r="P551" t="s">
        <v>262</v>
      </c>
      <c r="T551">
        <v>20</v>
      </c>
      <c r="V551">
        <v>50</v>
      </c>
      <c r="W551" t="s">
        <v>1137</v>
      </c>
      <c r="X551" t="s">
        <v>280</v>
      </c>
      <c r="Y551">
        <v>3</v>
      </c>
      <c r="AB551">
        <v>1.1000000000000001</v>
      </c>
      <c r="AC551" t="s">
        <v>85</v>
      </c>
    </row>
    <row r="552" spans="1:29" x14ac:dyDescent="0.3">
      <c r="A552" t="s">
        <v>1539</v>
      </c>
      <c r="C552" t="s">
        <v>1495</v>
      </c>
      <c r="D552" t="s">
        <v>1540</v>
      </c>
      <c r="E552">
        <v>10000000000</v>
      </c>
      <c r="L552" t="s">
        <v>58</v>
      </c>
      <c r="O552">
        <v>1.19</v>
      </c>
      <c r="P552" t="s">
        <v>262</v>
      </c>
      <c r="T552">
        <v>20</v>
      </c>
      <c r="V552">
        <v>50</v>
      </c>
      <c r="W552" t="s">
        <v>1137</v>
      </c>
      <c r="X552" t="s">
        <v>280</v>
      </c>
      <c r="Y552">
        <v>0</v>
      </c>
      <c r="AB552">
        <v>0.5</v>
      </c>
      <c r="AC552" t="s">
        <v>85</v>
      </c>
    </row>
    <row r="553" spans="1:29" x14ac:dyDescent="0.3">
      <c r="A553" t="s">
        <v>1539</v>
      </c>
      <c r="C553" t="s">
        <v>1495</v>
      </c>
      <c r="D553" t="s">
        <v>1540</v>
      </c>
      <c r="E553">
        <v>100000000</v>
      </c>
      <c r="L553" t="s">
        <v>58</v>
      </c>
      <c r="O553">
        <v>1.4339999999999999</v>
      </c>
      <c r="P553" t="s">
        <v>262</v>
      </c>
      <c r="T553">
        <v>20</v>
      </c>
      <c r="V553">
        <v>50</v>
      </c>
      <c r="W553" t="s">
        <v>1137</v>
      </c>
      <c r="X553" t="s">
        <v>280</v>
      </c>
      <c r="Y553">
        <v>0</v>
      </c>
      <c r="AB553">
        <v>0.33</v>
      </c>
      <c r="AC553" t="s">
        <v>85</v>
      </c>
    </row>
    <row r="554" spans="1:29" x14ac:dyDescent="0.3">
      <c r="A554" t="s">
        <v>1539</v>
      </c>
      <c r="C554" t="s">
        <v>1495</v>
      </c>
      <c r="D554" t="s">
        <v>1540</v>
      </c>
      <c r="E554">
        <v>100000000</v>
      </c>
      <c r="L554" t="s">
        <v>58</v>
      </c>
      <c r="O554">
        <v>1.4339999999999999</v>
      </c>
      <c r="P554" t="s">
        <v>262</v>
      </c>
      <c r="T554">
        <v>20</v>
      </c>
      <c r="V554">
        <v>50</v>
      </c>
      <c r="W554" t="s">
        <v>1137</v>
      </c>
      <c r="X554" t="s">
        <v>280</v>
      </c>
      <c r="Y554">
        <v>0</v>
      </c>
      <c r="AB554">
        <v>0.4</v>
      </c>
      <c r="AC554" t="s">
        <v>85</v>
      </c>
    </row>
    <row r="555" spans="1:29" x14ac:dyDescent="0.3">
      <c r="A555" t="s">
        <v>1539</v>
      </c>
      <c r="C555" t="s">
        <v>1495</v>
      </c>
      <c r="D555" t="s">
        <v>1540</v>
      </c>
      <c r="E555">
        <v>100000000</v>
      </c>
      <c r="L555" t="s">
        <v>58</v>
      </c>
      <c r="O555">
        <v>1.4339999999999999</v>
      </c>
      <c r="P555" t="s">
        <v>262</v>
      </c>
      <c r="T555">
        <v>20</v>
      </c>
      <c r="V555">
        <v>50</v>
      </c>
      <c r="W555" t="s">
        <v>1137</v>
      </c>
      <c r="X555" t="s">
        <v>280</v>
      </c>
      <c r="Y555">
        <v>0.5</v>
      </c>
      <c r="AB555">
        <v>0.53</v>
      </c>
      <c r="AC555" t="s">
        <v>85</v>
      </c>
    </row>
    <row r="556" spans="1:29" x14ac:dyDescent="0.3">
      <c r="A556" t="s">
        <v>1539</v>
      </c>
      <c r="C556" t="s">
        <v>1495</v>
      </c>
      <c r="D556" t="s">
        <v>1540</v>
      </c>
      <c r="E556">
        <v>100000000</v>
      </c>
      <c r="L556" t="s">
        <v>58</v>
      </c>
      <c r="O556">
        <v>1.4339999999999999</v>
      </c>
      <c r="P556" t="s">
        <v>262</v>
      </c>
      <c r="T556">
        <v>20</v>
      </c>
      <c r="V556">
        <v>50</v>
      </c>
      <c r="W556" t="s">
        <v>1137</v>
      </c>
      <c r="X556" t="s">
        <v>280</v>
      </c>
      <c r="Y556">
        <v>1.1000000000000001</v>
      </c>
      <c r="AB556">
        <v>0.49</v>
      </c>
      <c r="AC556" t="s">
        <v>85</v>
      </c>
    </row>
    <row r="557" spans="1:29" x14ac:dyDescent="0.3">
      <c r="A557" t="s">
        <v>1539</v>
      </c>
      <c r="C557" t="s">
        <v>1495</v>
      </c>
      <c r="D557" t="s">
        <v>1540</v>
      </c>
      <c r="E557">
        <v>100000000</v>
      </c>
      <c r="L557" t="s">
        <v>58</v>
      </c>
      <c r="O557">
        <v>1.4339999999999999</v>
      </c>
      <c r="P557" t="s">
        <v>262</v>
      </c>
      <c r="T557">
        <v>20</v>
      </c>
      <c r="V557">
        <v>50</v>
      </c>
      <c r="W557" t="s">
        <v>1137</v>
      </c>
      <c r="X557" t="s">
        <v>280</v>
      </c>
      <c r="Y557">
        <v>0.2</v>
      </c>
      <c r="AB557">
        <v>0.6</v>
      </c>
      <c r="AC557" t="s">
        <v>85</v>
      </c>
    </row>
    <row r="558" spans="1:29" x14ac:dyDescent="0.3">
      <c r="A558" t="s">
        <v>1539</v>
      </c>
      <c r="C558" t="s">
        <v>1495</v>
      </c>
      <c r="D558" t="s">
        <v>1540</v>
      </c>
      <c r="E558">
        <v>100000000</v>
      </c>
      <c r="L558" t="s">
        <v>58</v>
      </c>
      <c r="O558">
        <v>1.4339999999999999</v>
      </c>
      <c r="P558" t="s">
        <v>262</v>
      </c>
      <c r="T558">
        <v>20</v>
      </c>
      <c r="V558">
        <v>50</v>
      </c>
      <c r="W558" t="s">
        <v>1137</v>
      </c>
      <c r="X558" t="s">
        <v>280</v>
      </c>
      <c r="Y558">
        <v>1.6</v>
      </c>
      <c r="AB558">
        <v>0.66</v>
      </c>
      <c r="AC558" t="s">
        <v>85</v>
      </c>
    </row>
    <row r="559" spans="1:29" x14ac:dyDescent="0.3">
      <c r="A559" t="s">
        <v>1539</v>
      </c>
      <c r="C559" t="s">
        <v>1495</v>
      </c>
      <c r="D559" t="s">
        <v>1540</v>
      </c>
      <c r="E559">
        <v>100000000</v>
      </c>
      <c r="L559" t="s">
        <v>58</v>
      </c>
      <c r="O559">
        <v>1.4339999999999999</v>
      </c>
      <c r="P559" t="s">
        <v>262</v>
      </c>
      <c r="T559">
        <v>20</v>
      </c>
      <c r="V559">
        <v>50</v>
      </c>
      <c r="W559" t="s">
        <v>1137</v>
      </c>
      <c r="X559" t="s">
        <v>280</v>
      </c>
      <c r="Y559">
        <v>1.1000000000000001</v>
      </c>
      <c r="AB559">
        <v>0.73</v>
      </c>
      <c r="AC559" t="s">
        <v>85</v>
      </c>
    </row>
    <row r="560" spans="1:29" x14ac:dyDescent="0.3">
      <c r="A560" t="s">
        <v>1539</v>
      </c>
      <c r="C560" t="s">
        <v>1495</v>
      </c>
      <c r="D560" t="s">
        <v>1540</v>
      </c>
      <c r="E560">
        <v>100000000</v>
      </c>
      <c r="L560" t="s">
        <v>58</v>
      </c>
      <c r="O560">
        <v>1.4339999999999999</v>
      </c>
      <c r="P560" t="s">
        <v>262</v>
      </c>
      <c r="T560">
        <v>20</v>
      </c>
      <c r="V560">
        <v>50</v>
      </c>
      <c r="W560" t="s">
        <v>1137</v>
      </c>
      <c r="X560" t="s">
        <v>280</v>
      </c>
      <c r="Y560">
        <v>0.7</v>
      </c>
      <c r="AB560">
        <v>0.69</v>
      </c>
      <c r="AC560" t="s">
        <v>85</v>
      </c>
    </row>
    <row r="561" spans="1:48" x14ac:dyDescent="0.3">
      <c r="A561" t="s">
        <v>1539</v>
      </c>
      <c r="C561" t="s">
        <v>1495</v>
      </c>
      <c r="D561" t="s">
        <v>1540</v>
      </c>
      <c r="E561">
        <v>1000000000</v>
      </c>
      <c r="L561" t="s">
        <v>58</v>
      </c>
      <c r="O561">
        <v>1.4339999999999999</v>
      </c>
      <c r="P561" t="s">
        <v>262</v>
      </c>
      <c r="T561">
        <v>20</v>
      </c>
      <c r="V561">
        <v>50</v>
      </c>
      <c r="W561" t="s">
        <v>1137</v>
      </c>
      <c r="X561" t="s">
        <v>280</v>
      </c>
      <c r="Y561">
        <v>1.6</v>
      </c>
      <c r="AB561">
        <v>1.01</v>
      </c>
      <c r="AC561" t="s">
        <v>85</v>
      </c>
    </row>
    <row r="562" spans="1:48" x14ac:dyDescent="0.3">
      <c r="A562" t="s">
        <v>1539</v>
      </c>
      <c r="C562" t="s">
        <v>1495</v>
      </c>
      <c r="D562" t="s">
        <v>1540</v>
      </c>
      <c r="E562">
        <v>1000000000</v>
      </c>
      <c r="L562" t="s">
        <v>58</v>
      </c>
      <c r="O562">
        <v>1.4339999999999999</v>
      </c>
      <c r="P562" t="s">
        <v>262</v>
      </c>
      <c r="T562">
        <v>20</v>
      </c>
      <c r="V562">
        <v>50</v>
      </c>
      <c r="W562" t="s">
        <v>1137</v>
      </c>
      <c r="X562" t="s">
        <v>280</v>
      </c>
      <c r="Y562">
        <v>2.1</v>
      </c>
      <c r="AB562">
        <v>1.03</v>
      </c>
      <c r="AC562" t="s">
        <v>85</v>
      </c>
    </row>
    <row r="563" spans="1:48" x14ac:dyDescent="0.3">
      <c r="A563" t="s">
        <v>1539</v>
      </c>
      <c r="C563" t="s">
        <v>1495</v>
      </c>
      <c r="D563" t="s">
        <v>1540</v>
      </c>
      <c r="E563">
        <v>1000000000</v>
      </c>
      <c r="L563" t="s">
        <v>58</v>
      </c>
      <c r="O563">
        <v>1.4339999999999999</v>
      </c>
      <c r="P563" t="s">
        <v>262</v>
      </c>
      <c r="T563">
        <v>20</v>
      </c>
      <c r="V563">
        <v>50</v>
      </c>
      <c r="W563" t="s">
        <v>1137</v>
      </c>
      <c r="X563" t="s">
        <v>280</v>
      </c>
      <c r="Y563">
        <v>2.2000000000000002</v>
      </c>
      <c r="AB563">
        <v>1.19</v>
      </c>
      <c r="AC563" t="s">
        <v>85</v>
      </c>
    </row>
    <row r="564" spans="1:48" x14ac:dyDescent="0.3">
      <c r="A564" t="s">
        <v>1539</v>
      </c>
      <c r="C564" t="s">
        <v>1495</v>
      </c>
      <c r="D564" t="s">
        <v>1540</v>
      </c>
      <c r="E564">
        <v>1000000000</v>
      </c>
      <c r="L564" t="s">
        <v>58</v>
      </c>
      <c r="O564">
        <v>1.4339999999999999</v>
      </c>
      <c r="P564" t="s">
        <v>262</v>
      </c>
      <c r="T564">
        <v>20</v>
      </c>
      <c r="V564">
        <v>50</v>
      </c>
      <c r="W564" t="s">
        <v>1137</v>
      </c>
      <c r="X564" t="s">
        <v>280</v>
      </c>
      <c r="Y564">
        <v>2.2999999999999998</v>
      </c>
      <c r="AB564">
        <v>1.46</v>
      </c>
      <c r="AC564" t="s">
        <v>85</v>
      </c>
    </row>
    <row r="565" spans="1:48" x14ac:dyDescent="0.3">
      <c r="A565" t="s">
        <v>1539</v>
      </c>
      <c r="C565" t="s">
        <v>1495</v>
      </c>
      <c r="D565" t="s">
        <v>1540</v>
      </c>
      <c r="E565">
        <v>1000000000</v>
      </c>
      <c r="L565" t="s">
        <v>58</v>
      </c>
      <c r="O565">
        <v>1.4339999999999999</v>
      </c>
      <c r="P565" t="s">
        <v>262</v>
      </c>
      <c r="T565">
        <v>20</v>
      </c>
      <c r="V565">
        <v>50</v>
      </c>
      <c r="W565" t="s">
        <v>1137</v>
      </c>
      <c r="X565" t="s">
        <v>280</v>
      </c>
      <c r="Y565">
        <v>2.6</v>
      </c>
      <c r="AB565">
        <v>1.73</v>
      </c>
      <c r="AC565" t="s">
        <v>85</v>
      </c>
    </row>
    <row r="566" spans="1:48" x14ac:dyDescent="0.3">
      <c r="A566" t="s">
        <v>1541</v>
      </c>
      <c r="C566" t="s">
        <v>1495</v>
      </c>
      <c r="D566" t="s">
        <v>470</v>
      </c>
      <c r="E566">
        <v>1000000000</v>
      </c>
      <c r="H566">
        <v>0.25</v>
      </c>
      <c r="I566" t="s">
        <v>82</v>
      </c>
      <c r="J566">
        <v>2.4999999999999999E-7</v>
      </c>
      <c r="K566" t="s">
        <v>252</v>
      </c>
      <c r="O566">
        <v>0</v>
      </c>
      <c r="P566" t="s">
        <v>1303</v>
      </c>
      <c r="T566">
        <v>30</v>
      </c>
      <c r="V566">
        <v>50</v>
      </c>
      <c r="W566" t="s">
        <v>1057</v>
      </c>
      <c r="X566" t="s">
        <v>932</v>
      </c>
      <c r="Y566">
        <v>0</v>
      </c>
      <c r="AB566">
        <v>5.8842105263157798</v>
      </c>
      <c r="AC566" t="s">
        <v>210</v>
      </c>
      <c r="AI566">
        <v>3</v>
      </c>
      <c r="AV566" t="s">
        <v>256</v>
      </c>
    </row>
    <row r="567" spans="1:48" x14ac:dyDescent="0.3">
      <c r="A567" t="s">
        <v>1541</v>
      </c>
      <c r="C567" t="s">
        <v>1495</v>
      </c>
      <c r="D567" t="s">
        <v>470</v>
      </c>
      <c r="E567">
        <v>1000000000</v>
      </c>
      <c r="H567">
        <v>0.25</v>
      </c>
      <c r="I567" t="s">
        <v>82</v>
      </c>
      <c r="J567">
        <v>2.4999999999999999E-7</v>
      </c>
      <c r="K567" t="s">
        <v>252</v>
      </c>
      <c r="O567">
        <v>0</v>
      </c>
      <c r="P567" t="s">
        <v>1303</v>
      </c>
      <c r="T567">
        <v>30</v>
      </c>
      <c r="V567">
        <v>50</v>
      </c>
      <c r="W567" t="s">
        <v>1057</v>
      </c>
      <c r="X567" t="s">
        <v>932</v>
      </c>
      <c r="Y567">
        <v>29.181141439205941</v>
      </c>
      <c r="AB567">
        <v>5.7737756301423504</v>
      </c>
      <c r="AC567" t="s">
        <v>210</v>
      </c>
      <c r="AI567">
        <v>3</v>
      </c>
      <c r="AV567" t="s">
        <v>256</v>
      </c>
    </row>
    <row r="568" spans="1:48" x14ac:dyDescent="0.3">
      <c r="A568" t="s">
        <v>1541</v>
      </c>
      <c r="C568" t="s">
        <v>1495</v>
      </c>
      <c r="D568" t="s">
        <v>470</v>
      </c>
      <c r="E568">
        <v>1000000000</v>
      </c>
      <c r="H568">
        <v>0.25</v>
      </c>
      <c r="I568" t="s">
        <v>82</v>
      </c>
      <c r="J568">
        <v>2.4999999999999999E-7</v>
      </c>
      <c r="K568" t="s">
        <v>252</v>
      </c>
      <c r="O568">
        <v>0</v>
      </c>
      <c r="P568" t="s">
        <v>1303</v>
      </c>
      <c r="T568">
        <v>30</v>
      </c>
      <c r="V568">
        <v>50</v>
      </c>
      <c r="W568" t="s">
        <v>1057</v>
      </c>
      <c r="X568" t="s">
        <v>932</v>
      </c>
      <c r="Y568">
        <v>60.148883374688992</v>
      </c>
      <c r="AB568">
        <v>5.7472900613817401</v>
      </c>
      <c r="AC568" t="s">
        <v>210</v>
      </c>
      <c r="AI568">
        <v>3</v>
      </c>
      <c r="AV568" t="s">
        <v>256</v>
      </c>
    </row>
    <row r="569" spans="1:48" x14ac:dyDescent="0.3">
      <c r="A569" t="s">
        <v>1541</v>
      </c>
      <c r="C569" t="s">
        <v>1495</v>
      </c>
      <c r="D569" t="s">
        <v>470</v>
      </c>
      <c r="E569">
        <v>100000000</v>
      </c>
      <c r="H569">
        <v>0.25</v>
      </c>
      <c r="I569" t="s">
        <v>82</v>
      </c>
      <c r="J569">
        <v>2.4999999999999999E-7</v>
      </c>
      <c r="K569" t="s">
        <v>252</v>
      </c>
      <c r="O569">
        <v>0</v>
      </c>
      <c r="P569" t="s">
        <v>1303</v>
      </c>
      <c r="T569">
        <v>30</v>
      </c>
      <c r="V569">
        <v>50</v>
      </c>
      <c r="W569" t="s">
        <v>1057</v>
      </c>
      <c r="X569" t="s">
        <v>932</v>
      </c>
      <c r="Y569">
        <v>120</v>
      </c>
      <c r="AB569">
        <v>5.8631056549562501</v>
      </c>
      <c r="AC569" t="s">
        <v>210</v>
      </c>
      <c r="AI569">
        <v>3</v>
      </c>
      <c r="AV569" t="s">
        <v>256</v>
      </c>
    </row>
    <row r="570" spans="1:48" x14ac:dyDescent="0.3">
      <c r="A570" t="s">
        <v>1541</v>
      </c>
      <c r="C570" t="s">
        <v>1495</v>
      </c>
      <c r="D570" t="s">
        <v>470</v>
      </c>
      <c r="E570">
        <v>100000000</v>
      </c>
      <c r="H570">
        <v>0.25</v>
      </c>
      <c r="I570" t="s">
        <v>82</v>
      </c>
      <c r="J570">
        <v>2.4999999999999999E-7</v>
      </c>
      <c r="K570" t="s">
        <v>252</v>
      </c>
      <c r="O570">
        <v>0</v>
      </c>
      <c r="P570" t="s">
        <v>1303</v>
      </c>
      <c r="T570">
        <v>30</v>
      </c>
      <c r="V570">
        <v>50</v>
      </c>
      <c r="W570" t="s">
        <v>1057</v>
      </c>
      <c r="X570" t="s">
        <v>932</v>
      </c>
      <c r="Y570">
        <v>180.44665012406881</v>
      </c>
      <c r="AB570">
        <v>6.8419746637064103</v>
      </c>
      <c r="AC570" t="s">
        <v>210</v>
      </c>
      <c r="AI570">
        <v>3</v>
      </c>
      <c r="AV570" t="s">
        <v>256</v>
      </c>
    </row>
    <row r="571" spans="1:48" x14ac:dyDescent="0.3">
      <c r="A571" t="s">
        <v>1541</v>
      </c>
      <c r="C571" t="s">
        <v>1495</v>
      </c>
      <c r="D571" t="s">
        <v>470</v>
      </c>
      <c r="E571">
        <v>100000000</v>
      </c>
      <c r="H571">
        <v>0.25</v>
      </c>
      <c r="I571" t="s">
        <v>82</v>
      </c>
      <c r="J571">
        <v>2.4999999999999999E-7</v>
      </c>
      <c r="K571" t="s">
        <v>252</v>
      </c>
      <c r="O571">
        <v>1</v>
      </c>
      <c r="P571" t="s">
        <v>1303</v>
      </c>
      <c r="T571">
        <v>30</v>
      </c>
      <c r="V571">
        <v>50</v>
      </c>
      <c r="W571" t="s">
        <v>1057</v>
      </c>
      <c r="X571" t="s">
        <v>932</v>
      </c>
      <c r="AB571">
        <v>5.8842105263157798</v>
      </c>
      <c r="AC571" t="s">
        <v>210</v>
      </c>
      <c r="AI571">
        <v>3</v>
      </c>
      <c r="AV571" t="s">
        <v>256</v>
      </c>
    </row>
    <row r="572" spans="1:48" x14ac:dyDescent="0.3">
      <c r="A572" t="s">
        <v>1541</v>
      </c>
      <c r="C572" t="s">
        <v>1495</v>
      </c>
      <c r="D572" t="s">
        <v>470</v>
      </c>
      <c r="E572">
        <v>100000000</v>
      </c>
      <c r="H572">
        <v>0.25</v>
      </c>
      <c r="I572" t="s">
        <v>82</v>
      </c>
      <c r="J572">
        <v>2.4999999999999999E-7</v>
      </c>
      <c r="K572" t="s">
        <v>252</v>
      </c>
      <c r="O572">
        <v>1</v>
      </c>
      <c r="P572" t="s">
        <v>1303</v>
      </c>
      <c r="T572">
        <v>30</v>
      </c>
      <c r="V572">
        <v>50</v>
      </c>
      <c r="W572" t="s">
        <v>1057</v>
      </c>
      <c r="X572" t="s">
        <v>932</v>
      </c>
      <c r="Y572">
        <v>14.888337468982559</v>
      </c>
      <c r="AB572">
        <v>3.7341778764529101</v>
      </c>
      <c r="AC572" t="s">
        <v>210</v>
      </c>
      <c r="AI572">
        <v>3</v>
      </c>
      <c r="AV572" t="s">
        <v>256</v>
      </c>
    </row>
    <row r="573" spans="1:48" x14ac:dyDescent="0.3">
      <c r="A573" t="s">
        <v>1541</v>
      </c>
      <c r="C573" t="s">
        <v>1495</v>
      </c>
      <c r="D573" t="s">
        <v>470</v>
      </c>
      <c r="E573">
        <v>100000000</v>
      </c>
      <c r="H573">
        <v>0.25</v>
      </c>
      <c r="I573" t="s">
        <v>82</v>
      </c>
      <c r="J573">
        <v>2.4999999999999999E-7</v>
      </c>
      <c r="K573" t="s">
        <v>252</v>
      </c>
      <c r="O573">
        <v>1</v>
      </c>
      <c r="P573" t="s">
        <v>1303</v>
      </c>
      <c r="T573">
        <v>30</v>
      </c>
      <c r="V573">
        <v>50</v>
      </c>
      <c r="W573" t="s">
        <v>1057</v>
      </c>
      <c r="X573" t="s">
        <v>932</v>
      </c>
      <c r="Y573">
        <v>29.776674937965179</v>
      </c>
      <c r="AB573">
        <v>3.1841974663706401</v>
      </c>
      <c r="AC573" t="s">
        <v>210</v>
      </c>
      <c r="AI573">
        <v>3</v>
      </c>
      <c r="AV573" t="s">
        <v>256</v>
      </c>
    </row>
    <row r="574" spans="1:48" x14ac:dyDescent="0.3">
      <c r="A574" t="s">
        <v>1541</v>
      </c>
      <c r="C574" t="s">
        <v>1495</v>
      </c>
      <c r="D574" t="s">
        <v>470</v>
      </c>
      <c r="E574">
        <v>100000000</v>
      </c>
      <c r="H574">
        <v>0.25</v>
      </c>
      <c r="I574" t="s">
        <v>82</v>
      </c>
      <c r="J574">
        <v>2.4999999999999999E-7</v>
      </c>
      <c r="K574" t="s">
        <v>252</v>
      </c>
      <c r="O574">
        <v>1</v>
      </c>
      <c r="P574" t="s">
        <v>1303</v>
      </c>
      <c r="T574">
        <v>30</v>
      </c>
      <c r="V574">
        <v>50</v>
      </c>
      <c r="W574" t="s">
        <v>1057</v>
      </c>
      <c r="X574" t="s">
        <v>932</v>
      </c>
      <c r="Y574">
        <v>60.148883374688992</v>
      </c>
      <c r="AB574">
        <v>2.7578163771712001</v>
      </c>
      <c r="AC574" t="s">
        <v>210</v>
      </c>
      <c r="AI574">
        <v>3</v>
      </c>
      <c r="AV574" t="s">
        <v>256</v>
      </c>
    </row>
    <row r="575" spans="1:48" x14ac:dyDescent="0.3">
      <c r="A575" t="s">
        <v>1541</v>
      </c>
      <c r="C575" t="s">
        <v>1495</v>
      </c>
      <c r="D575" t="s">
        <v>470</v>
      </c>
      <c r="E575">
        <v>100000000</v>
      </c>
      <c r="H575">
        <v>0.25</v>
      </c>
      <c r="I575" t="s">
        <v>82</v>
      </c>
      <c r="J575">
        <v>2.4999999999999999E-7</v>
      </c>
      <c r="K575" t="s">
        <v>252</v>
      </c>
      <c r="O575">
        <v>1</v>
      </c>
      <c r="P575" t="s">
        <v>1303</v>
      </c>
      <c r="T575">
        <v>30</v>
      </c>
      <c r="V575">
        <v>50</v>
      </c>
      <c r="W575" t="s">
        <v>1057</v>
      </c>
      <c r="X575" t="s">
        <v>932</v>
      </c>
      <c r="Y575">
        <v>120</v>
      </c>
      <c r="AB575">
        <v>2.1578424970615102</v>
      </c>
      <c r="AC575" t="s">
        <v>210</v>
      </c>
      <c r="AI575">
        <v>3</v>
      </c>
      <c r="AV575" t="s">
        <v>256</v>
      </c>
    </row>
    <row r="576" spans="1:48" x14ac:dyDescent="0.3">
      <c r="A576" t="s">
        <v>1541</v>
      </c>
      <c r="C576" t="s">
        <v>1495</v>
      </c>
      <c r="D576" t="s">
        <v>470</v>
      </c>
      <c r="E576">
        <v>100000000</v>
      </c>
      <c r="H576">
        <v>0.25</v>
      </c>
      <c r="I576" t="s">
        <v>82</v>
      </c>
      <c r="J576">
        <v>2.4999999999999999E-7</v>
      </c>
      <c r="K576" t="s">
        <v>252</v>
      </c>
      <c r="O576">
        <v>1</v>
      </c>
      <c r="P576" t="s">
        <v>1303</v>
      </c>
      <c r="T576">
        <v>30</v>
      </c>
      <c r="V576">
        <v>50</v>
      </c>
      <c r="W576" t="s">
        <v>1057</v>
      </c>
      <c r="X576" t="s">
        <v>932</v>
      </c>
      <c r="Y576">
        <v>180.14888337468901</v>
      </c>
      <c r="Z576">
        <v>1</v>
      </c>
      <c r="AB576">
        <v>2.18939532453963</v>
      </c>
      <c r="AC576" t="s">
        <v>210</v>
      </c>
      <c r="AI576">
        <v>3</v>
      </c>
      <c r="AV576" t="s">
        <v>256</v>
      </c>
    </row>
    <row r="577" spans="1:48" x14ac:dyDescent="0.3">
      <c r="A577" t="s">
        <v>1541</v>
      </c>
      <c r="C577" t="s">
        <v>1495</v>
      </c>
      <c r="D577" t="s">
        <v>470</v>
      </c>
      <c r="E577">
        <v>8000000000</v>
      </c>
      <c r="H577">
        <v>0.25</v>
      </c>
      <c r="I577" t="s">
        <v>82</v>
      </c>
      <c r="J577">
        <v>2.4999999999999999E-7</v>
      </c>
      <c r="K577" t="s">
        <v>252</v>
      </c>
      <c r="O577">
        <v>10</v>
      </c>
      <c r="P577" t="s">
        <v>1303</v>
      </c>
      <c r="T577">
        <v>30</v>
      </c>
      <c r="V577">
        <v>50</v>
      </c>
      <c r="W577" t="s">
        <v>1057</v>
      </c>
      <c r="X577" t="s">
        <v>932</v>
      </c>
      <c r="Y577">
        <v>0</v>
      </c>
      <c r="Z577">
        <v>3</v>
      </c>
      <c r="AB577">
        <v>5.8842105263157798</v>
      </c>
      <c r="AC577" t="s">
        <v>210</v>
      </c>
      <c r="AI577">
        <v>3</v>
      </c>
      <c r="AV577" t="s">
        <v>256</v>
      </c>
    </row>
    <row r="578" spans="1:48" x14ac:dyDescent="0.3">
      <c r="A578" t="s">
        <v>1541</v>
      </c>
      <c r="C578" t="s">
        <v>1495</v>
      </c>
      <c r="D578" t="s">
        <v>470</v>
      </c>
      <c r="E578">
        <v>8000000000</v>
      </c>
      <c r="H578">
        <v>0.25</v>
      </c>
      <c r="I578" t="s">
        <v>82</v>
      </c>
      <c r="J578">
        <v>2.4999999999999999E-7</v>
      </c>
      <c r="K578" t="s">
        <v>252</v>
      </c>
      <c r="O578">
        <v>10</v>
      </c>
      <c r="P578" t="s">
        <v>1303</v>
      </c>
      <c r="T578">
        <v>30</v>
      </c>
      <c r="V578">
        <v>50</v>
      </c>
      <c r="W578" t="s">
        <v>1057</v>
      </c>
      <c r="X578" t="s">
        <v>932</v>
      </c>
      <c r="Y578">
        <v>29.181141439205941</v>
      </c>
      <c r="Z578">
        <v>1</v>
      </c>
      <c r="AB578">
        <v>5.7737756301423504</v>
      </c>
      <c r="AC578" t="s">
        <v>210</v>
      </c>
      <c r="AI578">
        <v>3</v>
      </c>
      <c r="AV578" t="s">
        <v>256</v>
      </c>
    </row>
    <row r="579" spans="1:48" x14ac:dyDescent="0.3">
      <c r="A579" t="s">
        <v>1541</v>
      </c>
      <c r="C579" t="s">
        <v>1495</v>
      </c>
      <c r="D579" t="s">
        <v>470</v>
      </c>
      <c r="E579">
        <v>8000000000</v>
      </c>
      <c r="H579">
        <v>0.25</v>
      </c>
      <c r="I579" t="s">
        <v>82</v>
      </c>
      <c r="J579">
        <v>2.4999999999999999E-7</v>
      </c>
      <c r="K579" t="s">
        <v>252</v>
      </c>
      <c r="O579">
        <v>10</v>
      </c>
      <c r="P579" t="s">
        <v>1303</v>
      </c>
      <c r="T579">
        <v>30</v>
      </c>
      <c r="V579">
        <v>50</v>
      </c>
      <c r="W579" t="s">
        <v>1057</v>
      </c>
      <c r="X579" t="s">
        <v>932</v>
      </c>
      <c r="Y579">
        <v>60.148883374688992</v>
      </c>
      <c r="Z579">
        <v>1</v>
      </c>
      <c r="AB579">
        <v>5.7472900613817401</v>
      </c>
      <c r="AC579" t="s">
        <v>210</v>
      </c>
      <c r="AI579">
        <v>3</v>
      </c>
      <c r="AV579" t="s">
        <v>256</v>
      </c>
    </row>
    <row r="580" spans="1:48" x14ac:dyDescent="0.3">
      <c r="A580" t="s">
        <v>1541</v>
      </c>
      <c r="C580" t="s">
        <v>1495</v>
      </c>
      <c r="D580" t="s">
        <v>470</v>
      </c>
      <c r="E580">
        <v>8000000000</v>
      </c>
      <c r="H580">
        <v>0.25</v>
      </c>
      <c r="I580" t="s">
        <v>82</v>
      </c>
      <c r="J580">
        <v>2.4999999999999999E-7</v>
      </c>
      <c r="K580" t="s">
        <v>252</v>
      </c>
      <c r="O580">
        <v>10</v>
      </c>
      <c r="P580" t="s">
        <v>1303</v>
      </c>
      <c r="T580">
        <v>30</v>
      </c>
      <c r="V580">
        <v>50</v>
      </c>
      <c r="W580" t="s">
        <v>1057</v>
      </c>
      <c r="X580" t="s">
        <v>932</v>
      </c>
      <c r="Y580">
        <v>120</v>
      </c>
      <c r="Z580">
        <v>1</v>
      </c>
      <c r="AB580">
        <v>5.8631056549562501</v>
      </c>
      <c r="AC580" t="s">
        <v>210</v>
      </c>
      <c r="AI580">
        <v>3</v>
      </c>
      <c r="AV580" t="s">
        <v>256</v>
      </c>
    </row>
    <row r="581" spans="1:48" x14ac:dyDescent="0.3">
      <c r="A581" t="s">
        <v>1541</v>
      </c>
      <c r="C581" t="s">
        <v>1495</v>
      </c>
      <c r="D581" t="s">
        <v>470</v>
      </c>
      <c r="E581">
        <v>8000000000</v>
      </c>
      <c r="H581">
        <v>0.25</v>
      </c>
      <c r="I581" t="s">
        <v>82</v>
      </c>
      <c r="J581">
        <v>2.4999999999999999E-7</v>
      </c>
      <c r="K581" t="s">
        <v>252</v>
      </c>
      <c r="O581">
        <v>10</v>
      </c>
      <c r="P581" t="s">
        <v>1303</v>
      </c>
      <c r="T581">
        <v>30</v>
      </c>
      <c r="V581">
        <v>50</v>
      </c>
      <c r="W581" t="s">
        <v>1057</v>
      </c>
      <c r="X581" t="s">
        <v>932</v>
      </c>
      <c r="Y581">
        <v>180.44665012406881</v>
      </c>
      <c r="Z581">
        <v>1</v>
      </c>
      <c r="AB581">
        <v>6.8419746637064103</v>
      </c>
      <c r="AC581" t="s">
        <v>210</v>
      </c>
      <c r="AI581">
        <v>3</v>
      </c>
      <c r="AV581" t="s">
        <v>256</v>
      </c>
    </row>
    <row r="582" spans="1:48" x14ac:dyDescent="0.3">
      <c r="A582" t="s">
        <v>926</v>
      </c>
      <c r="C582" t="s">
        <v>1495</v>
      </c>
      <c r="D582" t="s">
        <v>470</v>
      </c>
      <c r="E582">
        <v>8000000000</v>
      </c>
      <c r="H582">
        <v>10</v>
      </c>
      <c r="I582" t="s">
        <v>82</v>
      </c>
      <c r="J582">
        <v>9.9999999999999991E-6</v>
      </c>
      <c r="K582" t="s">
        <v>252</v>
      </c>
      <c r="O582">
        <v>2.16</v>
      </c>
      <c r="P582" t="s">
        <v>927</v>
      </c>
      <c r="S582" t="s">
        <v>928</v>
      </c>
      <c r="T582">
        <v>20</v>
      </c>
      <c r="V582">
        <v>50</v>
      </c>
      <c r="W582" t="s">
        <v>1057</v>
      </c>
      <c r="X582" t="s">
        <v>199</v>
      </c>
      <c r="Z582">
        <v>2</v>
      </c>
      <c r="AB582">
        <v>-0.113761373567057</v>
      </c>
      <c r="AC582" t="s">
        <v>85</v>
      </c>
      <c r="AI582">
        <v>3</v>
      </c>
      <c r="AO582">
        <v>0</v>
      </c>
      <c r="AV582" t="s">
        <v>256</v>
      </c>
    </row>
    <row r="583" spans="1:48" x14ac:dyDescent="0.3">
      <c r="A583" t="s">
        <v>926</v>
      </c>
      <c r="C583" t="s">
        <v>1495</v>
      </c>
      <c r="D583" t="s">
        <v>470</v>
      </c>
      <c r="E583">
        <v>8000000000</v>
      </c>
      <c r="H583">
        <v>10</v>
      </c>
      <c r="I583" t="s">
        <v>82</v>
      </c>
      <c r="J583">
        <v>9.9999999999999991E-6</v>
      </c>
      <c r="K583" t="s">
        <v>252</v>
      </c>
      <c r="O583">
        <v>2.16</v>
      </c>
      <c r="P583" t="s">
        <v>927</v>
      </c>
      <c r="S583" t="s">
        <v>928</v>
      </c>
      <c r="T583">
        <v>20</v>
      </c>
      <c r="V583">
        <v>50</v>
      </c>
      <c r="W583" t="s">
        <v>1057</v>
      </c>
      <c r="X583" t="s">
        <v>199</v>
      </c>
      <c r="Y583">
        <v>39.748992076139501</v>
      </c>
      <c r="Z583">
        <v>2</v>
      </c>
      <c r="AB583">
        <v>2.15555441320104</v>
      </c>
      <c r="AC583" t="s">
        <v>85</v>
      </c>
      <c r="AI583">
        <v>3</v>
      </c>
      <c r="AO583">
        <v>0</v>
      </c>
      <c r="AV583" t="s">
        <v>256</v>
      </c>
    </row>
    <row r="584" spans="1:48" x14ac:dyDescent="0.3">
      <c r="A584" t="s">
        <v>926</v>
      </c>
      <c r="C584" t="s">
        <v>1495</v>
      </c>
      <c r="D584" t="s">
        <v>470</v>
      </c>
      <c r="E584">
        <v>8000000000</v>
      </c>
      <c r="H584">
        <v>10</v>
      </c>
      <c r="I584" t="s">
        <v>82</v>
      </c>
      <c r="J584">
        <v>9.9999999999999991E-6</v>
      </c>
      <c r="K584" t="s">
        <v>252</v>
      </c>
      <c r="O584">
        <v>2.16</v>
      </c>
      <c r="P584" t="s">
        <v>927</v>
      </c>
      <c r="S584" t="s">
        <v>928</v>
      </c>
      <c r="T584">
        <v>20</v>
      </c>
      <c r="V584">
        <v>50</v>
      </c>
      <c r="W584" t="s">
        <v>1057</v>
      </c>
      <c r="X584" t="s">
        <v>199</v>
      </c>
      <c r="Y584">
        <v>89.443273531074695</v>
      </c>
      <c r="Z584">
        <v>4</v>
      </c>
      <c r="AB584">
        <v>3.1324217344368401</v>
      </c>
      <c r="AC584" t="s">
        <v>85</v>
      </c>
      <c r="AI584">
        <v>3</v>
      </c>
      <c r="AO584">
        <v>0</v>
      </c>
      <c r="AV584" t="s">
        <v>256</v>
      </c>
    </row>
    <row r="585" spans="1:48" x14ac:dyDescent="0.3">
      <c r="A585" t="s">
        <v>926</v>
      </c>
      <c r="C585" t="s">
        <v>1495</v>
      </c>
      <c r="D585" t="s">
        <v>470</v>
      </c>
      <c r="E585">
        <v>5000000000</v>
      </c>
      <c r="H585">
        <v>10</v>
      </c>
      <c r="I585" t="s">
        <v>82</v>
      </c>
      <c r="J585">
        <v>9.9999999999999991E-6</v>
      </c>
      <c r="K585" t="s">
        <v>252</v>
      </c>
      <c r="O585">
        <v>2.16</v>
      </c>
      <c r="P585" t="s">
        <v>927</v>
      </c>
      <c r="S585" t="s">
        <v>928</v>
      </c>
      <c r="T585">
        <v>20</v>
      </c>
      <c r="V585">
        <v>50</v>
      </c>
      <c r="W585" t="s">
        <v>1057</v>
      </c>
      <c r="X585" t="s">
        <v>199</v>
      </c>
      <c r="Y585">
        <v>139.371084885915</v>
      </c>
      <c r="Z585">
        <v>3</v>
      </c>
      <c r="AB585">
        <v>4.3837454377216698</v>
      </c>
      <c r="AC585" t="s">
        <v>85</v>
      </c>
      <c r="AI585">
        <v>3</v>
      </c>
      <c r="AO585">
        <v>0</v>
      </c>
      <c r="AV585" t="s">
        <v>256</v>
      </c>
    </row>
    <row r="586" spans="1:48" x14ac:dyDescent="0.3">
      <c r="A586" t="s">
        <v>926</v>
      </c>
      <c r="C586" t="s">
        <v>1495</v>
      </c>
      <c r="D586" t="s">
        <v>470</v>
      </c>
      <c r="E586">
        <v>5000000000</v>
      </c>
      <c r="H586">
        <v>10</v>
      </c>
      <c r="I586" t="s">
        <v>82</v>
      </c>
      <c r="J586">
        <v>9.9999999999999991E-6</v>
      </c>
      <c r="K586" t="s">
        <v>252</v>
      </c>
      <c r="O586">
        <v>2.16</v>
      </c>
      <c r="P586" t="s">
        <v>927</v>
      </c>
      <c r="S586" t="s">
        <v>928</v>
      </c>
      <c r="T586">
        <v>20</v>
      </c>
      <c r="V586">
        <v>50</v>
      </c>
      <c r="W586" t="s">
        <v>1057</v>
      </c>
      <c r="X586" t="s">
        <v>199</v>
      </c>
      <c r="Y586">
        <v>189.976573572934</v>
      </c>
      <c r="Z586">
        <v>4</v>
      </c>
      <c r="AB586">
        <v>5.7447180383488403</v>
      </c>
      <c r="AC586" t="s">
        <v>85</v>
      </c>
      <c r="AI586">
        <v>3</v>
      </c>
      <c r="AO586">
        <v>0</v>
      </c>
      <c r="AV586" t="s">
        <v>256</v>
      </c>
    </row>
    <row r="587" spans="1:48" x14ac:dyDescent="0.3">
      <c r="A587" t="s">
        <v>926</v>
      </c>
      <c r="C587" t="s">
        <v>1495</v>
      </c>
      <c r="D587" t="s">
        <v>470</v>
      </c>
      <c r="E587">
        <v>5000000000</v>
      </c>
      <c r="H587">
        <v>10</v>
      </c>
      <c r="I587" t="s">
        <v>82</v>
      </c>
      <c r="J587">
        <v>9.9999999999999991E-6</v>
      </c>
      <c r="K587" t="s">
        <v>252</v>
      </c>
      <c r="O587">
        <v>2.16</v>
      </c>
      <c r="P587" t="s">
        <v>927</v>
      </c>
      <c r="S587" t="s">
        <v>928</v>
      </c>
      <c r="T587">
        <v>20</v>
      </c>
      <c r="V587">
        <v>50</v>
      </c>
      <c r="W587" t="s">
        <v>1057</v>
      </c>
      <c r="X587" t="s">
        <v>199</v>
      </c>
      <c r="Z587">
        <v>4</v>
      </c>
      <c r="AB587">
        <v>7.8445483987047898E-2</v>
      </c>
      <c r="AC587" t="s">
        <v>85</v>
      </c>
      <c r="AI587">
        <v>3</v>
      </c>
      <c r="AO587">
        <v>0</v>
      </c>
      <c r="AV587" t="s">
        <v>256</v>
      </c>
    </row>
    <row r="588" spans="1:48" x14ac:dyDescent="0.3">
      <c r="A588" t="s">
        <v>926</v>
      </c>
      <c r="C588" t="s">
        <v>1495</v>
      </c>
      <c r="D588" t="s">
        <v>470</v>
      </c>
      <c r="E588">
        <v>5000000000</v>
      </c>
      <c r="H588">
        <v>10</v>
      </c>
      <c r="I588" t="s">
        <v>82</v>
      </c>
      <c r="J588">
        <v>9.9999999999999991E-6</v>
      </c>
      <c r="K588" t="s">
        <v>252</v>
      </c>
      <c r="O588">
        <v>2.16</v>
      </c>
      <c r="P588" t="s">
        <v>927</v>
      </c>
      <c r="S588" t="s">
        <v>928</v>
      </c>
      <c r="T588">
        <v>20</v>
      </c>
      <c r="V588">
        <v>50</v>
      </c>
      <c r="W588" t="s">
        <v>1057</v>
      </c>
      <c r="X588" t="s">
        <v>199</v>
      </c>
      <c r="Y588">
        <v>3.16499107739534</v>
      </c>
      <c r="Z588">
        <v>3</v>
      </c>
      <c r="AB588">
        <v>3.5639233023184</v>
      </c>
      <c r="AC588" t="s">
        <v>85</v>
      </c>
      <c r="AI588">
        <v>3</v>
      </c>
      <c r="AO588">
        <v>0</v>
      </c>
      <c r="AV588" t="s">
        <v>256</v>
      </c>
    </row>
    <row r="589" spans="1:48" x14ac:dyDescent="0.3">
      <c r="A589" t="s">
        <v>926</v>
      </c>
      <c r="C589" t="s">
        <v>1495</v>
      </c>
      <c r="D589" t="s">
        <v>470</v>
      </c>
      <c r="E589">
        <v>5000000000</v>
      </c>
      <c r="H589">
        <v>10</v>
      </c>
      <c r="I589" t="s">
        <v>82</v>
      </c>
      <c r="J589">
        <v>9.9999999999999991E-6</v>
      </c>
      <c r="K589" t="s">
        <v>252</v>
      </c>
      <c r="O589">
        <v>2.16</v>
      </c>
      <c r="P589" t="s">
        <v>927</v>
      </c>
      <c r="S589" t="s">
        <v>928</v>
      </c>
      <c r="T589">
        <v>20</v>
      </c>
      <c r="V589">
        <v>50</v>
      </c>
      <c r="W589" t="s">
        <v>1057</v>
      </c>
      <c r="X589" t="s">
        <v>199</v>
      </c>
      <c r="Y589">
        <v>4.1290730037966901</v>
      </c>
      <c r="Z589">
        <v>4</v>
      </c>
      <c r="AB589">
        <v>5.5950753097208601</v>
      </c>
      <c r="AC589" t="s">
        <v>85</v>
      </c>
      <c r="AI589">
        <v>3</v>
      </c>
      <c r="AO589">
        <v>0</v>
      </c>
      <c r="AV589" t="s">
        <v>256</v>
      </c>
    </row>
    <row r="590" spans="1:48" x14ac:dyDescent="0.3">
      <c r="A590" t="s">
        <v>926</v>
      </c>
      <c r="C590" t="s">
        <v>1495</v>
      </c>
      <c r="D590" t="s">
        <v>470</v>
      </c>
      <c r="E590">
        <v>5000000000</v>
      </c>
      <c r="H590">
        <v>10</v>
      </c>
      <c r="I590" t="s">
        <v>82</v>
      </c>
      <c r="J590">
        <v>9.9999999999999991E-6</v>
      </c>
      <c r="K590" t="s">
        <v>252</v>
      </c>
      <c r="O590">
        <v>2.16</v>
      </c>
      <c r="P590" t="s">
        <v>927</v>
      </c>
      <c r="S590" t="s">
        <v>928</v>
      </c>
      <c r="T590">
        <v>20</v>
      </c>
      <c r="V590">
        <v>50</v>
      </c>
      <c r="W590" t="s">
        <v>1057</v>
      </c>
      <c r="X590" t="s">
        <v>199</v>
      </c>
      <c r="Y590">
        <v>4.85169382614506</v>
      </c>
      <c r="Z590">
        <v>1</v>
      </c>
      <c r="AB590">
        <v>7.10471392587261</v>
      </c>
      <c r="AC590" t="s">
        <v>85</v>
      </c>
      <c r="AI590">
        <v>3</v>
      </c>
      <c r="AO590">
        <v>0</v>
      </c>
      <c r="AV590" t="s">
        <v>256</v>
      </c>
    </row>
    <row r="591" spans="1:48" x14ac:dyDescent="0.3">
      <c r="A591" t="s">
        <v>926</v>
      </c>
      <c r="C591" t="s">
        <v>1495</v>
      </c>
      <c r="D591" t="s">
        <v>470</v>
      </c>
      <c r="E591">
        <v>5000000000</v>
      </c>
      <c r="H591">
        <v>10</v>
      </c>
      <c r="I591" t="s">
        <v>82</v>
      </c>
      <c r="J591">
        <v>9.9999999999999991E-6</v>
      </c>
      <c r="K591" t="s">
        <v>252</v>
      </c>
      <c r="O591">
        <v>0.22500000000000001</v>
      </c>
      <c r="P591" t="s">
        <v>59</v>
      </c>
      <c r="S591" t="s">
        <v>928</v>
      </c>
      <c r="T591">
        <v>20</v>
      </c>
      <c r="V591">
        <v>50</v>
      </c>
      <c r="W591" t="s">
        <v>1057</v>
      </c>
      <c r="X591" t="s">
        <v>199</v>
      </c>
      <c r="Y591">
        <v>0.49239543726235702</v>
      </c>
      <c r="Z591">
        <v>2</v>
      </c>
      <c r="AB591">
        <v>3.5142047492646502</v>
      </c>
      <c r="AC591" t="s">
        <v>85</v>
      </c>
      <c r="AI591">
        <v>3</v>
      </c>
      <c r="AO591">
        <v>0</v>
      </c>
      <c r="AV591" t="s">
        <v>256</v>
      </c>
    </row>
    <row r="592" spans="1:48" x14ac:dyDescent="0.3">
      <c r="A592" t="s">
        <v>926</v>
      </c>
      <c r="C592" t="s">
        <v>1495</v>
      </c>
      <c r="D592" t="s">
        <v>470</v>
      </c>
      <c r="E592">
        <v>5000000000</v>
      </c>
      <c r="H592">
        <v>10</v>
      </c>
      <c r="I592" t="s">
        <v>82</v>
      </c>
      <c r="J592">
        <v>9.9999999999999991E-6</v>
      </c>
      <c r="K592" t="s">
        <v>252</v>
      </c>
      <c r="O592">
        <v>0.22500000000000001</v>
      </c>
      <c r="P592" t="s">
        <v>59</v>
      </c>
      <c r="S592" t="s">
        <v>928</v>
      </c>
      <c r="T592">
        <v>20</v>
      </c>
      <c r="V592">
        <v>50</v>
      </c>
      <c r="W592" t="s">
        <v>1057</v>
      </c>
      <c r="X592" t="s">
        <v>199</v>
      </c>
      <c r="Y592">
        <v>0.76045627376425695</v>
      </c>
      <c r="Z592">
        <v>2</v>
      </c>
      <c r="AB592">
        <v>5.4463196785996102</v>
      </c>
      <c r="AC592" t="s">
        <v>85</v>
      </c>
      <c r="AI592">
        <v>3</v>
      </c>
      <c r="AO592">
        <v>0</v>
      </c>
      <c r="AV592" t="s">
        <v>256</v>
      </c>
    </row>
    <row r="593" spans="1:48" x14ac:dyDescent="0.3">
      <c r="A593" t="s">
        <v>926</v>
      </c>
      <c r="C593" t="s">
        <v>1495</v>
      </c>
      <c r="D593" t="s">
        <v>470</v>
      </c>
      <c r="E593">
        <v>10000000000</v>
      </c>
      <c r="H593">
        <v>10</v>
      </c>
      <c r="I593" t="s">
        <v>82</v>
      </c>
      <c r="J593">
        <v>9.9999999999999991E-6</v>
      </c>
      <c r="K593" t="s">
        <v>252</v>
      </c>
      <c r="O593">
        <v>0.22500000000000001</v>
      </c>
      <c r="P593" t="s">
        <v>59</v>
      </c>
      <c r="S593" t="s">
        <v>928</v>
      </c>
      <c r="T593">
        <v>20</v>
      </c>
      <c r="V593">
        <v>50</v>
      </c>
      <c r="W593" t="s">
        <v>1057</v>
      </c>
      <c r="X593" t="s">
        <v>199</v>
      </c>
      <c r="Y593">
        <v>0.99429657794676596</v>
      </c>
      <c r="Z593">
        <v>4</v>
      </c>
      <c r="AB593">
        <v>6.7548245928689203</v>
      </c>
      <c r="AC593" t="s">
        <v>85</v>
      </c>
      <c r="AI593">
        <v>3</v>
      </c>
      <c r="AO593">
        <v>0</v>
      </c>
      <c r="AV593" t="s">
        <v>256</v>
      </c>
    </row>
    <row r="594" spans="1:48" x14ac:dyDescent="0.3">
      <c r="A594" t="s">
        <v>926</v>
      </c>
      <c r="C594" t="s">
        <v>1495</v>
      </c>
      <c r="D594" t="s">
        <v>470</v>
      </c>
      <c r="E594">
        <v>10000000000</v>
      </c>
      <c r="H594">
        <v>10</v>
      </c>
      <c r="I594" t="s">
        <v>82</v>
      </c>
      <c r="J594">
        <v>9.9999999999999991E-6</v>
      </c>
      <c r="K594" t="s">
        <v>252</v>
      </c>
      <c r="O594">
        <v>0.22500000000000001</v>
      </c>
      <c r="P594" t="s">
        <v>59</v>
      </c>
      <c r="S594" t="s">
        <v>928</v>
      </c>
      <c r="T594">
        <v>20</v>
      </c>
      <c r="V594">
        <v>50</v>
      </c>
      <c r="W594" t="s">
        <v>1057</v>
      </c>
      <c r="X594" t="s">
        <v>199</v>
      </c>
      <c r="Y594">
        <v>1.9011406844106E-3</v>
      </c>
      <c r="Z594">
        <v>3</v>
      </c>
      <c r="AB594">
        <v>4.7492646531313902E-2</v>
      </c>
      <c r="AC594" t="s">
        <v>85</v>
      </c>
      <c r="AI594">
        <v>3</v>
      </c>
      <c r="AO594">
        <v>0</v>
      </c>
      <c r="AV594" t="s">
        <v>256</v>
      </c>
    </row>
    <row r="595" spans="1:48" x14ac:dyDescent="0.3">
      <c r="A595" t="s">
        <v>926</v>
      </c>
      <c r="C595" t="s">
        <v>1495</v>
      </c>
      <c r="D595" t="s">
        <v>470</v>
      </c>
      <c r="E595">
        <v>10000000000</v>
      </c>
      <c r="H595">
        <v>10</v>
      </c>
      <c r="I595" t="s">
        <v>82</v>
      </c>
      <c r="J595">
        <v>9.9999999999999991E-6</v>
      </c>
      <c r="K595" t="s">
        <v>252</v>
      </c>
      <c r="O595">
        <v>0.22500000000000001</v>
      </c>
      <c r="P595" t="s">
        <v>59</v>
      </c>
      <c r="S595" t="s">
        <v>928</v>
      </c>
      <c r="T595">
        <v>20</v>
      </c>
      <c r="V595">
        <v>50</v>
      </c>
      <c r="W595" t="s">
        <v>1057</v>
      </c>
      <c r="X595" t="s">
        <v>199</v>
      </c>
      <c r="Y595">
        <v>1.9011406844106E-3</v>
      </c>
      <c r="Z595">
        <v>4</v>
      </c>
      <c r="AB595">
        <v>0.104096420116219</v>
      </c>
      <c r="AC595" t="s">
        <v>85</v>
      </c>
      <c r="AI595">
        <v>3</v>
      </c>
      <c r="AO595">
        <v>0</v>
      </c>
      <c r="AV595" t="s">
        <v>256</v>
      </c>
    </row>
    <row r="596" spans="1:48" x14ac:dyDescent="0.3">
      <c r="A596" t="s">
        <v>926</v>
      </c>
      <c r="C596" t="s">
        <v>1495</v>
      </c>
      <c r="D596" t="s">
        <v>470</v>
      </c>
      <c r="E596">
        <v>10000000000</v>
      </c>
      <c r="H596">
        <v>10</v>
      </c>
      <c r="I596" t="s">
        <v>82</v>
      </c>
      <c r="J596">
        <v>9.9999999999999991E-6</v>
      </c>
      <c r="K596" t="s">
        <v>252</v>
      </c>
      <c r="O596">
        <v>0.22500000000000001</v>
      </c>
      <c r="P596" t="s">
        <v>59</v>
      </c>
      <c r="S596" t="s">
        <v>928</v>
      </c>
      <c r="T596">
        <v>20</v>
      </c>
      <c r="V596">
        <v>50</v>
      </c>
      <c r="W596" t="s">
        <v>1057</v>
      </c>
      <c r="X596" t="s">
        <v>199</v>
      </c>
      <c r="Y596">
        <v>2.99049429657794</v>
      </c>
      <c r="Z596">
        <v>1</v>
      </c>
      <c r="AB596">
        <v>4.2641509433962099</v>
      </c>
      <c r="AC596" t="s">
        <v>85</v>
      </c>
      <c r="AI596">
        <v>3</v>
      </c>
      <c r="AO596">
        <v>0</v>
      </c>
      <c r="AV596" t="s">
        <v>256</v>
      </c>
    </row>
    <row r="597" spans="1:48" x14ac:dyDescent="0.3">
      <c r="A597" t="s">
        <v>926</v>
      </c>
      <c r="C597" t="s">
        <v>1495</v>
      </c>
      <c r="D597" t="s">
        <v>470</v>
      </c>
      <c r="E597">
        <v>10000000000</v>
      </c>
      <c r="H597">
        <v>10</v>
      </c>
      <c r="I597" t="s">
        <v>82</v>
      </c>
      <c r="J597">
        <v>9.9999999999999991E-6</v>
      </c>
      <c r="K597" t="s">
        <v>252</v>
      </c>
      <c r="O597">
        <v>0.22500000000000001</v>
      </c>
      <c r="P597" t="s">
        <v>59</v>
      </c>
      <c r="S597" t="s">
        <v>928</v>
      </c>
      <c r="T597">
        <v>20</v>
      </c>
      <c r="V597">
        <v>50</v>
      </c>
      <c r="W597" t="s">
        <v>1057</v>
      </c>
      <c r="X597" t="s">
        <v>199</v>
      </c>
      <c r="Y597">
        <v>3.5038022813688201</v>
      </c>
      <c r="Z597">
        <v>2</v>
      </c>
      <c r="AB597">
        <v>4.9579238108902901</v>
      </c>
      <c r="AC597" t="s">
        <v>85</v>
      </c>
      <c r="AI597">
        <v>3</v>
      </c>
      <c r="AO597">
        <v>0</v>
      </c>
      <c r="AV597" t="s">
        <v>256</v>
      </c>
    </row>
    <row r="598" spans="1:48" x14ac:dyDescent="0.3">
      <c r="A598" t="s">
        <v>926</v>
      </c>
      <c r="C598" t="s">
        <v>1495</v>
      </c>
      <c r="D598" t="s">
        <v>470</v>
      </c>
      <c r="E598">
        <v>10000000000</v>
      </c>
      <c r="H598">
        <v>10</v>
      </c>
      <c r="I598" t="s">
        <v>82</v>
      </c>
      <c r="J598">
        <v>9.9999999999999991E-6</v>
      </c>
      <c r="K598" t="s">
        <v>252</v>
      </c>
      <c r="O598">
        <v>0.22500000000000001</v>
      </c>
      <c r="P598" t="s">
        <v>59</v>
      </c>
      <c r="S598" t="s">
        <v>928</v>
      </c>
      <c r="T598">
        <v>20</v>
      </c>
      <c r="V598">
        <v>50</v>
      </c>
      <c r="W598" t="s">
        <v>1057</v>
      </c>
      <c r="X598" t="s">
        <v>199</v>
      </c>
      <c r="Y598">
        <v>3.99999999999998</v>
      </c>
      <c r="Z598">
        <v>2</v>
      </c>
      <c r="AB598">
        <v>6.0191369538704302</v>
      </c>
      <c r="AC598" t="s">
        <v>85</v>
      </c>
      <c r="AI598">
        <v>3</v>
      </c>
      <c r="AO598">
        <v>0</v>
      </c>
      <c r="AV598" t="s">
        <v>256</v>
      </c>
    </row>
    <row r="599" spans="1:48" x14ac:dyDescent="0.3">
      <c r="A599" t="s">
        <v>926</v>
      </c>
      <c r="C599" t="s">
        <v>1495</v>
      </c>
      <c r="D599" t="s">
        <v>470</v>
      </c>
      <c r="E599">
        <v>10000000000</v>
      </c>
      <c r="H599">
        <v>10</v>
      </c>
      <c r="I599" t="s">
        <v>82</v>
      </c>
      <c r="J599">
        <v>9.9999999999999991E-6</v>
      </c>
      <c r="K599" t="s">
        <v>252</v>
      </c>
      <c r="O599">
        <v>0.22500000000000001</v>
      </c>
      <c r="P599" t="s">
        <v>59</v>
      </c>
      <c r="S599" t="s">
        <v>928</v>
      </c>
      <c r="T599">
        <v>20</v>
      </c>
      <c r="V599">
        <v>50</v>
      </c>
      <c r="W599" t="s">
        <v>1057</v>
      </c>
      <c r="X599" t="s">
        <v>199</v>
      </c>
      <c r="Y599">
        <v>4.4961977186311701</v>
      </c>
      <c r="Z599">
        <v>4</v>
      </c>
      <c r="AB599">
        <v>7.108651983643</v>
      </c>
      <c r="AC599" t="s">
        <v>85</v>
      </c>
      <c r="AI599">
        <v>3</v>
      </c>
      <c r="AO599">
        <v>0</v>
      </c>
      <c r="AV599" t="s">
        <v>256</v>
      </c>
    </row>
    <row r="600" spans="1:48" x14ac:dyDescent="0.3">
      <c r="A600" t="s">
        <v>926</v>
      </c>
      <c r="C600" t="s">
        <v>1495</v>
      </c>
      <c r="D600" t="s">
        <v>470</v>
      </c>
      <c r="E600">
        <v>10000000000</v>
      </c>
      <c r="H600">
        <v>10</v>
      </c>
      <c r="I600" t="s">
        <v>82</v>
      </c>
      <c r="J600">
        <v>9.9999999999999991E-6</v>
      </c>
      <c r="K600" t="s">
        <v>252</v>
      </c>
      <c r="O600">
        <v>1.17</v>
      </c>
      <c r="P600" t="s">
        <v>59</v>
      </c>
      <c r="S600" t="s">
        <v>928</v>
      </c>
      <c r="T600">
        <v>20</v>
      </c>
      <c r="V600">
        <v>50</v>
      </c>
      <c r="W600" t="s">
        <v>1057</v>
      </c>
      <c r="X600" t="s">
        <v>199</v>
      </c>
      <c r="Z600">
        <v>3</v>
      </c>
      <c r="AB600">
        <v>-9.4554007599059603E-2</v>
      </c>
      <c r="AC600" t="s">
        <v>85</v>
      </c>
      <c r="AI600">
        <v>3</v>
      </c>
      <c r="AO600">
        <v>0</v>
      </c>
      <c r="AV600" t="s">
        <v>256</v>
      </c>
    </row>
    <row r="601" spans="1:48" x14ac:dyDescent="0.3">
      <c r="A601" t="s">
        <v>926</v>
      </c>
      <c r="C601" t="s">
        <v>1495</v>
      </c>
      <c r="D601" t="s">
        <v>470</v>
      </c>
      <c r="E601">
        <v>3000000</v>
      </c>
      <c r="H601">
        <v>10</v>
      </c>
      <c r="I601" t="s">
        <v>82</v>
      </c>
      <c r="J601">
        <v>9.9999999999999991E-6</v>
      </c>
      <c r="K601" t="s">
        <v>252</v>
      </c>
      <c r="O601">
        <v>1.17</v>
      </c>
      <c r="P601" t="s">
        <v>59</v>
      </c>
      <c r="S601" t="s">
        <v>928</v>
      </c>
      <c r="T601">
        <v>20</v>
      </c>
      <c r="V601">
        <v>50</v>
      </c>
      <c r="W601" t="s">
        <v>1057</v>
      </c>
      <c r="X601" t="s">
        <v>199</v>
      </c>
      <c r="Y601">
        <v>0.252947349375791</v>
      </c>
      <c r="Z601">
        <v>4</v>
      </c>
      <c r="AB601">
        <v>6.7424208431336901</v>
      </c>
      <c r="AC601" t="s">
        <v>85</v>
      </c>
      <c r="AI601">
        <v>3</v>
      </c>
      <c r="AO601">
        <v>0</v>
      </c>
      <c r="AV601" t="s">
        <v>256</v>
      </c>
    </row>
    <row r="602" spans="1:48" x14ac:dyDescent="0.3">
      <c r="A602" t="s">
        <v>926</v>
      </c>
      <c r="C602" t="s">
        <v>1495</v>
      </c>
      <c r="D602" t="s">
        <v>470</v>
      </c>
      <c r="E602">
        <v>3000000</v>
      </c>
      <c r="H602">
        <v>10</v>
      </c>
      <c r="I602" t="s">
        <v>82</v>
      </c>
      <c r="J602">
        <v>9.9999999999999991E-6</v>
      </c>
      <c r="K602" t="s">
        <v>252</v>
      </c>
      <c r="O602">
        <v>1.17</v>
      </c>
      <c r="P602" t="s">
        <v>59</v>
      </c>
      <c r="S602" t="s">
        <v>928</v>
      </c>
      <c r="T602">
        <v>20</v>
      </c>
      <c r="V602">
        <v>50</v>
      </c>
      <c r="W602" t="s">
        <v>1057</v>
      </c>
      <c r="X602" t="s">
        <v>199</v>
      </c>
      <c r="Z602">
        <v>1</v>
      </c>
      <c r="AB602">
        <v>1.5632350280440702E-2</v>
      </c>
      <c r="AC602" t="s">
        <v>85</v>
      </c>
      <c r="AI602">
        <v>3</v>
      </c>
      <c r="AO602">
        <v>0</v>
      </c>
      <c r="AV602" t="s">
        <v>256</v>
      </c>
    </row>
    <row r="603" spans="1:48" x14ac:dyDescent="0.3">
      <c r="A603" t="s">
        <v>926</v>
      </c>
      <c r="C603" t="s">
        <v>1495</v>
      </c>
      <c r="D603" t="s">
        <v>470</v>
      </c>
      <c r="E603">
        <v>3000000</v>
      </c>
      <c r="H603">
        <v>10</v>
      </c>
      <c r="I603" t="s">
        <v>82</v>
      </c>
      <c r="J603">
        <v>9.9999999999999991E-6</v>
      </c>
      <c r="K603" t="s">
        <v>252</v>
      </c>
      <c r="O603">
        <v>1.17</v>
      </c>
      <c r="P603" t="s">
        <v>59</v>
      </c>
      <c r="S603" t="s">
        <v>928</v>
      </c>
      <c r="T603">
        <v>20</v>
      </c>
      <c r="V603">
        <v>50</v>
      </c>
      <c r="W603" t="s">
        <v>1057</v>
      </c>
      <c r="X603" t="s">
        <v>199</v>
      </c>
      <c r="Y603">
        <v>0.509969241903383</v>
      </c>
      <c r="Z603">
        <v>3</v>
      </c>
      <c r="AB603">
        <v>3.98887642482359</v>
      </c>
      <c r="AC603" t="s">
        <v>85</v>
      </c>
      <c r="AI603">
        <v>3</v>
      </c>
      <c r="AO603">
        <v>0</v>
      </c>
      <c r="AV603" t="s">
        <v>256</v>
      </c>
    </row>
    <row r="604" spans="1:48" x14ac:dyDescent="0.3">
      <c r="A604" t="s">
        <v>926</v>
      </c>
      <c r="C604" t="s">
        <v>1495</v>
      </c>
      <c r="D604" t="s">
        <v>470</v>
      </c>
      <c r="E604">
        <v>3000000</v>
      </c>
      <c r="H604">
        <v>10</v>
      </c>
      <c r="I604" t="s">
        <v>82</v>
      </c>
      <c r="J604">
        <v>9.9999999999999991E-6</v>
      </c>
      <c r="K604" t="s">
        <v>252</v>
      </c>
      <c r="O604">
        <v>1.17</v>
      </c>
      <c r="P604" t="s">
        <v>59</v>
      </c>
      <c r="S604" t="s">
        <v>928</v>
      </c>
      <c r="T604">
        <v>20</v>
      </c>
      <c r="V604">
        <v>50</v>
      </c>
      <c r="W604" t="s">
        <v>1057</v>
      </c>
      <c r="X604" t="s">
        <v>199</v>
      </c>
      <c r="Y604">
        <v>0.75991315360955203</v>
      </c>
      <c r="Z604">
        <v>2</v>
      </c>
      <c r="AB604">
        <v>6.2510150171883403</v>
      </c>
      <c r="AC604" t="s">
        <v>85</v>
      </c>
      <c r="AI604">
        <v>3</v>
      </c>
      <c r="AO604">
        <v>0</v>
      </c>
      <c r="AV604" t="s">
        <v>256</v>
      </c>
    </row>
    <row r="605" spans="1:48" x14ac:dyDescent="0.3">
      <c r="A605" t="s">
        <v>1542</v>
      </c>
      <c r="C605" t="s">
        <v>1495</v>
      </c>
      <c r="D605" t="s">
        <v>81</v>
      </c>
      <c r="E605">
        <v>3000000</v>
      </c>
      <c r="H605">
        <v>1</v>
      </c>
      <c r="I605" t="s">
        <v>82</v>
      </c>
      <c r="J605">
        <v>9.9999999999999995E-7</v>
      </c>
      <c r="K605" t="s">
        <v>252</v>
      </c>
      <c r="L605" t="s">
        <v>58</v>
      </c>
      <c r="O605">
        <v>70</v>
      </c>
      <c r="P605" t="s">
        <v>1543</v>
      </c>
      <c r="T605">
        <v>22</v>
      </c>
      <c r="V605">
        <v>50</v>
      </c>
      <c r="W605" t="s">
        <v>1057</v>
      </c>
      <c r="X605" t="s">
        <v>932</v>
      </c>
      <c r="Z605">
        <v>4</v>
      </c>
      <c r="AB605">
        <v>1.1000000000000001</v>
      </c>
      <c r="AC605" t="s">
        <v>85</v>
      </c>
      <c r="AD605">
        <v>0.36</v>
      </c>
      <c r="AE605" t="s">
        <v>63</v>
      </c>
      <c r="AI605">
        <v>3</v>
      </c>
      <c r="AV605" t="s">
        <v>256</v>
      </c>
    </row>
    <row r="606" spans="1:48" x14ac:dyDescent="0.3">
      <c r="A606" t="s">
        <v>1542</v>
      </c>
      <c r="C606" t="s">
        <v>1495</v>
      </c>
      <c r="D606" t="s">
        <v>81</v>
      </c>
      <c r="E606">
        <v>3000000</v>
      </c>
      <c r="H606">
        <v>1</v>
      </c>
      <c r="I606" t="s">
        <v>82</v>
      </c>
      <c r="J606">
        <v>9.9999999999999995E-7</v>
      </c>
      <c r="K606" t="s">
        <v>252</v>
      </c>
      <c r="L606" t="s">
        <v>58</v>
      </c>
      <c r="O606">
        <v>70</v>
      </c>
      <c r="P606" t="s">
        <v>1543</v>
      </c>
      <c r="T606">
        <v>22</v>
      </c>
      <c r="V606">
        <v>50</v>
      </c>
      <c r="W606" t="s">
        <v>1057</v>
      </c>
      <c r="X606" t="s">
        <v>932</v>
      </c>
      <c r="Z606">
        <v>3</v>
      </c>
      <c r="AB606">
        <v>0.5</v>
      </c>
      <c r="AC606" t="s">
        <v>85</v>
      </c>
      <c r="AD606">
        <v>0.1</v>
      </c>
      <c r="AE606" t="s">
        <v>63</v>
      </c>
      <c r="AI606">
        <v>3</v>
      </c>
      <c r="AV606" t="s">
        <v>256</v>
      </c>
    </row>
    <row r="607" spans="1:48" x14ac:dyDescent="0.3">
      <c r="A607" t="s">
        <v>1542</v>
      </c>
      <c r="C607" t="s">
        <v>1495</v>
      </c>
      <c r="D607" t="s">
        <v>81</v>
      </c>
      <c r="E607">
        <v>3000000</v>
      </c>
      <c r="H607">
        <v>1</v>
      </c>
      <c r="I607" t="s">
        <v>82</v>
      </c>
      <c r="J607">
        <v>9.9999999999999995E-7</v>
      </c>
      <c r="K607" t="s">
        <v>252</v>
      </c>
      <c r="L607" t="s">
        <v>58</v>
      </c>
      <c r="O607">
        <v>70</v>
      </c>
      <c r="P607" t="s">
        <v>1543</v>
      </c>
      <c r="T607">
        <v>22</v>
      </c>
      <c r="V607">
        <v>50</v>
      </c>
      <c r="W607" t="s">
        <v>1057</v>
      </c>
      <c r="X607" t="s">
        <v>932</v>
      </c>
      <c r="Z607">
        <v>4</v>
      </c>
      <c r="AB607">
        <v>0.3</v>
      </c>
      <c r="AC607" t="s">
        <v>85</v>
      </c>
      <c r="AD607">
        <v>0.06</v>
      </c>
      <c r="AE607" t="s">
        <v>63</v>
      </c>
      <c r="AI607">
        <v>3</v>
      </c>
      <c r="AV607" t="s">
        <v>256</v>
      </c>
    </row>
    <row r="608" spans="1:48" x14ac:dyDescent="0.3">
      <c r="A608" t="s">
        <v>1542</v>
      </c>
      <c r="C608" t="s">
        <v>1495</v>
      </c>
      <c r="D608" t="s">
        <v>81</v>
      </c>
      <c r="E608">
        <v>3000000</v>
      </c>
      <c r="H608">
        <v>1</v>
      </c>
      <c r="I608" t="s">
        <v>82</v>
      </c>
      <c r="J608">
        <v>9.9999999999999995E-7</v>
      </c>
      <c r="K608" t="s">
        <v>252</v>
      </c>
      <c r="L608" t="s">
        <v>58</v>
      </c>
      <c r="O608">
        <v>70</v>
      </c>
      <c r="P608" t="s">
        <v>1543</v>
      </c>
      <c r="T608">
        <v>22</v>
      </c>
      <c r="V608">
        <v>50</v>
      </c>
      <c r="W608" t="s">
        <v>1057</v>
      </c>
      <c r="X608" t="s">
        <v>932</v>
      </c>
      <c r="AB608">
        <v>0.1</v>
      </c>
      <c r="AC608" t="s">
        <v>85</v>
      </c>
      <c r="AD608">
        <v>0.1</v>
      </c>
      <c r="AE608" t="s">
        <v>63</v>
      </c>
      <c r="AI608">
        <v>3</v>
      </c>
      <c r="AV608" t="s">
        <v>256</v>
      </c>
    </row>
    <row r="609" spans="1:48" x14ac:dyDescent="0.3">
      <c r="A609" t="s">
        <v>1542</v>
      </c>
      <c r="C609" t="s">
        <v>1495</v>
      </c>
      <c r="H609">
        <v>1</v>
      </c>
      <c r="I609" t="s">
        <v>82</v>
      </c>
      <c r="J609">
        <v>9.9999999999999995E-7</v>
      </c>
      <c r="K609" t="s">
        <v>252</v>
      </c>
      <c r="L609" t="s">
        <v>58</v>
      </c>
      <c r="O609">
        <v>70</v>
      </c>
      <c r="P609" t="s">
        <v>1543</v>
      </c>
      <c r="T609">
        <v>22</v>
      </c>
      <c r="V609">
        <v>50</v>
      </c>
      <c r="W609" t="s">
        <v>1057</v>
      </c>
      <c r="X609" t="s">
        <v>932</v>
      </c>
      <c r="AB609">
        <v>0.1</v>
      </c>
      <c r="AC609" t="s">
        <v>85</v>
      </c>
      <c r="AD609">
        <v>0.17</v>
      </c>
      <c r="AE609" t="s">
        <v>63</v>
      </c>
      <c r="AI609">
        <v>3</v>
      </c>
      <c r="AV609" t="s">
        <v>256</v>
      </c>
    </row>
    <row r="610" spans="1:48" x14ac:dyDescent="0.3">
      <c r="A610" t="s">
        <v>1542</v>
      </c>
      <c r="C610" t="s">
        <v>1495</v>
      </c>
      <c r="H610">
        <v>1</v>
      </c>
      <c r="I610" t="s">
        <v>82</v>
      </c>
      <c r="J610">
        <v>9.9999999999999995E-7</v>
      </c>
      <c r="K610" t="s">
        <v>252</v>
      </c>
      <c r="L610" t="s">
        <v>58</v>
      </c>
      <c r="O610">
        <v>70</v>
      </c>
      <c r="P610" t="s">
        <v>1543</v>
      </c>
      <c r="T610">
        <v>22</v>
      </c>
      <c r="V610">
        <v>50</v>
      </c>
      <c r="W610" t="s">
        <v>1057</v>
      </c>
      <c r="X610" t="s">
        <v>932</v>
      </c>
      <c r="AB610">
        <v>0</v>
      </c>
      <c r="AC610" t="s">
        <v>85</v>
      </c>
      <c r="AD610">
        <v>0</v>
      </c>
      <c r="AE610" t="s">
        <v>63</v>
      </c>
      <c r="AI610">
        <v>3</v>
      </c>
      <c r="AV610" t="s">
        <v>256</v>
      </c>
    </row>
    <row r="611" spans="1:48" x14ac:dyDescent="0.3">
      <c r="A611" t="s">
        <v>1542</v>
      </c>
      <c r="C611" t="s">
        <v>1495</v>
      </c>
      <c r="H611">
        <v>1</v>
      </c>
      <c r="I611" t="s">
        <v>82</v>
      </c>
      <c r="J611">
        <v>9.9999999999999995E-7</v>
      </c>
      <c r="K611" t="s">
        <v>252</v>
      </c>
      <c r="L611" t="s">
        <v>58</v>
      </c>
      <c r="O611">
        <v>70</v>
      </c>
      <c r="P611" t="s">
        <v>1543</v>
      </c>
      <c r="T611">
        <v>22</v>
      </c>
      <c r="V611">
        <v>50</v>
      </c>
      <c r="W611" t="s">
        <v>1057</v>
      </c>
      <c r="X611" t="s">
        <v>932</v>
      </c>
      <c r="AB611">
        <v>0</v>
      </c>
      <c r="AC611" t="s">
        <v>85</v>
      </c>
      <c r="AD611">
        <v>0</v>
      </c>
      <c r="AE611" t="s">
        <v>63</v>
      </c>
      <c r="AI611">
        <v>3</v>
      </c>
      <c r="AV611" t="s">
        <v>256</v>
      </c>
    </row>
    <row r="612" spans="1:48" x14ac:dyDescent="0.3">
      <c r="A612" t="s">
        <v>1542</v>
      </c>
      <c r="C612" t="s">
        <v>1495</v>
      </c>
      <c r="H612">
        <v>1</v>
      </c>
      <c r="I612" t="s">
        <v>82</v>
      </c>
      <c r="J612">
        <v>9.9999999999999995E-7</v>
      </c>
      <c r="K612" t="s">
        <v>252</v>
      </c>
      <c r="L612" t="s">
        <v>58</v>
      </c>
      <c r="O612">
        <v>70</v>
      </c>
      <c r="P612" t="s">
        <v>1543</v>
      </c>
      <c r="T612">
        <v>22</v>
      </c>
      <c r="V612">
        <v>50</v>
      </c>
      <c r="W612" t="s">
        <v>1057</v>
      </c>
      <c r="X612" t="s">
        <v>932</v>
      </c>
      <c r="AB612">
        <v>0.03</v>
      </c>
      <c r="AC612" t="s">
        <v>85</v>
      </c>
      <c r="AD612">
        <v>0.05</v>
      </c>
      <c r="AE612" t="s">
        <v>63</v>
      </c>
      <c r="AI612">
        <v>3</v>
      </c>
      <c r="AV612" t="s">
        <v>256</v>
      </c>
    </row>
    <row r="613" spans="1:48" x14ac:dyDescent="0.3">
      <c r="A613" t="s">
        <v>1542</v>
      </c>
      <c r="C613" t="s">
        <v>1495</v>
      </c>
      <c r="H613">
        <v>1</v>
      </c>
      <c r="I613" t="s">
        <v>82</v>
      </c>
      <c r="J613">
        <v>9.9999999999999995E-7</v>
      </c>
      <c r="K613" t="s">
        <v>252</v>
      </c>
      <c r="L613" t="s">
        <v>58</v>
      </c>
      <c r="O613">
        <v>70</v>
      </c>
      <c r="P613" t="s">
        <v>1543</v>
      </c>
      <c r="T613">
        <v>22</v>
      </c>
      <c r="V613">
        <v>50</v>
      </c>
      <c r="W613" t="s">
        <v>1057</v>
      </c>
      <c r="X613" t="s">
        <v>932</v>
      </c>
      <c r="AB613">
        <v>7.0000000000000007E-2</v>
      </c>
      <c r="AC613" t="s">
        <v>85</v>
      </c>
      <c r="AD613">
        <v>0.06</v>
      </c>
      <c r="AE613" t="s">
        <v>63</v>
      </c>
      <c r="AI613">
        <v>3</v>
      </c>
      <c r="AV613" t="s">
        <v>256</v>
      </c>
    </row>
    <row r="614" spans="1:48" x14ac:dyDescent="0.3">
      <c r="A614" t="s">
        <v>1542</v>
      </c>
      <c r="C614" t="s">
        <v>1495</v>
      </c>
      <c r="H614">
        <v>1</v>
      </c>
      <c r="I614" t="s">
        <v>82</v>
      </c>
      <c r="J614">
        <v>9.9999999999999995E-7</v>
      </c>
      <c r="K614" t="s">
        <v>252</v>
      </c>
      <c r="L614" t="s">
        <v>58</v>
      </c>
      <c r="O614">
        <v>70</v>
      </c>
      <c r="P614" t="s">
        <v>1543</v>
      </c>
      <c r="T614">
        <v>22</v>
      </c>
      <c r="V614">
        <v>50</v>
      </c>
      <c r="W614" t="s">
        <v>1057</v>
      </c>
      <c r="X614" t="s">
        <v>932</v>
      </c>
      <c r="AB614">
        <v>0.1</v>
      </c>
      <c r="AC614" t="s">
        <v>85</v>
      </c>
      <c r="AD614">
        <v>0.1</v>
      </c>
      <c r="AE614" t="s">
        <v>63</v>
      </c>
      <c r="AI614">
        <v>3</v>
      </c>
      <c r="AV614" t="s">
        <v>256</v>
      </c>
    </row>
    <row r="615" spans="1:48" x14ac:dyDescent="0.3">
      <c r="A615" t="s">
        <v>1542</v>
      </c>
      <c r="C615" t="s">
        <v>1495</v>
      </c>
      <c r="H615">
        <v>1</v>
      </c>
      <c r="I615" t="s">
        <v>82</v>
      </c>
      <c r="J615">
        <v>9.9999999999999995E-7</v>
      </c>
      <c r="K615" t="s">
        <v>252</v>
      </c>
      <c r="L615" t="s">
        <v>58</v>
      </c>
      <c r="O615">
        <v>70</v>
      </c>
      <c r="P615" t="s">
        <v>1543</v>
      </c>
      <c r="T615">
        <v>22</v>
      </c>
      <c r="V615">
        <v>50</v>
      </c>
      <c r="W615" t="s">
        <v>1057</v>
      </c>
      <c r="X615" t="s">
        <v>932</v>
      </c>
      <c r="AB615">
        <v>0.1</v>
      </c>
      <c r="AC615" t="s">
        <v>85</v>
      </c>
      <c r="AD615">
        <v>0.1</v>
      </c>
      <c r="AE615" t="s">
        <v>63</v>
      </c>
      <c r="AI615">
        <v>3</v>
      </c>
      <c r="AV615" t="s">
        <v>256</v>
      </c>
    </row>
    <row r="616" spans="1:48" x14ac:dyDescent="0.3">
      <c r="A616" t="s">
        <v>1542</v>
      </c>
      <c r="C616" t="s">
        <v>1495</v>
      </c>
      <c r="H616">
        <v>1</v>
      </c>
      <c r="I616" t="s">
        <v>82</v>
      </c>
      <c r="J616">
        <v>9.9999999999999995E-7</v>
      </c>
      <c r="K616" t="s">
        <v>252</v>
      </c>
      <c r="L616" t="s">
        <v>58</v>
      </c>
      <c r="O616">
        <v>70</v>
      </c>
      <c r="P616" t="s">
        <v>1543</v>
      </c>
      <c r="T616">
        <v>22</v>
      </c>
      <c r="V616">
        <v>50</v>
      </c>
      <c r="W616" t="s">
        <v>1057</v>
      </c>
      <c r="X616" t="s">
        <v>932</v>
      </c>
      <c r="AB616">
        <v>0.03</v>
      </c>
      <c r="AC616" t="s">
        <v>85</v>
      </c>
      <c r="AD616">
        <v>0.06</v>
      </c>
      <c r="AE616" t="s">
        <v>63</v>
      </c>
      <c r="AI616">
        <v>3</v>
      </c>
      <c r="AV616" t="s">
        <v>256</v>
      </c>
    </row>
    <row r="617" spans="1:48" x14ac:dyDescent="0.3">
      <c r="A617" t="s">
        <v>1542</v>
      </c>
      <c r="C617" t="s">
        <v>1495</v>
      </c>
      <c r="H617">
        <v>1</v>
      </c>
      <c r="I617" t="s">
        <v>82</v>
      </c>
      <c r="J617">
        <v>9.9999999999999995E-7</v>
      </c>
      <c r="K617" t="s">
        <v>252</v>
      </c>
      <c r="L617" t="s">
        <v>58</v>
      </c>
      <c r="O617">
        <v>70</v>
      </c>
      <c r="P617" t="s">
        <v>1543</v>
      </c>
      <c r="T617">
        <v>22</v>
      </c>
      <c r="V617">
        <v>50</v>
      </c>
      <c r="W617" t="s">
        <v>1057</v>
      </c>
      <c r="X617" t="s">
        <v>932</v>
      </c>
      <c r="AB617">
        <v>0.2</v>
      </c>
      <c r="AC617" t="s">
        <v>85</v>
      </c>
      <c r="AD617">
        <v>0.12</v>
      </c>
      <c r="AE617" t="s">
        <v>63</v>
      </c>
      <c r="AI617">
        <v>3</v>
      </c>
      <c r="AV617" t="s">
        <v>256</v>
      </c>
    </row>
    <row r="618" spans="1:48" x14ac:dyDescent="0.3">
      <c r="A618" t="s">
        <v>1542</v>
      </c>
      <c r="C618" t="s">
        <v>1495</v>
      </c>
      <c r="H618">
        <v>1</v>
      </c>
      <c r="I618" t="s">
        <v>82</v>
      </c>
      <c r="J618">
        <v>9.9999999999999995E-7</v>
      </c>
      <c r="K618" t="s">
        <v>252</v>
      </c>
      <c r="L618" t="s">
        <v>58</v>
      </c>
      <c r="O618">
        <v>70</v>
      </c>
      <c r="P618" t="s">
        <v>1543</v>
      </c>
      <c r="T618">
        <v>22</v>
      </c>
      <c r="V618">
        <v>50</v>
      </c>
      <c r="W618" t="s">
        <v>1057</v>
      </c>
      <c r="X618" t="s">
        <v>932</v>
      </c>
      <c r="AB618">
        <v>0.2</v>
      </c>
      <c r="AC618" t="s">
        <v>85</v>
      </c>
      <c r="AD618">
        <v>0.15</v>
      </c>
      <c r="AE618" t="s">
        <v>63</v>
      </c>
      <c r="AI618">
        <v>3</v>
      </c>
      <c r="AV618" t="s">
        <v>256</v>
      </c>
    </row>
    <row r="619" spans="1:48" x14ac:dyDescent="0.3">
      <c r="A619" t="s">
        <v>1542</v>
      </c>
      <c r="C619" t="s">
        <v>1495</v>
      </c>
      <c r="H619">
        <v>1</v>
      </c>
      <c r="I619" t="s">
        <v>82</v>
      </c>
      <c r="J619">
        <v>9.9999999999999995E-7</v>
      </c>
      <c r="K619" t="s">
        <v>252</v>
      </c>
      <c r="L619" t="s">
        <v>58</v>
      </c>
      <c r="O619">
        <v>70</v>
      </c>
      <c r="P619" t="s">
        <v>1543</v>
      </c>
      <c r="T619">
        <v>22</v>
      </c>
      <c r="V619">
        <v>50</v>
      </c>
      <c r="W619" t="s">
        <v>1057</v>
      </c>
      <c r="X619" t="s">
        <v>932</v>
      </c>
      <c r="AB619">
        <v>0.8</v>
      </c>
      <c r="AC619" t="s">
        <v>85</v>
      </c>
      <c r="AD619">
        <v>0.2</v>
      </c>
      <c r="AE619" t="s">
        <v>63</v>
      </c>
      <c r="AI619">
        <v>3</v>
      </c>
      <c r="AV619" t="s">
        <v>256</v>
      </c>
    </row>
    <row r="620" spans="1:48" x14ac:dyDescent="0.3">
      <c r="A620" t="s">
        <v>1542</v>
      </c>
      <c r="C620" t="s">
        <v>1495</v>
      </c>
      <c r="H620">
        <v>1</v>
      </c>
      <c r="I620" t="s">
        <v>82</v>
      </c>
      <c r="J620">
        <v>9.9999999999999995E-7</v>
      </c>
      <c r="K620" t="s">
        <v>252</v>
      </c>
      <c r="L620" t="s">
        <v>58</v>
      </c>
      <c r="O620">
        <v>70</v>
      </c>
      <c r="P620" t="s">
        <v>1543</v>
      </c>
      <c r="T620">
        <v>22</v>
      </c>
      <c r="V620">
        <v>50</v>
      </c>
      <c r="W620" t="s">
        <v>1057</v>
      </c>
      <c r="X620" t="s">
        <v>932</v>
      </c>
      <c r="AB620">
        <v>0.2</v>
      </c>
      <c r="AC620" t="s">
        <v>85</v>
      </c>
      <c r="AD620">
        <v>0.06</v>
      </c>
      <c r="AE620" t="s">
        <v>63</v>
      </c>
      <c r="AI620">
        <v>3</v>
      </c>
      <c r="AV620" t="s">
        <v>256</v>
      </c>
    </row>
    <row r="621" spans="1:48" x14ac:dyDescent="0.3">
      <c r="A621" t="s">
        <v>1542</v>
      </c>
      <c r="C621" t="s">
        <v>1495</v>
      </c>
      <c r="H621">
        <v>1</v>
      </c>
      <c r="I621" t="s">
        <v>82</v>
      </c>
      <c r="J621">
        <v>9.9999999999999995E-7</v>
      </c>
      <c r="K621" t="s">
        <v>252</v>
      </c>
      <c r="L621" t="s">
        <v>58</v>
      </c>
      <c r="O621">
        <v>70</v>
      </c>
      <c r="P621" t="s">
        <v>1543</v>
      </c>
      <c r="T621">
        <v>22</v>
      </c>
      <c r="V621">
        <v>50</v>
      </c>
      <c r="W621" t="s">
        <v>1057</v>
      </c>
      <c r="X621" t="s">
        <v>932</v>
      </c>
      <c r="AB621">
        <v>0.13</v>
      </c>
      <c r="AC621" t="s">
        <v>85</v>
      </c>
      <c r="AD621">
        <v>0.06</v>
      </c>
      <c r="AE621" t="s">
        <v>63</v>
      </c>
      <c r="AI621">
        <v>3</v>
      </c>
      <c r="AV621" t="s">
        <v>256</v>
      </c>
    </row>
    <row r="622" spans="1:48" x14ac:dyDescent="0.3">
      <c r="A622" t="s">
        <v>1542</v>
      </c>
      <c r="C622" t="s">
        <v>1495</v>
      </c>
      <c r="H622">
        <v>1</v>
      </c>
      <c r="I622" t="s">
        <v>82</v>
      </c>
      <c r="J622">
        <v>9.9999999999999995E-7</v>
      </c>
      <c r="K622" t="s">
        <v>252</v>
      </c>
      <c r="L622" t="s">
        <v>58</v>
      </c>
      <c r="O622">
        <v>70</v>
      </c>
      <c r="P622" t="s">
        <v>1543</v>
      </c>
      <c r="T622">
        <v>22</v>
      </c>
      <c r="V622">
        <v>50</v>
      </c>
      <c r="W622" t="s">
        <v>1057</v>
      </c>
      <c r="X622" t="s">
        <v>932</v>
      </c>
      <c r="AB622">
        <v>0.13</v>
      </c>
      <c r="AC622" t="s">
        <v>85</v>
      </c>
      <c r="AD622">
        <v>0.16</v>
      </c>
      <c r="AE622" t="s">
        <v>63</v>
      </c>
      <c r="AI622">
        <v>3</v>
      </c>
      <c r="AV622" t="s">
        <v>256</v>
      </c>
    </row>
    <row r="623" spans="1:48" x14ac:dyDescent="0.3">
      <c r="A623" t="s">
        <v>1542</v>
      </c>
      <c r="C623" t="s">
        <v>1495</v>
      </c>
      <c r="H623">
        <v>1</v>
      </c>
      <c r="I623" t="s">
        <v>82</v>
      </c>
      <c r="J623">
        <v>9.9999999999999995E-7</v>
      </c>
      <c r="K623" t="s">
        <v>252</v>
      </c>
      <c r="L623" t="s">
        <v>58</v>
      </c>
      <c r="O623">
        <v>70</v>
      </c>
      <c r="P623" t="s">
        <v>1543</v>
      </c>
      <c r="T623">
        <v>22</v>
      </c>
      <c r="V623">
        <v>50</v>
      </c>
      <c r="W623" t="s">
        <v>1057</v>
      </c>
      <c r="X623" t="s">
        <v>932</v>
      </c>
      <c r="AB623">
        <v>0.1</v>
      </c>
      <c r="AC623" t="s">
        <v>85</v>
      </c>
      <c r="AD623">
        <v>0.17</v>
      </c>
      <c r="AE623" t="s">
        <v>63</v>
      </c>
      <c r="AI623">
        <v>3</v>
      </c>
      <c r="AV623" t="s">
        <v>256</v>
      </c>
    </row>
    <row r="624" spans="1:48" x14ac:dyDescent="0.3">
      <c r="A624" t="s">
        <v>1542</v>
      </c>
      <c r="C624" t="s">
        <v>1495</v>
      </c>
      <c r="H624">
        <v>1</v>
      </c>
      <c r="I624" t="s">
        <v>82</v>
      </c>
      <c r="J624">
        <v>9.9999999999999995E-7</v>
      </c>
      <c r="K624" t="s">
        <v>252</v>
      </c>
      <c r="L624" t="s">
        <v>58</v>
      </c>
      <c r="O624">
        <v>70</v>
      </c>
      <c r="P624" t="s">
        <v>1543</v>
      </c>
      <c r="T624">
        <v>22</v>
      </c>
      <c r="V624">
        <v>50</v>
      </c>
      <c r="W624" t="s">
        <v>1057</v>
      </c>
      <c r="X624" t="s">
        <v>932</v>
      </c>
      <c r="AB624">
        <v>0.1</v>
      </c>
      <c r="AC624" t="s">
        <v>85</v>
      </c>
      <c r="AD624">
        <v>0.1</v>
      </c>
      <c r="AE624" t="s">
        <v>63</v>
      </c>
      <c r="AI624">
        <v>3</v>
      </c>
      <c r="AV624" t="s">
        <v>256</v>
      </c>
    </row>
    <row r="625" spans="1:48" x14ac:dyDescent="0.3">
      <c r="A625" t="s">
        <v>1542</v>
      </c>
      <c r="C625" t="s">
        <v>1495</v>
      </c>
      <c r="H625">
        <v>1</v>
      </c>
      <c r="I625" t="s">
        <v>82</v>
      </c>
      <c r="J625">
        <v>9.9999999999999995E-7</v>
      </c>
      <c r="K625" t="s">
        <v>252</v>
      </c>
      <c r="L625" t="s">
        <v>58</v>
      </c>
      <c r="O625">
        <v>70</v>
      </c>
      <c r="P625" t="s">
        <v>1543</v>
      </c>
      <c r="T625">
        <v>22</v>
      </c>
      <c r="V625">
        <v>50</v>
      </c>
      <c r="W625" t="s">
        <v>1057</v>
      </c>
      <c r="X625" t="s">
        <v>932</v>
      </c>
      <c r="AB625">
        <v>7.0000000000000007E-2</v>
      </c>
      <c r="AC625" t="s">
        <v>85</v>
      </c>
      <c r="AD625">
        <v>0.06</v>
      </c>
      <c r="AE625" t="s">
        <v>63</v>
      </c>
      <c r="AI625">
        <v>3</v>
      </c>
      <c r="AV625" t="s">
        <v>256</v>
      </c>
    </row>
    <row r="626" spans="1:48" x14ac:dyDescent="0.3">
      <c r="A626" t="s">
        <v>1542</v>
      </c>
      <c r="C626" t="s">
        <v>1495</v>
      </c>
      <c r="H626">
        <v>1</v>
      </c>
      <c r="I626" t="s">
        <v>82</v>
      </c>
      <c r="J626">
        <v>9.9999999999999995E-7</v>
      </c>
      <c r="K626" t="s">
        <v>252</v>
      </c>
      <c r="L626" t="s">
        <v>58</v>
      </c>
      <c r="O626">
        <v>70</v>
      </c>
      <c r="P626" t="s">
        <v>1543</v>
      </c>
      <c r="T626">
        <v>22</v>
      </c>
      <c r="V626">
        <v>50</v>
      </c>
      <c r="W626" t="s">
        <v>1057</v>
      </c>
      <c r="X626" t="s">
        <v>932</v>
      </c>
      <c r="AB626">
        <v>0</v>
      </c>
      <c r="AC626" t="s">
        <v>85</v>
      </c>
      <c r="AD626">
        <v>0</v>
      </c>
      <c r="AE626" t="s">
        <v>63</v>
      </c>
      <c r="AI626">
        <v>3</v>
      </c>
      <c r="AV626" t="s">
        <v>256</v>
      </c>
    </row>
    <row r="627" spans="1:48" x14ac:dyDescent="0.3">
      <c r="A627" t="s">
        <v>1542</v>
      </c>
      <c r="C627" t="s">
        <v>1495</v>
      </c>
      <c r="H627">
        <v>1</v>
      </c>
      <c r="I627" t="s">
        <v>82</v>
      </c>
      <c r="J627">
        <v>9.9999999999999995E-7</v>
      </c>
      <c r="K627" t="s">
        <v>252</v>
      </c>
      <c r="L627" t="s">
        <v>58</v>
      </c>
      <c r="O627">
        <v>70</v>
      </c>
      <c r="P627" t="s">
        <v>1543</v>
      </c>
      <c r="T627">
        <v>22</v>
      </c>
      <c r="V627">
        <v>50</v>
      </c>
      <c r="W627" t="s">
        <v>1057</v>
      </c>
      <c r="X627" t="s">
        <v>932</v>
      </c>
      <c r="AB627">
        <v>0</v>
      </c>
      <c r="AC627" t="s">
        <v>85</v>
      </c>
      <c r="AD627">
        <v>0</v>
      </c>
      <c r="AE627" t="s">
        <v>63</v>
      </c>
      <c r="AI627">
        <v>3</v>
      </c>
      <c r="AV627" t="s">
        <v>256</v>
      </c>
    </row>
    <row r="628" spans="1:48" x14ac:dyDescent="0.3">
      <c r="A628" t="s">
        <v>1542</v>
      </c>
      <c r="C628" t="s">
        <v>1495</v>
      </c>
      <c r="H628">
        <v>1</v>
      </c>
      <c r="I628" t="s">
        <v>82</v>
      </c>
      <c r="J628">
        <v>9.9999999999999995E-7</v>
      </c>
      <c r="K628" t="s">
        <v>252</v>
      </c>
      <c r="L628" t="s">
        <v>58</v>
      </c>
      <c r="O628">
        <v>70</v>
      </c>
      <c r="P628" t="s">
        <v>1543</v>
      </c>
      <c r="T628">
        <v>22</v>
      </c>
      <c r="V628">
        <v>50</v>
      </c>
      <c r="W628" t="s">
        <v>1057</v>
      </c>
      <c r="X628" t="s">
        <v>932</v>
      </c>
      <c r="AB628">
        <v>0.13</v>
      </c>
      <c r="AC628" t="s">
        <v>85</v>
      </c>
      <c r="AD628">
        <v>0.06</v>
      </c>
      <c r="AE628" t="s">
        <v>63</v>
      </c>
      <c r="AI628">
        <v>3</v>
      </c>
      <c r="AV628" t="s">
        <v>256</v>
      </c>
    </row>
    <row r="629" spans="1:48" x14ac:dyDescent="0.3">
      <c r="A629" t="s">
        <v>1542</v>
      </c>
      <c r="C629" t="s">
        <v>1495</v>
      </c>
      <c r="H629">
        <v>1</v>
      </c>
      <c r="I629" t="s">
        <v>82</v>
      </c>
      <c r="J629">
        <v>9.9999999999999995E-7</v>
      </c>
      <c r="K629" t="s">
        <v>252</v>
      </c>
      <c r="L629" t="s">
        <v>58</v>
      </c>
      <c r="O629">
        <v>70</v>
      </c>
      <c r="P629" t="s">
        <v>1543</v>
      </c>
      <c r="T629">
        <v>22</v>
      </c>
      <c r="V629">
        <v>50</v>
      </c>
      <c r="W629" t="s">
        <v>1057</v>
      </c>
      <c r="X629" t="s">
        <v>932</v>
      </c>
      <c r="AB629">
        <v>0.17</v>
      </c>
      <c r="AC629" t="s">
        <v>85</v>
      </c>
      <c r="AD629">
        <v>0.12</v>
      </c>
      <c r="AE629" t="s">
        <v>63</v>
      </c>
      <c r="AI629">
        <v>3</v>
      </c>
      <c r="AV629" t="s">
        <v>256</v>
      </c>
    </row>
    <row r="630" spans="1:48" x14ac:dyDescent="0.3">
      <c r="A630" t="s">
        <v>1542</v>
      </c>
      <c r="C630" t="s">
        <v>1495</v>
      </c>
      <c r="H630">
        <v>1</v>
      </c>
      <c r="I630" t="s">
        <v>82</v>
      </c>
      <c r="J630">
        <v>9.9999999999999995E-7</v>
      </c>
      <c r="K630" t="s">
        <v>252</v>
      </c>
      <c r="L630" t="s">
        <v>58</v>
      </c>
      <c r="O630">
        <v>70</v>
      </c>
      <c r="P630" t="s">
        <v>1543</v>
      </c>
      <c r="T630">
        <v>22</v>
      </c>
      <c r="V630">
        <v>50</v>
      </c>
      <c r="W630" t="s">
        <v>1057</v>
      </c>
      <c r="X630" t="s">
        <v>932</v>
      </c>
      <c r="AB630">
        <v>0.17</v>
      </c>
      <c r="AC630" t="s">
        <v>85</v>
      </c>
      <c r="AD630">
        <v>0.15</v>
      </c>
      <c r="AE630" t="s">
        <v>63</v>
      </c>
      <c r="AI630">
        <v>3</v>
      </c>
      <c r="AV630" t="s">
        <v>256</v>
      </c>
    </row>
    <row r="631" spans="1:48" x14ac:dyDescent="0.3">
      <c r="A631" t="s">
        <v>1542</v>
      </c>
      <c r="C631" t="s">
        <v>1495</v>
      </c>
      <c r="H631">
        <v>1</v>
      </c>
      <c r="I631" t="s">
        <v>82</v>
      </c>
      <c r="J631">
        <v>9.9999999999999995E-7</v>
      </c>
      <c r="K631" t="s">
        <v>252</v>
      </c>
      <c r="L631" t="s">
        <v>58</v>
      </c>
      <c r="O631">
        <v>70</v>
      </c>
      <c r="P631" t="s">
        <v>1543</v>
      </c>
      <c r="T631">
        <v>22</v>
      </c>
      <c r="V631">
        <v>50</v>
      </c>
      <c r="W631" t="s">
        <v>1057</v>
      </c>
      <c r="X631" t="s">
        <v>932</v>
      </c>
      <c r="AB631">
        <v>0</v>
      </c>
      <c r="AC631" t="s">
        <v>85</v>
      </c>
      <c r="AD631">
        <v>0</v>
      </c>
      <c r="AE631" t="s">
        <v>63</v>
      </c>
      <c r="AI631">
        <v>3</v>
      </c>
      <c r="AV631" t="s">
        <v>256</v>
      </c>
    </row>
    <row r="632" spans="1:48" x14ac:dyDescent="0.3">
      <c r="A632" t="s">
        <v>1542</v>
      </c>
      <c r="C632" t="s">
        <v>1495</v>
      </c>
      <c r="H632">
        <v>1</v>
      </c>
      <c r="I632" t="s">
        <v>82</v>
      </c>
      <c r="J632">
        <v>9.9999999999999995E-7</v>
      </c>
      <c r="K632" t="s">
        <v>252</v>
      </c>
      <c r="L632" t="s">
        <v>58</v>
      </c>
      <c r="O632">
        <v>70</v>
      </c>
      <c r="P632" t="s">
        <v>1543</v>
      </c>
      <c r="T632">
        <v>22</v>
      </c>
      <c r="V632">
        <v>50</v>
      </c>
      <c r="W632" t="s">
        <v>1057</v>
      </c>
      <c r="X632" t="s">
        <v>932</v>
      </c>
      <c r="AB632">
        <v>0.1</v>
      </c>
      <c r="AC632" t="s">
        <v>85</v>
      </c>
      <c r="AD632">
        <v>0.1</v>
      </c>
      <c r="AE632" t="s">
        <v>63</v>
      </c>
      <c r="AI632">
        <v>3</v>
      </c>
      <c r="AV632" t="s">
        <v>256</v>
      </c>
    </row>
    <row r="633" spans="1:48" x14ac:dyDescent="0.3">
      <c r="A633" t="s">
        <v>1542</v>
      </c>
      <c r="C633" t="s">
        <v>1495</v>
      </c>
      <c r="H633">
        <v>1</v>
      </c>
      <c r="I633" t="s">
        <v>82</v>
      </c>
      <c r="J633">
        <v>9.9999999999999995E-7</v>
      </c>
      <c r="K633" t="s">
        <v>252</v>
      </c>
      <c r="L633" t="s">
        <v>58</v>
      </c>
      <c r="O633">
        <v>70</v>
      </c>
      <c r="P633" t="s">
        <v>1543</v>
      </c>
      <c r="T633">
        <v>22</v>
      </c>
      <c r="V633">
        <v>50</v>
      </c>
      <c r="W633" t="s">
        <v>1057</v>
      </c>
      <c r="X633" t="s">
        <v>932</v>
      </c>
      <c r="AB633">
        <v>0.13</v>
      </c>
      <c r="AC633" t="s">
        <v>85</v>
      </c>
      <c r="AD633">
        <v>0.16</v>
      </c>
      <c r="AE633" t="s">
        <v>63</v>
      </c>
      <c r="AI633">
        <v>3</v>
      </c>
      <c r="AV633" t="s">
        <v>256</v>
      </c>
    </row>
    <row r="634" spans="1:48" x14ac:dyDescent="0.3">
      <c r="A634" t="s">
        <v>1542</v>
      </c>
      <c r="C634" t="s">
        <v>1495</v>
      </c>
      <c r="H634">
        <v>1</v>
      </c>
      <c r="I634" t="s">
        <v>82</v>
      </c>
      <c r="J634">
        <v>9.9999999999999995E-7</v>
      </c>
      <c r="K634" t="s">
        <v>252</v>
      </c>
      <c r="L634" t="s">
        <v>58</v>
      </c>
      <c r="O634">
        <v>70</v>
      </c>
      <c r="P634" t="s">
        <v>1543</v>
      </c>
      <c r="T634">
        <v>22</v>
      </c>
      <c r="V634">
        <v>50</v>
      </c>
      <c r="W634" t="s">
        <v>1057</v>
      </c>
      <c r="X634" t="s">
        <v>932</v>
      </c>
      <c r="AB634">
        <v>0.5</v>
      </c>
      <c r="AC634" t="s">
        <v>85</v>
      </c>
      <c r="AD634">
        <v>0.15</v>
      </c>
      <c r="AE634" t="s">
        <v>63</v>
      </c>
      <c r="AI634">
        <v>3</v>
      </c>
      <c r="AV634" t="s">
        <v>256</v>
      </c>
    </row>
    <row r="635" spans="1:48" x14ac:dyDescent="0.3">
      <c r="A635" t="s">
        <v>1542</v>
      </c>
      <c r="C635" t="s">
        <v>1495</v>
      </c>
      <c r="H635">
        <v>1</v>
      </c>
      <c r="I635" t="s">
        <v>82</v>
      </c>
      <c r="J635">
        <v>9.9999999999999995E-7</v>
      </c>
      <c r="K635" t="s">
        <v>252</v>
      </c>
      <c r="L635" t="s">
        <v>58</v>
      </c>
      <c r="O635">
        <v>70</v>
      </c>
      <c r="P635" t="s">
        <v>1543</v>
      </c>
      <c r="T635">
        <v>55</v>
      </c>
      <c r="V635">
        <v>50</v>
      </c>
      <c r="W635" t="s">
        <v>1057</v>
      </c>
      <c r="X635" t="s">
        <v>932</v>
      </c>
      <c r="Y635">
        <v>0</v>
      </c>
      <c r="AB635">
        <v>0.13</v>
      </c>
      <c r="AC635" t="s">
        <v>85</v>
      </c>
      <c r="AD635">
        <v>0.06</v>
      </c>
      <c r="AE635" t="s">
        <v>63</v>
      </c>
      <c r="AI635">
        <v>3</v>
      </c>
      <c r="AV635" t="s">
        <v>256</v>
      </c>
    </row>
    <row r="636" spans="1:48" x14ac:dyDescent="0.3">
      <c r="A636" t="s">
        <v>1542</v>
      </c>
      <c r="C636" t="s">
        <v>1495</v>
      </c>
      <c r="H636">
        <v>1</v>
      </c>
      <c r="I636" t="s">
        <v>82</v>
      </c>
      <c r="J636">
        <v>9.9999999999999995E-7</v>
      </c>
      <c r="K636" t="s">
        <v>252</v>
      </c>
      <c r="L636" t="s">
        <v>58</v>
      </c>
      <c r="O636">
        <v>70</v>
      </c>
      <c r="P636" t="s">
        <v>1543</v>
      </c>
      <c r="T636">
        <v>55</v>
      </c>
      <c r="V636">
        <v>50</v>
      </c>
      <c r="W636" t="s">
        <v>1057</v>
      </c>
      <c r="X636" t="s">
        <v>932</v>
      </c>
      <c r="Y636">
        <v>5</v>
      </c>
      <c r="AB636">
        <v>0.03</v>
      </c>
      <c r="AC636" t="s">
        <v>85</v>
      </c>
      <c r="AD636">
        <v>0.06</v>
      </c>
      <c r="AE636" t="s">
        <v>63</v>
      </c>
      <c r="AI636">
        <v>3</v>
      </c>
      <c r="AV636" t="s">
        <v>256</v>
      </c>
    </row>
    <row r="637" spans="1:48" x14ac:dyDescent="0.3">
      <c r="A637" t="s">
        <v>1542</v>
      </c>
      <c r="C637" t="s">
        <v>1495</v>
      </c>
      <c r="H637">
        <v>1</v>
      </c>
      <c r="I637" t="s">
        <v>82</v>
      </c>
      <c r="J637">
        <v>9.9999999999999995E-7</v>
      </c>
      <c r="K637" t="s">
        <v>252</v>
      </c>
      <c r="L637" t="s">
        <v>58</v>
      </c>
      <c r="O637">
        <v>70</v>
      </c>
      <c r="P637" t="s">
        <v>1543</v>
      </c>
      <c r="T637">
        <v>55</v>
      </c>
      <c r="V637">
        <v>50</v>
      </c>
      <c r="W637" t="s">
        <v>1057</v>
      </c>
      <c r="X637" t="s">
        <v>932</v>
      </c>
      <c r="Y637">
        <v>10</v>
      </c>
      <c r="AB637">
        <v>7.0000000000000007E-2</v>
      </c>
      <c r="AC637" t="s">
        <v>85</v>
      </c>
      <c r="AD637">
        <v>0.11</v>
      </c>
      <c r="AE637" t="s">
        <v>63</v>
      </c>
      <c r="AI637">
        <v>3</v>
      </c>
      <c r="AV637" t="s">
        <v>256</v>
      </c>
    </row>
    <row r="638" spans="1:48" x14ac:dyDescent="0.3">
      <c r="A638" t="s">
        <v>1542</v>
      </c>
      <c r="C638" t="s">
        <v>1495</v>
      </c>
      <c r="H638">
        <v>1</v>
      </c>
      <c r="I638" t="s">
        <v>82</v>
      </c>
      <c r="J638">
        <v>9.9999999999999995E-7</v>
      </c>
      <c r="K638" t="s">
        <v>252</v>
      </c>
      <c r="L638" t="s">
        <v>58</v>
      </c>
      <c r="O638">
        <v>70</v>
      </c>
      <c r="P638" t="s">
        <v>1543</v>
      </c>
      <c r="T638">
        <v>55</v>
      </c>
      <c r="V638">
        <v>50</v>
      </c>
      <c r="W638" t="s">
        <v>1057</v>
      </c>
      <c r="X638" t="s">
        <v>932</v>
      </c>
      <c r="Y638">
        <v>20</v>
      </c>
      <c r="AB638">
        <v>0.1</v>
      </c>
      <c r="AC638" t="s">
        <v>85</v>
      </c>
      <c r="AD638">
        <v>0.1</v>
      </c>
      <c r="AE638" t="s">
        <v>63</v>
      </c>
      <c r="AI638">
        <v>3</v>
      </c>
      <c r="AV638" t="s">
        <v>256</v>
      </c>
    </row>
    <row r="639" spans="1:48" x14ac:dyDescent="0.3">
      <c r="A639" t="s">
        <v>1542</v>
      </c>
      <c r="C639" t="s">
        <v>1495</v>
      </c>
      <c r="H639">
        <v>1</v>
      </c>
      <c r="I639" t="s">
        <v>82</v>
      </c>
      <c r="J639">
        <v>9.9999999999999995E-7</v>
      </c>
      <c r="K639" t="s">
        <v>252</v>
      </c>
      <c r="L639" t="s">
        <v>58</v>
      </c>
      <c r="O639">
        <v>70</v>
      </c>
      <c r="P639" t="s">
        <v>1543</v>
      </c>
      <c r="T639">
        <v>55</v>
      </c>
      <c r="V639">
        <v>50</v>
      </c>
      <c r="W639" t="s">
        <v>1057</v>
      </c>
      <c r="X639" t="s">
        <v>932</v>
      </c>
      <c r="Y639">
        <v>30</v>
      </c>
      <c r="AB639">
        <v>0.1</v>
      </c>
      <c r="AC639" t="s">
        <v>85</v>
      </c>
      <c r="AD639">
        <v>0</v>
      </c>
      <c r="AE639" t="s">
        <v>63</v>
      </c>
      <c r="AI639">
        <v>3</v>
      </c>
      <c r="AV639" t="s">
        <v>256</v>
      </c>
    </row>
    <row r="640" spans="1:48" x14ac:dyDescent="0.3">
      <c r="A640" t="s">
        <v>1542</v>
      </c>
      <c r="C640" t="s">
        <v>1495</v>
      </c>
      <c r="H640">
        <v>1</v>
      </c>
      <c r="I640" t="s">
        <v>82</v>
      </c>
      <c r="J640">
        <v>9.9999999999999995E-7</v>
      </c>
      <c r="K640" t="s">
        <v>252</v>
      </c>
      <c r="L640" t="s">
        <v>58</v>
      </c>
      <c r="O640">
        <v>70</v>
      </c>
      <c r="P640" t="s">
        <v>1543</v>
      </c>
      <c r="T640">
        <v>55</v>
      </c>
      <c r="V640">
        <v>50</v>
      </c>
      <c r="W640" t="s">
        <v>1057</v>
      </c>
      <c r="X640" t="s">
        <v>932</v>
      </c>
      <c r="Y640">
        <v>60</v>
      </c>
      <c r="AB640">
        <v>0.23</v>
      </c>
      <c r="AC640" t="s">
        <v>85</v>
      </c>
      <c r="AD640">
        <v>0.06</v>
      </c>
      <c r="AE640" t="s">
        <v>63</v>
      </c>
      <c r="AI640">
        <v>3</v>
      </c>
      <c r="AV640" t="s">
        <v>256</v>
      </c>
    </row>
    <row r="641" spans="1:48" x14ac:dyDescent="0.3">
      <c r="A641" t="s">
        <v>1542</v>
      </c>
      <c r="C641" t="s">
        <v>1495</v>
      </c>
      <c r="H641">
        <v>1</v>
      </c>
      <c r="I641" t="s">
        <v>82</v>
      </c>
      <c r="J641">
        <v>9.9999999999999995E-7</v>
      </c>
      <c r="K641" t="s">
        <v>252</v>
      </c>
      <c r="L641" t="s">
        <v>58</v>
      </c>
      <c r="O641">
        <v>70</v>
      </c>
      <c r="P641" t="s">
        <v>1543</v>
      </c>
      <c r="T641">
        <v>55</v>
      </c>
      <c r="V641">
        <v>50</v>
      </c>
      <c r="W641" t="s">
        <v>1057</v>
      </c>
      <c r="X641" t="s">
        <v>932</v>
      </c>
      <c r="Y641">
        <v>0</v>
      </c>
      <c r="AB641">
        <v>0.17</v>
      </c>
      <c r="AC641" t="s">
        <v>85</v>
      </c>
      <c r="AD641">
        <v>0.06</v>
      </c>
      <c r="AE641" t="s">
        <v>63</v>
      </c>
      <c r="AI641">
        <v>3</v>
      </c>
      <c r="AV641" t="s">
        <v>256</v>
      </c>
    </row>
    <row r="642" spans="1:48" x14ac:dyDescent="0.3">
      <c r="A642" t="s">
        <v>1542</v>
      </c>
      <c r="C642" t="s">
        <v>1495</v>
      </c>
      <c r="H642">
        <v>1</v>
      </c>
      <c r="I642" t="s">
        <v>82</v>
      </c>
      <c r="J642">
        <v>9.9999999999999995E-7</v>
      </c>
      <c r="K642" t="s">
        <v>252</v>
      </c>
      <c r="L642" t="s">
        <v>58</v>
      </c>
      <c r="O642">
        <v>70</v>
      </c>
      <c r="P642" t="s">
        <v>1543</v>
      </c>
      <c r="T642">
        <v>55</v>
      </c>
      <c r="V642">
        <v>50</v>
      </c>
      <c r="W642" t="s">
        <v>1057</v>
      </c>
      <c r="X642" t="s">
        <v>932</v>
      </c>
      <c r="Y642">
        <v>5</v>
      </c>
      <c r="AB642">
        <v>0.17</v>
      </c>
      <c r="AC642" t="s">
        <v>85</v>
      </c>
      <c r="AD642">
        <v>0.15</v>
      </c>
      <c r="AE642" t="s">
        <v>63</v>
      </c>
      <c r="AI642">
        <v>3</v>
      </c>
      <c r="AV642" t="s">
        <v>256</v>
      </c>
    </row>
    <row r="643" spans="1:48" x14ac:dyDescent="0.3">
      <c r="A643" t="s">
        <v>1542</v>
      </c>
      <c r="C643" t="s">
        <v>1495</v>
      </c>
      <c r="H643">
        <v>1</v>
      </c>
      <c r="I643" t="s">
        <v>82</v>
      </c>
      <c r="J643">
        <v>9.9999999999999995E-7</v>
      </c>
      <c r="K643" t="s">
        <v>252</v>
      </c>
      <c r="L643" t="s">
        <v>58</v>
      </c>
      <c r="O643">
        <v>70</v>
      </c>
      <c r="P643" t="s">
        <v>1543</v>
      </c>
      <c r="T643">
        <v>55</v>
      </c>
      <c r="V643">
        <v>50</v>
      </c>
      <c r="W643" t="s">
        <v>1057</v>
      </c>
      <c r="X643" t="s">
        <v>932</v>
      </c>
      <c r="Y643">
        <v>10</v>
      </c>
      <c r="AB643">
        <v>0</v>
      </c>
      <c r="AC643" t="s">
        <v>85</v>
      </c>
      <c r="AD643">
        <v>0</v>
      </c>
      <c r="AE643" t="s">
        <v>63</v>
      </c>
      <c r="AI643">
        <v>3</v>
      </c>
      <c r="AV643" t="s">
        <v>256</v>
      </c>
    </row>
    <row r="644" spans="1:48" x14ac:dyDescent="0.3">
      <c r="A644" t="s">
        <v>1542</v>
      </c>
      <c r="C644" t="s">
        <v>1495</v>
      </c>
      <c r="H644">
        <v>1</v>
      </c>
      <c r="I644" t="s">
        <v>82</v>
      </c>
      <c r="J644">
        <v>9.9999999999999995E-7</v>
      </c>
      <c r="K644" t="s">
        <v>252</v>
      </c>
      <c r="L644" t="s">
        <v>58</v>
      </c>
      <c r="O644">
        <v>70</v>
      </c>
      <c r="P644" t="s">
        <v>1543</v>
      </c>
      <c r="T644">
        <v>55</v>
      </c>
      <c r="V644">
        <v>50</v>
      </c>
      <c r="W644" t="s">
        <v>1057</v>
      </c>
      <c r="X644" t="s">
        <v>932</v>
      </c>
      <c r="Y644">
        <v>20</v>
      </c>
      <c r="AB644">
        <v>0.03</v>
      </c>
      <c r="AC644" t="s">
        <v>85</v>
      </c>
      <c r="AD644">
        <v>0.06</v>
      </c>
      <c r="AE644" t="s">
        <v>63</v>
      </c>
      <c r="AI644">
        <v>3</v>
      </c>
      <c r="AV644" t="s">
        <v>256</v>
      </c>
    </row>
    <row r="645" spans="1:48" x14ac:dyDescent="0.3">
      <c r="A645" t="s">
        <v>1542</v>
      </c>
      <c r="C645" t="s">
        <v>1495</v>
      </c>
      <c r="H645">
        <v>1</v>
      </c>
      <c r="I645" t="s">
        <v>82</v>
      </c>
      <c r="J645">
        <v>9.9999999999999995E-7</v>
      </c>
      <c r="K645" t="s">
        <v>252</v>
      </c>
      <c r="L645" t="s">
        <v>58</v>
      </c>
      <c r="O645">
        <v>70</v>
      </c>
      <c r="P645" t="s">
        <v>1543</v>
      </c>
      <c r="T645">
        <v>55</v>
      </c>
      <c r="V645">
        <v>50</v>
      </c>
      <c r="W645" t="s">
        <v>1057</v>
      </c>
      <c r="X645" t="s">
        <v>932</v>
      </c>
      <c r="Y645">
        <v>30</v>
      </c>
      <c r="AB645">
        <v>0.17</v>
      </c>
      <c r="AC645" t="s">
        <v>85</v>
      </c>
      <c r="AD645">
        <v>0.06</v>
      </c>
      <c r="AE645" t="s">
        <v>63</v>
      </c>
      <c r="AI645">
        <v>3</v>
      </c>
      <c r="AV645" t="s">
        <v>256</v>
      </c>
    </row>
    <row r="646" spans="1:48" x14ac:dyDescent="0.3">
      <c r="A646" t="s">
        <v>1542</v>
      </c>
      <c r="C646" t="s">
        <v>1495</v>
      </c>
      <c r="H646">
        <v>1</v>
      </c>
      <c r="I646" t="s">
        <v>82</v>
      </c>
      <c r="J646">
        <v>9.9999999999999995E-7</v>
      </c>
      <c r="K646" t="s">
        <v>252</v>
      </c>
      <c r="L646" t="s">
        <v>58</v>
      </c>
      <c r="O646">
        <v>70</v>
      </c>
      <c r="P646" t="s">
        <v>1543</v>
      </c>
      <c r="T646">
        <v>55</v>
      </c>
      <c r="V646">
        <v>50</v>
      </c>
      <c r="W646" t="s">
        <v>1057</v>
      </c>
      <c r="X646" t="s">
        <v>932</v>
      </c>
      <c r="Y646">
        <v>60</v>
      </c>
      <c r="AB646">
        <v>7.0000000000000007E-2</v>
      </c>
      <c r="AC646" t="s">
        <v>85</v>
      </c>
      <c r="AD646">
        <v>0.06</v>
      </c>
      <c r="AE646" t="s">
        <v>63</v>
      </c>
      <c r="AI646">
        <v>3</v>
      </c>
      <c r="AV646" t="s">
        <v>256</v>
      </c>
    </row>
    <row r="647" spans="1:48" x14ac:dyDescent="0.3">
      <c r="A647" t="s">
        <v>1542</v>
      </c>
      <c r="C647" t="s">
        <v>1495</v>
      </c>
      <c r="H647">
        <v>1</v>
      </c>
      <c r="I647" t="s">
        <v>82</v>
      </c>
      <c r="J647">
        <v>9.9999999999999995E-7</v>
      </c>
      <c r="K647" t="s">
        <v>252</v>
      </c>
      <c r="L647" t="s">
        <v>58</v>
      </c>
      <c r="O647">
        <v>70</v>
      </c>
      <c r="P647" t="s">
        <v>1543</v>
      </c>
      <c r="T647">
        <v>80</v>
      </c>
      <c r="V647">
        <v>50</v>
      </c>
      <c r="W647" t="s">
        <v>1057</v>
      </c>
      <c r="X647" t="s">
        <v>932</v>
      </c>
      <c r="Y647">
        <v>0</v>
      </c>
      <c r="AB647">
        <v>0.13</v>
      </c>
      <c r="AC647" t="s">
        <v>85</v>
      </c>
      <c r="AD647">
        <v>0.15</v>
      </c>
      <c r="AE647" t="s">
        <v>63</v>
      </c>
      <c r="AI647">
        <v>3</v>
      </c>
      <c r="AV647" t="s">
        <v>256</v>
      </c>
    </row>
    <row r="648" spans="1:48" x14ac:dyDescent="0.3">
      <c r="A648" t="s">
        <v>1542</v>
      </c>
      <c r="C648" t="s">
        <v>1495</v>
      </c>
      <c r="H648">
        <v>1</v>
      </c>
      <c r="I648" t="s">
        <v>82</v>
      </c>
      <c r="J648">
        <v>9.9999999999999995E-7</v>
      </c>
      <c r="K648" t="s">
        <v>252</v>
      </c>
      <c r="L648" t="s">
        <v>58</v>
      </c>
      <c r="O648">
        <v>70</v>
      </c>
      <c r="P648" t="s">
        <v>1543</v>
      </c>
      <c r="T648">
        <v>80</v>
      </c>
      <c r="V648">
        <v>50</v>
      </c>
      <c r="W648" t="s">
        <v>1057</v>
      </c>
      <c r="X648" t="s">
        <v>932</v>
      </c>
      <c r="Y648">
        <v>5</v>
      </c>
      <c r="AB648">
        <v>3.9</v>
      </c>
      <c r="AC648" t="s">
        <v>85</v>
      </c>
      <c r="AD648">
        <v>0.21</v>
      </c>
      <c r="AE648" t="s">
        <v>63</v>
      </c>
      <c r="AI648">
        <v>3</v>
      </c>
      <c r="AV648" t="s">
        <v>256</v>
      </c>
    </row>
    <row r="649" spans="1:48" x14ac:dyDescent="0.3">
      <c r="A649" t="s">
        <v>1542</v>
      </c>
      <c r="C649" t="s">
        <v>1495</v>
      </c>
      <c r="H649">
        <v>1</v>
      </c>
      <c r="I649" t="s">
        <v>82</v>
      </c>
      <c r="J649">
        <v>9.9999999999999995E-7</v>
      </c>
      <c r="K649" t="s">
        <v>252</v>
      </c>
      <c r="L649" t="s">
        <v>58</v>
      </c>
      <c r="O649">
        <v>70</v>
      </c>
      <c r="P649" t="s">
        <v>1543</v>
      </c>
      <c r="T649">
        <v>80</v>
      </c>
      <c r="V649">
        <v>50</v>
      </c>
      <c r="W649" t="s">
        <v>1057</v>
      </c>
      <c r="X649" t="s">
        <v>932</v>
      </c>
      <c r="Y649">
        <v>10</v>
      </c>
      <c r="AB649">
        <v>4.0999999999999996</v>
      </c>
      <c r="AC649" t="s">
        <v>85</v>
      </c>
      <c r="AD649">
        <v>0.55000000000000004</v>
      </c>
      <c r="AE649" t="s">
        <v>63</v>
      </c>
      <c r="AI649">
        <v>3</v>
      </c>
      <c r="AV649" t="s">
        <v>256</v>
      </c>
    </row>
    <row r="650" spans="1:48" x14ac:dyDescent="0.3">
      <c r="A650" t="s">
        <v>1542</v>
      </c>
      <c r="C650" t="s">
        <v>1495</v>
      </c>
      <c r="H650">
        <v>1</v>
      </c>
      <c r="I650" t="s">
        <v>82</v>
      </c>
      <c r="J650">
        <v>9.9999999999999995E-7</v>
      </c>
      <c r="K650" t="s">
        <v>252</v>
      </c>
      <c r="L650" t="s">
        <v>58</v>
      </c>
      <c r="O650">
        <v>70</v>
      </c>
      <c r="P650" t="s">
        <v>1543</v>
      </c>
      <c r="T650">
        <v>80</v>
      </c>
      <c r="V650">
        <v>50</v>
      </c>
      <c r="W650" t="s">
        <v>1057</v>
      </c>
      <c r="X650" t="s">
        <v>932</v>
      </c>
      <c r="Y650">
        <v>20</v>
      </c>
      <c r="AB650">
        <v>4.5999999999999996</v>
      </c>
      <c r="AC650" t="s">
        <v>85</v>
      </c>
      <c r="AD650">
        <v>0.23</v>
      </c>
      <c r="AE650" t="s">
        <v>63</v>
      </c>
      <c r="AI650">
        <v>3</v>
      </c>
      <c r="AV650" t="s">
        <v>256</v>
      </c>
    </row>
    <row r="651" spans="1:48" x14ac:dyDescent="0.3">
      <c r="A651" t="s">
        <v>1542</v>
      </c>
      <c r="C651" t="s">
        <v>1495</v>
      </c>
      <c r="H651">
        <v>1</v>
      </c>
      <c r="I651" t="s">
        <v>82</v>
      </c>
      <c r="J651">
        <v>9.9999999999999995E-7</v>
      </c>
      <c r="K651" t="s">
        <v>252</v>
      </c>
      <c r="L651" t="s">
        <v>58</v>
      </c>
      <c r="O651">
        <v>70</v>
      </c>
      <c r="P651" t="s">
        <v>1543</v>
      </c>
      <c r="T651">
        <v>80</v>
      </c>
      <c r="V651">
        <v>50</v>
      </c>
      <c r="W651" t="s">
        <v>1057</v>
      </c>
      <c r="X651" t="s">
        <v>932</v>
      </c>
      <c r="Y651">
        <v>30</v>
      </c>
      <c r="AB651">
        <v>5</v>
      </c>
      <c r="AC651" t="s">
        <v>85</v>
      </c>
      <c r="AD651">
        <v>0.25</v>
      </c>
      <c r="AE651" t="s">
        <v>63</v>
      </c>
      <c r="AI651">
        <v>3</v>
      </c>
      <c r="AV651" t="s">
        <v>256</v>
      </c>
    </row>
    <row r="652" spans="1:48" x14ac:dyDescent="0.3">
      <c r="A652" t="s">
        <v>1542</v>
      </c>
      <c r="C652" t="s">
        <v>1495</v>
      </c>
      <c r="H652">
        <v>1</v>
      </c>
      <c r="I652" t="s">
        <v>82</v>
      </c>
      <c r="J652">
        <v>9.9999999999999995E-7</v>
      </c>
      <c r="K652" t="s">
        <v>252</v>
      </c>
      <c r="L652" t="s">
        <v>58</v>
      </c>
      <c r="O652">
        <v>70</v>
      </c>
      <c r="P652" t="s">
        <v>1543</v>
      </c>
      <c r="T652">
        <v>80</v>
      </c>
      <c r="V652">
        <v>50</v>
      </c>
      <c r="W652" t="s">
        <v>1057</v>
      </c>
      <c r="X652" t="s">
        <v>932</v>
      </c>
      <c r="Y652">
        <v>60</v>
      </c>
      <c r="AB652">
        <v>5.7</v>
      </c>
      <c r="AC652" t="s">
        <v>85</v>
      </c>
      <c r="AD652">
        <v>0.26</v>
      </c>
      <c r="AE652" t="s">
        <v>63</v>
      </c>
      <c r="AI652">
        <v>3</v>
      </c>
      <c r="AV652" t="s">
        <v>256</v>
      </c>
    </row>
    <row r="653" spans="1:48" x14ac:dyDescent="0.3">
      <c r="A653" t="s">
        <v>1542</v>
      </c>
      <c r="C653" t="s">
        <v>1495</v>
      </c>
      <c r="H653">
        <v>1</v>
      </c>
      <c r="I653" t="s">
        <v>82</v>
      </c>
      <c r="J653">
        <v>9.9999999999999995E-7</v>
      </c>
      <c r="K653" t="s">
        <v>252</v>
      </c>
      <c r="L653" t="s">
        <v>58</v>
      </c>
      <c r="O653">
        <v>70</v>
      </c>
      <c r="P653" t="s">
        <v>1543</v>
      </c>
      <c r="T653">
        <v>80</v>
      </c>
      <c r="V653">
        <v>50</v>
      </c>
      <c r="W653" t="s">
        <v>1057</v>
      </c>
      <c r="X653" t="s">
        <v>932</v>
      </c>
      <c r="Y653">
        <v>0</v>
      </c>
      <c r="AB653">
        <v>7.0000000000000007E-2</v>
      </c>
      <c r="AC653" t="s">
        <v>85</v>
      </c>
      <c r="AD653">
        <v>0.12</v>
      </c>
      <c r="AE653" t="s">
        <v>63</v>
      </c>
      <c r="AI653">
        <v>3</v>
      </c>
      <c r="AV653" t="s">
        <v>256</v>
      </c>
    </row>
    <row r="654" spans="1:48" x14ac:dyDescent="0.3">
      <c r="A654" t="s">
        <v>1542</v>
      </c>
      <c r="C654" t="s">
        <v>1495</v>
      </c>
      <c r="H654">
        <v>1</v>
      </c>
      <c r="I654" t="s">
        <v>82</v>
      </c>
      <c r="J654">
        <v>9.9999999999999995E-7</v>
      </c>
      <c r="K654" t="s">
        <v>252</v>
      </c>
      <c r="L654" t="s">
        <v>58</v>
      </c>
      <c r="O654">
        <v>70</v>
      </c>
      <c r="P654" t="s">
        <v>1543</v>
      </c>
      <c r="T654">
        <v>80</v>
      </c>
      <c r="V654">
        <v>50</v>
      </c>
      <c r="W654" t="s">
        <v>1057</v>
      </c>
      <c r="X654" t="s">
        <v>932</v>
      </c>
      <c r="Y654">
        <v>5</v>
      </c>
      <c r="AB654">
        <v>0.23</v>
      </c>
      <c r="AC654" t="s">
        <v>85</v>
      </c>
      <c r="AD654">
        <v>0.21</v>
      </c>
      <c r="AE654" t="s">
        <v>63</v>
      </c>
      <c r="AI654">
        <v>3</v>
      </c>
      <c r="AV654" t="s">
        <v>256</v>
      </c>
    </row>
    <row r="655" spans="1:48" x14ac:dyDescent="0.3">
      <c r="A655" t="s">
        <v>1542</v>
      </c>
      <c r="C655" t="s">
        <v>1495</v>
      </c>
      <c r="H655">
        <v>1</v>
      </c>
      <c r="I655" t="s">
        <v>82</v>
      </c>
      <c r="J655">
        <v>9.9999999999999995E-7</v>
      </c>
      <c r="K655" t="s">
        <v>252</v>
      </c>
      <c r="L655" t="s">
        <v>58</v>
      </c>
      <c r="O655">
        <v>70</v>
      </c>
      <c r="P655" t="s">
        <v>1543</v>
      </c>
      <c r="T655">
        <v>80</v>
      </c>
      <c r="V655">
        <v>50</v>
      </c>
      <c r="W655" t="s">
        <v>1057</v>
      </c>
      <c r="X655" t="s">
        <v>932</v>
      </c>
      <c r="Y655">
        <v>10</v>
      </c>
      <c r="AB655">
        <v>0.7</v>
      </c>
      <c r="AC655" t="s">
        <v>85</v>
      </c>
      <c r="AD655">
        <v>0.56000000000000005</v>
      </c>
      <c r="AE655" t="s">
        <v>63</v>
      </c>
      <c r="AI655">
        <v>3</v>
      </c>
      <c r="AV655" t="s">
        <v>256</v>
      </c>
    </row>
    <row r="656" spans="1:48" x14ac:dyDescent="0.3">
      <c r="A656" t="s">
        <v>1542</v>
      </c>
      <c r="C656" t="s">
        <v>1495</v>
      </c>
      <c r="H656">
        <v>1</v>
      </c>
      <c r="I656" t="s">
        <v>82</v>
      </c>
      <c r="J656">
        <v>9.9999999999999995E-7</v>
      </c>
      <c r="K656" t="s">
        <v>252</v>
      </c>
      <c r="L656" t="s">
        <v>58</v>
      </c>
      <c r="O656">
        <v>70</v>
      </c>
      <c r="P656" t="s">
        <v>1543</v>
      </c>
      <c r="T656">
        <v>80</v>
      </c>
      <c r="V656">
        <v>50</v>
      </c>
      <c r="W656" t="s">
        <v>1057</v>
      </c>
      <c r="X656" t="s">
        <v>932</v>
      </c>
      <c r="Y656">
        <v>20</v>
      </c>
      <c r="AB656">
        <v>1.2</v>
      </c>
      <c r="AC656" t="s">
        <v>85</v>
      </c>
      <c r="AD656">
        <v>0.61</v>
      </c>
      <c r="AE656" t="s">
        <v>63</v>
      </c>
      <c r="AI656">
        <v>3</v>
      </c>
      <c r="AV656" t="s">
        <v>256</v>
      </c>
    </row>
    <row r="657" spans="1:48" x14ac:dyDescent="0.3">
      <c r="A657" t="s">
        <v>1542</v>
      </c>
      <c r="C657" t="s">
        <v>1495</v>
      </c>
      <c r="H657">
        <v>1</v>
      </c>
      <c r="I657" t="s">
        <v>82</v>
      </c>
      <c r="J657">
        <v>9.9999999999999995E-7</v>
      </c>
      <c r="K657" t="s">
        <v>252</v>
      </c>
      <c r="L657" t="s">
        <v>58</v>
      </c>
      <c r="O657">
        <v>70</v>
      </c>
      <c r="P657" t="s">
        <v>1543</v>
      </c>
      <c r="T657">
        <v>80</v>
      </c>
      <c r="V657">
        <v>50</v>
      </c>
      <c r="W657" t="s">
        <v>1057</v>
      </c>
      <c r="X657" t="s">
        <v>932</v>
      </c>
      <c r="Y657">
        <v>30</v>
      </c>
      <c r="AB657">
        <v>2.7</v>
      </c>
      <c r="AC657" t="s">
        <v>85</v>
      </c>
      <c r="AD657">
        <v>0.55000000000000004</v>
      </c>
      <c r="AE657" t="s">
        <v>63</v>
      </c>
      <c r="AI657">
        <v>3</v>
      </c>
      <c r="AV657" t="s">
        <v>256</v>
      </c>
    </row>
    <row r="658" spans="1:48" x14ac:dyDescent="0.3">
      <c r="A658" t="s">
        <v>1542</v>
      </c>
      <c r="C658" t="s">
        <v>1495</v>
      </c>
      <c r="H658">
        <v>1</v>
      </c>
      <c r="I658" t="s">
        <v>82</v>
      </c>
      <c r="J658">
        <v>9.9999999999999995E-7</v>
      </c>
      <c r="K658" t="s">
        <v>252</v>
      </c>
      <c r="L658" t="s">
        <v>58</v>
      </c>
      <c r="O658">
        <v>70</v>
      </c>
      <c r="P658" t="s">
        <v>1543</v>
      </c>
      <c r="T658">
        <v>80</v>
      </c>
      <c r="V658">
        <v>50</v>
      </c>
      <c r="W658" t="s">
        <v>1057</v>
      </c>
      <c r="X658" t="s">
        <v>932</v>
      </c>
      <c r="Y658">
        <v>60</v>
      </c>
      <c r="AB658">
        <v>4.3</v>
      </c>
      <c r="AC658" t="s">
        <v>85</v>
      </c>
      <c r="AD658">
        <v>0.25</v>
      </c>
      <c r="AE658" t="s">
        <v>63</v>
      </c>
      <c r="AI658">
        <v>3</v>
      </c>
      <c r="AV658" t="s">
        <v>256</v>
      </c>
    </row>
    <row r="659" spans="1:48" x14ac:dyDescent="0.3">
      <c r="A659" t="s">
        <v>1542</v>
      </c>
      <c r="C659" t="s">
        <v>1495</v>
      </c>
      <c r="H659">
        <v>1</v>
      </c>
      <c r="I659" t="s">
        <v>82</v>
      </c>
      <c r="J659">
        <v>9.9999999999999995E-7</v>
      </c>
      <c r="K659" t="s">
        <v>252</v>
      </c>
      <c r="L659" t="s">
        <v>58</v>
      </c>
      <c r="O659">
        <v>70</v>
      </c>
      <c r="P659" t="s">
        <v>1543</v>
      </c>
      <c r="T659">
        <v>22</v>
      </c>
      <c r="V659">
        <v>50</v>
      </c>
      <c r="W659" t="s">
        <v>1057</v>
      </c>
      <c r="X659" t="s">
        <v>932</v>
      </c>
      <c r="Y659">
        <v>5</v>
      </c>
      <c r="AB659">
        <v>0.5</v>
      </c>
      <c r="AC659" t="s">
        <v>85</v>
      </c>
      <c r="AD659">
        <v>0.1</v>
      </c>
      <c r="AE659" t="s">
        <v>63</v>
      </c>
      <c r="AI659">
        <v>3</v>
      </c>
      <c r="AV659" t="s">
        <v>256</v>
      </c>
    </row>
    <row r="660" spans="1:48" x14ac:dyDescent="0.3">
      <c r="A660" t="s">
        <v>1542</v>
      </c>
      <c r="C660" t="s">
        <v>1495</v>
      </c>
      <c r="H660">
        <v>1</v>
      </c>
      <c r="I660" t="s">
        <v>82</v>
      </c>
      <c r="J660">
        <v>9.9999999999999995E-7</v>
      </c>
      <c r="K660" t="s">
        <v>252</v>
      </c>
      <c r="L660" t="s">
        <v>58</v>
      </c>
      <c r="O660">
        <v>70</v>
      </c>
      <c r="P660" t="s">
        <v>1543</v>
      </c>
      <c r="T660">
        <v>55</v>
      </c>
      <c r="V660">
        <v>50</v>
      </c>
      <c r="W660" t="s">
        <v>1057</v>
      </c>
      <c r="X660" t="s">
        <v>932</v>
      </c>
      <c r="Y660">
        <v>5</v>
      </c>
      <c r="AB660">
        <v>2.4</v>
      </c>
      <c r="AC660" t="s">
        <v>85</v>
      </c>
      <c r="AD660">
        <v>0.5</v>
      </c>
      <c r="AE660" t="s">
        <v>63</v>
      </c>
      <c r="AI660">
        <v>3</v>
      </c>
      <c r="AV660" t="s">
        <v>256</v>
      </c>
    </row>
    <row r="661" spans="1:48" x14ac:dyDescent="0.3">
      <c r="A661" t="s">
        <v>1542</v>
      </c>
      <c r="C661" t="s">
        <v>1495</v>
      </c>
      <c r="H661">
        <v>1</v>
      </c>
      <c r="I661" t="s">
        <v>82</v>
      </c>
      <c r="J661">
        <v>9.9999999999999995E-7</v>
      </c>
      <c r="K661" t="s">
        <v>252</v>
      </c>
      <c r="L661" t="s">
        <v>58</v>
      </c>
      <c r="O661">
        <v>70</v>
      </c>
      <c r="P661" t="s">
        <v>1543</v>
      </c>
      <c r="T661">
        <v>80</v>
      </c>
      <c r="V661">
        <v>50</v>
      </c>
      <c r="W661" t="s">
        <v>1057</v>
      </c>
      <c r="X661" t="s">
        <v>932</v>
      </c>
      <c r="Y661">
        <v>5</v>
      </c>
      <c r="AB661">
        <v>5.2</v>
      </c>
      <c r="AC661" t="s">
        <v>85</v>
      </c>
      <c r="AD661">
        <v>0.5</v>
      </c>
      <c r="AE661" t="s">
        <v>63</v>
      </c>
      <c r="AI661">
        <v>3</v>
      </c>
      <c r="AV661" t="s">
        <v>256</v>
      </c>
    </row>
    <row r="662" spans="1:48" x14ac:dyDescent="0.3">
      <c r="A662" t="s">
        <v>1542</v>
      </c>
      <c r="C662" t="s">
        <v>1495</v>
      </c>
      <c r="H662">
        <v>1</v>
      </c>
      <c r="I662" t="s">
        <v>82</v>
      </c>
      <c r="J662">
        <v>9.9999999999999995E-7</v>
      </c>
      <c r="K662" t="s">
        <v>252</v>
      </c>
      <c r="L662" t="s">
        <v>58</v>
      </c>
      <c r="O662">
        <v>70</v>
      </c>
      <c r="P662" t="s">
        <v>1543</v>
      </c>
      <c r="T662">
        <v>22</v>
      </c>
      <c r="V662">
        <v>50</v>
      </c>
      <c r="W662" t="s">
        <v>1057</v>
      </c>
      <c r="X662" t="s">
        <v>932</v>
      </c>
      <c r="Y662">
        <v>5</v>
      </c>
      <c r="AB662">
        <v>0.1</v>
      </c>
      <c r="AC662" t="s">
        <v>85</v>
      </c>
      <c r="AD662">
        <v>0.06</v>
      </c>
      <c r="AE662" t="s">
        <v>63</v>
      </c>
      <c r="AI662">
        <v>3</v>
      </c>
      <c r="AV662" t="s">
        <v>256</v>
      </c>
    </row>
    <row r="663" spans="1:48" x14ac:dyDescent="0.3">
      <c r="A663" t="s">
        <v>1542</v>
      </c>
      <c r="C663" t="s">
        <v>1495</v>
      </c>
      <c r="H663">
        <v>1</v>
      </c>
      <c r="I663" t="s">
        <v>82</v>
      </c>
      <c r="J663">
        <v>9.9999999999999995E-7</v>
      </c>
      <c r="K663" t="s">
        <v>252</v>
      </c>
      <c r="L663" t="s">
        <v>58</v>
      </c>
      <c r="O663">
        <v>70</v>
      </c>
      <c r="P663" t="s">
        <v>1543</v>
      </c>
      <c r="T663">
        <v>55</v>
      </c>
      <c r="V663">
        <v>50</v>
      </c>
      <c r="W663" t="s">
        <v>1057</v>
      </c>
      <c r="X663" t="s">
        <v>932</v>
      </c>
      <c r="Y663">
        <v>5</v>
      </c>
      <c r="AB663">
        <v>1.1000000000000001</v>
      </c>
      <c r="AC663" t="s">
        <v>85</v>
      </c>
      <c r="AD663">
        <v>0.3</v>
      </c>
      <c r="AE663" t="s">
        <v>63</v>
      </c>
      <c r="AI663">
        <v>3</v>
      </c>
      <c r="AV663" t="s">
        <v>256</v>
      </c>
    </row>
    <row r="664" spans="1:48" x14ac:dyDescent="0.3">
      <c r="A664" t="s">
        <v>1542</v>
      </c>
      <c r="C664" t="s">
        <v>1495</v>
      </c>
      <c r="H664">
        <v>1</v>
      </c>
      <c r="I664" t="s">
        <v>82</v>
      </c>
      <c r="J664">
        <v>9.9999999999999995E-7</v>
      </c>
      <c r="K664" t="s">
        <v>252</v>
      </c>
      <c r="L664" t="s">
        <v>58</v>
      </c>
      <c r="O664">
        <v>70</v>
      </c>
      <c r="P664" t="s">
        <v>1543</v>
      </c>
      <c r="T664">
        <v>80</v>
      </c>
      <c r="V664">
        <v>50</v>
      </c>
      <c r="W664" t="s">
        <v>1057</v>
      </c>
      <c r="X664" t="s">
        <v>932</v>
      </c>
      <c r="Y664">
        <v>5</v>
      </c>
      <c r="AB664">
        <v>2.7</v>
      </c>
      <c r="AC664" t="s">
        <v>85</v>
      </c>
      <c r="AD664">
        <v>0.8</v>
      </c>
      <c r="AE664" t="s">
        <v>63</v>
      </c>
      <c r="AI664">
        <v>3</v>
      </c>
      <c r="AV664" t="s">
        <v>256</v>
      </c>
    </row>
    <row r="665" spans="1:48" x14ac:dyDescent="0.3">
      <c r="A665" t="s">
        <v>1290</v>
      </c>
      <c r="C665" t="s">
        <v>1495</v>
      </c>
      <c r="H665">
        <v>100</v>
      </c>
      <c r="I665" t="s">
        <v>220</v>
      </c>
      <c r="J665">
        <v>9.9999999999999995E-8</v>
      </c>
      <c r="K665" t="s">
        <v>252</v>
      </c>
      <c r="O665">
        <v>2.5</v>
      </c>
      <c r="P665" t="s">
        <v>1291</v>
      </c>
      <c r="T665">
        <v>25</v>
      </c>
      <c r="V665">
        <v>50</v>
      </c>
      <c r="W665" t="s">
        <v>1544</v>
      </c>
      <c r="X665" t="s">
        <v>932</v>
      </c>
      <c r="Y665">
        <v>3</v>
      </c>
      <c r="AB665">
        <v>1.57</v>
      </c>
      <c r="AC665" t="s">
        <v>85</v>
      </c>
      <c r="AV665" t="s">
        <v>1172</v>
      </c>
    </row>
    <row r="666" spans="1:48" x14ac:dyDescent="0.3">
      <c r="A666" t="s">
        <v>1290</v>
      </c>
      <c r="C666" t="s">
        <v>1495</v>
      </c>
      <c r="H666">
        <v>100</v>
      </c>
      <c r="I666" t="s">
        <v>220</v>
      </c>
      <c r="J666">
        <v>9.9999999999999995E-8</v>
      </c>
      <c r="K666" t="s">
        <v>252</v>
      </c>
      <c r="O666">
        <v>5</v>
      </c>
      <c r="P666" t="s">
        <v>1291</v>
      </c>
      <c r="T666">
        <v>25</v>
      </c>
      <c r="V666">
        <v>50</v>
      </c>
      <c r="W666" t="s">
        <v>1544</v>
      </c>
      <c r="X666" t="s">
        <v>932</v>
      </c>
      <c r="Y666">
        <v>3</v>
      </c>
      <c r="AB666">
        <v>4.34</v>
      </c>
      <c r="AC666" t="s">
        <v>85</v>
      </c>
      <c r="AV666" t="s">
        <v>1172</v>
      </c>
    </row>
    <row r="667" spans="1:48" x14ac:dyDescent="0.3">
      <c r="A667" t="s">
        <v>1290</v>
      </c>
      <c r="C667" t="s">
        <v>1495</v>
      </c>
      <c r="H667">
        <v>100</v>
      </c>
      <c r="I667" t="s">
        <v>220</v>
      </c>
      <c r="J667">
        <v>9.9999999999999995E-8</v>
      </c>
      <c r="K667" t="s">
        <v>252</v>
      </c>
      <c r="O667">
        <v>10</v>
      </c>
      <c r="P667" t="s">
        <v>1291</v>
      </c>
      <c r="T667">
        <v>25</v>
      </c>
      <c r="V667">
        <v>50</v>
      </c>
      <c r="W667" t="s">
        <v>1544</v>
      </c>
      <c r="X667" t="s">
        <v>932</v>
      </c>
      <c r="Y667">
        <v>3</v>
      </c>
      <c r="AB667">
        <v>8</v>
      </c>
      <c r="AC667" t="s">
        <v>85</v>
      </c>
      <c r="AV667" t="s">
        <v>1172</v>
      </c>
    </row>
    <row r="668" spans="1:48" x14ac:dyDescent="0.3">
      <c r="A668" t="s">
        <v>933</v>
      </c>
      <c r="C668" t="s">
        <v>1495</v>
      </c>
      <c r="H668">
        <v>60</v>
      </c>
      <c r="I668" t="s">
        <v>220</v>
      </c>
      <c r="J668">
        <v>6.0000000000000008E-8</v>
      </c>
      <c r="K668" t="s">
        <v>252</v>
      </c>
      <c r="O668">
        <v>0.123</v>
      </c>
      <c r="T668">
        <v>21.5</v>
      </c>
      <c r="V668">
        <v>50</v>
      </c>
      <c r="W668" t="s">
        <v>1545</v>
      </c>
      <c r="X668" t="s">
        <v>114</v>
      </c>
      <c r="Y668">
        <v>4.9922999466919302</v>
      </c>
      <c r="AB668">
        <v>40.066931232600801</v>
      </c>
      <c r="AC668" t="s">
        <v>1070</v>
      </c>
      <c r="AE668" t="s">
        <v>63</v>
      </c>
      <c r="AI668">
        <v>9</v>
      </c>
      <c r="AO668">
        <v>0</v>
      </c>
      <c r="AV668" t="s">
        <v>1172</v>
      </c>
    </row>
    <row r="669" spans="1:48" x14ac:dyDescent="0.3">
      <c r="A669" t="s">
        <v>933</v>
      </c>
      <c r="C669" t="s">
        <v>1495</v>
      </c>
      <c r="H669">
        <v>60</v>
      </c>
      <c r="I669" t="s">
        <v>220</v>
      </c>
      <c r="J669">
        <v>6.0000000000000008E-8</v>
      </c>
      <c r="K669" t="s">
        <v>252</v>
      </c>
      <c r="O669">
        <v>0.123</v>
      </c>
      <c r="T669">
        <v>21.5</v>
      </c>
      <c r="V669">
        <v>50</v>
      </c>
      <c r="W669" t="s">
        <v>1545</v>
      </c>
      <c r="X669" t="s">
        <v>114</v>
      </c>
      <c r="Y669">
        <v>10.129420126754701</v>
      </c>
      <c r="AB669">
        <v>66.951963513593398</v>
      </c>
      <c r="AC669" t="s">
        <v>1070</v>
      </c>
      <c r="AE669" t="s">
        <v>63</v>
      </c>
      <c r="AI669">
        <v>9</v>
      </c>
      <c r="AO669">
        <v>0</v>
      </c>
      <c r="AV669" t="s">
        <v>1172</v>
      </c>
    </row>
    <row r="670" spans="1:48" x14ac:dyDescent="0.3">
      <c r="A670" t="s">
        <v>933</v>
      </c>
      <c r="C670" t="s">
        <v>1495</v>
      </c>
      <c r="H670">
        <v>60</v>
      </c>
      <c r="I670" t="s">
        <v>220</v>
      </c>
      <c r="J670">
        <v>6.0000000000000008E-8</v>
      </c>
      <c r="K670" t="s">
        <v>252</v>
      </c>
      <c r="O670">
        <v>0.123</v>
      </c>
      <c r="T670">
        <v>21.5</v>
      </c>
      <c r="V670">
        <v>50</v>
      </c>
      <c r="W670" t="s">
        <v>1545</v>
      </c>
      <c r="X670" t="s">
        <v>114</v>
      </c>
      <c r="Y670">
        <v>20.148670260024801</v>
      </c>
      <c r="AB670">
        <v>91.784635432091406</v>
      </c>
      <c r="AC670" t="s">
        <v>1070</v>
      </c>
      <c r="AE670" t="s">
        <v>63</v>
      </c>
      <c r="AI670">
        <v>9</v>
      </c>
      <c r="AO670">
        <v>0</v>
      </c>
      <c r="AV670" t="s">
        <v>1172</v>
      </c>
    </row>
    <row r="671" spans="1:48" x14ac:dyDescent="0.3">
      <c r="A671" t="s">
        <v>933</v>
      </c>
      <c r="C671" t="s">
        <v>1495</v>
      </c>
      <c r="H671">
        <v>60</v>
      </c>
      <c r="I671" t="s">
        <v>220</v>
      </c>
      <c r="J671">
        <v>6.0000000000000008E-8</v>
      </c>
      <c r="K671" t="s">
        <v>252</v>
      </c>
      <c r="O671">
        <v>0.123</v>
      </c>
      <c r="T671">
        <v>21.5</v>
      </c>
      <c r="V671">
        <v>50</v>
      </c>
      <c r="W671" t="s">
        <v>1545</v>
      </c>
      <c r="X671" t="s">
        <v>114</v>
      </c>
      <c r="Y671">
        <v>30.073964935141699</v>
      </c>
      <c r="AB671">
        <v>95.414766332997701</v>
      </c>
      <c r="AC671" t="s">
        <v>1070</v>
      </c>
      <c r="AE671" t="s">
        <v>63</v>
      </c>
      <c r="AI671">
        <v>9</v>
      </c>
      <c r="AO671">
        <v>0</v>
      </c>
      <c r="AV671" t="s">
        <v>1172</v>
      </c>
    </row>
    <row r="672" spans="1:48" x14ac:dyDescent="0.3">
      <c r="A672" t="s">
        <v>933</v>
      </c>
      <c r="C672" t="s">
        <v>1495</v>
      </c>
      <c r="H672">
        <v>60</v>
      </c>
      <c r="I672" t="s">
        <v>220</v>
      </c>
      <c r="J672">
        <v>6.0000000000000008E-8</v>
      </c>
      <c r="K672" t="s">
        <v>252</v>
      </c>
      <c r="O672">
        <v>0.308</v>
      </c>
      <c r="T672">
        <v>21.5</v>
      </c>
      <c r="V672">
        <v>50</v>
      </c>
      <c r="W672" t="s">
        <v>1545</v>
      </c>
      <c r="X672" t="s">
        <v>114</v>
      </c>
      <c r="Y672">
        <v>4.94387845762009</v>
      </c>
      <c r="AB672">
        <v>77.603210329917601</v>
      </c>
      <c r="AC672" t="s">
        <v>1070</v>
      </c>
      <c r="AE672" t="s">
        <v>63</v>
      </c>
      <c r="AI672">
        <v>9</v>
      </c>
      <c r="AO672">
        <v>0</v>
      </c>
      <c r="AV672" t="s">
        <v>1172</v>
      </c>
    </row>
    <row r="673" spans="1:48" x14ac:dyDescent="0.3">
      <c r="A673" t="s">
        <v>933</v>
      </c>
      <c r="C673" t="s">
        <v>1495</v>
      </c>
      <c r="H673">
        <v>60</v>
      </c>
      <c r="I673" t="s">
        <v>220</v>
      </c>
      <c r="J673">
        <v>6.0000000000000008E-8</v>
      </c>
      <c r="K673" t="s">
        <v>252</v>
      </c>
      <c r="O673">
        <v>0.308</v>
      </c>
      <c r="T673">
        <v>21.5</v>
      </c>
      <c r="V673">
        <v>50</v>
      </c>
      <c r="W673" t="s">
        <v>1545</v>
      </c>
      <c r="X673" t="s">
        <v>114</v>
      </c>
      <c r="Y673">
        <v>9.9901528164425706</v>
      </c>
      <c r="AB673">
        <v>87.297133210922098</v>
      </c>
      <c r="AC673" t="s">
        <v>1070</v>
      </c>
      <c r="AE673" t="s">
        <v>63</v>
      </c>
      <c r="AI673">
        <v>9</v>
      </c>
      <c r="AO673">
        <v>0</v>
      </c>
      <c r="AV673" t="s">
        <v>1172</v>
      </c>
    </row>
    <row r="674" spans="1:48" x14ac:dyDescent="0.3">
      <c r="A674" t="s">
        <v>933</v>
      </c>
      <c r="C674" t="s">
        <v>1495</v>
      </c>
      <c r="H674">
        <v>60</v>
      </c>
      <c r="I674" t="s">
        <v>220</v>
      </c>
      <c r="J674">
        <v>6.0000000000000008E-8</v>
      </c>
      <c r="K674" t="s">
        <v>252</v>
      </c>
      <c r="O674">
        <v>0.308</v>
      </c>
      <c r="T674">
        <v>21.5</v>
      </c>
      <c r="V674">
        <v>50</v>
      </c>
      <c r="W674" t="s">
        <v>1545</v>
      </c>
      <c r="X674" t="s">
        <v>114</v>
      </c>
      <c r="Y674">
        <v>19.9998519220517</v>
      </c>
      <c r="AB674">
        <v>99.808979446780697</v>
      </c>
      <c r="AC674" t="s">
        <v>1070</v>
      </c>
      <c r="AE674" t="s">
        <v>63</v>
      </c>
      <c r="AI674">
        <v>9</v>
      </c>
      <c r="AO674">
        <v>0</v>
      </c>
      <c r="AV674" t="s">
        <v>1172</v>
      </c>
    </row>
    <row r="675" spans="1:48" x14ac:dyDescent="0.3">
      <c r="A675" t="s">
        <v>933</v>
      </c>
      <c r="C675" t="s">
        <v>1495</v>
      </c>
      <c r="H675">
        <v>60</v>
      </c>
      <c r="I675" t="s">
        <v>220</v>
      </c>
      <c r="J675">
        <v>6.0000000000000008E-8</v>
      </c>
      <c r="K675" t="s">
        <v>252</v>
      </c>
      <c r="O675">
        <v>0.308</v>
      </c>
      <c r="T675">
        <v>21.5</v>
      </c>
      <c r="V675">
        <v>50</v>
      </c>
      <c r="W675" t="s">
        <v>1545</v>
      </c>
      <c r="X675" t="s">
        <v>114</v>
      </c>
      <c r="Y675">
        <v>29.999777883077499</v>
      </c>
      <c r="AB675">
        <v>99.713469170171095</v>
      </c>
      <c r="AC675" t="s">
        <v>1070</v>
      </c>
      <c r="AE675" t="s">
        <v>63</v>
      </c>
      <c r="AI675">
        <v>9</v>
      </c>
      <c r="AO675">
        <v>0</v>
      </c>
      <c r="AV675" t="s">
        <v>1172</v>
      </c>
    </row>
    <row r="676" spans="1:48" x14ac:dyDescent="0.3">
      <c r="A676" t="s">
        <v>933</v>
      </c>
      <c r="C676" t="s">
        <v>1495</v>
      </c>
      <c r="H676">
        <v>60</v>
      </c>
      <c r="I676" t="s">
        <v>220</v>
      </c>
      <c r="J676">
        <v>6.0000000000000008E-8</v>
      </c>
      <c r="K676" t="s">
        <v>252</v>
      </c>
      <c r="O676">
        <v>0.61499999999999899</v>
      </c>
      <c r="T676">
        <v>21.5</v>
      </c>
      <c r="V676">
        <v>50</v>
      </c>
      <c r="W676" t="s">
        <v>1545</v>
      </c>
      <c r="X676" t="s">
        <v>114</v>
      </c>
      <c r="Y676">
        <v>4.9585381744950503</v>
      </c>
      <c r="AB676">
        <v>96.514245098619796</v>
      </c>
      <c r="AC676" t="s">
        <v>1070</v>
      </c>
      <c r="AE676" t="s">
        <v>63</v>
      </c>
      <c r="AI676">
        <v>9</v>
      </c>
      <c r="AO676">
        <v>0</v>
      </c>
      <c r="AV676" t="s">
        <v>1172</v>
      </c>
    </row>
    <row r="677" spans="1:48" x14ac:dyDescent="0.3">
      <c r="A677" t="s">
        <v>933</v>
      </c>
      <c r="C677" t="s">
        <v>1495</v>
      </c>
      <c r="H677">
        <v>60</v>
      </c>
      <c r="I677" t="s">
        <v>220</v>
      </c>
      <c r="J677">
        <v>6.0000000000000008E-8</v>
      </c>
      <c r="K677" t="s">
        <v>252</v>
      </c>
      <c r="O677">
        <v>0.61499999999999899</v>
      </c>
      <c r="T677">
        <v>21.5</v>
      </c>
      <c r="V677">
        <v>50</v>
      </c>
      <c r="W677" t="s">
        <v>1545</v>
      </c>
      <c r="X677" t="s">
        <v>114</v>
      </c>
      <c r="Y677">
        <v>9.9963720902683004</v>
      </c>
      <c r="AB677">
        <v>95.319996446129096</v>
      </c>
      <c r="AC677" t="s">
        <v>1070</v>
      </c>
      <c r="AE677" t="s">
        <v>63</v>
      </c>
      <c r="AI677">
        <v>9</v>
      </c>
      <c r="AO677">
        <v>0</v>
      </c>
      <c r="AV677" t="s">
        <v>1172</v>
      </c>
    </row>
    <row r="678" spans="1:48" x14ac:dyDescent="0.3">
      <c r="A678" t="s">
        <v>933</v>
      </c>
      <c r="C678" t="s">
        <v>1495</v>
      </c>
      <c r="H678">
        <v>60</v>
      </c>
      <c r="I678" t="s">
        <v>220</v>
      </c>
      <c r="J678">
        <v>6.0000000000000008E-8</v>
      </c>
      <c r="K678" t="s">
        <v>252</v>
      </c>
      <c r="O678">
        <v>0.61499999999999899</v>
      </c>
      <c r="T678">
        <v>21.5</v>
      </c>
      <c r="V678">
        <v>50</v>
      </c>
      <c r="W678" t="s">
        <v>1545</v>
      </c>
      <c r="X678" t="s">
        <v>114</v>
      </c>
      <c r="Y678">
        <v>20.1548895338506</v>
      </c>
      <c r="AB678">
        <v>99.807498667298404</v>
      </c>
      <c r="AC678" t="s">
        <v>1070</v>
      </c>
      <c r="AE678" t="s">
        <v>63</v>
      </c>
      <c r="AI678">
        <v>9</v>
      </c>
      <c r="AO678">
        <v>0</v>
      </c>
      <c r="AV678" t="s">
        <v>1172</v>
      </c>
    </row>
    <row r="679" spans="1:48" x14ac:dyDescent="0.3">
      <c r="A679" t="s">
        <v>933</v>
      </c>
      <c r="C679" t="s">
        <v>1495</v>
      </c>
      <c r="H679">
        <v>60</v>
      </c>
      <c r="I679" t="s">
        <v>220</v>
      </c>
      <c r="J679">
        <v>6.0000000000000008E-8</v>
      </c>
      <c r="K679" t="s">
        <v>252</v>
      </c>
      <c r="O679">
        <v>0.61499999999999899</v>
      </c>
      <c r="T679">
        <v>21.5</v>
      </c>
      <c r="V679">
        <v>50</v>
      </c>
      <c r="W679" t="s">
        <v>1545</v>
      </c>
      <c r="X679" t="s">
        <v>114</v>
      </c>
      <c r="Y679">
        <v>30.077518805899299</v>
      </c>
      <c r="AB679">
        <v>99.999259610258804</v>
      </c>
      <c r="AC679" t="s">
        <v>1070</v>
      </c>
      <c r="AE679" t="s">
        <v>63</v>
      </c>
      <c r="AI679">
        <v>9</v>
      </c>
      <c r="AO679">
        <v>0</v>
      </c>
      <c r="AV679" t="s">
        <v>1172</v>
      </c>
    </row>
    <row r="680" spans="1:48" x14ac:dyDescent="0.3">
      <c r="A680" t="s">
        <v>933</v>
      </c>
      <c r="C680" t="s">
        <v>1495</v>
      </c>
      <c r="H680">
        <v>60</v>
      </c>
      <c r="I680" t="s">
        <v>220</v>
      </c>
      <c r="J680">
        <v>6.0000000000000008E-8</v>
      </c>
      <c r="K680" t="s">
        <v>252</v>
      </c>
      <c r="O680">
        <v>4.5</v>
      </c>
      <c r="P680" t="s">
        <v>59</v>
      </c>
      <c r="T680">
        <v>21.5</v>
      </c>
      <c r="V680">
        <v>50</v>
      </c>
      <c r="W680" t="s">
        <v>1545</v>
      </c>
      <c r="X680" t="s">
        <v>114</v>
      </c>
      <c r="Y680">
        <v>5.1122430847598102</v>
      </c>
      <c r="AB680">
        <v>94.793579340164499</v>
      </c>
      <c r="AC680" t="s">
        <v>1070</v>
      </c>
      <c r="AE680" t="s">
        <v>63</v>
      </c>
      <c r="AI680">
        <v>9</v>
      </c>
      <c r="AO680">
        <v>0</v>
      </c>
      <c r="AV680" t="s">
        <v>1172</v>
      </c>
    </row>
    <row r="681" spans="1:48" x14ac:dyDescent="0.3">
      <c r="A681" t="s">
        <v>933</v>
      </c>
      <c r="C681" t="s">
        <v>1495</v>
      </c>
      <c r="H681">
        <v>60</v>
      </c>
      <c r="I681" t="s">
        <v>220</v>
      </c>
      <c r="J681">
        <v>6.0000000000000008E-8</v>
      </c>
      <c r="K681" t="s">
        <v>252</v>
      </c>
      <c r="O681">
        <v>4.5</v>
      </c>
      <c r="P681" t="s">
        <v>59</v>
      </c>
      <c r="T681">
        <v>21.5</v>
      </c>
      <c r="V681">
        <v>50</v>
      </c>
      <c r="W681" t="s">
        <v>1545</v>
      </c>
      <c r="X681" t="s">
        <v>114</v>
      </c>
      <c r="Y681">
        <v>9.9226292720488001</v>
      </c>
      <c r="AB681">
        <v>100.19176094296</v>
      </c>
      <c r="AC681" t="s">
        <v>1070</v>
      </c>
      <c r="AE681" t="s">
        <v>63</v>
      </c>
      <c r="AI681">
        <v>9</v>
      </c>
      <c r="AO681">
        <v>0</v>
      </c>
      <c r="AV681" t="s">
        <v>1172</v>
      </c>
    </row>
    <row r="682" spans="1:48" x14ac:dyDescent="0.3">
      <c r="A682" t="s">
        <v>933</v>
      </c>
      <c r="C682" t="s">
        <v>1495</v>
      </c>
      <c r="H682">
        <v>60</v>
      </c>
      <c r="I682" t="s">
        <v>220</v>
      </c>
      <c r="J682">
        <v>6.0000000000000008E-8</v>
      </c>
      <c r="K682" t="s">
        <v>252</v>
      </c>
      <c r="O682">
        <v>4.5</v>
      </c>
      <c r="P682" t="s">
        <v>59</v>
      </c>
      <c r="T682">
        <v>21.5</v>
      </c>
      <c r="V682">
        <v>50</v>
      </c>
      <c r="W682" t="s">
        <v>1545</v>
      </c>
      <c r="X682" t="s">
        <v>114</v>
      </c>
      <c r="Y682">
        <v>19.922777349996899</v>
      </c>
      <c r="AB682">
        <v>100.38278149617901</v>
      </c>
      <c r="AC682" t="s">
        <v>1070</v>
      </c>
      <c r="AE682" t="s">
        <v>63</v>
      </c>
      <c r="AI682">
        <v>9</v>
      </c>
      <c r="AO682">
        <v>0</v>
      </c>
      <c r="AV682" t="s">
        <v>1172</v>
      </c>
    </row>
    <row r="683" spans="1:48" x14ac:dyDescent="0.3">
      <c r="A683" t="s">
        <v>933</v>
      </c>
      <c r="C683" t="s">
        <v>1495</v>
      </c>
      <c r="H683">
        <v>60</v>
      </c>
      <c r="I683" t="s">
        <v>220</v>
      </c>
      <c r="J683">
        <v>6.0000000000000008E-8</v>
      </c>
      <c r="K683" t="s">
        <v>252</v>
      </c>
      <c r="O683">
        <v>4.5</v>
      </c>
      <c r="P683" t="s">
        <v>59</v>
      </c>
      <c r="T683">
        <v>21.5</v>
      </c>
      <c r="V683">
        <v>50</v>
      </c>
      <c r="W683" t="s">
        <v>1545</v>
      </c>
      <c r="X683" t="s">
        <v>114</v>
      </c>
      <c r="Y683">
        <v>30.077296688977</v>
      </c>
      <c r="AB683">
        <v>99.712728780429899</v>
      </c>
      <c r="AC683" t="s">
        <v>1070</v>
      </c>
      <c r="AE683" t="s">
        <v>63</v>
      </c>
      <c r="AI683">
        <v>9</v>
      </c>
      <c r="AO683">
        <v>0</v>
      </c>
      <c r="AV683" t="s">
        <v>1172</v>
      </c>
    </row>
    <row r="684" spans="1:48" x14ac:dyDescent="0.3">
      <c r="A684" t="s">
        <v>933</v>
      </c>
      <c r="C684" t="s">
        <v>1495</v>
      </c>
      <c r="H684">
        <v>60</v>
      </c>
      <c r="I684" t="s">
        <v>220</v>
      </c>
      <c r="J684">
        <v>6.0000000000000008E-8</v>
      </c>
      <c r="K684" t="s">
        <v>252</v>
      </c>
      <c r="O684">
        <v>5</v>
      </c>
      <c r="P684" t="s">
        <v>1546</v>
      </c>
      <c r="T684">
        <v>21.5</v>
      </c>
      <c r="V684">
        <v>50</v>
      </c>
      <c r="W684" t="s">
        <v>1545</v>
      </c>
      <c r="X684" t="s">
        <v>114</v>
      </c>
      <c r="Y684">
        <v>4.9150032577148499</v>
      </c>
      <c r="AB684">
        <v>40.354202452170803</v>
      </c>
      <c r="AC684" t="s">
        <v>1070</v>
      </c>
      <c r="AE684" t="s">
        <v>63</v>
      </c>
      <c r="AI684">
        <v>9</v>
      </c>
      <c r="AO684">
        <v>0</v>
      </c>
      <c r="AV684" t="s">
        <v>1172</v>
      </c>
    </row>
    <row r="685" spans="1:48" x14ac:dyDescent="0.3">
      <c r="A685" t="s">
        <v>933</v>
      </c>
      <c r="C685" t="s">
        <v>1495</v>
      </c>
      <c r="H685">
        <v>60</v>
      </c>
      <c r="I685" t="s">
        <v>220</v>
      </c>
      <c r="J685">
        <v>6.0000000000000008E-8</v>
      </c>
      <c r="K685" t="s">
        <v>252</v>
      </c>
      <c r="O685">
        <v>5</v>
      </c>
      <c r="P685" t="s">
        <v>1546</v>
      </c>
      <c r="T685">
        <v>21.5</v>
      </c>
      <c r="V685">
        <v>50</v>
      </c>
      <c r="W685" t="s">
        <v>1545</v>
      </c>
      <c r="X685" t="s">
        <v>114</v>
      </c>
      <c r="Y685">
        <v>10.0268021086299</v>
      </c>
      <c r="AB685">
        <v>34.574720132677697</v>
      </c>
      <c r="AC685" t="s">
        <v>1070</v>
      </c>
      <c r="AE685" t="s">
        <v>63</v>
      </c>
      <c r="AI685">
        <v>9</v>
      </c>
      <c r="AO685">
        <v>0</v>
      </c>
      <c r="AV685" t="s">
        <v>1172</v>
      </c>
    </row>
    <row r="686" spans="1:48" x14ac:dyDescent="0.3">
      <c r="A686" t="s">
        <v>933</v>
      </c>
      <c r="C686" t="s">
        <v>1495</v>
      </c>
      <c r="H686">
        <v>60</v>
      </c>
      <c r="I686" t="s">
        <v>220</v>
      </c>
      <c r="J686">
        <v>6.0000000000000008E-8</v>
      </c>
      <c r="K686" t="s">
        <v>252</v>
      </c>
      <c r="O686">
        <v>5</v>
      </c>
      <c r="P686" t="s">
        <v>1546</v>
      </c>
      <c r="T686">
        <v>21.5</v>
      </c>
      <c r="V686">
        <v>50</v>
      </c>
      <c r="W686" t="s">
        <v>1545</v>
      </c>
      <c r="X686" t="s">
        <v>114</v>
      </c>
      <c r="Y686">
        <v>19.9589824083397</v>
      </c>
      <c r="AB686">
        <v>47.0873067582774</v>
      </c>
      <c r="AC686" t="s">
        <v>1070</v>
      </c>
      <c r="AE686" t="s">
        <v>63</v>
      </c>
      <c r="AI686">
        <v>9</v>
      </c>
      <c r="AO686">
        <v>0</v>
      </c>
      <c r="AV686" t="s">
        <v>1172</v>
      </c>
    </row>
    <row r="687" spans="1:48" x14ac:dyDescent="0.3">
      <c r="A687" t="s">
        <v>933</v>
      </c>
      <c r="C687" t="s">
        <v>1495</v>
      </c>
      <c r="H687">
        <v>60</v>
      </c>
      <c r="I687" t="s">
        <v>220</v>
      </c>
      <c r="J687">
        <v>6.0000000000000008E-8</v>
      </c>
      <c r="K687" t="s">
        <v>252</v>
      </c>
      <c r="O687">
        <v>5</v>
      </c>
      <c r="P687" t="s">
        <v>1546</v>
      </c>
      <c r="T687">
        <v>21.5</v>
      </c>
      <c r="V687">
        <v>50</v>
      </c>
      <c r="W687" t="s">
        <v>1545</v>
      </c>
      <c r="X687" t="s">
        <v>114</v>
      </c>
      <c r="Y687">
        <v>29.8884973049813</v>
      </c>
      <c r="AB687">
        <v>56.1615234259313</v>
      </c>
      <c r="AC687" t="s">
        <v>1070</v>
      </c>
      <c r="AE687" t="s">
        <v>63</v>
      </c>
      <c r="AI687">
        <v>9</v>
      </c>
      <c r="AO687">
        <v>0</v>
      </c>
      <c r="AV687" t="s">
        <v>1172</v>
      </c>
    </row>
    <row r="688" spans="1:48" x14ac:dyDescent="0.3">
      <c r="A688" t="s">
        <v>933</v>
      </c>
      <c r="C688" t="s">
        <v>1495</v>
      </c>
      <c r="H688">
        <v>60</v>
      </c>
      <c r="I688" t="s">
        <v>220</v>
      </c>
      <c r="J688">
        <v>6.0000000000000008E-8</v>
      </c>
      <c r="K688" t="s">
        <v>252</v>
      </c>
      <c r="O688">
        <v>0</v>
      </c>
      <c r="T688">
        <v>21.5</v>
      </c>
      <c r="V688">
        <v>50</v>
      </c>
      <c r="W688" t="s">
        <v>1545</v>
      </c>
      <c r="X688" t="s">
        <v>114</v>
      </c>
      <c r="Y688">
        <v>5.1162411893620803</v>
      </c>
      <c r="AB688">
        <v>99.951134277083298</v>
      </c>
      <c r="AC688" t="s">
        <v>1070</v>
      </c>
      <c r="AE688" t="s">
        <v>63</v>
      </c>
      <c r="AI688">
        <v>9</v>
      </c>
      <c r="AO688">
        <v>0</v>
      </c>
      <c r="AV688" t="s">
        <v>1172</v>
      </c>
    </row>
    <row r="689" spans="1:48" x14ac:dyDescent="0.3">
      <c r="A689" t="s">
        <v>933</v>
      </c>
      <c r="C689" t="s">
        <v>1495</v>
      </c>
      <c r="H689">
        <v>60</v>
      </c>
      <c r="I689" t="s">
        <v>220</v>
      </c>
      <c r="J689">
        <v>6.0000000000000008E-8</v>
      </c>
      <c r="K689" t="s">
        <v>252</v>
      </c>
      <c r="O689">
        <v>0</v>
      </c>
      <c r="T689">
        <v>21.5</v>
      </c>
      <c r="V689">
        <v>50</v>
      </c>
      <c r="W689" t="s">
        <v>1545</v>
      </c>
      <c r="X689" t="s">
        <v>114</v>
      </c>
      <c r="Y689">
        <v>9.9999259610258804</v>
      </c>
      <c r="AB689">
        <v>99.904489723390299</v>
      </c>
      <c r="AC689" t="s">
        <v>1070</v>
      </c>
      <c r="AE689" t="s">
        <v>63</v>
      </c>
      <c r="AI689">
        <v>9</v>
      </c>
      <c r="AO689">
        <v>0</v>
      </c>
      <c r="AV689" t="s">
        <v>1172</v>
      </c>
    </row>
    <row r="690" spans="1:48" x14ac:dyDescent="0.3">
      <c r="A690" t="s">
        <v>933</v>
      </c>
      <c r="C690" t="s">
        <v>1495</v>
      </c>
      <c r="H690">
        <v>60</v>
      </c>
      <c r="I690" t="s">
        <v>220</v>
      </c>
      <c r="J690">
        <v>6.0000000000000008E-8</v>
      </c>
      <c r="K690" t="s">
        <v>252</v>
      </c>
      <c r="O690">
        <v>0</v>
      </c>
      <c r="T690">
        <v>21.5</v>
      </c>
      <c r="V690">
        <v>50</v>
      </c>
      <c r="W690" t="s">
        <v>1545</v>
      </c>
      <c r="X690" t="s">
        <v>114</v>
      </c>
      <c r="Y690">
        <v>20.000074038973999</v>
      </c>
      <c r="AB690">
        <v>100.09551027660901</v>
      </c>
      <c r="AC690" t="s">
        <v>1070</v>
      </c>
      <c r="AE690" t="s">
        <v>63</v>
      </c>
      <c r="AI690">
        <v>9</v>
      </c>
      <c r="AO690">
        <v>0</v>
      </c>
      <c r="AV690" t="s">
        <v>1172</v>
      </c>
    </row>
    <row r="691" spans="1:48" x14ac:dyDescent="0.3">
      <c r="A691" t="s">
        <v>933</v>
      </c>
      <c r="C691" t="s">
        <v>1495</v>
      </c>
      <c r="H691">
        <v>60</v>
      </c>
      <c r="I691" t="s">
        <v>220</v>
      </c>
      <c r="J691">
        <v>6.0000000000000008E-8</v>
      </c>
      <c r="K691" t="s">
        <v>252</v>
      </c>
      <c r="O691">
        <v>0</v>
      </c>
      <c r="T691">
        <v>21.5</v>
      </c>
      <c r="V691">
        <v>50</v>
      </c>
      <c r="W691" t="s">
        <v>1545</v>
      </c>
      <c r="X691" t="s">
        <v>114</v>
      </c>
      <c r="Y691">
        <v>30</v>
      </c>
      <c r="AB691">
        <v>100</v>
      </c>
      <c r="AC691" t="s">
        <v>1070</v>
      </c>
      <c r="AE691" t="s">
        <v>63</v>
      </c>
      <c r="AI691">
        <v>9</v>
      </c>
      <c r="AO691">
        <v>0</v>
      </c>
      <c r="AV691" t="s">
        <v>1172</v>
      </c>
    </row>
    <row r="692" spans="1:48" x14ac:dyDescent="0.3">
      <c r="A692" t="s">
        <v>933</v>
      </c>
      <c r="C692" t="s">
        <v>1495</v>
      </c>
      <c r="H692">
        <v>60</v>
      </c>
      <c r="I692" t="s">
        <v>220</v>
      </c>
      <c r="J692">
        <v>6.0000000000000008E-8</v>
      </c>
      <c r="K692" t="s">
        <v>252</v>
      </c>
      <c r="O692">
        <v>0</v>
      </c>
      <c r="T692">
        <v>21.5</v>
      </c>
      <c r="V692">
        <v>50</v>
      </c>
      <c r="W692" t="s">
        <v>1545</v>
      </c>
      <c r="X692" t="s">
        <v>114</v>
      </c>
      <c r="Y692">
        <v>4.9612035775632304</v>
      </c>
      <c r="AB692">
        <v>99.952615056565804</v>
      </c>
      <c r="AC692" t="s">
        <v>1070</v>
      </c>
      <c r="AE692" t="s">
        <v>63</v>
      </c>
      <c r="AI692">
        <v>9</v>
      </c>
      <c r="AO692">
        <v>0</v>
      </c>
      <c r="AV692" t="s">
        <v>1172</v>
      </c>
    </row>
    <row r="693" spans="1:48" x14ac:dyDescent="0.3">
      <c r="A693" t="s">
        <v>933</v>
      </c>
      <c r="C693" t="s">
        <v>1495</v>
      </c>
      <c r="H693">
        <v>60</v>
      </c>
      <c r="I693" t="s">
        <v>220</v>
      </c>
      <c r="J693">
        <v>6.0000000000000008E-8</v>
      </c>
      <c r="K693" t="s">
        <v>252</v>
      </c>
      <c r="O693">
        <v>0</v>
      </c>
      <c r="T693">
        <v>21.5</v>
      </c>
      <c r="V693">
        <v>50</v>
      </c>
      <c r="W693" t="s">
        <v>1545</v>
      </c>
      <c r="X693" t="s">
        <v>114</v>
      </c>
      <c r="Y693">
        <v>10.07788900077</v>
      </c>
      <c r="AB693">
        <v>100.476810993306</v>
      </c>
      <c r="AC693" t="s">
        <v>1070</v>
      </c>
      <c r="AE693" t="s">
        <v>63</v>
      </c>
      <c r="AI693">
        <v>9</v>
      </c>
      <c r="AO693">
        <v>0</v>
      </c>
      <c r="AV693" t="s">
        <v>1172</v>
      </c>
    </row>
    <row r="694" spans="1:48" x14ac:dyDescent="0.3">
      <c r="A694" t="s">
        <v>933</v>
      </c>
      <c r="C694" t="s">
        <v>1495</v>
      </c>
      <c r="H694">
        <v>60</v>
      </c>
      <c r="I694" t="s">
        <v>220</v>
      </c>
      <c r="J694">
        <v>6.0000000000000008E-8</v>
      </c>
      <c r="K694" t="s">
        <v>252</v>
      </c>
      <c r="O694">
        <v>0</v>
      </c>
      <c r="T694">
        <v>21.5</v>
      </c>
      <c r="V694">
        <v>50</v>
      </c>
      <c r="W694" t="s">
        <v>1545</v>
      </c>
      <c r="X694" t="s">
        <v>114</v>
      </c>
      <c r="Y694">
        <v>20.1548895338506</v>
      </c>
      <c r="AB694">
        <v>99.807498667298404</v>
      </c>
      <c r="AC694" t="s">
        <v>1070</v>
      </c>
      <c r="AE694" t="s">
        <v>63</v>
      </c>
      <c r="AI694">
        <v>9</v>
      </c>
      <c r="AO694">
        <v>0</v>
      </c>
      <c r="AV694" t="s">
        <v>1172</v>
      </c>
    </row>
    <row r="695" spans="1:48" x14ac:dyDescent="0.3">
      <c r="A695" t="s">
        <v>933</v>
      </c>
      <c r="C695" t="s">
        <v>1495</v>
      </c>
      <c r="H695">
        <v>60</v>
      </c>
      <c r="I695" t="s">
        <v>220</v>
      </c>
      <c r="J695">
        <v>6.0000000000000008E-8</v>
      </c>
      <c r="K695" t="s">
        <v>252</v>
      </c>
      <c r="O695">
        <v>0</v>
      </c>
      <c r="T695">
        <v>21.5</v>
      </c>
      <c r="V695">
        <v>50</v>
      </c>
      <c r="W695" t="s">
        <v>1545</v>
      </c>
      <c r="X695" t="s">
        <v>114</v>
      </c>
      <c r="Y695">
        <v>29.767221465379301</v>
      </c>
      <c r="AB695">
        <v>99.715690339394499</v>
      </c>
      <c r="AC695" t="s">
        <v>1070</v>
      </c>
      <c r="AE695" t="s">
        <v>63</v>
      </c>
      <c r="AI695">
        <v>9</v>
      </c>
      <c r="AO695">
        <v>0</v>
      </c>
      <c r="AV695" t="s">
        <v>1172</v>
      </c>
    </row>
    <row r="696" spans="1:48" x14ac:dyDescent="0.3">
      <c r="A696" t="s">
        <v>1547</v>
      </c>
      <c r="C696" t="s">
        <v>1495</v>
      </c>
      <c r="H696">
        <v>10</v>
      </c>
      <c r="I696" t="s">
        <v>82</v>
      </c>
      <c r="J696">
        <v>9.9999999999999991E-6</v>
      </c>
      <c r="K696" t="s">
        <v>252</v>
      </c>
      <c r="O696">
        <v>0.12</v>
      </c>
      <c r="P696" t="s">
        <v>59</v>
      </c>
      <c r="S696">
        <v>1</v>
      </c>
      <c r="T696">
        <v>10</v>
      </c>
      <c r="V696">
        <v>50</v>
      </c>
      <c r="W696" t="s">
        <v>1057</v>
      </c>
      <c r="X696" t="s">
        <v>957</v>
      </c>
      <c r="Y696">
        <v>4.9999999999999902</v>
      </c>
      <c r="AB696">
        <v>3.3112582781456901E-2</v>
      </c>
      <c r="AC696" t="s">
        <v>85</v>
      </c>
      <c r="AI696">
        <v>2</v>
      </c>
      <c r="AV696" t="s">
        <v>256</v>
      </c>
    </row>
    <row r="697" spans="1:48" x14ac:dyDescent="0.3">
      <c r="A697" t="s">
        <v>1547</v>
      </c>
      <c r="C697" t="s">
        <v>1495</v>
      </c>
      <c r="H697">
        <v>10</v>
      </c>
      <c r="I697" t="s">
        <v>82</v>
      </c>
      <c r="J697">
        <v>9.9999999999999991E-6</v>
      </c>
      <c r="K697" t="s">
        <v>252</v>
      </c>
      <c r="O697">
        <v>0.12</v>
      </c>
      <c r="P697" t="s">
        <v>59</v>
      </c>
      <c r="S697">
        <v>1</v>
      </c>
      <c r="T697">
        <v>10</v>
      </c>
      <c r="V697">
        <v>50</v>
      </c>
      <c r="W697" t="s">
        <v>1057</v>
      </c>
      <c r="X697" t="s">
        <v>957</v>
      </c>
      <c r="Y697">
        <v>30.1</v>
      </c>
      <c r="AB697">
        <v>0.115894039735099</v>
      </c>
      <c r="AC697" t="s">
        <v>85</v>
      </c>
      <c r="AI697">
        <v>2</v>
      </c>
      <c r="AV697" t="s">
        <v>256</v>
      </c>
    </row>
    <row r="698" spans="1:48" x14ac:dyDescent="0.3">
      <c r="A698" t="s">
        <v>1547</v>
      </c>
      <c r="C698" t="s">
        <v>1495</v>
      </c>
      <c r="H698">
        <v>10</v>
      </c>
      <c r="I698" t="s">
        <v>82</v>
      </c>
      <c r="J698">
        <v>9.9999999999999991E-6</v>
      </c>
      <c r="K698" t="s">
        <v>252</v>
      </c>
      <c r="O698">
        <v>0.12</v>
      </c>
      <c r="P698" t="s">
        <v>59</v>
      </c>
      <c r="S698">
        <v>1</v>
      </c>
      <c r="T698">
        <v>10</v>
      </c>
      <c r="V698">
        <v>50</v>
      </c>
      <c r="W698" t="s">
        <v>1057</v>
      </c>
      <c r="X698" t="s">
        <v>957</v>
      </c>
      <c r="Y698">
        <v>59.9</v>
      </c>
      <c r="AB698">
        <v>0.24834437086092601</v>
      </c>
      <c r="AC698" t="s">
        <v>85</v>
      </c>
      <c r="AI698">
        <v>2</v>
      </c>
      <c r="AV698" t="s">
        <v>256</v>
      </c>
    </row>
    <row r="699" spans="1:48" x14ac:dyDescent="0.3">
      <c r="A699" t="s">
        <v>1547</v>
      </c>
      <c r="C699" t="s">
        <v>1495</v>
      </c>
      <c r="H699">
        <v>10</v>
      </c>
      <c r="I699" t="s">
        <v>82</v>
      </c>
      <c r="J699">
        <v>9.9999999999999991E-6</v>
      </c>
      <c r="K699" t="s">
        <v>252</v>
      </c>
      <c r="O699">
        <v>0.12</v>
      </c>
      <c r="P699" t="s">
        <v>59</v>
      </c>
      <c r="S699">
        <v>1</v>
      </c>
      <c r="T699">
        <v>10</v>
      </c>
      <c r="V699">
        <v>50</v>
      </c>
      <c r="W699" t="s">
        <v>1057</v>
      </c>
      <c r="X699" t="s">
        <v>957</v>
      </c>
      <c r="Y699">
        <v>5.0999999999999899</v>
      </c>
      <c r="AB699">
        <v>0.28145695364238199</v>
      </c>
      <c r="AC699" t="s">
        <v>85</v>
      </c>
      <c r="AI699">
        <v>2</v>
      </c>
      <c r="AV699" t="s">
        <v>256</v>
      </c>
    </row>
    <row r="700" spans="1:48" x14ac:dyDescent="0.3">
      <c r="A700" t="s">
        <v>1547</v>
      </c>
      <c r="C700" t="s">
        <v>1495</v>
      </c>
      <c r="H700">
        <v>10</v>
      </c>
      <c r="I700" t="s">
        <v>82</v>
      </c>
      <c r="J700">
        <v>9.9999999999999991E-6</v>
      </c>
      <c r="K700" t="s">
        <v>252</v>
      </c>
      <c r="O700">
        <v>0.12</v>
      </c>
      <c r="P700" t="s">
        <v>59</v>
      </c>
      <c r="S700">
        <v>1</v>
      </c>
      <c r="T700">
        <v>10</v>
      </c>
      <c r="V700">
        <v>50</v>
      </c>
      <c r="W700" t="s">
        <v>1057</v>
      </c>
      <c r="X700" t="s">
        <v>957</v>
      </c>
      <c r="Y700">
        <v>30.2</v>
      </c>
      <c r="AB700">
        <v>1.24172185430463</v>
      </c>
      <c r="AC700" t="s">
        <v>85</v>
      </c>
      <c r="AI700">
        <v>2</v>
      </c>
      <c r="AV700" t="s">
        <v>256</v>
      </c>
    </row>
    <row r="701" spans="1:48" x14ac:dyDescent="0.3">
      <c r="A701" t="s">
        <v>1547</v>
      </c>
      <c r="C701" t="s">
        <v>1495</v>
      </c>
      <c r="H701">
        <v>10</v>
      </c>
      <c r="I701" t="s">
        <v>82</v>
      </c>
      <c r="J701">
        <v>9.9999999999999991E-6</v>
      </c>
      <c r="K701" t="s">
        <v>252</v>
      </c>
      <c r="O701">
        <v>0.12</v>
      </c>
      <c r="P701" t="s">
        <v>59</v>
      </c>
      <c r="S701">
        <v>1</v>
      </c>
      <c r="T701">
        <v>10</v>
      </c>
      <c r="V701">
        <v>50</v>
      </c>
      <c r="W701" t="s">
        <v>1057</v>
      </c>
      <c r="X701" t="s">
        <v>957</v>
      </c>
      <c r="Y701">
        <v>60.1</v>
      </c>
      <c r="AB701">
        <v>1.6721854304635599</v>
      </c>
      <c r="AC701" t="s">
        <v>85</v>
      </c>
      <c r="AI701">
        <v>2</v>
      </c>
      <c r="AV701" t="s">
        <v>256</v>
      </c>
    </row>
    <row r="702" spans="1:48" x14ac:dyDescent="0.3">
      <c r="A702" t="s">
        <v>1547</v>
      </c>
      <c r="C702" t="s">
        <v>1495</v>
      </c>
      <c r="H702">
        <v>10</v>
      </c>
      <c r="I702" t="s">
        <v>82</v>
      </c>
      <c r="J702">
        <v>9.9999999999999991E-6</v>
      </c>
      <c r="K702" t="s">
        <v>252</v>
      </c>
      <c r="O702">
        <v>0.12</v>
      </c>
      <c r="P702" t="s">
        <v>59</v>
      </c>
      <c r="S702">
        <v>1</v>
      </c>
      <c r="T702">
        <v>10</v>
      </c>
      <c r="V702">
        <v>50</v>
      </c>
      <c r="W702" t="s">
        <v>1057</v>
      </c>
      <c r="X702" t="s">
        <v>957</v>
      </c>
      <c r="Y702">
        <v>5.0999999999999899</v>
      </c>
      <c r="AB702">
        <v>0.41390728476820998</v>
      </c>
      <c r="AC702" t="s">
        <v>85</v>
      </c>
      <c r="AI702">
        <v>2</v>
      </c>
      <c r="AV702" t="s">
        <v>256</v>
      </c>
    </row>
    <row r="703" spans="1:48" x14ac:dyDescent="0.3">
      <c r="A703" t="s">
        <v>1547</v>
      </c>
      <c r="C703" t="s">
        <v>1495</v>
      </c>
      <c r="H703">
        <v>10</v>
      </c>
      <c r="I703" t="s">
        <v>82</v>
      </c>
      <c r="J703">
        <v>9.9999999999999991E-6</v>
      </c>
      <c r="K703" t="s">
        <v>252</v>
      </c>
      <c r="O703">
        <v>0.12</v>
      </c>
      <c r="P703" t="s">
        <v>59</v>
      </c>
      <c r="S703">
        <v>1</v>
      </c>
      <c r="T703">
        <v>10</v>
      </c>
      <c r="V703">
        <v>50</v>
      </c>
      <c r="W703" t="s">
        <v>1057</v>
      </c>
      <c r="X703" t="s">
        <v>957</v>
      </c>
      <c r="Y703">
        <v>30.1</v>
      </c>
      <c r="AB703">
        <v>1.5231788079470101</v>
      </c>
      <c r="AC703" t="s">
        <v>85</v>
      </c>
      <c r="AI703">
        <v>2</v>
      </c>
      <c r="AV703" t="s">
        <v>256</v>
      </c>
    </row>
    <row r="704" spans="1:48" x14ac:dyDescent="0.3">
      <c r="A704" t="s">
        <v>1547</v>
      </c>
      <c r="C704" t="s">
        <v>1495</v>
      </c>
      <c r="H704">
        <v>10</v>
      </c>
      <c r="I704" t="s">
        <v>82</v>
      </c>
      <c r="J704">
        <v>9.9999999999999991E-6</v>
      </c>
      <c r="K704" t="s">
        <v>252</v>
      </c>
      <c r="O704">
        <v>0.12</v>
      </c>
      <c r="P704" t="s">
        <v>59</v>
      </c>
      <c r="S704">
        <v>1</v>
      </c>
      <c r="T704">
        <v>10</v>
      </c>
      <c r="V704">
        <v>50</v>
      </c>
      <c r="W704" t="s">
        <v>1057</v>
      </c>
      <c r="X704" t="s">
        <v>957</v>
      </c>
      <c r="Y704">
        <v>60.1</v>
      </c>
      <c r="AB704">
        <v>2.0860927152317701</v>
      </c>
      <c r="AC704" t="s">
        <v>85</v>
      </c>
      <c r="AI704">
        <v>2</v>
      </c>
      <c r="AV704" t="s">
        <v>256</v>
      </c>
    </row>
    <row r="705" spans="1:48" x14ac:dyDescent="0.3">
      <c r="A705" t="s">
        <v>1547</v>
      </c>
      <c r="C705" t="s">
        <v>1495</v>
      </c>
      <c r="H705">
        <v>10</v>
      </c>
      <c r="I705" t="s">
        <v>82</v>
      </c>
      <c r="J705">
        <v>9.9999999999999991E-6</v>
      </c>
      <c r="K705" t="s">
        <v>252</v>
      </c>
      <c r="O705">
        <v>0.12</v>
      </c>
      <c r="P705" t="s">
        <v>59</v>
      </c>
      <c r="S705">
        <v>1</v>
      </c>
      <c r="T705">
        <v>10</v>
      </c>
      <c r="V705">
        <v>50</v>
      </c>
      <c r="W705" t="s">
        <v>1057</v>
      </c>
      <c r="X705" t="s">
        <v>957</v>
      </c>
      <c r="Y705">
        <v>4.9999999999999902</v>
      </c>
      <c r="AB705">
        <v>1.4072847682119201</v>
      </c>
      <c r="AC705" t="s">
        <v>85</v>
      </c>
      <c r="AI705">
        <v>2</v>
      </c>
      <c r="AV705" t="s">
        <v>256</v>
      </c>
    </row>
    <row r="706" spans="1:48" x14ac:dyDescent="0.3">
      <c r="A706" t="s">
        <v>1547</v>
      </c>
      <c r="C706" t="s">
        <v>1495</v>
      </c>
      <c r="H706">
        <v>10</v>
      </c>
      <c r="I706" t="s">
        <v>82</v>
      </c>
      <c r="J706">
        <v>9.9999999999999991E-6</v>
      </c>
      <c r="K706" t="s">
        <v>252</v>
      </c>
      <c r="O706">
        <v>0.12</v>
      </c>
      <c r="P706" t="s">
        <v>59</v>
      </c>
      <c r="S706">
        <v>1</v>
      </c>
      <c r="T706">
        <v>10</v>
      </c>
      <c r="V706">
        <v>50</v>
      </c>
      <c r="W706" t="s">
        <v>1057</v>
      </c>
      <c r="X706" t="s">
        <v>957</v>
      </c>
      <c r="Y706">
        <v>30.1</v>
      </c>
      <c r="AB706">
        <v>4.4867549668873998</v>
      </c>
      <c r="AC706" t="s">
        <v>85</v>
      </c>
      <c r="AI706">
        <v>2</v>
      </c>
      <c r="AV706" t="s">
        <v>256</v>
      </c>
    </row>
    <row r="707" spans="1:48" x14ac:dyDescent="0.3">
      <c r="A707" t="s">
        <v>1547</v>
      </c>
      <c r="C707" t="s">
        <v>1495</v>
      </c>
      <c r="H707">
        <v>10</v>
      </c>
      <c r="I707" t="s">
        <v>82</v>
      </c>
      <c r="J707">
        <v>9.9999999999999991E-6</v>
      </c>
      <c r="K707" t="s">
        <v>252</v>
      </c>
      <c r="O707">
        <v>0.12</v>
      </c>
      <c r="P707" t="s">
        <v>59</v>
      </c>
      <c r="S707">
        <v>1</v>
      </c>
      <c r="T707">
        <v>10</v>
      </c>
      <c r="V707">
        <v>50</v>
      </c>
      <c r="W707" t="s">
        <v>1057</v>
      </c>
      <c r="X707" t="s">
        <v>957</v>
      </c>
      <c r="Y707">
        <v>60</v>
      </c>
      <c r="AB707">
        <v>4.5364238410595901</v>
      </c>
      <c r="AC707" t="s">
        <v>85</v>
      </c>
      <c r="AI707">
        <v>2</v>
      </c>
      <c r="AV707" t="s">
        <v>256</v>
      </c>
    </row>
    <row r="708" spans="1:48" x14ac:dyDescent="0.3">
      <c r="A708" t="s">
        <v>1547</v>
      </c>
      <c r="C708" t="s">
        <v>1495</v>
      </c>
      <c r="H708">
        <v>10</v>
      </c>
      <c r="I708" t="s">
        <v>82</v>
      </c>
      <c r="J708">
        <v>9.9999999999999991E-6</v>
      </c>
      <c r="K708" t="s">
        <v>252</v>
      </c>
      <c r="O708">
        <v>0.12</v>
      </c>
      <c r="P708" t="s">
        <v>59</v>
      </c>
      <c r="S708">
        <v>1</v>
      </c>
      <c r="T708">
        <v>15</v>
      </c>
      <c r="V708">
        <v>50</v>
      </c>
      <c r="W708" t="s">
        <v>1057</v>
      </c>
      <c r="X708" t="s">
        <v>957</v>
      </c>
      <c r="Y708">
        <v>5.20123839009287</v>
      </c>
      <c r="AB708">
        <v>6.5088757396449801E-2</v>
      </c>
      <c r="AC708" t="s">
        <v>85</v>
      </c>
      <c r="AI708">
        <v>2</v>
      </c>
      <c r="AV708" t="s">
        <v>256</v>
      </c>
    </row>
    <row r="709" spans="1:48" x14ac:dyDescent="0.3">
      <c r="A709" t="s">
        <v>1547</v>
      </c>
      <c r="C709" t="s">
        <v>1495</v>
      </c>
      <c r="H709">
        <v>10</v>
      </c>
      <c r="I709" t="s">
        <v>82</v>
      </c>
      <c r="J709">
        <v>9.9999999999999991E-6</v>
      </c>
      <c r="K709" t="s">
        <v>252</v>
      </c>
      <c r="O709">
        <v>0.12</v>
      </c>
      <c r="P709" t="s">
        <v>59</v>
      </c>
      <c r="S709">
        <v>1</v>
      </c>
      <c r="T709">
        <v>15</v>
      </c>
      <c r="V709">
        <v>50</v>
      </c>
      <c r="W709" t="s">
        <v>1057</v>
      </c>
      <c r="X709" t="s">
        <v>957</v>
      </c>
      <c r="Y709">
        <v>30.278637770897699</v>
      </c>
      <c r="AB709">
        <v>0.21153846153846101</v>
      </c>
      <c r="AC709" t="s">
        <v>85</v>
      </c>
      <c r="AI709">
        <v>2</v>
      </c>
      <c r="AV709" t="s">
        <v>256</v>
      </c>
    </row>
    <row r="710" spans="1:48" x14ac:dyDescent="0.3">
      <c r="A710" t="s">
        <v>1547</v>
      </c>
      <c r="C710" t="s">
        <v>1495</v>
      </c>
      <c r="H710">
        <v>10</v>
      </c>
      <c r="I710" t="s">
        <v>82</v>
      </c>
      <c r="J710">
        <v>9.9999999999999991E-6</v>
      </c>
      <c r="K710" t="s">
        <v>252</v>
      </c>
      <c r="O710">
        <v>0.12</v>
      </c>
      <c r="P710" t="s">
        <v>59</v>
      </c>
      <c r="S710">
        <v>1</v>
      </c>
      <c r="T710">
        <v>15</v>
      </c>
      <c r="V710">
        <v>50</v>
      </c>
      <c r="W710" t="s">
        <v>1057</v>
      </c>
      <c r="X710" t="s">
        <v>957</v>
      </c>
      <c r="Y710">
        <v>60.278637770897802</v>
      </c>
      <c r="AB710">
        <v>0.390532544378698</v>
      </c>
      <c r="AC710" t="s">
        <v>85</v>
      </c>
      <c r="AI710">
        <v>2</v>
      </c>
      <c r="AV710" t="s">
        <v>256</v>
      </c>
    </row>
    <row r="711" spans="1:48" x14ac:dyDescent="0.3">
      <c r="A711" t="s">
        <v>1547</v>
      </c>
      <c r="C711" t="s">
        <v>1495</v>
      </c>
      <c r="H711">
        <v>10</v>
      </c>
      <c r="I711" t="s">
        <v>82</v>
      </c>
      <c r="J711">
        <v>9.9999999999999991E-6</v>
      </c>
      <c r="K711" t="s">
        <v>252</v>
      </c>
      <c r="O711">
        <v>0.12</v>
      </c>
      <c r="P711" t="s">
        <v>59</v>
      </c>
      <c r="S711">
        <v>1</v>
      </c>
      <c r="T711">
        <v>15</v>
      </c>
      <c r="V711">
        <v>50</v>
      </c>
      <c r="W711" t="s">
        <v>1057</v>
      </c>
      <c r="X711" t="s">
        <v>957</v>
      </c>
      <c r="Y711">
        <v>5.20123839009287</v>
      </c>
      <c r="AB711">
        <v>0.47189349112425899</v>
      </c>
      <c r="AC711" t="s">
        <v>85</v>
      </c>
      <c r="AI711">
        <v>2</v>
      </c>
      <c r="AV711" t="s">
        <v>256</v>
      </c>
    </row>
    <row r="712" spans="1:48" x14ac:dyDescent="0.3">
      <c r="A712" t="s">
        <v>1547</v>
      </c>
      <c r="C712" t="s">
        <v>1495</v>
      </c>
      <c r="H712">
        <v>10</v>
      </c>
      <c r="I712" t="s">
        <v>82</v>
      </c>
      <c r="J712">
        <v>9.9999999999999991E-6</v>
      </c>
      <c r="K712" t="s">
        <v>252</v>
      </c>
      <c r="O712">
        <v>0.12</v>
      </c>
      <c r="P712" t="s">
        <v>59</v>
      </c>
      <c r="S712">
        <v>1</v>
      </c>
      <c r="T712">
        <v>15</v>
      </c>
      <c r="V712">
        <v>50</v>
      </c>
      <c r="W712" t="s">
        <v>1057</v>
      </c>
      <c r="X712" t="s">
        <v>957</v>
      </c>
      <c r="Y712">
        <v>30.3715170278637</v>
      </c>
      <c r="AB712">
        <v>1.61094674556213</v>
      </c>
      <c r="AC712" t="s">
        <v>85</v>
      </c>
      <c r="AI712">
        <v>2</v>
      </c>
      <c r="AV712" t="s">
        <v>256</v>
      </c>
    </row>
    <row r="713" spans="1:48" x14ac:dyDescent="0.3">
      <c r="A713" t="s">
        <v>1547</v>
      </c>
      <c r="C713" t="s">
        <v>1495</v>
      </c>
      <c r="H713">
        <v>10</v>
      </c>
      <c r="I713" t="s">
        <v>82</v>
      </c>
      <c r="J713">
        <v>9.9999999999999991E-6</v>
      </c>
      <c r="K713" t="s">
        <v>252</v>
      </c>
      <c r="O713">
        <v>0.12</v>
      </c>
      <c r="P713" t="s">
        <v>59</v>
      </c>
      <c r="S713">
        <v>1</v>
      </c>
      <c r="T713">
        <v>15</v>
      </c>
      <c r="V713">
        <v>50</v>
      </c>
      <c r="W713" t="s">
        <v>1057</v>
      </c>
      <c r="X713" t="s">
        <v>957</v>
      </c>
      <c r="Y713">
        <v>60.092879256965901</v>
      </c>
      <c r="AB713">
        <v>3.4985207100591702</v>
      </c>
      <c r="AC713" t="s">
        <v>85</v>
      </c>
      <c r="AI713">
        <v>2</v>
      </c>
      <c r="AV713" t="s">
        <v>256</v>
      </c>
    </row>
    <row r="714" spans="1:48" x14ac:dyDescent="0.3">
      <c r="A714" t="s">
        <v>1547</v>
      </c>
      <c r="C714" t="s">
        <v>1495</v>
      </c>
      <c r="H714">
        <v>10</v>
      </c>
      <c r="I714" t="s">
        <v>82</v>
      </c>
      <c r="J714">
        <v>9.9999999999999991E-6</v>
      </c>
      <c r="K714" t="s">
        <v>252</v>
      </c>
      <c r="O714">
        <v>0.12</v>
      </c>
      <c r="P714" t="s">
        <v>59</v>
      </c>
      <c r="S714">
        <v>1</v>
      </c>
      <c r="T714">
        <v>15</v>
      </c>
      <c r="V714">
        <v>50</v>
      </c>
      <c r="W714" t="s">
        <v>1057</v>
      </c>
      <c r="X714" t="s">
        <v>957</v>
      </c>
      <c r="Y714">
        <v>5.20123839009287</v>
      </c>
      <c r="AB714">
        <v>0.99260355029585801</v>
      </c>
      <c r="AC714" t="s">
        <v>85</v>
      </c>
      <c r="AI714">
        <v>2</v>
      </c>
      <c r="AV714" t="s">
        <v>256</v>
      </c>
    </row>
    <row r="715" spans="1:48" x14ac:dyDescent="0.3">
      <c r="A715" t="s">
        <v>1547</v>
      </c>
      <c r="C715" t="s">
        <v>1495</v>
      </c>
      <c r="H715">
        <v>10</v>
      </c>
      <c r="I715" t="s">
        <v>82</v>
      </c>
      <c r="J715">
        <v>9.9999999999999991E-6</v>
      </c>
      <c r="K715" t="s">
        <v>252</v>
      </c>
      <c r="O715">
        <v>0.12</v>
      </c>
      <c r="P715" t="s">
        <v>59</v>
      </c>
      <c r="S715">
        <v>1</v>
      </c>
      <c r="T715">
        <v>15</v>
      </c>
      <c r="V715">
        <v>50</v>
      </c>
      <c r="W715" t="s">
        <v>1057</v>
      </c>
      <c r="X715" t="s">
        <v>957</v>
      </c>
      <c r="Y715">
        <v>30.278637770897699</v>
      </c>
      <c r="AB715">
        <v>2.9940828402366702</v>
      </c>
      <c r="AC715" t="s">
        <v>85</v>
      </c>
      <c r="AI715">
        <v>2</v>
      </c>
      <c r="AV715" t="s">
        <v>256</v>
      </c>
    </row>
    <row r="716" spans="1:48" x14ac:dyDescent="0.3">
      <c r="A716" t="s">
        <v>1547</v>
      </c>
      <c r="C716" t="s">
        <v>1495</v>
      </c>
      <c r="H716">
        <v>10</v>
      </c>
      <c r="I716" t="s">
        <v>82</v>
      </c>
      <c r="J716">
        <v>9.9999999999999991E-6</v>
      </c>
      <c r="K716" t="s">
        <v>252</v>
      </c>
      <c r="O716">
        <v>0.12</v>
      </c>
      <c r="P716" t="s">
        <v>59</v>
      </c>
      <c r="S716">
        <v>1</v>
      </c>
      <c r="T716">
        <v>15</v>
      </c>
      <c r="V716">
        <v>50</v>
      </c>
      <c r="W716" t="s">
        <v>1057</v>
      </c>
      <c r="X716" t="s">
        <v>957</v>
      </c>
      <c r="Y716">
        <v>60.278637770897802</v>
      </c>
      <c r="AB716">
        <v>4.8165680473372703</v>
      </c>
      <c r="AC716" t="s">
        <v>85</v>
      </c>
      <c r="AI716">
        <v>2</v>
      </c>
      <c r="AV716" t="s">
        <v>256</v>
      </c>
    </row>
    <row r="717" spans="1:48" x14ac:dyDescent="0.3">
      <c r="A717" t="s">
        <v>1547</v>
      </c>
      <c r="C717" t="s">
        <v>1495</v>
      </c>
      <c r="H717">
        <v>10</v>
      </c>
      <c r="I717" t="s">
        <v>82</v>
      </c>
      <c r="J717">
        <v>9.9999999999999991E-6</v>
      </c>
      <c r="K717" t="s">
        <v>252</v>
      </c>
      <c r="O717">
        <v>0.12</v>
      </c>
      <c r="P717" t="s">
        <v>59</v>
      </c>
      <c r="S717">
        <v>1</v>
      </c>
      <c r="T717">
        <v>15</v>
      </c>
      <c r="V717">
        <v>50</v>
      </c>
      <c r="W717" t="s">
        <v>1057</v>
      </c>
      <c r="X717" t="s">
        <v>957</v>
      </c>
      <c r="Y717">
        <v>5.29411764705881</v>
      </c>
      <c r="AB717">
        <v>2.01775147928993</v>
      </c>
      <c r="AC717" t="s">
        <v>85</v>
      </c>
      <c r="AI717">
        <v>2</v>
      </c>
      <c r="AV717" t="s">
        <v>256</v>
      </c>
    </row>
    <row r="718" spans="1:48" x14ac:dyDescent="0.3">
      <c r="A718" t="s">
        <v>1547</v>
      </c>
      <c r="C718" t="s">
        <v>1495</v>
      </c>
      <c r="H718">
        <v>10</v>
      </c>
      <c r="I718" t="s">
        <v>82</v>
      </c>
      <c r="J718">
        <v>9.9999999999999991E-6</v>
      </c>
      <c r="K718" t="s">
        <v>252</v>
      </c>
      <c r="O718">
        <v>0.12</v>
      </c>
      <c r="P718" t="s">
        <v>59</v>
      </c>
      <c r="S718">
        <v>1</v>
      </c>
      <c r="T718">
        <v>15</v>
      </c>
      <c r="V718">
        <v>50</v>
      </c>
      <c r="W718" t="s">
        <v>1057</v>
      </c>
      <c r="X718" t="s">
        <v>957</v>
      </c>
      <c r="Y718">
        <v>30.4643962848297</v>
      </c>
      <c r="AB718">
        <v>4.70266272189349</v>
      </c>
      <c r="AC718" t="s">
        <v>85</v>
      </c>
      <c r="AI718">
        <v>2</v>
      </c>
      <c r="AV718" t="s">
        <v>256</v>
      </c>
    </row>
    <row r="719" spans="1:48" x14ac:dyDescent="0.3">
      <c r="A719" t="s">
        <v>1547</v>
      </c>
      <c r="C719" t="s">
        <v>1495</v>
      </c>
      <c r="H719">
        <v>10</v>
      </c>
      <c r="I719" t="s">
        <v>82</v>
      </c>
      <c r="J719">
        <v>9.9999999999999991E-6</v>
      </c>
      <c r="K719" t="s">
        <v>252</v>
      </c>
      <c r="O719">
        <v>0.12</v>
      </c>
      <c r="P719" t="s">
        <v>59</v>
      </c>
      <c r="S719">
        <v>1</v>
      </c>
      <c r="T719">
        <v>15</v>
      </c>
      <c r="V719">
        <v>50</v>
      </c>
      <c r="W719" t="s">
        <v>1057</v>
      </c>
      <c r="X719" t="s">
        <v>957</v>
      </c>
      <c r="Y719">
        <v>60.185758513931802</v>
      </c>
      <c r="AB719">
        <v>4.8002958579881501</v>
      </c>
      <c r="AC719" t="s">
        <v>85</v>
      </c>
      <c r="AI719">
        <v>2</v>
      </c>
      <c r="AV719" t="s">
        <v>256</v>
      </c>
    </row>
    <row r="720" spans="1:48" x14ac:dyDescent="0.3">
      <c r="A720" t="s">
        <v>1547</v>
      </c>
      <c r="B720" t="s">
        <v>1548</v>
      </c>
      <c r="C720" t="s">
        <v>1495</v>
      </c>
      <c r="H720">
        <v>10</v>
      </c>
      <c r="I720" t="s">
        <v>82</v>
      </c>
      <c r="J720">
        <v>9.9999999999999991E-6</v>
      </c>
      <c r="K720" t="s">
        <v>252</v>
      </c>
      <c r="O720">
        <v>0.12</v>
      </c>
      <c r="P720" t="s">
        <v>59</v>
      </c>
      <c r="S720">
        <v>1</v>
      </c>
      <c r="T720">
        <v>10</v>
      </c>
      <c r="V720">
        <v>50</v>
      </c>
      <c r="W720" t="s">
        <v>1549</v>
      </c>
      <c r="X720" t="s">
        <v>957</v>
      </c>
      <c r="Y720">
        <v>4.9343760315996601</v>
      </c>
      <c r="AB720">
        <v>1.8087855297156698E-2</v>
      </c>
      <c r="AC720" t="s">
        <v>85</v>
      </c>
      <c r="AI720">
        <v>2</v>
      </c>
      <c r="AV720" t="s">
        <v>256</v>
      </c>
    </row>
    <row r="721" spans="1:48" x14ac:dyDescent="0.3">
      <c r="A721" t="s">
        <v>1547</v>
      </c>
      <c r="B721" t="s">
        <v>1548</v>
      </c>
      <c r="C721" t="s">
        <v>1495</v>
      </c>
      <c r="H721">
        <v>10</v>
      </c>
      <c r="I721" t="s">
        <v>82</v>
      </c>
      <c r="J721">
        <v>9.9999999999999991E-6</v>
      </c>
      <c r="K721" t="s">
        <v>252</v>
      </c>
      <c r="O721">
        <v>0.12</v>
      </c>
      <c r="P721" t="s">
        <v>59</v>
      </c>
      <c r="S721">
        <v>1</v>
      </c>
      <c r="T721">
        <v>10</v>
      </c>
      <c r="V721">
        <v>50</v>
      </c>
      <c r="W721" t="s">
        <v>1549</v>
      </c>
      <c r="X721" t="s">
        <v>957</v>
      </c>
      <c r="Y721">
        <v>30.045646507074601</v>
      </c>
      <c r="AB721">
        <v>0.108527131782945</v>
      </c>
      <c r="AC721" t="s">
        <v>85</v>
      </c>
      <c r="AI721">
        <v>2</v>
      </c>
      <c r="AV721" t="s">
        <v>256</v>
      </c>
    </row>
    <row r="722" spans="1:48" x14ac:dyDescent="0.3">
      <c r="A722" t="s">
        <v>1547</v>
      </c>
      <c r="B722" t="s">
        <v>1548</v>
      </c>
      <c r="C722" t="s">
        <v>1495</v>
      </c>
      <c r="H722">
        <v>10</v>
      </c>
      <c r="I722" t="s">
        <v>82</v>
      </c>
      <c r="J722">
        <v>9.9999999999999991E-6</v>
      </c>
      <c r="K722" t="s">
        <v>252</v>
      </c>
      <c r="O722">
        <v>0.12</v>
      </c>
      <c r="P722" t="s">
        <v>59</v>
      </c>
      <c r="S722">
        <v>1</v>
      </c>
      <c r="T722">
        <v>10</v>
      </c>
      <c r="V722">
        <v>50</v>
      </c>
      <c r="W722" t="s">
        <v>1549</v>
      </c>
      <c r="X722" t="s">
        <v>957</v>
      </c>
      <c r="Y722">
        <v>60.002959623899997</v>
      </c>
      <c r="AB722">
        <v>0.21705426356589</v>
      </c>
      <c r="AC722" t="s">
        <v>85</v>
      </c>
      <c r="AI722">
        <v>2</v>
      </c>
      <c r="AV722" t="s">
        <v>256</v>
      </c>
    </row>
    <row r="723" spans="1:48" x14ac:dyDescent="0.3">
      <c r="A723" t="s">
        <v>1547</v>
      </c>
      <c r="B723" t="s">
        <v>1548</v>
      </c>
      <c r="C723" t="s">
        <v>1495</v>
      </c>
      <c r="H723">
        <v>10</v>
      </c>
      <c r="I723" t="s">
        <v>82</v>
      </c>
      <c r="J723">
        <v>9.9999999999999991E-6</v>
      </c>
      <c r="K723" t="s">
        <v>252</v>
      </c>
      <c r="O723">
        <v>0.12</v>
      </c>
      <c r="P723" t="s">
        <v>59</v>
      </c>
      <c r="S723">
        <v>1</v>
      </c>
      <c r="T723">
        <v>10</v>
      </c>
      <c r="V723">
        <v>50</v>
      </c>
      <c r="W723" t="s">
        <v>1549</v>
      </c>
      <c r="X723" t="s">
        <v>957</v>
      </c>
      <c r="Y723">
        <v>5.0254413823720201</v>
      </c>
      <c r="AB723">
        <v>0.25322997416020498</v>
      </c>
      <c r="AC723" t="s">
        <v>85</v>
      </c>
      <c r="AI723">
        <v>2</v>
      </c>
      <c r="AV723" t="s">
        <v>256</v>
      </c>
    </row>
    <row r="724" spans="1:48" x14ac:dyDescent="0.3">
      <c r="A724" t="s">
        <v>1547</v>
      </c>
      <c r="B724" t="s">
        <v>1548</v>
      </c>
      <c r="C724" t="s">
        <v>1495</v>
      </c>
      <c r="H724">
        <v>10</v>
      </c>
      <c r="I724" t="s">
        <v>82</v>
      </c>
      <c r="J724">
        <v>9.9999999999999991E-6</v>
      </c>
      <c r="K724" t="s">
        <v>252</v>
      </c>
      <c r="O724">
        <v>0.12</v>
      </c>
      <c r="P724" t="s">
        <v>59</v>
      </c>
      <c r="S724">
        <v>1</v>
      </c>
      <c r="T724">
        <v>10</v>
      </c>
      <c r="V724">
        <v>50</v>
      </c>
      <c r="W724" t="s">
        <v>1549</v>
      </c>
      <c r="X724" t="s">
        <v>957</v>
      </c>
      <c r="Y724">
        <v>30.057485002675001</v>
      </c>
      <c r="AB724">
        <v>1.0490956072351401</v>
      </c>
      <c r="AC724" t="s">
        <v>85</v>
      </c>
      <c r="AI724">
        <v>2</v>
      </c>
      <c r="AV724" t="s">
        <v>256</v>
      </c>
    </row>
    <row r="725" spans="1:48" x14ac:dyDescent="0.3">
      <c r="A725" t="s">
        <v>1547</v>
      </c>
      <c r="B725" t="s">
        <v>1548</v>
      </c>
      <c r="C725" t="s">
        <v>1495</v>
      </c>
      <c r="H725">
        <v>10</v>
      </c>
      <c r="I725" t="s">
        <v>82</v>
      </c>
      <c r="J725">
        <v>9.9999999999999991E-6</v>
      </c>
      <c r="K725" t="s">
        <v>252</v>
      </c>
      <c r="O725">
        <v>0.12</v>
      </c>
      <c r="P725" t="s">
        <v>59</v>
      </c>
      <c r="S725">
        <v>1</v>
      </c>
      <c r="T725">
        <v>10</v>
      </c>
      <c r="V725">
        <v>50</v>
      </c>
      <c r="W725" t="s">
        <v>1549</v>
      </c>
      <c r="X725" t="s">
        <v>957</v>
      </c>
      <c r="Y725">
        <v>59.928969026397503</v>
      </c>
      <c r="AB725">
        <v>1.33850129198965</v>
      </c>
      <c r="AC725" t="s">
        <v>85</v>
      </c>
      <c r="AI725">
        <v>2</v>
      </c>
      <c r="AV725" t="s">
        <v>256</v>
      </c>
    </row>
    <row r="726" spans="1:48" x14ac:dyDescent="0.3">
      <c r="A726" t="s">
        <v>1547</v>
      </c>
      <c r="B726" t="s">
        <v>1548</v>
      </c>
      <c r="C726" t="s">
        <v>1495</v>
      </c>
      <c r="H726">
        <v>10</v>
      </c>
      <c r="I726" t="s">
        <v>82</v>
      </c>
      <c r="J726">
        <v>9.9999999999999991E-6</v>
      </c>
      <c r="K726" t="s">
        <v>252</v>
      </c>
      <c r="O726">
        <v>0.12</v>
      </c>
      <c r="P726" t="s">
        <v>59</v>
      </c>
      <c r="S726">
        <v>1</v>
      </c>
      <c r="T726">
        <v>10</v>
      </c>
      <c r="V726">
        <v>50</v>
      </c>
      <c r="W726" t="s">
        <v>1549</v>
      </c>
      <c r="X726" t="s">
        <v>957</v>
      </c>
      <c r="Y726">
        <v>4.94029527939988</v>
      </c>
      <c r="AB726">
        <v>0.48837209302325402</v>
      </c>
      <c r="AC726" t="s">
        <v>85</v>
      </c>
      <c r="AI726">
        <v>2</v>
      </c>
      <c r="AV726" t="s">
        <v>256</v>
      </c>
    </row>
    <row r="727" spans="1:48" x14ac:dyDescent="0.3">
      <c r="A727" t="s">
        <v>1547</v>
      </c>
      <c r="B727" t="s">
        <v>1548</v>
      </c>
      <c r="C727" t="s">
        <v>1495</v>
      </c>
      <c r="H727">
        <v>10</v>
      </c>
      <c r="I727" t="s">
        <v>82</v>
      </c>
      <c r="J727">
        <v>9.9999999999999991E-6</v>
      </c>
      <c r="K727" t="s">
        <v>252</v>
      </c>
      <c r="O727">
        <v>0.12</v>
      </c>
      <c r="P727" t="s">
        <v>59</v>
      </c>
      <c r="S727">
        <v>1</v>
      </c>
      <c r="T727">
        <v>10</v>
      </c>
      <c r="V727">
        <v>50</v>
      </c>
      <c r="W727" t="s">
        <v>1549</v>
      </c>
      <c r="X727" t="s">
        <v>957</v>
      </c>
      <c r="Y727">
        <v>30.064314903982901</v>
      </c>
      <c r="AB727">
        <v>1.5917312661498599</v>
      </c>
      <c r="AC727" t="s">
        <v>85</v>
      </c>
      <c r="AI727">
        <v>2</v>
      </c>
      <c r="AV727" t="s">
        <v>256</v>
      </c>
    </row>
    <row r="728" spans="1:48" x14ac:dyDescent="0.3">
      <c r="A728" t="s">
        <v>1547</v>
      </c>
      <c r="B728" t="s">
        <v>1548</v>
      </c>
      <c r="C728" t="s">
        <v>1495</v>
      </c>
      <c r="H728">
        <v>10</v>
      </c>
      <c r="I728" t="s">
        <v>82</v>
      </c>
      <c r="J728">
        <v>9.9999999999999991E-6</v>
      </c>
      <c r="K728" t="s">
        <v>252</v>
      </c>
      <c r="O728">
        <v>0.12</v>
      </c>
      <c r="P728" t="s">
        <v>59</v>
      </c>
      <c r="S728">
        <v>1</v>
      </c>
      <c r="T728">
        <v>10</v>
      </c>
      <c r="V728">
        <v>50</v>
      </c>
      <c r="W728" t="s">
        <v>1549</v>
      </c>
      <c r="X728" t="s">
        <v>957</v>
      </c>
      <c r="Y728">
        <v>60.114514678596201</v>
      </c>
      <c r="AB728">
        <v>2.0801033591731102</v>
      </c>
      <c r="AC728" t="s">
        <v>85</v>
      </c>
      <c r="AI728">
        <v>2</v>
      </c>
      <c r="AV728" t="s">
        <v>256</v>
      </c>
    </row>
    <row r="729" spans="1:48" x14ac:dyDescent="0.3">
      <c r="A729" t="s">
        <v>1547</v>
      </c>
      <c r="B729" t="s">
        <v>1548</v>
      </c>
      <c r="C729" t="s">
        <v>1495</v>
      </c>
      <c r="H729">
        <v>10</v>
      </c>
      <c r="I729" t="s">
        <v>82</v>
      </c>
      <c r="J729">
        <v>9.9999999999999991E-6</v>
      </c>
      <c r="K729" t="s">
        <v>252</v>
      </c>
      <c r="O729">
        <v>0.12</v>
      </c>
      <c r="P729" t="s">
        <v>59</v>
      </c>
      <c r="S729">
        <v>1</v>
      </c>
      <c r="T729">
        <v>10</v>
      </c>
      <c r="V729">
        <v>50</v>
      </c>
      <c r="W729" t="s">
        <v>1549</v>
      </c>
      <c r="X729" t="s">
        <v>957</v>
      </c>
      <c r="Y729">
        <v>4.9478081708385799</v>
      </c>
      <c r="AB729">
        <v>1.08527131782945</v>
      </c>
      <c r="AC729" t="s">
        <v>85</v>
      </c>
      <c r="AI729">
        <v>2</v>
      </c>
      <c r="AV729" t="s">
        <v>256</v>
      </c>
    </row>
    <row r="730" spans="1:48" x14ac:dyDescent="0.3">
      <c r="A730" t="s">
        <v>1547</v>
      </c>
      <c r="B730" t="s">
        <v>1548</v>
      </c>
      <c r="C730" t="s">
        <v>1495</v>
      </c>
      <c r="H730">
        <v>10</v>
      </c>
      <c r="I730" t="s">
        <v>82</v>
      </c>
      <c r="J730">
        <v>9.9999999999999991E-6</v>
      </c>
      <c r="K730" t="s">
        <v>252</v>
      </c>
      <c r="O730">
        <v>0.12</v>
      </c>
      <c r="P730" t="s">
        <v>59</v>
      </c>
      <c r="S730">
        <v>1</v>
      </c>
      <c r="T730">
        <v>10</v>
      </c>
      <c r="V730">
        <v>50</v>
      </c>
      <c r="W730" t="s">
        <v>1549</v>
      </c>
      <c r="X730" t="s">
        <v>957</v>
      </c>
      <c r="Y730">
        <v>29.910642124554499</v>
      </c>
      <c r="AB730">
        <v>3.3824289405684702</v>
      </c>
      <c r="AC730" t="s">
        <v>85</v>
      </c>
      <c r="AI730">
        <v>2</v>
      </c>
      <c r="AV730" t="s">
        <v>256</v>
      </c>
    </row>
    <row r="731" spans="1:48" x14ac:dyDescent="0.3">
      <c r="A731" t="s">
        <v>1547</v>
      </c>
      <c r="B731" t="s">
        <v>1548</v>
      </c>
      <c r="C731" t="s">
        <v>1495</v>
      </c>
      <c r="H731">
        <v>10</v>
      </c>
      <c r="I731" t="s">
        <v>82</v>
      </c>
      <c r="J731">
        <v>9.9999999999999991E-6</v>
      </c>
      <c r="K731" t="s">
        <v>252</v>
      </c>
      <c r="O731">
        <v>0.12</v>
      </c>
      <c r="P731" t="s">
        <v>59</v>
      </c>
      <c r="S731">
        <v>1</v>
      </c>
      <c r="T731">
        <v>10</v>
      </c>
      <c r="V731">
        <v>50</v>
      </c>
      <c r="W731" t="s">
        <v>1549</v>
      </c>
      <c r="X731" t="s">
        <v>957</v>
      </c>
      <c r="Y731">
        <v>60.147298204874097</v>
      </c>
      <c r="AB731">
        <v>4.6847545219638098</v>
      </c>
      <c r="AC731" t="s">
        <v>85</v>
      </c>
      <c r="AI731">
        <v>2</v>
      </c>
      <c r="AV731" t="s">
        <v>256</v>
      </c>
    </row>
    <row r="732" spans="1:48" x14ac:dyDescent="0.3">
      <c r="A732" t="s">
        <v>1547</v>
      </c>
      <c r="B732" t="s">
        <v>1548</v>
      </c>
      <c r="C732" t="s">
        <v>1495</v>
      </c>
      <c r="H732">
        <v>10</v>
      </c>
      <c r="I732" t="s">
        <v>82</v>
      </c>
      <c r="J732">
        <v>9.9999999999999991E-6</v>
      </c>
      <c r="K732" t="s">
        <v>252</v>
      </c>
      <c r="O732">
        <v>0.12</v>
      </c>
      <c r="P732" t="s">
        <v>59</v>
      </c>
      <c r="S732">
        <v>1</v>
      </c>
      <c r="T732">
        <v>15</v>
      </c>
      <c r="V732">
        <v>50</v>
      </c>
      <c r="W732" t="s">
        <v>1549</v>
      </c>
      <c r="X732" t="s">
        <v>957</v>
      </c>
      <c r="Y732">
        <v>5.0526315789473601</v>
      </c>
      <c r="AB732">
        <v>1.4736842105263701E-2</v>
      </c>
      <c r="AC732" t="s">
        <v>85</v>
      </c>
      <c r="AI732">
        <v>2</v>
      </c>
      <c r="AV732" t="s">
        <v>256</v>
      </c>
    </row>
    <row r="733" spans="1:48" x14ac:dyDescent="0.3">
      <c r="A733" t="s">
        <v>1547</v>
      </c>
      <c r="B733" t="s">
        <v>1548</v>
      </c>
      <c r="C733" t="s">
        <v>1495</v>
      </c>
      <c r="H733">
        <v>10</v>
      </c>
      <c r="I733" t="s">
        <v>82</v>
      </c>
      <c r="J733">
        <v>9.9999999999999991E-6</v>
      </c>
      <c r="K733" t="s">
        <v>252</v>
      </c>
      <c r="O733">
        <v>0.12</v>
      </c>
      <c r="P733" t="s">
        <v>59</v>
      </c>
      <c r="S733">
        <v>1</v>
      </c>
      <c r="T733">
        <v>15</v>
      </c>
      <c r="V733">
        <v>50</v>
      </c>
      <c r="W733" t="s">
        <v>1549</v>
      </c>
      <c r="X733" t="s">
        <v>957</v>
      </c>
      <c r="Y733">
        <v>30.1353383458646</v>
      </c>
      <c r="AB733">
        <v>0.201113127646703</v>
      </c>
      <c r="AC733" t="s">
        <v>85</v>
      </c>
      <c r="AI733">
        <v>2</v>
      </c>
      <c r="AV733" t="s">
        <v>256</v>
      </c>
    </row>
    <row r="734" spans="1:48" x14ac:dyDescent="0.3">
      <c r="A734" t="s">
        <v>1547</v>
      </c>
      <c r="B734" t="s">
        <v>1548</v>
      </c>
      <c r="C734" t="s">
        <v>1495</v>
      </c>
      <c r="H734">
        <v>10</v>
      </c>
      <c r="I734" t="s">
        <v>82</v>
      </c>
      <c r="J734">
        <v>9.9999999999999991E-6</v>
      </c>
      <c r="K734" t="s">
        <v>252</v>
      </c>
      <c r="O734">
        <v>0.12</v>
      </c>
      <c r="P734" t="s">
        <v>59</v>
      </c>
      <c r="S734">
        <v>1</v>
      </c>
      <c r="T734">
        <v>15</v>
      </c>
      <c r="V734">
        <v>50</v>
      </c>
      <c r="W734" t="s">
        <v>1549</v>
      </c>
      <c r="X734" t="s">
        <v>957</v>
      </c>
      <c r="Y734">
        <v>60.090225563909598</v>
      </c>
      <c r="AB734">
        <v>0.160895341802783</v>
      </c>
      <c r="AC734" t="s">
        <v>85</v>
      </c>
      <c r="AI734">
        <v>2</v>
      </c>
      <c r="AV734" t="s">
        <v>256</v>
      </c>
    </row>
    <row r="735" spans="1:48" x14ac:dyDescent="0.3">
      <c r="A735" t="s">
        <v>1547</v>
      </c>
      <c r="B735" t="s">
        <v>1548</v>
      </c>
      <c r="C735" t="s">
        <v>1495</v>
      </c>
      <c r="H735">
        <v>10</v>
      </c>
      <c r="I735" t="s">
        <v>82</v>
      </c>
      <c r="J735">
        <v>9.9999999999999991E-6</v>
      </c>
      <c r="K735" t="s">
        <v>252</v>
      </c>
      <c r="O735">
        <v>0.12</v>
      </c>
      <c r="P735" t="s">
        <v>59</v>
      </c>
      <c r="S735">
        <v>1</v>
      </c>
      <c r="T735">
        <v>15</v>
      </c>
      <c r="V735">
        <v>50</v>
      </c>
      <c r="W735" t="s">
        <v>1549</v>
      </c>
      <c r="X735" t="s">
        <v>957</v>
      </c>
      <c r="Y735">
        <v>4.9624060150375904</v>
      </c>
      <c r="AB735">
        <v>0.27223230490018202</v>
      </c>
      <c r="AC735" t="s">
        <v>85</v>
      </c>
      <c r="AI735">
        <v>2</v>
      </c>
      <c r="AV735" t="s">
        <v>256</v>
      </c>
    </row>
    <row r="736" spans="1:48" x14ac:dyDescent="0.3">
      <c r="A736" t="s">
        <v>1547</v>
      </c>
      <c r="B736" t="s">
        <v>1548</v>
      </c>
      <c r="C736" t="s">
        <v>1495</v>
      </c>
      <c r="H736">
        <v>10</v>
      </c>
      <c r="I736" t="s">
        <v>82</v>
      </c>
      <c r="J736">
        <v>9.9999999999999991E-6</v>
      </c>
      <c r="K736" t="s">
        <v>252</v>
      </c>
      <c r="O736">
        <v>0.12</v>
      </c>
      <c r="P736" t="s">
        <v>59</v>
      </c>
      <c r="S736">
        <v>1</v>
      </c>
      <c r="T736">
        <v>15</v>
      </c>
      <c r="V736">
        <v>50</v>
      </c>
      <c r="W736" t="s">
        <v>1549</v>
      </c>
      <c r="X736" t="s">
        <v>957</v>
      </c>
      <c r="Y736">
        <v>29.8646616541353</v>
      </c>
      <c r="AB736">
        <v>0.98969147005444702</v>
      </c>
      <c r="AC736" t="s">
        <v>85</v>
      </c>
      <c r="AI736">
        <v>2</v>
      </c>
      <c r="AV736" t="s">
        <v>256</v>
      </c>
    </row>
    <row r="737" spans="1:48" x14ac:dyDescent="0.3">
      <c r="A737" t="s">
        <v>1547</v>
      </c>
      <c r="B737" t="s">
        <v>1548</v>
      </c>
      <c r="C737" t="s">
        <v>1495</v>
      </c>
      <c r="H737">
        <v>10</v>
      </c>
      <c r="I737" t="s">
        <v>82</v>
      </c>
      <c r="J737">
        <v>9.9999999999999991E-6</v>
      </c>
      <c r="K737" t="s">
        <v>252</v>
      </c>
      <c r="O737">
        <v>0.12</v>
      </c>
      <c r="P737" t="s">
        <v>59</v>
      </c>
      <c r="S737">
        <v>1</v>
      </c>
      <c r="T737">
        <v>15</v>
      </c>
      <c r="V737">
        <v>50</v>
      </c>
      <c r="W737" t="s">
        <v>1549</v>
      </c>
      <c r="X737" t="s">
        <v>957</v>
      </c>
      <c r="Y737">
        <v>60.090225563909598</v>
      </c>
      <c r="AB737">
        <v>1.1425045372050699</v>
      </c>
      <c r="AC737" t="s">
        <v>85</v>
      </c>
      <c r="AI737">
        <v>2</v>
      </c>
      <c r="AV737" t="s">
        <v>256</v>
      </c>
    </row>
    <row r="738" spans="1:48" x14ac:dyDescent="0.3">
      <c r="A738" t="s">
        <v>1547</v>
      </c>
      <c r="B738" t="s">
        <v>1548</v>
      </c>
      <c r="C738" t="s">
        <v>1495</v>
      </c>
      <c r="H738">
        <v>10</v>
      </c>
      <c r="I738" t="s">
        <v>82</v>
      </c>
      <c r="J738">
        <v>9.9999999999999991E-6</v>
      </c>
      <c r="K738" t="s">
        <v>252</v>
      </c>
      <c r="O738">
        <v>0.12</v>
      </c>
      <c r="P738" t="s">
        <v>59</v>
      </c>
      <c r="S738">
        <v>1</v>
      </c>
      <c r="T738">
        <v>15</v>
      </c>
      <c r="V738">
        <v>50</v>
      </c>
      <c r="W738" t="s">
        <v>1549</v>
      </c>
      <c r="X738" t="s">
        <v>957</v>
      </c>
      <c r="Y738">
        <v>4.9624060150375904</v>
      </c>
      <c r="AB738">
        <v>0.83545069570477903</v>
      </c>
      <c r="AC738" t="s">
        <v>85</v>
      </c>
      <c r="AI738">
        <v>2</v>
      </c>
      <c r="AV738" t="s">
        <v>256</v>
      </c>
    </row>
    <row r="739" spans="1:48" x14ac:dyDescent="0.3">
      <c r="A739" t="s">
        <v>1547</v>
      </c>
      <c r="B739" t="s">
        <v>1548</v>
      </c>
      <c r="C739" t="s">
        <v>1495</v>
      </c>
      <c r="H739">
        <v>10</v>
      </c>
      <c r="I739" t="s">
        <v>82</v>
      </c>
      <c r="J739">
        <v>9.9999999999999991E-6</v>
      </c>
      <c r="K739" t="s">
        <v>252</v>
      </c>
      <c r="O739">
        <v>0.12</v>
      </c>
      <c r="P739" t="s">
        <v>59</v>
      </c>
      <c r="S739">
        <v>1</v>
      </c>
      <c r="T739">
        <v>15</v>
      </c>
      <c r="V739">
        <v>50</v>
      </c>
      <c r="W739" t="s">
        <v>1549</v>
      </c>
      <c r="X739" t="s">
        <v>957</v>
      </c>
      <c r="Y739">
        <v>30.0451127819547</v>
      </c>
      <c r="AB739">
        <v>2.35745916515426</v>
      </c>
      <c r="AC739" t="s">
        <v>85</v>
      </c>
      <c r="AI739">
        <v>2</v>
      </c>
      <c r="AV739" t="s">
        <v>256</v>
      </c>
    </row>
    <row r="740" spans="1:48" x14ac:dyDescent="0.3">
      <c r="A740" t="s">
        <v>1547</v>
      </c>
      <c r="B740" t="s">
        <v>1548</v>
      </c>
      <c r="C740" t="s">
        <v>1495</v>
      </c>
      <c r="H740">
        <v>10</v>
      </c>
      <c r="I740" t="s">
        <v>82</v>
      </c>
      <c r="J740">
        <v>9.9999999999999991E-6</v>
      </c>
      <c r="K740" t="s">
        <v>252</v>
      </c>
      <c r="O740">
        <v>0.12</v>
      </c>
      <c r="P740" t="s">
        <v>59</v>
      </c>
      <c r="S740">
        <v>1</v>
      </c>
      <c r="T740">
        <v>15</v>
      </c>
      <c r="V740">
        <v>50</v>
      </c>
      <c r="W740" t="s">
        <v>1549</v>
      </c>
      <c r="X740" t="s">
        <v>957</v>
      </c>
      <c r="Y740">
        <v>60.090225563909598</v>
      </c>
      <c r="AB740">
        <v>4.65055051421656</v>
      </c>
      <c r="AC740" t="s">
        <v>85</v>
      </c>
      <c r="AI740">
        <v>2</v>
      </c>
      <c r="AV740" t="s">
        <v>256</v>
      </c>
    </row>
    <row r="741" spans="1:48" x14ac:dyDescent="0.3">
      <c r="A741" t="s">
        <v>1547</v>
      </c>
      <c r="B741" t="s">
        <v>1548</v>
      </c>
      <c r="C741" t="s">
        <v>1495</v>
      </c>
      <c r="H741">
        <v>10</v>
      </c>
      <c r="I741" t="s">
        <v>82</v>
      </c>
      <c r="J741">
        <v>9.9999999999999991E-6</v>
      </c>
      <c r="K741" t="s">
        <v>252</v>
      </c>
      <c r="O741">
        <v>0.12</v>
      </c>
      <c r="P741" t="s">
        <v>59</v>
      </c>
      <c r="S741">
        <v>1</v>
      </c>
      <c r="T741">
        <v>15</v>
      </c>
      <c r="V741">
        <v>50</v>
      </c>
      <c r="W741" t="s">
        <v>1549</v>
      </c>
      <c r="X741" t="s">
        <v>957</v>
      </c>
      <c r="Y741">
        <v>4.9624060150375904</v>
      </c>
      <c r="AB741">
        <v>1.94579552329098</v>
      </c>
      <c r="AC741" t="s">
        <v>85</v>
      </c>
      <c r="AI741">
        <v>2</v>
      </c>
      <c r="AV741" t="s">
        <v>256</v>
      </c>
    </row>
    <row r="742" spans="1:48" x14ac:dyDescent="0.3">
      <c r="A742" t="s">
        <v>1547</v>
      </c>
      <c r="B742" t="s">
        <v>1548</v>
      </c>
      <c r="C742" t="s">
        <v>1495</v>
      </c>
      <c r="H742">
        <v>10</v>
      </c>
      <c r="I742" t="s">
        <v>82</v>
      </c>
      <c r="J742">
        <v>9.9999999999999991E-6</v>
      </c>
      <c r="K742" t="s">
        <v>252</v>
      </c>
      <c r="O742">
        <v>0.12</v>
      </c>
      <c r="P742" t="s">
        <v>59</v>
      </c>
      <c r="S742">
        <v>1</v>
      </c>
      <c r="T742">
        <v>15</v>
      </c>
      <c r="V742">
        <v>50</v>
      </c>
      <c r="W742" t="s">
        <v>1549</v>
      </c>
      <c r="X742" t="s">
        <v>957</v>
      </c>
      <c r="Y742">
        <v>29.954887218045101</v>
      </c>
      <c r="AB742">
        <v>5.0126557773744702</v>
      </c>
      <c r="AC742" t="s">
        <v>85</v>
      </c>
      <c r="AI742">
        <v>2</v>
      </c>
      <c r="AV742" t="s">
        <v>256</v>
      </c>
    </row>
    <row r="743" spans="1:48" x14ac:dyDescent="0.3">
      <c r="A743" t="s">
        <v>1547</v>
      </c>
      <c r="B743" t="s">
        <v>1548</v>
      </c>
      <c r="C743" t="s">
        <v>1495</v>
      </c>
      <c r="H743">
        <v>10</v>
      </c>
      <c r="I743" t="s">
        <v>82</v>
      </c>
      <c r="J743">
        <v>9.9999999999999991E-6</v>
      </c>
      <c r="K743" t="s">
        <v>252</v>
      </c>
      <c r="O743">
        <v>0.12</v>
      </c>
      <c r="P743" t="s">
        <v>59</v>
      </c>
      <c r="S743">
        <v>1</v>
      </c>
      <c r="T743">
        <v>15</v>
      </c>
      <c r="V743">
        <v>50</v>
      </c>
      <c r="W743" t="s">
        <v>1549</v>
      </c>
      <c r="X743" t="s">
        <v>957</v>
      </c>
      <c r="Y743">
        <v>59.909774436090203</v>
      </c>
      <c r="AB743">
        <v>5.4230127041742202</v>
      </c>
      <c r="AC743" t="s">
        <v>85</v>
      </c>
      <c r="AI743">
        <v>2</v>
      </c>
      <c r="AV743" t="s">
        <v>256</v>
      </c>
    </row>
    <row r="744" spans="1:48" x14ac:dyDescent="0.3">
      <c r="A744" t="s">
        <v>195</v>
      </c>
      <c r="C744" t="s">
        <v>1495</v>
      </c>
      <c r="D744" t="s">
        <v>81</v>
      </c>
      <c r="E744">
        <v>100000000</v>
      </c>
      <c r="O744">
        <v>4.7999999999999996E-3</v>
      </c>
      <c r="P744" t="s">
        <v>59</v>
      </c>
      <c r="T744">
        <v>20</v>
      </c>
      <c r="V744">
        <v>50</v>
      </c>
      <c r="W744" t="s">
        <v>1057</v>
      </c>
      <c r="X744" t="s">
        <v>199</v>
      </c>
      <c r="Y744">
        <v>10</v>
      </c>
      <c r="AB744">
        <v>0.232042094713104</v>
      </c>
      <c r="AC744" t="s">
        <v>85</v>
      </c>
      <c r="AE744" t="s">
        <v>200</v>
      </c>
      <c r="AI744">
        <v>4</v>
      </c>
      <c r="AJ744" t="s">
        <v>201</v>
      </c>
    </row>
    <row r="745" spans="1:48" x14ac:dyDescent="0.3">
      <c r="A745" t="s">
        <v>195</v>
      </c>
      <c r="C745" t="s">
        <v>1495</v>
      </c>
      <c r="D745" t="s">
        <v>81</v>
      </c>
      <c r="E745">
        <v>100000000</v>
      </c>
      <c r="O745">
        <v>9.5999999999999992E-3</v>
      </c>
      <c r="P745" t="s">
        <v>59</v>
      </c>
      <c r="T745">
        <v>20</v>
      </c>
      <c r="V745">
        <v>50</v>
      </c>
      <c r="W745" t="s">
        <v>1057</v>
      </c>
      <c r="X745" t="s">
        <v>199</v>
      </c>
      <c r="Y745">
        <v>10</v>
      </c>
      <c r="AB745">
        <v>0.33347030819343698</v>
      </c>
      <c r="AC745" t="s">
        <v>85</v>
      </c>
      <c r="AE745" t="s">
        <v>200</v>
      </c>
      <c r="AI745">
        <v>4</v>
      </c>
      <c r="AJ745" t="s">
        <v>201</v>
      </c>
    </row>
    <row r="746" spans="1:48" x14ac:dyDescent="0.3">
      <c r="A746" t="s">
        <v>195</v>
      </c>
      <c r="C746" t="s">
        <v>1495</v>
      </c>
      <c r="D746" t="s">
        <v>81</v>
      </c>
      <c r="E746">
        <v>100000000</v>
      </c>
      <c r="O746">
        <v>0.02</v>
      </c>
      <c r="P746" t="s">
        <v>59</v>
      </c>
      <c r="T746">
        <v>20</v>
      </c>
      <c r="V746">
        <v>50</v>
      </c>
      <c r="W746" t="s">
        <v>1057</v>
      </c>
      <c r="X746" t="s">
        <v>199</v>
      </c>
      <c r="Y746">
        <v>10</v>
      </c>
      <c r="AB746">
        <v>0.87516913054372403</v>
      </c>
      <c r="AC746" t="s">
        <v>85</v>
      </c>
      <c r="AE746" t="s">
        <v>200</v>
      </c>
      <c r="AI746">
        <v>4</v>
      </c>
      <c r="AJ746" t="s">
        <v>201</v>
      </c>
    </row>
    <row r="747" spans="1:48" x14ac:dyDescent="0.3">
      <c r="A747" t="s">
        <v>195</v>
      </c>
      <c r="C747" t="s">
        <v>1495</v>
      </c>
      <c r="D747" t="s">
        <v>81</v>
      </c>
      <c r="E747">
        <v>100000000</v>
      </c>
      <c r="O747">
        <v>2.4E-2</v>
      </c>
      <c r="P747" t="s">
        <v>59</v>
      </c>
      <c r="T747">
        <v>20</v>
      </c>
      <c r="V747">
        <v>50</v>
      </c>
      <c r="W747" t="s">
        <v>1057</v>
      </c>
      <c r="X747" t="s">
        <v>199</v>
      </c>
      <c r="Y747">
        <v>10</v>
      </c>
      <c r="AB747">
        <v>0.84710598847406704</v>
      </c>
      <c r="AC747" t="s">
        <v>85</v>
      </c>
      <c r="AE747" t="s">
        <v>200</v>
      </c>
      <c r="AI747">
        <v>4</v>
      </c>
      <c r="AJ747" t="s">
        <v>201</v>
      </c>
    </row>
    <row r="748" spans="1:48" x14ac:dyDescent="0.3">
      <c r="A748" t="s">
        <v>195</v>
      </c>
      <c r="C748" t="s">
        <v>1495</v>
      </c>
      <c r="D748" t="s">
        <v>81</v>
      </c>
      <c r="E748">
        <v>100000000</v>
      </c>
      <c r="O748">
        <v>3.2000000000000001E-2</v>
      </c>
      <c r="P748" t="s">
        <v>59</v>
      </c>
      <c r="T748">
        <v>20</v>
      </c>
      <c r="V748">
        <v>50</v>
      </c>
      <c r="W748" t="s">
        <v>1057</v>
      </c>
      <c r="X748" t="s">
        <v>199</v>
      </c>
      <c r="Y748">
        <v>10</v>
      </c>
      <c r="AB748">
        <v>1.8848809822099699</v>
      </c>
      <c r="AC748" t="s">
        <v>85</v>
      </c>
      <c r="AE748" t="s">
        <v>200</v>
      </c>
      <c r="AI748">
        <v>4</v>
      </c>
      <c r="AJ748" t="s">
        <v>201</v>
      </c>
    </row>
    <row r="749" spans="1:48" x14ac:dyDescent="0.3">
      <c r="A749" t="s">
        <v>195</v>
      </c>
      <c r="C749" t="s">
        <v>1495</v>
      </c>
      <c r="D749" t="s">
        <v>81</v>
      </c>
      <c r="E749">
        <v>100000000</v>
      </c>
      <c r="O749">
        <v>0.04</v>
      </c>
      <c r="P749" t="s">
        <v>59</v>
      </c>
      <c r="T749">
        <v>20</v>
      </c>
      <c r="V749">
        <v>50</v>
      </c>
      <c r="W749" t="s">
        <v>1057</v>
      </c>
      <c r="X749" t="s">
        <v>199</v>
      </c>
      <c r="Y749">
        <v>10</v>
      </c>
      <c r="AB749">
        <v>3.0271310448509099</v>
      </c>
      <c r="AC749" t="s">
        <v>85</v>
      </c>
      <c r="AE749" t="s">
        <v>200</v>
      </c>
      <c r="AI749">
        <v>4</v>
      </c>
      <c r="AJ749" t="s">
        <v>201</v>
      </c>
    </row>
    <row r="750" spans="1:48" x14ac:dyDescent="0.3">
      <c r="A750" t="s">
        <v>195</v>
      </c>
      <c r="C750" t="s">
        <v>1495</v>
      </c>
      <c r="D750" t="s">
        <v>81</v>
      </c>
      <c r="E750">
        <v>100000000</v>
      </c>
      <c r="O750">
        <v>4.8000000000000001E-2</v>
      </c>
      <c r="P750" t="s">
        <v>59</v>
      </c>
      <c r="T750">
        <v>20</v>
      </c>
      <c r="V750">
        <v>50</v>
      </c>
      <c r="W750" t="s">
        <v>1057</v>
      </c>
      <c r="X750" t="s">
        <v>199</v>
      </c>
      <c r="Y750">
        <v>10</v>
      </c>
      <c r="AB750">
        <v>5.9153896266599801</v>
      </c>
      <c r="AC750" t="s">
        <v>85</v>
      </c>
      <c r="AE750" t="s">
        <v>200</v>
      </c>
      <c r="AI750">
        <v>4</v>
      </c>
      <c r="AJ750" t="s">
        <v>201</v>
      </c>
    </row>
    <row r="751" spans="1:48" x14ac:dyDescent="0.3">
      <c r="A751" t="s">
        <v>195</v>
      </c>
      <c r="C751" t="s">
        <v>1495</v>
      </c>
      <c r="D751" t="s">
        <v>81</v>
      </c>
      <c r="E751">
        <v>100000000</v>
      </c>
      <c r="O751">
        <v>0.06</v>
      </c>
      <c r="P751" t="s">
        <v>59</v>
      </c>
      <c r="T751">
        <v>20</v>
      </c>
      <c r="V751">
        <v>50</v>
      </c>
      <c r="W751" t="s">
        <v>1057</v>
      </c>
      <c r="X751" t="s">
        <v>199</v>
      </c>
      <c r="Y751">
        <v>10</v>
      </c>
      <c r="AB751">
        <v>6.8729842144825799</v>
      </c>
      <c r="AC751" t="s">
        <v>85</v>
      </c>
      <c r="AE751" t="s">
        <v>200</v>
      </c>
      <c r="AI751">
        <v>4</v>
      </c>
      <c r="AJ751" t="s">
        <v>201</v>
      </c>
    </row>
    <row r="752" spans="1:48" x14ac:dyDescent="0.3">
      <c r="A752" t="s">
        <v>195</v>
      </c>
      <c r="C752" t="s">
        <v>1495</v>
      </c>
      <c r="D752" t="s">
        <v>81</v>
      </c>
      <c r="E752">
        <v>100000000</v>
      </c>
      <c r="O752">
        <v>0.08</v>
      </c>
      <c r="P752" t="s">
        <v>59</v>
      </c>
      <c r="T752">
        <v>20</v>
      </c>
      <c r="V752">
        <v>50</v>
      </c>
      <c r="W752" t="s">
        <v>1057</v>
      </c>
      <c r="X752" t="s">
        <v>199</v>
      </c>
      <c r="Y752">
        <v>10</v>
      </c>
      <c r="AB752">
        <v>7.5137058381357997</v>
      </c>
      <c r="AC752" t="s">
        <v>85</v>
      </c>
      <c r="AE752" t="s">
        <v>200</v>
      </c>
      <c r="AI752">
        <v>4</v>
      </c>
      <c r="AJ752" t="s">
        <v>201</v>
      </c>
    </row>
    <row r="753" spans="1:53" x14ac:dyDescent="0.3">
      <c r="A753" t="s">
        <v>1238</v>
      </c>
      <c r="B753" t="s">
        <v>1550</v>
      </c>
      <c r="C753" t="s">
        <v>1495</v>
      </c>
      <c r="H753">
        <v>10</v>
      </c>
      <c r="I753" t="s">
        <v>82</v>
      </c>
      <c r="J753">
        <v>9.9999999999999991E-6</v>
      </c>
      <c r="K753" t="s">
        <v>252</v>
      </c>
      <c r="O753">
        <v>0</v>
      </c>
      <c r="P753" t="s">
        <v>1240</v>
      </c>
      <c r="T753">
        <v>25</v>
      </c>
      <c r="V753">
        <v>50</v>
      </c>
      <c r="W753" t="s">
        <v>1551</v>
      </c>
      <c r="X753" t="s">
        <v>932</v>
      </c>
      <c r="Y753">
        <v>5</v>
      </c>
      <c r="AB753">
        <v>7.8</v>
      </c>
      <c r="AC753" t="s">
        <v>210</v>
      </c>
      <c r="AH753">
        <v>7.8</v>
      </c>
      <c r="AI753">
        <v>3</v>
      </c>
      <c r="AO753">
        <v>0</v>
      </c>
      <c r="AV753" t="s">
        <v>256</v>
      </c>
      <c r="BA753">
        <v>7.8</v>
      </c>
    </row>
    <row r="754" spans="1:53" x14ac:dyDescent="0.3">
      <c r="A754" t="s">
        <v>1238</v>
      </c>
      <c r="B754" t="s">
        <v>1550</v>
      </c>
      <c r="C754" t="s">
        <v>1495</v>
      </c>
      <c r="H754">
        <v>10</v>
      </c>
      <c r="I754" t="s">
        <v>82</v>
      </c>
      <c r="J754">
        <v>9.9999999999999991E-6</v>
      </c>
      <c r="K754" t="s">
        <v>252</v>
      </c>
      <c r="O754">
        <v>0</v>
      </c>
      <c r="P754" t="s">
        <v>1240</v>
      </c>
      <c r="T754">
        <v>25</v>
      </c>
      <c r="V754">
        <v>50</v>
      </c>
      <c r="W754" t="s">
        <v>1551</v>
      </c>
      <c r="X754" t="s">
        <v>932</v>
      </c>
      <c r="Y754">
        <v>30</v>
      </c>
      <c r="AB754">
        <v>7.8</v>
      </c>
      <c r="AC754" t="s">
        <v>210</v>
      </c>
      <c r="AH754">
        <v>7.8</v>
      </c>
      <c r="AI754">
        <v>3</v>
      </c>
      <c r="AO754">
        <v>0</v>
      </c>
      <c r="AV754" t="s">
        <v>256</v>
      </c>
      <c r="BA754">
        <v>7.8</v>
      </c>
    </row>
    <row r="755" spans="1:53" x14ac:dyDescent="0.3">
      <c r="A755" t="s">
        <v>1238</v>
      </c>
      <c r="B755" t="s">
        <v>1550</v>
      </c>
      <c r="C755" t="s">
        <v>1495</v>
      </c>
      <c r="H755">
        <v>10</v>
      </c>
      <c r="I755" t="s">
        <v>82</v>
      </c>
      <c r="J755">
        <v>9.9999999999999991E-6</v>
      </c>
      <c r="K755" t="s">
        <v>252</v>
      </c>
      <c r="O755">
        <v>8.9999999999999993E-3</v>
      </c>
      <c r="P755" t="s">
        <v>1240</v>
      </c>
      <c r="T755">
        <v>25</v>
      </c>
      <c r="V755">
        <v>50</v>
      </c>
      <c r="W755" t="s">
        <v>1551</v>
      </c>
      <c r="X755" t="s">
        <v>932</v>
      </c>
      <c r="Y755">
        <v>5</v>
      </c>
      <c r="AB755">
        <v>7.9</v>
      </c>
      <c r="AC755" t="s">
        <v>210</v>
      </c>
      <c r="AH755">
        <v>7.8</v>
      </c>
      <c r="AI755">
        <v>3</v>
      </c>
      <c r="AO755">
        <v>0</v>
      </c>
      <c r="AV755" t="s">
        <v>256</v>
      </c>
      <c r="BA755">
        <v>7.8</v>
      </c>
    </row>
    <row r="756" spans="1:53" x14ac:dyDescent="0.3">
      <c r="A756" t="s">
        <v>1238</v>
      </c>
      <c r="B756" t="s">
        <v>1550</v>
      </c>
      <c r="C756" t="s">
        <v>1495</v>
      </c>
      <c r="H756">
        <v>10</v>
      </c>
      <c r="I756" t="s">
        <v>82</v>
      </c>
      <c r="J756">
        <v>9.9999999999999991E-6</v>
      </c>
      <c r="K756" t="s">
        <v>252</v>
      </c>
      <c r="O756">
        <v>8.9999999999999993E-3</v>
      </c>
      <c r="P756" t="s">
        <v>1240</v>
      </c>
      <c r="T756">
        <v>25</v>
      </c>
      <c r="V756">
        <v>50</v>
      </c>
      <c r="W756" t="s">
        <v>1551</v>
      </c>
      <c r="X756" t="s">
        <v>932</v>
      </c>
      <c r="Y756">
        <v>30</v>
      </c>
      <c r="AA756" t="s">
        <v>128</v>
      </c>
      <c r="AB756">
        <v>2</v>
      </c>
      <c r="AC756" t="s">
        <v>210</v>
      </c>
      <c r="AH756">
        <v>7.8</v>
      </c>
      <c r="AI756">
        <v>3</v>
      </c>
      <c r="AO756">
        <v>0</v>
      </c>
      <c r="AV756" t="s">
        <v>256</v>
      </c>
      <c r="AZ756">
        <v>0</v>
      </c>
      <c r="BA756">
        <v>7.8</v>
      </c>
    </row>
    <row r="757" spans="1:53" x14ac:dyDescent="0.3">
      <c r="A757" t="s">
        <v>1238</v>
      </c>
      <c r="B757" t="s">
        <v>1550</v>
      </c>
      <c r="C757" t="s">
        <v>1495</v>
      </c>
      <c r="H757">
        <v>10</v>
      </c>
      <c r="I757" t="s">
        <v>82</v>
      </c>
      <c r="J757">
        <v>9.9999999999999991E-6</v>
      </c>
      <c r="K757" t="s">
        <v>252</v>
      </c>
      <c r="O757">
        <v>2.0999999999999901E-2</v>
      </c>
      <c r="P757" t="s">
        <v>1240</v>
      </c>
      <c r="T757">
        <v>25</v>
      </c>
      <c r="V757">
        <v>50</v>
      </c>
      <c r="W757" t="s">
        <v>1551</v>
      </c>
      <c r="X757" t="s">
        <v>932</v>
      </c>
      <c r="Y757">
        <v>5</v>
      </c>
      <c r="AB757">
        <v>7.6</v>
      </c>
      <c r="AC757" t="s">
        <v>210</v>
      </c>
      <c r="AH757">
        <v>7.8</v>
      </c>
      <c r="AI757">
        <v>3</v>
      </c>
      <c r="AO757">
        <v>0</v>
      </c>
      <c r="AV757" t="s">
        <v>256</v>
      </c>
      <c r="BA757">
        <v>7.8</v>
      </c>
    </row>
    <row r="758" spans="1:53" x14ac:dyDescent="0.3">
      <c r="A758" t="s">
        <v>1238</v>
      </c>
      <c r="B758" t="s">
        <v>1550</v>
      </c>
      <c r="C758" t="s">
        <v>1495</v>
      </c>
      <c r="H758">
        <v>10</v>
      </c>
      <c r="I758" t="s">
        <v>82</v>
      </c>
      <c r="J758">
        <v>9.9999999999999991E-6</v>
      </c>
      <c r="K758" t="s">
        <v>252</v>
      </c>
      <c r="O758">
        <v>2.0999999999999901E-2</v>
      </c>
      <c r="P758" t="s">
        <v>1240</v>
      </c>
      <c r="T758">
        <v>25</v>
      </c>
      <c r="V758">
        <v>50</v>
      </c>
      <c r="W758" t="s">
        <v>1551</v>
      </c>
      <c r="X758" t="s">
        <v>932</v>
      </c>
      <c r="Y758">
        <v>30</v>
      </c>
      <c r="AA758" t="s">
        <v>128</v>
      </c>
      <c r="AB758">
        <v>2</v>
      </c>
      <c r="AC758" t="s">
        <v>210</v>
      </c>
      <c r="AH758">
        <v>7.8</v>
      </c>
      <c r="AI758">
        <v>3</v>
      </c>
      <c r="AO758">
        <v>0</v>
      </c>
      <c r="AV758" t="s">
        <v>256</v>
      </c>
      <c r="AZ758">
        <v>0</v>
      </c>
      <c r="BA758">
        <v>7.8</v>
      </c>
    </row>
    <row r="759" spans="1:53" x14ac:dyDescent="0.3">
      <c r="A759" t="s">
        <v>1238</v>
      </c>
      <c r="B759" t="s">
        <v>1550</v>
      </c>
      <c r="C759" t="s">
        <v>1495</v>
      </c>
      <c r="H759">
        <v>10</v>
      </c>
      <c r="I759" t="s">
        <v>82</v>
      </c>
      <c r="J759">
        <v>9.9999999999999991E-6</v>
      </c>
      <c r="K759" t="s">
        <v>252</v>
      </c>
      <c r="O759">
        <v>3.5999999999999997E-2</v>
      </c>
      <c r="P759" t="s">
        <v>1240</v>
      </c>
      <c r="T759">
        <v>25</v>
      </c>
      <c r="V759">
        <v>50</v>
      </c>
      <c r="W759" t="s">
        <v>1551</v>
      </c>
      <c r="X759" t="s">
        <v>932</v>
      </c>
      <c r="Y759">
        <v>5</v>
      </c>
      <c r="AA759" t="s">
        <v>128</v>
      </c>
      <c r="AB759">
        <v>2</v>
      </c>
      <c r="AC759" t="s">
        <v>210</v>
      </c>
      <c r="AH759">
        <v>7.8</v>
      </c>
      <c r="AI759">
        <v>3</v>
      </c>
      <c r="AO759">
        <v>0</v>
      </c>
      <c r="AV759" t="s">
        <v>256</v>
      </c>
      <c r="AZ759">
        <v>0</v>
      </c>
      <c r="BA759">
        <v>7.8</v>
      </c>
    </row>
    <row r="760" spans="1:53" x14ac:dyDescent="0.3">
      <c r="A760" t="s">
        <v>1238</v>
      </c>
      <c r="B760" t="s">
        <v>1550</v>
      </c>
      <c r="C760" t="s">
        <v>1495</v>
      </c>
      <c r="H760">
        <v>10</v>
      </c>
      <c r="I760" t="s">
        <v>82</v>
      </c>
      <c r="J760">
        <v>9.9999999999999991E-6</v>
      </c>
      <c r="K760" t="s">
        <v>252</v>
      </c>
      <c r="O760">
        <v>3.5999999999999997E-2</v>
      </c>
      <c r="P760" t="s">
        <v>1240</v>
      </c>
      <c r="T760">
        <v>25</v>
      </c>
      <c r="V760">
        <v>50</v>
      </c>
      <c r="W760" t="s">
        <v>1551</v>
      </c>
      <c r="X760" t="s">
        <v>932</v>
      </c>
      <c r="Y760">
        <v>30</v>
      </c>
      <c r="AA760" t="s">
        <v>128</v>
      </c>
      <c r="AB760">
        <v>2</v>
      </c>
      <c r="AC760" t="s">
        <v>210</v>
      </c>
      <c r="AH760">
        <v>7.8</v>
      </c>
      <c r="AI760">
        <v>3</v>
      </c>
      <c r="AO760">
        <v>0</v>
      </c>
      <c r="AV760" t="s">
        <v>256</v>
      </c>
      <c r="AZ760">
        <v>0</v>
      </c>
      <c r="BA760">
        <v>7.8</v>
      </c>
    </row>
    <row r="761" spans="1:53" x14ac:dyDescent="0.3">
      <c r="A761" t="s">
        <v>1238</v>
      </c>
      <c r="B761" t="s">
        <v>1550</v>
      </c>
      <c r="C761" t="s">
        <v>1495</v>
      </c>
      <c r="H761">
        <v>10</v>
      </c>
      <c r="I761" t="s">
        <v>82</v>
      </c>
      <c r="J761">
        <v>9.9999999999999991E-6</v>
      </c>
      <c r="K761" t="s">
        <v>252</v>
      </c>
      <c r="O761">
        <v>0</v>
      </c>
      <c r="P761" t="s">
        <v>1240</v>
      </c>
      <c r="T761">
        <v>25</v>
      </c>
      <c r="V761">
        <v>50</v>
      </c>
      <c r="W761" t="s">
        <v>1551</v>
      </c>
      <c r="X761" t="s">
        <v>932</v>
      </c>
      <c r="Y761">
        <v>5</v>
      </c>
      <c r="AB761">
        <v>6.9</v>
      </c>
      <c r="AC761" t="s">
        <v>210</v>
      </c>
      <c r="AH761">
        <v>6.9</v>
      </c>
      <c r="AI761">
        <v>3</v>
      </c>
      <c r="AO761">
        <v>0</v>
      </c>
      <c r="AV761" t="s">
        <v>256</v>
      </c>
      <c r="BA761">
        <v>6.9</v>
      </c>
    </row>
    <row r="762" spans="1:53" x14ac:dyDescent="0.3">
      <c r="A762" t="s">
        <v>1238</v>
      </c>
      <c r="B762" t="s">
        <v>1550</v>
      </c>
      <c r="C762" t="s">
        <v>1495</v>
      </c>
      <c r="H762">
        <v>10</v>
      </c>
      <c r="I762" t="s">
        <v>82</v>
      </c>
      <c r="J762">
        <v>9.9999999999999991E-6</v>
      </c>
      <c r="K762" t="s">
        <v>252</v>
      </c>
      <c r="O762">
        <v>0</v>
      </c>
      <c r="P762" t="s">
        <v>1240</v>
      </c>
      <c r="T762">
        <v>25</v>
      </c>
      <c r="V762">
        <v>50</v>
      </c>
      <c r="W762" t="s">
        <v>1551</v>
      </c>
      <c r="X762" t="s">
        <v>932</v>
      </c>
      <c r="Y762">
        <v>30</v>
      </c>
      <c r="AB762">
        <v>6.9</v>
      </c>
      <c r="AC762" t="s">
        <v>210</v>
      </c>
      <c r="AH762">
        <v>6.9</v>
      </c>
      <c r="AI762">
        <v>3</v>
      </c>
      <c r="AO762">
        <v>0</v>
      </c>
      <c r="AV762" t="s">
        <v>256</v>
      </c>
      <c r="BA762">
        <v>6.9</v>
      </c>
    </row>
    <row r="763" spans="1:53" x14ac:dyDescent="0.3">
      <c r="A763" t="s">
        <v>1238</v>
      </c>
      <c r="B763" t="s">
        <v>1550</v>
      </c>
      <c r="C763" t="s">
        <v>1495</v>
      </c>
      <c r="H763">
        <v>10</v>
      </c>
      <c r="I763" t="s">
        <v>82</v>
      </c>
      <c r="J763">
        <v>9.9999999999999991E-6</v>
      </c>
      <c r="K763" t="s">
        <v>252</v>
      </c>
      <c r="O763">
        <v>0.09</v>
      </c>
      <c r="P763" t="s">
        <v>1240</v>
      </c>
      <c r="T763">
        <v>25</v>
      </c>
      <c r="V763">
        <v>50</v>
      </c>
      <c r="W763" t="s">
        <v>1551</v>
      </c>
      <c r="X763" t="s">
        <v>932</v>
      </c>
      <c r="Y763">
        <v>5</v>
      </c>
      <c r="AB763">
        <v>5.9</v>
      </c>
      <c r="AC763" t="s">
        <v>210</v>
      </c>
      <c r="AH763">
        <v>6.9</v>
      </c>
      <c r="AI763">
        <v>3</v>
      </c>
      <c r="AO763">
        <v>0</v>
      </c>
      <c r="AV763" t="s">
        <v>256</v>
      </c>
      <c r="BA763">
        <v>6.9</v>
      </c>
    </row>
    <row r="764" spans="1:53" x14ac:dyDescent="0.3">
      <c r="A764" t="s">
        <v>1238</v>
      </c>
      <c r="B764" t="s">
        <v>1550</v>
      </c>
      <c r="C764" t="s">
        <v>1495</v>
      </c>
      <c r="H764">
        <v>10</v>
      </c>
      <c r="I764" t="s">
        <v>82</v>
      </c>
      <c r="J764">
        <v>9.9999999999999991E-6</v>
      </c>
      <c r="K764" t="s">
        <v>252</v>
      </c>
      <c r="O764">
        <v>0.09</v>
      </c>
      <c r="P764" t="s">
        <v>1240</v>
      </c>
      <c r="T764">
        <v>25</v>
      </c>
      <c r="V764">
        <v>50</v>
      </c>
      <c r="W764" t="s">
        <v>1551</v>
      </c>
      <c r="X764" t="s">
        <v>932</v>
      </c>
      <c r="Y764">
        <v>30</v>
      </c>
      <c r="AA764" t="s">
        <v>128</v>
      </c>
      <c r="AB764">
        <v>2</v>
      </c>
      <c r="AC764" t="s">
        <v>210</v>
      </c>
      <c r="AH764">
        <v>6.9</v>
      </c>
      <c r="AI764">
        <v>3</v>
      </c>
      <c r="AO764">
        <v>0</v>
      </c>
      <c r="AV764" t="s">
        <v>256</v>
      </c>
      <c r="AZ764">
        <v>0</v>
      </c>
      <c r="BA764">
        <v>6.9</v>
      </c>
    </row>
    <row r="765" spans="1:53" x14ac:dyDescent="0.3">
      <c r="A765" t="s">
        <v>1238</v>
      </c>
      <c r="B765" t="s">
        <v>1550</v>
      </c>
      <c r="C765" t="s">
        <v>1495</v>
      </c>
      <c r="H765">
        <v>10</v>
      </c>
      <c r="I765" t="s">
        <v>82</v>
      </c>
      <c r="J765">
        <v>9.9999999999999991E-6</v>
      </c>
      <c r="K765" t="s">
        <v>252</v>
      </c>
      <c r="O765">
        <v>0.13500000000000001</v>
      </c>
      <c r="P765" t="s">
        <v>1240</v>
      </c>
      <c r="T765">
        <v>25</v>
      </c>
      <c r="V765">
        <v>50</v>
      </c>
      <c r="W765" t="s">
        <v>1551</v>
      </c>
      <c r="X765" t="s">
        <v>932</v>
      </c>
      <c r="Y765">
        <v>5</v>
      </c>
      <c r="AB765">
        <v>3.4</v>
      </c>
      <c r="AC765" t="s">
        <v>210</v>
      </c>
      <c r="AH765">
        <v>6.9</v>
      </c>
      <c r="AI765">
        <v>3</v>
      </c>
      <c r="AO765">
        <v>0</v>
      </c>
      <c r="AV765" t="s">
        <v>256</v>
      </c>
      <c r="BA765">
        <v>6.9</v>
      </c>
    </row>
    <row r="766" spans="1:53" x14ac:dyDescent="0.3">
      <c r="A766" t="s">
        <v>1238</v>
      </c>
      <c r="B766" t="s">
        <v>1550</v>
      </c>
      <c r="C766" t="s">
        <v>1495</v>
      </c>
      <c r="H766">
        <v>10</v>
      </c>
      <c r="I766" t="s">
        <v>82</v>
      </c>
      <c r="J766">
        <v>9.9999999999999991E-6</v>
      </c>
      <c r="K766" t="s">
        <v>252</v>
      </c>
      <c r="O766">
        <v>0.13500000000000001</v>
      </c>
      <c r="P766" t="s">
        <v>1240</v>
      </c>
      <c r="T766">
        <v>25</v>
      </c>
      <c r="V766">
        <v>50</v>
      </c>
      <c r="W766" t="s">
        <v>1551</v>
      </c>
      <c r="X766" t="s">
        <v>932</v>
      </c>
      <c r="Y766">
        <v>30</v>
      </c>
      <c r="AA766" t="s">
        <v>128</v>
      </c>
      <c r="AB766">
        <v>2</v>
      </c>
      <c r="AC766" t="s">
        <v>210</v>
      </c>
      <c r="AH766">
        <v>6.9</v>
      </c>
      <c r="AI766">
        <v>3</v>
      </c>
      <c r="AO766">
        <v>0</v>
      </c>
      <c r="AV766" t="s">
        <v>256</v>
      </c>
      <c r="AZ766">
        <v>0</v>
      </c>
      <c r="BA766">
        <v>6.9</v>
      </c>
    </row>
    <row r="767" spans="1:53" x14ac:dyDescent="0.3">
      <c r="A767" t="s">
        <v>1238</v>
      </c>
      <c r="B767" t="s">
        <v>1550</v>
      </c>
      <c r="C767" t="s">
        <v>1495</v>
      </c>
      <c r="H767">
        <v>10</v>
      </c>
      <c r="I767" t="s">
        <v>82</v>
      </c>
      <c r="J767">
        <v>9.9999999999999991E-6</v>
      </c>
      <c r="K767" t="s">
        <v>252</v>
      </c>
      <c r="O767">
        <v>0.18</v>
      </c>
      <c r="P767" t="s">
        <v>1240</v>
      </c>
      <c r="T767">
        <v>25</v>
      </c>
      <c r="V767">
        <v>50</v>
      </c>
      <c r="W767" t="s">
        <v>1551</v>
      </c>
      <c r="X767" t="s">
        <v>932</v>
      </c>
      <c r="Y767">
        <v>5</v>
      </c>
      <c r="AA767" t="s">
        <v>128</v>
      </c>
      <c r="AB767">
        <v>2</v>
      </c>
      <c r="AC767" t="s">
        <v>210</v>
      </c>
      <c r="AH767">
        <v>6.9</v>
      </c>
      <c r="AI767">
        <v>3</v>
      </c>
      <c r="AO767">
        <v>0</v>
      </c>
      <c r="AV767" t="s">
        <v>256</v>
      </c>
      <c r="AZ767">
        <v>0</v>
      </c>
      <c r="BA767">
        <v>6.9</v>
      </c>
    </row>
    <row r="768" spans="1:53" x14ac:dyDescent="0.3">
      <c r="A768" t="s">
        <v>1238</v>
      </c>
      <c r="B768" t="s">
        <v>1550</v>
      </c>
      <c r="C768" t="s">
        <v>1495</v>
      </c>
      <c r="H768">
        <v>10</v>
      </c>
      <c r="I768" t="s">
        <v>82</v>
      </c>
      <c r="J768">
        <v>9.9999999999999991E-6</v>
      </c>
      <c r="K768" t="s">
        <v>252</v>
      </c>
      <c r="O768">
        <v>0.18</v>
      </c>
      <c r="P768" t="s">
        <v>1240</v>
      </c>
      <c r="T768">
        <v>25</v>
      </c>
      <c r="V768">
        <v>50</v>
      </c>
      <c r="W768" t="s">
        <v>1551</v>
      </c>
      <c r="X768" t="s">
        <v>932</v>
      </c>
      <c r="Y768">
        <v>30</v>
      </c>
      <c r="AA768" t="s">
        <v>128</v>
      </c>
      <c r="AB768">
        <v>2</v>
      </c>
      <c r="AC768" t="s">
        <v>210</v>
      </c>
      <c r="AH768">
        <v>6.9</v>
      </c>
      <c r="AI768">
        <v>3</v>
      </c>
      <c r="AO768">
        <v>0</v>
      </c>
      <c r="AV768" t="s">
        <v>256</v>
      </c>
      <c r="AZ768">
        <v>0</v>
      </c>
      <c r="BA768">
        <v>6.9</v>
      </c>
    </row>
    <row r="769" spans="1:53" x14ac:dyDescent="0.3">
      <c r="A769" t="s">
        <v>1552</v>
      </c>
      <c r="C769" t="s">
        <v>1495</v>
      </c>
      <c r="D769" t="s">
        <v>470</v>
      </c>
      <c r="E769">
        <v>50000000</v>
      </c>
      <c r="H769">
        <v>100</v>
      </c>
      <c r="I769" t="s">
        <v>220</v>
      </c>
      <c r="J769">
        <v>9.9999999999999995E-8</v>
      </c>
      <c r="K769" t="s">
        <v>252</v>
      </c>
      <c r="O769">
        <v>0.03</v>
      </c>
      <c r="P769" t="s">
        <v>1288</v>
      </c>
      <c r="T769">
        <v>21</v>
      </c>
      <c r="V769">
        <v>50</v>
      </c>
      <c r="W769" t="s">
        <v>1057</v>
      </c>
      <c r="X769" t="s">
        <v>957</v>
      </c>
      <c r="Y769">
        <v>30</v>
      </c>
      <c r="AA769" t="s">
        <v>184</v>
      </c>
      <c r="AB769">
        <v>6</v>
      </c>
      <c r="AC769" t="s">
        <v>85</v>
      </c>
      <c r="AV769" t="s">
        <v>1172</v>
      </c>
      <c r="AZ769">
        <v>0</v>
      </c>
      <c r="BA769">
        <v>6</v>
      </c>
    </row>
    <row r="770" spans="1:53" x14ac:dyDescent="0.3">
      <c r="A770" t="s">
        <v>1552</v>
      </c>
      <c r="C770" t="s">
        <v>1495</v>
      </c>
      <c r="D770" t="s">
        <v>470</v>
      </c>
      <c r="E770">
        <v>50000000</v>
      </c>
      <c r="H770">
        <v>100</v>
      </c>
      <c r="I770" t="s">
        <v>220</v>
      </c>
      <c r="J770">
        <v>9.9999999999999995E-8</v>
      </c>
      <c r="K770" t="s">
        <v>252</v>
      </c>
      <c r="O770">
        <v>0.3</v>
      </c>
      <c r="P770" t="s">
        <v>1288</v>
      </c>
      <c r="T770">
        <v>21</v>
      </c>
      <c r="V770">
        <v>50</v>
      </c>
      <c r="W770" t="s">
        <v>1057</v>
      </c>
      <c r="X770" t="s">
        <v>957</v>
      </c>
      <c r="Y770">
        <v>30</v>
      </c>
      <c r="AA770" t="s">
        <v>184</v>
      </c>
      <c r="AB770">
        <v>6</v>
      </c>
      <c r="AC770" t="s">
        <v>85</v>
      </c>
      <c r="AV770" t="s">
        <v>1172</v>
      </c>
      <c r="AZ770">
        <v>0</v>
      </c>
      <c r="BA770">
        <v>6</v>
      </c>
    </row>
    <row r="771" spans="1:53" x14ac:dyDescent="0.3">
      <c r="A771" t="s">
        <v>1552</v>
      </c>
      <c r="C771" t="s">
        <v>1495</v>
      </c>
      <c r="D771" t="s">
        <v>470</v>
      </c>
      <c r="E771">
        <v>50000000</v>
      </c>
      <c r="H771">
        <v>100</v>
      </c>
      <c r="I771" t="s">
        <v>220</v>
      </c>
      <c r="J771">
        <v>9.9999999999999995E-8</v>
      </c>
      <c r="K771" t="s">
        <v>252</v>
      </c>
      <c r="O771">
        <v>0.01</v>
      </c>
      <c r="P771" t="s">
        <v>1288</v>
      </c>
      <c r="T771">
        <v>21</v>
      </c>
      <c r="V771">
        <v>50</v>
      </c>
      <c r="W771" t="s">
        <v>1057</v>
      </c>
      <c r="X771" t="s">
        <v>957</v>
      </c>
      <c r="Y771">
        <v>30</v>
      </c>
      <c r="AA771" t="s">
        <v>184</v>
      </c>
      <c r="AB771">
        <v>3</v>
      </c>
      <c r="AC771" t="s">
        <v>85</v>
      </c>
      <c r="AV771" t="s">
        <v>1172</v>
      </c>
      <c r="AZ771">
        <v>0</v>
      </c>
      <c r="BA771">
        <v>3</v>
      </c>
    </row>
    <row r="772" spans="1:53" x14ac:dyDescent="0.3">
      <c r="A772" t="s">
        <v>1552</v>
      </c>
      <c r="C772" t="s">
        <v>1495</v>
      </c>
      <c r="D772" t="s">
        <v>470</v>
      </c>
      <c r="E772">
        <v>50000000</v>
      </c>
      <c r="H772">
        <v>100</v>
      </c>
      <c r="I772" t="s">
        <v>220</v>
      </c>
      <c r="J772">
        <v>9.9999999999999995E-8</v>
      </c>
      <c r="K772" t="s">
        <v>252</v>
      </c>
      <c r="O772">
        <v>0.05</v>
      </c>
      <c r="P772" t="s">
        <v>1288</v>
      </c>
      <c r="T772">
        <v>21</v>
      </c>
      <c r="V772">
        <v>50</v>
      </c>
      <c r="W772" t="s">
        <v>1057</v>
      </c>
      <c r="X772" t="s">
        <v>957</v>
      </c>
      <c r="Y772">
        <v>30</v>
      </c>
      <c r="AA772" t="s">
        <v>184</v>
      </c>
      <c r="AB772">
        <v>6</v>
      </c>
      <c r="AC772" t="s">
        <v>85</v>
      </c>
      <c r="AV772" t="s">
        <v>1172</v>
      </c>
      <c r="AZ772">
        <v>0</v>
      </c>
      <c r="BA772">
        <v>6</v>
      </c>
    </row>
    <row r="773" spans="1:53" x14ac:dyDescent="0.3">
      <c r="A773" t="s">
        <v>1552</v>
      </c>
      <c r="C773" t="s">
        <v>1495</v>
      </c>
      <c r="D773" t="s">
        <v>470</v>
      </c>
      <c r="E773">
        <v>50000000</v>
      </c>
      <c r="H773">
        <v>100</v>
      </c>
      <c r="I773" t="s">
        <v>220</v>
      </c>
      <c r="J773">
        <v>9.9999999999999995E-8</v>
      </c>
      <c r="K773" t="s">
        <v>252</v>
      </c>
      <c r="O773">
        <v>0.5</v>
      </c>
      <c r="P773" t="s">
        <v>1288</v>
      </c>
      <c r="T773">
        <v>21</v>
      </c>
      <c r="V773">
        <v>50</v>
      </c>
      <c r="W773" t="s">
        <v>1057</v>
      </c>
      <c r="X773" t="s">
        <v>957</v>
      </c>
      <c r="Y773">
        <v>30</v>
      </c>
      <c r="AA773" t="s">
        <v>184</v>
      </c>
      <c r="AB773">
        <v>6</v>
      </c>
      <c r="AC773" t="s">
        <v>85</v>
      </c>
      <c r="AV773" t="s">
        <v>1172</v>
      </c>
      <c r="AZ773">
        <v>0</v>
      </c>
      <c r="BA773">
        <v>6</v>
      </c>
    </row>
    <row r="774" spans="1:53" x14ac:dyDescent="0.3">
      <c r="A774" t="s">
        <v>1552</v>
      </c>
      <c r="C774" t="s">
        <v>1495</v>
      </c>
      <c r="D774" t="s">
        <v>470</v>
      </c>
      <c r="E774">
        <v>50000000</v>
      </c>
      <c r="H774">
        <v>100</v>
      </c>
      <c r="I774" t="s">
        <v>220</v>
      </c>
      <c r="J774">
        <v>9.9999999999999995E-8</v>
      </c>
      <c r="K774" t="s">
        <v>252</v>
      </c>
      <c r="O774">
        <v>0.1</v>
      </c>
      <c r="P774" t="s">
        <v>59</v>
      </c>
      <c r="T774">
        <v>21</v>
      </c>
      <c r="V774">
        <v>50</v>
      </c>
      <c r="W774" t="s">
        <v>1057</v>
      </c>
      <c r="X774" t="s">
        <v>957</v>
      </c>
      <c r="Y774">
        <v>30</v>
      </c>
      <c r="AA774" t="s">
        <v>128</v>
      </c>
      <c r="AB774">
        <v>1</v>
      </c>
      <c r="AC774" t="s">
        <v>85</v>
      </c>
      <c r="AV774" t="s">
        <v>1172</v>
      </c>
      <c r="AZ774">
        <v>0</v>
      </c>
    </row>
    <row r="775" spans="1:53" x14ac:dyDescent="0.3">
      <c r="A775" t="s">
        <v>1552</v>
      </c>
      <c r="C775" t="s">
        <v>1495</v>
      </c>
      <c r="D775" t="s">
        <v>470</v>
      </c>
      <c r="E775">
        <v>50000000</v>
      </c>
      <c r="H775">
        <v>100</v>
      </c>
      <c r="I775" t="s">
        <v>220</v>
      </c>
      <c r="J775">
        <v>9.9999999999999995E-8</v>
      </c>
      <c r="K775" t="s">
        <v>252</v>
      </c>
      <c r="O775">
        <v>0.5</v>
      </c>
      <c r="P775" t="s">
        <v>59</v>
      </c>
      <c r="T775">
        <v>21</v>
      </c>
      <c r="V775">
        <v>50</v>
      </c>
      <c r="W775" t="s">
        <v>1057</v>
      </c>
      <c r="X775" t="s">
        <v>957</v>
      </c>
      <c r="Y775">
        <v>30</v>
      </c>
      <c r="AA775" t="s">
        <v>184</v>
      </c>
      <c r="AB775">
        <v>6</v>
      </c>
      <c r="AC775" t="s">
        <v>85</v>
      </c>
      <c r="AV775" t="s">
        <v>1172</v>
      </c>
      <c r="AZ775">
        <v>0</v>
      </c>
      <c r="BA775">
        <v>6</v>
      </c>
    </row>
    <row r="776" spans="1:53" x14ac:dyDescent="0.3">
      <c r="A776" t="s">
        <v>1552</v>
      </c>
      <c r="C776" t="s">
        <v>1495</v>
      </c>
      <c r="D776" t="s">
        <v>470</v>
      </c>
      <c r="E776">
        <v>50000000</v>
      </c>
      <c r="H776">
        <v>100</v>
      </c>
      <c r="I776" t="s">
        <v>220</v>
      </c>
      <c r="J776">
        <v>9.9999999999999995E-8</v>
      </c>
      <c r="K776" t="s">
        <v>252</v>
      </c>
      <c r="O776">
        <v>2.5</v>
      </c>
      <c r="P776" t="s">
        <v>59</v>
      </c>
      <c r="T776">
        <v>21</v>
      </c>
      <c r="V776">
        <v>50</v>
      </c>
      <c r="W776" t="s">
        <v>1057</v>
      </c>
      <c r="X776" t="s">
        <v>957</v>
      </c>
      <c r="Y776">
        <v>30</v>
      </c>
      <c r="AA776" t="s">
        <v>184</v>
      </c>
      <c r="AB776">
        <v>6</v>
      </c>
      <c r="AC776" t="s">
        <v>85</v>
      </c>
      <c r="AV776" t="s">
        <v>1172</v>
      </c>
      <c r="AZ776">
        <v>0</v>
      </c>
      <c r="BA776">
        <v>6</v>
      </c>
    </row>
    <row r="777" spans="1:53" x14ac:dyDescent="0.3">
      <c r="A777" t="s">
        <v>1552</v>
      </c>
      <c r="C777" t="s">
        <v>1495</v>
      </c>
      <c r="D777" t="s">
        <v>470</v>
      </c>
      <c r="E777">
        <v>50000000</v>
      </c>
      <c r="H777">
        <v>100</v>
      </c>
      <c r="I777" t="s">
        <v>220</v>
      </c>
      <c r="J777">
        <v>9.9999999999999995E-8</v>
      </c>
      <c r="K777" t="s">
        <v>252</v>
      </c>
      <c r="O777">
        <v>0.4</v>
      </c>
      <c r="P777" t="s">
        <v>1288</v>
      </c>
      <c r="T777">
        <v>21</v>
      </c>
      <c r="V777">
        <v>50</v>
      </c>
      <c r="W777" t="s">
        <v>1057</v>
      </c>
      <c r="X777" t="s">
        <v>957</v>
      </c>
      <c r="Y777">
        <v>30</v>
      </c>
      <c r="AA777" t="s">
        <v>184</v>
      </c>
      <c r="AB777">
        <v>2</v>
      </c>
      <c r="AC777" t="s">
        <v>85</v>
      </c>
      <c r="AV777" t="s">
        <v>1172</v>
      </c>
      <c r="AZ777">
        <v>0</v>
      </c>
      <c r="BA777">
        <v>2</v>
      </c>
    </row>
    <row r="778" spans="1:53" x14ac:dyDescent="0.3">
      <c r="A778" t="s">
        <v>1552</v>
      </c>
      <c r="C778" t="s">
        <v>1495</v>
      </c>
      <c r="D778" t="s">
        <v>470</v>
      </c>
      <c r="E778">
        <v>50000000</v>
      </c>
      <c r="H778">
        <v>100</v>
      </c>
      <c r="I778" t="s">
        <v>220</v>
      </c>
      <c r="J778">
        <v>9.9999999999999995E-8</v>
      </c>
      <c r="K778" t="s">
        <v>252</v>
      </c>
      <c r="O778">
        <v>2</v>
      </c>
      <c r="P778" t="s">
        <v>1288</v>
      </c>
      <c r="T778">
        <v>21</v>
      </c>
      <c r="V778">
        <v>50</v>
      </c>
      <c r="W778" t="s">
        <v>1057</v>
      </c>
      <c r="X778" t="s">
        <v>957</v>
      </c>
      <c r="Y778">
        <v>30</v>
      </c>
      <c r="AA778" t="s">
        <v>184</v>
      </c>
      <c r="AB778">
        <v>2</v>
      </c>
      <c r="AC778" t="s">
        <v>85</v>
      </c>
      <c r="AV778" t="s">
        <v>1172</v>
      </c>
      <c r="AZ778">
        <v>0</v>
      </c>
      <c r="BA778">
        <v>2</v>
      </c>
    </row>
    <row r="779" spans="1:53" x14ac:dyDescent="0.3">
      <c r="A779" t="s">
        <v>1552</v>
      </c>
      <c r="C779" t="s">
        <v>1495</v>
      </c>
      <c r="D779" t="s">
        <v>470</v>
      </c>
      <c r="E779">
        <v>50000000</v>
      </c>
      <c r="H779">
        <v>100</v>
      </c>
      <c r="I779" t="s">
        <v>220</v>
      </c>
      <c r="J779">
        <v>9.9999999999999995E-8</v>
      </c>
      <c r="K779" t="s">
        <v>252</v>
      </c>
      <c r="O779">
        <v>4</v>
      </c>
      <c r="P779" t="s">
        <v>1288</v>
      </c>
      <c r="T779">
        <v>21</v>
      </c>
      <c r="V779">
        <v>50</v>
      </c>
      <c r="W779" t="s">
        <v>1057</v>
      </c>
      <c r="X779" t="s">
        <v>957</v>
      </c>
      <c r="Y779">
        <v>30</v>
      </c>
      <c r="AA779" t="s">
        <v>184</v>
      </c>
      <c r="AB779">
        <v>6</v>
      </c>
      <c r="AC779" t="s">
        <v>85</v>
      </c>
      <c r="AV779" t="s">
        <v>1172</v>
      </c>
      <c r="AZ779">
        <v>0</v>
      </c>
      <c r="BA779">
        <v>6</v>
      </c>
    </row>
    <row r="780" spans="1:53" x14ac:dyDescent="0.3">
      <c r="A780" t="s">
        <v>1552</v>
      </c>
      <c r="C780" t="s">
        <v>1495</v>
      </c>
      <c r="D780" t="s">
        <v>470</v>
      </c>
      <c r="E780">
        <v>50000000</v>
      </c>
      <c r="H780">
        <v>100</v>
      </c>
      <c r="I780" t="s">
        <v>220</v>
      </c>
      <c r="J780">
        <v>9.9999999999999995E-8</v>
      </c>
      <c r="K780" t="s">
        <v>252</v>
      </c>
      <c r="O780">
        <v>4</v>
      </c>
      <c r="P780" t="s">
        <v>1288</v>
      </c>
      <c r="T780">
        <v>21</v>
      </c>
      <c r="V780">
        <v>50</v>
      </c>
      <c r="W780" t="s">
        <v>1057</v>
      </c>
      <c r="X780" t="s">
        <v>957</v>
      </c>
      <c r="Y780">
        <v>30</v>
      </c>
      <c r="AA780" t="s">
        <v>128</v>
      </c>
      <c r="AB780">
        <v>0.1</v>
      </c>
      <c r="AC780" t="s">
        <v>85</v>
      </c>
      <c r="AV780" t="s">
        <v>1172</v>
      </c>
      <c r="AZ780">
        <v>0</v>
      </c>
    </row>
    <row r="781" spans="1:53" x14ac:dyDescent="0.3">
      <c r="A781" t="s">
        <v>1552</v>
      </c>
      <c r="C781" t="s">
        <v>1495</v>
      </c>
      <c r="D781" t="s">
        <v>470</v>
      </c>
      <c r="E781">
        <v>50000000</v>
      </c>
      <c r="H781">
        <v>100</v>
      </c>
      <c r="I781" t="s">
        <v>220</v>
      </c>
      <c r="J781">
        <v>9.9999999999999995E-8</v>
      </c>
      <c r="K781" t="s">
        <v>252</v>
      </c>
      <c r="O781">
        <v>8</v>
      </c>
      <c r="P781" t="s">
        <v>1288</v>
      </c>
      <c r="T781">
        <v>21</v>
      </c>
      <c r="V781">
        <v>50</v>
      </c>
      <c r="W781" t="s">
        <v>1057</v>
      </c>
      <c r="X781" t="s">
        <v>957</v>
      </c>
      <c r="Y781">
        <v>30</v>
      </c>
      <c r="AA781" t="s">
        <v>128</v>
      </c>
      <c r="AB781">
        <v>0.1</v>
      </c>
      <c r="AC781" t="s">
        <v>85</v>
      </c>
      <c r="AV781" t="s">
        <v>1172</v>
      </c>
      <c r="AZ781">
        <v>0</v>
      </c>
    </row>
    <row r="782" spans="1:53" x14ac:dyDescent="0.3">
      <c r="A782" t="s">
        <v>1552</v>
      </c>
      <c r="C782" t="s">
        <v>1495</v>
      </c>
      <c r="D782" t="s">
        <v>470</v>
      </c>
      <c r="E782">
        <v>50000000</v>
      </c>
      <c r="H782">
        <v>100</v>
      </c>
      <c r="I782" t="s">
        <v>220</v>
      </c>
      <c r="J782">
        <v>9.9999999999999995E-8</v>
      </c>
      <c r="K782" t="s">
        <v>252</v>
      </c>
      <c r="O782">
        <v>16</v>
      </c>
      <c r="P782" t="s">
        <v>1288</v>
      </c>
      <c r="T782">
        <v>21</v>
      </c>
      <c r="V782">
        <v>50</v>
      </c>
      <c r="W782" t="s">
        <v>1057</v>
      </c>
      <c r="X782" t="s">
        <v>957</v>
      </c>
      <c r="Y782">
        <v>30</v>
      </c>
      <c r="AA782" t="s">
        <v>184</v>
      </c>
      <c r="AB782">
        <v>1</v>
      </c>
      <c r="AC782" t="s">
        <v>85</v>
      </c>
      <c r="AV782" t="s">
        <v>1172</v>
      </c>
      <c r="AZ782">
        <v>0</v>
      </c>
      <c r="BA782">
        <v>1</v>
      </c>
    </row>
    <row r="783" spans="1:53" x14ac:dyDescent="0.3">
      <c r="A783" t="s">
        <v>1552</v>
      </c>
      <c r="C783" t="s">
        <v>1495</v>
      </c>
      <c r="D783" t="s">
        <v>470</v>
      </c>
      <c r="E783">
        <v>50000000</v>
      </c>
      <c r="H783">
        <v>100</v>
      </c>
      <c r="I783" t="s">
        <v>220</v>
      </c>
      <c r="J783">
        <v>9.9999999999999995E-8</v>
      </c>
      <c r="K783" t="s">
        <v>252</v>
      </c>
      <c r="O783">
        <v>1</v>
      </c>
      <c r="P783" t="s">
        <v>1288</v>
      </c>
      <c r="T783">
        <v>21</v>
      </c>
      <c r="V783">
        <v>50</v>
      </c>
      <c r="W783" t="s">
        <v>1057</v>
      </c>
      <c r="X783" t="s">
        <v>957</v>
      </c>
      <c r="Y783">
        <v>30</v>
      </c>
      <c r="AA783" t="s">
        <v>128</v>
      </c>
      <c r="AB783">
        <v>0.1</v>
      </c>
      <c r="AC783" t="s">
        <v>85</v>
      </c>
      <c r="AV783" t="s">
        <v>1172</v>
      </c>
      <c r="AZ783">
        <v>0</v>
      </c>
    </row>
    <row r="784" spans="1:53" x14ac:dyDescent="0.3">
      <c r="A784" t="s">
        <v>1552</v>
      </c>
      <c r="C784" t="s">
        <v>1495</v>
      </c>
      <c r="D784" t="s">
        <v>470</v>
      </c>
      <c r="E784">
        <v>50000000</v>
      </c>
      <c r="H784">
        <v>100</v>
      </c>
      <c r="I784" t="s">
        <v>220</v>
      </c>
      <c r="J784">
        <v>9.9999999999999995E-8</v>
      </c>
      <c r="K784" t="s">
        <v>252</v>
      </c>
      <c r="O784">
        <v>10</v>
      </c>
      <c r="P784" t="s">
        <v>1288</v>
      </c>
      <c r="T784">
        <v>21</v>
      </c>
      <c r="V784">
        <v>50</v>
      </c>
      <c r="W784" t="s">
        <v>1057</v>
      </c>
      <c r="X784" t="s">
        <v>957</v>
      </c>
      <c r="Y784">
        <v>30</v>
      </c>
      <c r="AA784" t="s">
        <v>128</v>
      </c>
      <c r="AB784">
        <v>0.1</v>
      </c>
      <c r="AC784" t="s">
        <v>85</v>
      </c>
      <c r="AV784" t="s">
        <v>1172</v>
      </c>
      <c r="AZ784">
        <v>0</v>
      </c>
    </row>
    <row r="785" spans="1:52" x14ac:dyDescent="0.3">
      <c r="A785" t="s">
        <v>1552</v>
      </c>
      <c r="C785" t="s">
        <v>1495</v>
      </c>
      <c r="D785" t="s">
        <v>470</v>
      </c>
      <c r="E785">
        <v>50000000</v>
      </c>
      <c r="H785">
        <v>100</v>
      </c>
      <c r="I785" t="s">
        <v>220</v>
      </c>
      <c r="J785">
        <v>9.9999999999999995E-8</v>
      </c>
      <c r="K785" t="s">
        <v>252</v>
      </c>
      <c r="O785">
        <v>15</v>
      </c>
      <c r="P785" t="s">
        <v>1288</v>
      </c>
      <c r="T785">
        <v>21</v>
      </c>
      <c r="V785">
        <v>50</v>
      </c>
      <c r="W785" t="s">
        <v>1057</v>
      </c>
      <c r="X785" t="s">
        <v>957</v>
      </c>
      <c r="Y785">
        <v>30</v>
      </c>
      <c r="AB785">
        <v>1</v>
      </c>
      <c r="AC785" t="s">
        <v>85</v>
      </c>
      <c r="AV785" t="s">
        <v>1172</v>
      </c>
    </row>
    <row r="786" spans="1:52" x14ac:dyDescent="0.3">
      <c r="A786" t="s">
        <v>1552</v>
      </c>
      <c r="C786" t="s">
        <v>1495</v>
      </c>
      <c r="D786" t="s">
        <v>470</v>
      </c>
      <c r="E786">
        <v>50000000</v>
      </c>
      <c r="H786">
        <v>100</v>
      </c>
      <c r="I786" t="s">
        <v>220</v>
      </c>
      <c r="J786">
        <v>9.9999999999999995E-8</v>
      </c>
      <c r="K786" t="s">
        <v>252</v>
      </c>
      <c r="O786">
        <v>3.5000000000000003E-2</v>
      </c>
      <c r="T786">
        <v>21</v>
      </c>
      <c r="V786">
        <v>50</v>
      </c>
      <c r="W786" t="s">
        <v>1057</v>
      </c>
      <c r="X786" t="s">
        <v>957</v>
      </c>
      <c r="Y786">
        <v>30</v>
      </c>
      <c r="AA786" t="s">
        <v>128</v>
      </c>
      <c r="AB786">
        <v>0.5</v>
      </c>
      <c r="AC786" t="s">
        <v>85</v>
      </c>
      <c r="AV786" t="s">
        <v>1172</v>
      </c>
      <c r="AZ786">
        <v>0</v>
      </c>
    </row>
    <row r="787" spans="1:52" x14ac:dyDescent="0.3">
      <c r="A787" t="s">
        <v>1552</v>
      </c>
      <c r="C787" t="s">
        <v>1495</v>
      </c>
      <c r="D787" t="s">
        <v>470</v>
      </c>
      <c r="E787">
        <v>50000000</v>
      </c>
      <c r="H787">
        <v>100</v>
      </c>
      <c r="I787" t="s">
        <v>220</v>
      </c>
      <c r="J787">
        <v>9.9999999999999995E-8</v>
      </c>
      <c r="K787" t="s">
        <v>252</v>
      </c>
      <c r="O787">
        <v>0.35</v>
      </c>
      <c r="T787">
        <v>21</v>
      </c>
      <c r="V787">
        <v>50</v>
      </c>
      <c r="W787" t="s">
        <v>1057</v>
      </c>
      <c r="X787" t="s">
        <v>957</v>
      </c>
      <c r="Y787">
        <v>30</v>
      </c>
      <c r="AA787" t="s">
        <v>128</v>
      </c>
      <c r="AB787">
        <v>0.5</v>
      </c>
      <c r="AC787" t="s">
        <v>85</v>
      </c>
      <c r="AV787" t="s">
        <v>1172</v>
      </c>
      <c r="AZ787">
        <v>0</v>
      </c>
    </row>
    <row r="788" spans="1:52" x14ac:dyDescent="0.3">
      <c r="A788" t="s">
        <v>1552</v>
      </c>
      <c r="C788" t="s">
        <v>1495</v>
      </c>
      <c r="D788" t="s">
        <v>470</v>
      </c>
      <c r="E788">
        <v>50000000</v>
      </c>
      <c r="H788">
        <v>100</v>
      </c>
      <c r="I788" t="s">
        <v>220</v>
      </c>
      <c r="J788">
        <v>9.9999999999999995E-8</v>
      </c>
      <c r="K788" t="s">
        <v>252</v>
      </c>
      <c r="O788">
        <v>3.5</v>
      </c>
      <c r="T788">
        <v>21</v>
      </c>
      <c r="V788">
        <v>50</v>
      </c>
      <c r="W788" t="s">
        <v>1057</v>
      </c>
      <c r="X788" t="s">
        <v>957</v>
      </c>
      <c r="Y788">
        <v>30</v>
      </c>
      <c r="AA788" t="s">
        <v>128</v>
      </c>
      <c r="AB788">
        <v>0.5</v>
      </c>
      <c r="AC788" t="s">
        <v>85</v>
      </c>
      <c r="AV788" t="s">
        <v>1172</v>
      </c>
      <c r="AZ788">
        <v>0</v>
      </c>
    </row>
    <row r="789" spans="1:52" x14ac:dyDescent="0.3">
      <c r="A789" t="s">
        <v>1553</v>
      </c>
      <c r="C789" t="s">
        <v>1495</v>
      </c>
      <c r="O789">
        <v>0.01</v>
      </c>
      <c r="P789" t="s">
        <v>59</v>
      </c>
      <c r="S789">
        <v>2</v>
      </c>
      <c r="T789">
        <v>24</v>
      </c>
      <c r="V789">
        <v>50</v>
      </c>
      <c r="W789" t="s">
        <v>1057</v>
      </c>
      <c r="X789" t="s">
        <v>114</v>
      </c>
      <c r="Y789">
        <v>10</v>
      </c>
      <c r="AB789">
        <v>47.7</v>
      </c>
      <c r="AC789" t="s">
        <v>1070</v>
      </c>
      <c r="AI789">
        <v>2</v>
      </c>
    </row>
    <row r="790" spans="1:52" x14ac:dyDescent="0.3">
      <c r="A790" t="s">
        <v>1553</v>
      </c>
      <c r="C790" t="s">
        <v>1495</v>
      </c>
      <c r="O790">
        <v>0.01</v>
      </c>
      <c r="P790" t="s">
        <v>59</v>
      </c>
      <c r="S790">
        <v>2</v>
      </c>
      <c r="T790">
        <v>24</v>
      </c>
      <c r="V790">
        <v>50</v>
      </c>
      <c r="W790" t="s">
        <v>1057</v>
      </c>
      <c r="X790" t="s">
        <v>114</v>
      </c>
      <c r="Y790">
        <v>10</v>
      </c>
      <c r="AB790">
        <v>42.7</v>
      </c>
      <c r="AC790" t="s">
        <v>1070</v>
      </c>
      <c r="AI790">
        <v>2</v>
      </c>
    </row>
    <row r="791" spans="1:52" x14ac:dyDescent="0.3">
      <c r="A791" t="s">
        <v>1553</v>
      </c>
      <c r="C791" t="s">
        <v>1495</v>
      </c>
      <c r="O791">
        <v>0.02</v>
      </c>
      <c r="P791" t="s">
        <v>59</v>
      </c>
      <c r="S791">
        <v>2</v>
      </c>
      <c r="T791">
        <v>24</v>
      </c>
      <c r="V791">
        <v>50</v>
      </c>
      <c r="W791" t="s">
        <v>1057</v>
      </c>
      <c r="X791" t="s">
        <v>114</v>
      </c>
      <c r="Y791">
        <v>10</v>
      </c>
      <c r="AB791">
        <v>100</v>
      </c>
      <c r="AC791" t="s">
        <v>1070</v>
      </c>
      <c r="AI791">
        <v>2</v>
      </c>
    </row>
    <row r="792" spans="1:52" x14ac:dyDescent="0.3">
      <c r="A792" t="s">
        <v>1553</v>
      </c>
      <c r="C792" t="s">
        <v>1495</v>
      </c>
      <c r="O792">
        <v>0.02</v>
      </c>
      <c r="P792" t="s">
        <v>59</v>
      </c>
      <c r="S792">
        <v>2</v>
      </c>
      <c r="T792">
        <v>24</v>
      </c>
      <c r="V792">
        <v>50</v>
      </c>
      <c r="W792" t="s">
        <v>1057</v>
      </c>
      <c r="X792" t="s">
        <v>114</v>
      </c>
      <c r="Y792">
        <v>10</v>
      </c>
      <c r="AB792">
        <v>99.3</v>
      </c>
      <c r="AC792" t="s">
        <v>1070</v>
      </c>
      <c r="AI792">
        <v>2</v>
      </c>
    </row>
    <row r="793" spans="1:52" x14ac:dyDescent="0.3">
      <c r="A793" t="s">
        <v>1553</v>
      </c>
      <c r="C793" t="s">
        <v>1495</v>
      </c>
      <c r="O793">
        <v>0.05</v>
      </c>
      <c r="P793" t="s">
        <v>59</v>
      </c>
      <c r="S793">
        <v>2</v>
      </c>
      <c r="T793">
        <v>24</v>
      </c>
      <c r="V793">
        <v>50</v>
      </c>
      <c r="W793" t="s">
        <v>1057</v>
      </c>
      <c r="X793" t="s">
        <v>114</v>
      </c>
      <c r="Y793">
        <v>10</v>
      </c>
      <c r="AB793">
        <v>97.1</v>
      </c>
      <c r="AC793" t="s">
        <v>1070</v>
      </c>
      <c r="AI793">
        <v>2</v>
      </c>
    </row>
    <row r="794" spans="1:52" x14ac:dyDescent="0.3">
      <c r="A794" t="s">
        <v>1553</v>
      </c>
      <c r="C794" t="s">
        <v>1495</v>
      </c>
      <c r="O794">
        <v>0.1</v>
      </c>
      <c r="P794" t="s">
        <v>59</v>
      </c>
      <c r="S794">
        <v>2</v>
      </c>
      <c r="T794">
        <v>24</v>
      </c>
      <c r="V794">
        <v>50</v>
      </c>
      <c r="W794" t="s">
        <v>1057</v>
      </c>
      <c r="X794" t="s">
        <v>114</v>
      </c>
      <c r="Y794">
        <v>10</v>
      </c>
      <c r="AB794">
        <v>58.1</v>
      </c>
      <c r="AC794" t="s">
        <v>1070</v>
      </c>
      <c r="AI794">
        <v>2</v>
      </c>
    </row>
    <row r="795" spans="1:52" x14ac:dyDescent="0.3">
      <c r="A795" t="s">
        <v>1553</v>
      </c>
      <c r="C795" t="s">
        <v>1495</v>
      </c>
      <c r="O795">
        <v>0.1</v>
      </c>
      <c r="P795" t="s">
        <v>59</v>
      </c>
      <c r="S795">
        <v>2</v>
      </c>
      <c r="T795">
        <v>24</v>
      </c>
      <c r="V795">
        <v>50</v>
      </c>
      <c r="W795" t="s">
        <v>1057</v>
      </c>
      <c r="X795" t="s">
        <v>114</v>
      </c>
      <c r="Y795">
        <v>10</v>
      </c>
      <c r="AB795">
        <v>52.3</v>
      </c>
      <c r="AC795" t="s">
        <v>1070</v>
      </c>
      <c r="AI795">
        <v>2</v>
      </c>
    </row>
    <row r="796" spans="1:52" x14ac:dyDescent="0.3">
      <c r="A796" t="s">
        <v>1553</v>
      </c>
      <c r="C796" t="s">
        <v>1495</v>
      </c>
      <c r="O796">
        <v>0.2</v>
      </c>
      <c r="P796" t="s">
        <v>59</v>
      </c>
      <c r="S796">
        <v>2</v>
      </c>
      <c r="T796">
        <v>24</v>
      </c>
      <c r="V796">
        <v>50</v>
      </c>
      <c r="W796" t="s">
        <v>1057</v>
      </c>
      <c r="X796" t="s">
        <v>114</v>
      </c>
      <c r="Y796">
        <v>10</v>
      </c>
      <c r="AB796">
        <v>100</v>
      </c>
      <c r="AC796" t="s">
        <v>1070</v>
      </c>
      <c r="AI796">
        <v>2</v>
      </c>
    </row>
    <row r="797" spans="1:52" x14ac:dyDescent="0.3">
      <c r="A797" t="s">
        <v>1553</v>
      </c>
      <c r="C797" t="s">
        <v>1495</v>
      </c>
      <c r="O797">
        <v>0.2</v>
      </c>
      <c r="P797" t="s">
        <v>59</v>
      </c>
      <c r="S797">
        <v>2</v>
      </c>
      <c r="T797">
        <v>24</v>
      </c>
      <c r="V797">
        <v>50</v>
      </c>
      <c r="W797" t="s">
        <v>1057</v>
      </c>
      <c r="X797" t="s">
        <v>114</v>
      </c>
      <c r="Y797">
        <v>10</v>
      </c>
      <c r="AB797">
        <v>100</v>
      </c>
      <c r="AC797" t="s">
        <v>1070</v>
      </c>
      <c r="AI797">
        <v>2</v>
      </c>
    </row>
    <row r="798" spans="1:52" x14ac:dyDescent="0.3">
      <c r="A798" t="s">
        <v>1553</v>
      </c>
      <c r="C798" t="s">
        <v>1495</v>
      </c>
      <c r="O798">
        <v>0.5</v>
      </c>
      <c r="P798" t="s">
        <v>59</v>
      </c>
      <c r="S798">
        <v>2</v>
      </c>
      <c r="T798">
        <v>24</v>
      </c>
      <c r="V798">
        <v>50</v>
      </c>
      <c r="W798" t="s">
        <v>1057</v>
      </c>
      <c r="X798" t="s">
        <v>114</v>
      </c>
      <c r="Y798">
        <v>10</v>
      </c>
      <c r="AB798">
        <v>100</v>
      </c>
      <c r="AC798" t="s">
        <v>1070</v>
      </c>
      <c r="AI798">
        <v>2</v>
      </c>
    </row>
    <row r="799" spans="1:52" x14ac:dyDescent="0.3">
      <c r="A799" t="s">
        <v>1553</v>
      </c>
      <c r="C799" t="s">
        <v>1495</v>
      </c>
      <c r="O799">
        <v>1</v>
      </c>
      <c r="P799" t="s">
        <v>59</v>
      </c>
      <c r="S799">
        <v>2</v>
      </c>
      <c r="T799">
        <v>24</v>
      </c>
      <c r="V799">
        <v>50</v>
      </c>
      <c r="W799" t="s">
        <v>1057</v>
      </c>
      <c r="X799" t="s">
        <v>114</v>
      </c>
      <c r="Y799">
        <v>10</v>
      </c>
      <c r="AB799">
        <v>100</v>
      </c>
      <c r="AC799" t="s">
        <v>1070</v>
      </c>
      <c r="AI799">
        <v>2</v>
      </c>
    </row>
    <row r="800" spans="1:52" x14ac:dyDescent="0.3">
      <c r="A800" t="s">
        <v>1553</v>
      </c>
      <c r="C800" t="s">
        <v>1495</v>
      </c>
      <c r="O800">
        <v>1</v>
      </c>
      <c r="P800" t="s">
        <v>59</v>
      </c>
      <c r="S800">
        <v>2</v>
      </c>
      <c r="T800">
        <v>24</v>
      </c>
      <c r="V800">
        <v>50</v>
      </c>
      <c r="W800" t="s">
        <v>1057</v>
      </c>
      <c r="X800" t="s">
        <v>114</v>
      </c>
      <c r="Y800">
        <v>10</v>
      </c>
      <c r="AB800">
        <v>72</v>
      </c>
      <c r="AC800" t="s">
        <v>1070</v>
      </c>
      <c r="AI800">
        <v>2</v>
      </c>
    </row>
    <row r="801" spans="1:35" x14ac:dyDescent="0.3">
      <c r="A801" t="s">
        <v>1553</v>
      </c>
      <c r="C801" t="s">
        <v>1495</v>
      </c>
      <c r="O801">
        <v>2</v>
      </c>
      <c r="P801" t="s">
        <v>59</v>
      </c>
      <c r="S801">
        <v>2</v>
      </c>
      <c r="T801">
        <v>24</v>
      </c>
      <c r="V801">
        <v>50</v>
      </c>
      <c r="W801" t="s">
        <v>1057</v>
      </c>
      <c r="X801" t="s">
        <v>114</v>
      </c>
      <c r="Y801">
        <v>10</v>
      </c>
      <c r="AB801">
        <v>100</v>
      </c>
      <c r="AC801" t="s">
        <v>1070</v>
      </c>
      <c r="AI801">
        <v>2</v>
      </c>
    </row>
    <row r="802" spans="1:35" x14ac:dyDescent="0.3">
      <c r="A802" t="s">
        <v>1553</v>
      </c>
      <c r="C802" t="s">
        <v>1495</v>
      </c>
      <c r="O802">
        <v>2</v>
      </c>
      <c r="P802" t="s">
        <v>59</v>
      </c>
      <c r="S802">
        <v>2</v>
      </c>
      <c r="T802">
        <v>24</v>
      </c>
      <c r="V802">
        <v>50</v>
      </c>
      <c r="W802" t="s">
        <v>1057</v>
      </c>
      <c r="X802" t="s">
        <v>114</v>
      </c>
      <c r="Y802">
        <v>10</v>
      </c>
      <c r="AB802">
        <v>100</v>
      </c>
      <c r="AC802" t="s">
        <v>1070</v>
      </c>
      <c r="AI802">
        <v>2</v>
      </c>
    </row>
    <row r="803" spans="1:35" x14ac:dyDescent="0.3">
      <c r="A803" t="s">
        <v>1553</v>
      </c>
      <c r="C803" t="s">
        <v>1495</v>
      </c>
      <c r="O803">
        <v>5</v>
      </c>
      <c r="P803" t="s">
        <v>59</v>
      </c>
      <c r="S803">
        <v>2</v>
      </c>
      <c r="T803">
        <v>24</v>
      </c>
      <c r="V803">
        <v>50</v>
      </c>
      <c r="W803" t="s">
        <v>1057</v>
      </c>
      <c r="X803" t="s">
        <v>114</v>
      </c>
      <c r="Y803">
        <v>10</v>
      </c>
      <c r="AB803">
        <v>100</v>
      </c>
      <c r="AC803" t="s">
        <v>1070</v>
      </c>
      <c r="AI803">
        <v>2</v>
      </c>
    </row>
    <row r="804" spans="1:35" x14ac:dyDescent="0.3">
      <c r="A804" t="s">
        <v>1553</v>
      </c>
      <c r="C804" t="s">
        <v>1495</v>
      </c>
      <c r="O804">
        <v>0.01</v>
      </c>
      <c r="P804" t="s">
        <v>59</v>
      </c>
      <c r="S804">
        <v>2</v>
      </c>
      <c r="T804">
        <v>24</v>
      </c>
      <c r="V804">
        <v>50</v>
      </c>
      <c r="W804" t="s">
        <v>1057</v>
      </c>
      <c r="X804" t="s">
        <v>114</v>
      </c>
      <c r="Y804">
        <v>10</v>
      </c>
      <c r="AB804">
        <v>79.400000000000006</v>
      </c>
      <c r="AC804" t="s">
        <v>1070</v>
      </c>
      <c r="AI804">
        <v>2</v>
      </c>
    </row>
    <row r="805" spans="1:35" x14ac:dyDescent="0.3">
      <c r="A805" t="s">
        <v>1553</v>
      </c>
      <c r="C805" t="s">
        <v>1495</v>
      </c>
      <c r="O805">
        <v>0.01</v>
      </c>
      <c r="P805" t="s">
        <v>59</v>
      </c>
      <c r="S805">
        <v>2</v>
      </c>
      <c r="T805">
        <v>24</v>
      </c>
      <c r="V805">
        <v>50</v>
      </c>
      <c r="W805" t="s">
        <v>1057</v>
      </c>
      <c r="X805" t="s">
        <v>114</v>
      </c>
      <c r="Y805">
        <v>10</v>
      </c>
      <c r="AB805">
        <v>77.3</v>
      </c>
      <c r="AC805" t="s">
        <v>1070</v>
      </c>
      <c r="AI805">
        <v>2</v>
      </c>
    </row>
    <row r="806" spans="1:35" x14ac:dyDescent="0.3">
      <c r="A806" t="s">
        <v>1553</v>
      </c>
      <c r="C806" t="s">
        <v>1495</v>
      </c>
      <c r="O806">
        <v>0.02</v>
      </c>
      <c r="P806" t="s">
        <v>59</v>
      </c>
      <c r="S806">
        <v>2</v>
      </c>
      <c r="T806">
        <v>24</v>
      </c>
      <c r="V806">
        <v>50</v>
      </c>
      <c r="W806" t="s">
        <v>1057</v>
      </c>
      <c r="X806" t="s">
        <v>114</v>
      </c>
      <c r="Y806">
        <v>10</v>
      </c>
      <c r="AB806">
        <v>92.9</v>
      </c>
      <c r="AC806" t="s">
        <v>1070</v>
      </c>
      <c r="AI806">
        <v>2</v>
      </c>
    </row>
    <row r="807" spans="1:35" x14ac:dyDescent="0.3">
      <c r="A807" t="s">
        <v>1553</v>
      </c>
      <c r="C807" t="s">
        <v>1495</v>
      </c>
      <c r="O807">
        <v>0.02</v>
      </c>
      <c r="P807" t="s">
        <v>59</v>
      </c>
      <c r="S807">
        <v>2</v>
      </c>
      <c r="T807">
        <v>24</v>
      </c>
      <c r="V807">
        <v>50</v>
      </c>
      <c r="W807" t="s">
        <v>1057</v>
      </c>
      <c r="X807" t="s">
        <v>114</v>
      </c>
      <c r="Y807">
        <v>10</v>
      </c>
      <c r="AB807">
        <v>99.3</v>
      </c>
      <c r="AC807" t="s">
        <v>1070</v>
      </c>
      <c r="AI807">
        <v>2</v>
      </c>
    </row>
    <row r="808" spans="1:35" x14ac:dyDescent="0.3">
      <c r="A808" t="s">
        <v>1553</v>
      </c>
      <c r="C808" t="s">
        <v>1495</v>
      </c>
      <c r="O808">
        <v>0.05</v>
      </c>
      <c r="P808" t="s">
        <v>59</v>
      </c>
      <c r="S808">
        <v>2</v>
      </c>
      <c r="T808">
        <v>24</v>
      </c>
      <c r="V808">
        <v>50</v>
      </c>
      <c r="W808" t="s">
        <v>1057</v>
      </c>
      <c r="X808" t="s">
        <v>114</v>
      </c>
      <c r="Y808">
        <v>10</v>
      </c>
      <c r="AB808">
        <v>100</v>
      </c>
      <c r="AC808" t="s">
        <v>1070</v>
      </c>
      <c r="AI808">
        <v>2</v>
      </c>
    </row>
    <row r="809" spans="1:35" x14ac:dyDescent="0.3">
      <c r="A809" t="s">
        <v>1553</v>
      </c>
      <c r="C809" t="s">
        <v>1495</v>
      </c>
      <c r="O809">
        <v>0.1</v>
      </c>
      <c r="P809" t="s">
        <v>59</v>
      </c>
      <c r="S809">
        <v>2</v>
      </c>
      <c r="T809">
        <v>24</v>
      </c>
      <c r="V809">
        <v>50</v>
      </c>
      <c r="W809" t="s">
        <v>1057</v>
      </c>
      <c r="X809" t="s">
        <v>114</v>
      </c>
      <c r="Y809">
        <v>10</v>
      </c>
      <c r="AB809">
        <v>82.3</v>
      </c>
      <c r="AC809" t="s">
        <v>1070</v>
      </c>
      <c r="AI809">
        <v>2</v>
      </c>
    </row>
    <row r="810" spans="1:35" x14ac:dyDescent="0.3">
      <c r="A810" t="s">
        <v>1553</v>
      </c>
      <c r="C810" t="s">
        <v>1495</v>
      </c>
      <c r="O810">
        <v>0.1</v>
      </c>
      <c r="P810" t="s">
        <v>59</v>
      </c>
      <c r="S810">
        <v>2</v>
      </c>
      <c r="T810">
        <v>24</v>
      </c>
      <c r="V810">
        <v>50</v>
      </c>
      <c r="W810" t="s">
        <v>1057</v>
      </c>
      <c r="X810" t="s">
        <v>114</v>
      </c>
      <c r="Y810">
        <v>10</v>
      </c>
      <c r="AB810">
        <v>83</v>
      </c>
      <c r="AC810" t="s">
        <v>1070</v>
      </c>
      <c r="AI810">
        <v>2</v>
      </c>
    </row>
    <row r="811" spans="1:35" x14ac:dyDescent="0.3">
      <c r="A811" t="s">
        <v>1553</v>
      </c>
      <c r="C811" t="s">
        <v>1495</v>
      </c>
      <c r="O811">
        <v>0.2</v>
      </c>
      <c r="P811" t="s">
        <v>59</v>
      </c>
      <c r="S811">
        <v>2</v>
      </c>
      <c r="T811">
        <v>24</v>
      </c>
      <c r="V811">
        <v>50</v>
      </c>
      <c r="W811" t="s">
        <v>1057</v>
      </c>
      <c r="X811" t="s">
        <v>114</v>
      </c>
      <c r="Y811">
        <v>10</v>
      </c>
      <c r="AB811">
        <v>100</v>
      </c>
      <c r="AC811" t="s">
        <v>1070</v>
      </c>
      <c r="AI811">
        <v>2</v>
      </c>
    </row>
    <row r="812" spans="1:35" x14ac:dyDescent="0.3">
      <c r="A812" t="s">
        <v>1553</v>
      </c>
      <c r="C812" t="s">
        <v>1495</v>
      </c>
      <c r="O812">
        <v>0.2</v>
      </c>
      <c r="P812" t="s">
        <v>59</v>
      </c>
      <c r="S812">
        <v>2</v>
      </c>
      <c r="T812">
        <v>24</v>
      </c>
      <c r="V812">
        <v>50</v>
      </c>
      <c r="W812" t="s">
        <v>1057</v>
      </c>
      <c r="X812" t="s">
        <v>114</v>
      </c>
      <c r="Y812">
        <v>10</v>
      </c>
      <c r="AB812">
        <v>100</v>
      </c>
      <c r="AC812" t="s">
        <v>1070</v>
      </c>
      <c r="AI812">
        <v>2</v>
      </c>
    </row>
    <row r="813" spans="1:35" x14ac:dyDescent="0.3">
      <c r="A813" t="s">
        <v>1553</v>
      </c>
      <c r="C813" t="s">
        <v>1495</v>
      </c>
      <c r="O813">
        <v>0.5</v>
      </c>
      <c r="P813" t="s">
        <v>59</v>
      </c>
      <c r="S813">
        <v>2</v>
      </c>
      <c r="T813">
        <v>24</v>
      </c>
      <c r="V813">
        <v>50</v>
      </c>
      <c r="W813" t="s">
        <v>1057</v>
      </c>
      <c r="X813" t="s">
        <v>114</v>
      </c>
      <c r="Y813">
        <v>10</v>
      </c>
      <c r="AB813">
        <v>100</v>
      </c>
      <c r="AC813" t="s">
        <v>1070</v>
      </c>
      <c r="AI813">
        <v>2</v>
      </c>
    </row>
    <row r="814" spans="1:35" x14ac:dyDescent="0.3">
      <c r="A814" t="s">
        <v>1553</v>
      </c>
      <c r="C814" t="s">
        <v>1495</v>
      </c>
      <c r="O814">
        <v>1</v>
      </c>
      <c r="P814" t="s">
        <v>59</v>
      </c>
      <c r="S814">
        <v>2</v>
      </c>
      <c r="T814">
        <v>24</v>
      </c>
      <c r="V814">
        <v>50</v>
      </c>
      <c r="W814" t="s">
        <v>1057</v>
      </c>
      <c r="X814" t="s">
        <v>114</v>
      </c>
      <c r="Y814">
        <v>10</v>
      </c>
      <c r="AB814">
        <v>100</v>
      </c>
      <c r="AC814" t="s">
        <v>1070</v>
      </c>
      <c r="AI814">
        <v>2</v>
      </c>
    </row>
    <row r="815" spans="1:35" x14ac:dyDescent="0.3">
      <c r="A815" t="s">
        <v>1553</v>
      </c>
      <c r="C815" t="s">
        <v>1495</v>
      </c>
      <c r="O815">
        <v>1</v>
      </c>
      <c r="P815" t="s">
        <v>59</v>
      </c>
      <c r="S815">
        <v>2</v>
      </c>
      <c r="T815">
        <v>24</v>
      </c>
      <c r="V815">
        <v>50</v>
      </c>
      <c r="W815" t="s">
        <v>1057</v>
      </c>
      <c r="X815" t="s">
        <v>114</v>
      </c>
      <c r="Y815">
        <v>10</v>
      </c>
      <c r="AB815">
        <v>98.6</v>
      </c>
      <c r="AC815" t="s">
        <v>1070</v>
      </c>
      <c r="AI815">
        <v>2</v>
      </c>
    </row>
    <row r="816" spans="1:35" x14ac:dyDescent="0.3">
      <c r="A816" t="s">
        <v>1553</v>
      </c>
      <c r="C816" t="s">
        <v>1495</v>
      </c>
      <c r="O816">
        <v>2</v>
      </c>
      <c r="P816" t="s">
        <v>59</v>
      </c>
      <c r="S816">
        <v>2</v>
      </c>
      <c r="T816">
        <v>24</v>
      </c>
      <c r="V816">
        <v>50</v>
      </c>
      <c r="W816" t="s">
        <v>1057</v>
      </c>
      <c r="X816" t="s">
        <v>114</v>
      </c>
      <c r="Y816">
        <v>10</v>
      </c>
      <c r="AB816">
        <v>100</v>
      </c>
      <c r="AC816" t="s">
        <v>1070</v>
      </c>
      <c r="AI816">
        <v>2</v>
      </c>
    </row>
    <row r="817" spans="1:35" x14ac:dyDescent="0.3">
      <c r="A817" t="s">
        <v>1553</v>
      </c>
      <c r="C817" t="s">
        <v>1495</v>
      </c>
      <c r="O817">
        <v>2</v>
      </c>
      <c r="P817" t="s">
        <v>59</v>
      </c>
      <c r="S817">
        <v>2</v>
      </c>
      <c r="T817">
        <v>24</v>
      </c>
      <c r="V817">
        <v>50</v>
      </c>
      <c r="W817" t="s">
        <v>1057</v>
      </c>
      <c r="X817" t="s">
        <v>114</v>
      </c>
      <c r="Y817">
        <v>10</v>
      </c>
      <c r="AB817">
        <v>100</v>
      </c>
      <c r="AC817" t="s">
        <v>1070</v>
      </c>
      <c r="AI817">
        <v>2</v>
      </c>
    </row>
    <row r="818" spans="1:35" x14ac:dyDescent="0.3">
      <c r="A818" t="s">
        <v>1553</v>
      </c>
      <c r="C818" t="s">
        <v>1495</v>
      </c>
      <c r="O818">
        <v>5</v>
      </c>
      <c r="P818" t="s">
        <v>59</v>
      </c>
      <c r="S818">
        <v>2</v>
      </c>
      <c r="T818">
        <v>24</v>
      </c>
      <c r="V818">
        <v>50</v>
      </c>
      <c r="W818" t="s">
        <v>1057</v>
      </c>
      <c r="X818" t="s">
        <v>114</v>
      </c>
      <c r="Y818">
        <v>10</v>
      </c>
      <c r="AB818">
        <v>100</v>
      </c>
      <c r="AC818" t="s">
        <v>1070</v>
      </c>
      <c r="AI818">
        <v>2</v>
      </c>
    </row>
    <row r="819" spans="1:35" x14ac:dyDescent="0.3">
      <c r="A819" t="s">
        <v>1553</v>
      </c>
      <c r="C819" t="s">
        <v>1495</v>
      </c>
      <c r="O819">
        <v>0.01</v>
      </c>
      <c r="P819" t="s">
        <v>59</v>
      </c>
      <c r="S819">
        <v>2</v>
      </c>
      <c r="T819">
        <v>24</v>
      </c>
      <c r="V819">
        <v>50</v>
      </c>
      <c r="W819" t="s">
        <v>1057</v>
      </c>
      <c r="X819" t="s">
        <v>114</v>
      </c>
      <c r="Y819">
        <v>10</v>
      </c>
      <c r="AB819">
        <v>18</v>
      </c>
      <c r="AC819" t="s">
        <v>1070</v>
      </c>
      <c r="AI819">
        <v>2</v>
      </c>
    </row>
    <row r="820" spans="1:35" x14ac:dyDescent="0.3">
      <c r="A820" t="s">
        <v>1553</v>
      </c>
      <c r="C820" t="s">
        <v>1495</v>
      </c>
      <c r="O820">
        <v>0.01</v>
      </c>
      <c r="P820" t="s">
        <v>59</v>
      </c>
      <c r="S820">
        <v>2</v>
      </c>
      <c r="T820">
        <v>24</v>
      </c>
      <c r="V820">
        <v>50</v>
      </c>
      <c r="W820" t="s">
        <v>1057</v>
      </c>
      <c r="X820" t="s">
        <v>114</v>
      </c>
      <c r="Y820">
        <v>10</v>
      </c>
      <c r="AB820">
        <v>14.5</v>
      </c>
      <c r="AC820" t="s">
        <v>1070</v>
      </c>
      <c r="AI820">
        <v>2</v>
      </c>
    </row>
    <row r="821" spans="1:35" x14ac:dyDescent="0.3">
      <c r="A821" t="s">
        <v>1553</v>
      </c>
      <c r="C821" t="s">
        <v>1495</v>
      </c>
      <c r="O821">
        <v>0.02</v>
      </c>
      <c r="P821" t="s">
        <v>59</v>
      </c>
      <c r="S821">
        <v>2</v>
      </c>
      <c r="T821">
        <v>24</v>
      </c>
      <c r="V821">
        <v>50</v>
      </c>
      <c r="W821" t="s">
        <v>1057</v>
      </c>
      <c r="X821" t="s">
        <v>114</v>
      </c>
      <c r="Y821">
        <v>10</v>
      </c>
      <c r="AB821">
        <v>48.4</v>
      </c>
      <c r="AC821" t="s">
        <v>1070</v>
      </c>
      <c r="AI821">
        <v>2</v>
      </c>
    </row>
    <row r="822" spans="1:35" x14ac:dyDescent="0.3">
      <c r="A822" t="s">
        <v>1553</v>
      </c>
      <c r="C822" t="s">
        <v>1495</v>
      </c>
      <c r="O822">
        <v>0.02</v>
      </c>
      <c r="P822" t="s">
        <v>59</v>
      </c>
      <c r="S822">
        <v>2</v>
      </c>
      <c r="T822">
        <v>24</v>
      </c>
      <c r="V822">
        <v>50</v>
      </c>
      <c r="W822" t="s">
        <v>1057</v>
      </c>
      <c r="X822" t="s">
        <v>114</v>
      </c>
      <c r="Y822">
        <v>10</v>
      </c>
      <c r="AB822">
        <v>52</v>
      </c>
      <c r="AC822" t="s">
        <v>1070</v>
      </c>
      <c r="AI822">
        <v>2</v>
      </c>
    </row>
    <row r="823" spans="1:35" x14ac:dyDescent="0.3">
      <c r="A823" t="s">
        <v>1553</v>
      </c>
      <c r="C823" t="s">
        <v>1495</v>
      </c>
      <c r="O823">
        <v>0.05</v>
      </c>
      <c r="P823" t="s">
        <v>59</v>
      </c>
      <c r="S823">
        <v>2</v>
      </c>
      <c r="T823">
        <v>24</v>
      </c>
      <c r="V823">
        <v>50</v>
      </c>
      <c r="W823" t="s">
        <v>1057</v>
      </c>
      <c r="X823" t="s">
        <v>114</v>
      </c>
      <c r="Y823">
        <v>10</v>
      </c>
      <c r="AB823">
        <v>98.1</v>
      </c>
      <c r="AC823" t="s">
        <v>1070</v>
      </c>
      <c r="AI823">
        <v>2</v>
      </c>
    </row>
    <row r="824" spans="1:35" x14ac:dyDescent="0.3">
      <c r="A824" t="s">
        <v>1553</v>
      </c>
      <c r="C824" t="s">
        <v>1495</v>
      </c>
      <c r="O824">
        <v>0.1</v>
      </c>
      <c r="P824" t="s">
        <v>59</v>
      </c>
      <c r="S824">
        <v>2</v>
      </c>
      <c r="T824">
        <v>24</v>
      </c>
      <c r="V824">
        <v>50</v>
      </c>
      <c r="W824" t="s">
        <v>1057</v>
      </c>
      <c r="X824" t="s">
        <v>114</v>
      </c>
      <c r="Y824">
        <v>10</v>
      </c>
      <c r="AB824">
        <v>22.7</v>
      </c>
      <c r="AC824" t="s">
        <v>1070</v>
      </c>
      <c r="AI824">
        <v>2</v>
      </c>
    </row>
    <row r="825" spans="1:35" x14ac:dyDescent="0.3">
      <c r="A825" t="s">
        <v>1553</v>
      </c>
      <c r="C825" t="s">
        <v>1495</v>
      </c>
      <c r="O825">
        <v>0.1</v>
      </c>
      <c r="P825" t="s">
        <v>59</v>
      </c>
      <c r="S825">
        <v>2</v>
      </c>
      <c r="T825">
        <v>24</v>
      </c>
      <c r="V825">
        <v>50</v>
      </c>
      <c r="W825" t="s">
        <v>1057</v>
      </c>
      <c r="X825" t="s">
        <v>114</v>
      </c>
      <c r="Y825">
        <v>10</v>
      </c>
      <c r="AB825">
        <v>39.299999999999898</v>
      </c>
      <c r="AC825" t="s">
        <v>1070</v>
      </c>
      <c r="AI825">
        <v>2</v>
      </c>
    </row>
    <row r="826" spans="1:35" x14ac:dyDescent="0.3">
      <c r="A826" t="s">
        <v>1553</v>
      </c>
      <c r="C826" t="s">
        <v>1495</v>
      </c>
      <c r="O826">
        <v>0.2</v>
      </c>
      <c r="P826" t="s">
        <v>59</v>
      </c>
      <c r="S826">
        <v>2</v>
      </c>
      <c r="T826">
        <v>24</v>
      </c>
      <c r="V826">
        <v>50</v>
      </c>
      <c r="W826" t="s">
        <v>1057</v>
      </c>
      <c r="X826" t="s">
        <v>114</v>
      </c>
      <c r="Y826">
        <v>10</v>
      </c>
      <c r="AB826">
        <v>99.9</v>
      </c>
      <c r="AC826" t="s">
        <v>1070</v>
      </c>
      <c r="AI826">
        <v>2</v>
      </c>
    </row>
    <row r="827" spans="1:35" x14ac:dyDescent="0.3">
      <c r="A827" t="s">
        <v>1553</v>
      </c>
      <c r="C827" t="s">
        <v>1495</v>
      </c>
      <c r="O827">
        <v>0.2</v>
      </c>
      <c r="P827" t="s">
        <v>59</v>
      </c>
      <c r="S827">
        <v>2</v>
      </c>
      <c r="T827">
        <v>24</v>
      </c>
      <c r="V827">
        <v>50</v>
      </c>
      <c r="W827" t="s">
        <v>1057</v>
      </c>
      <c r="X827" t="s">
        <v>114</v>
      </c>
      <c r="Y827">
        <v>10</v>
      </c>
      <c r="AB827">
        <v>99.9</v>
      </c>
      <c r="AC827" t="s">
        <v>1070</v>
      </c>
      <c r="AI827">
        <v>2</v>
      </c>
    </row>
    <row r="828" spans="1:35" x14ac:dyDescent="0.3">
      <c r="A828" t="s">
        <v>1553</v>
      </c>
      <c r="C828" t="s">
        <v>1495</v>
      </c>
      <c r="O828">
        <v>0.5</v>
      </c>
      <c r="P828" t="s">
        <v>59</v>
      </c>
      <c r="S828">
        <v>2</v>
      </c>
      <c r="T828">
        <v>24</v>
      </c>
      <c r="V828">
        <v>50</v>
      </c>
      <c r="W828" t="s">
        <v>1057</v>
      </c>
      <c r="X828" t="s">
        <v>114</v>
      </c>
      <c r="Y828">
        <v>10</v>
      </c>
      <c r="AB828">
        <v>99.9</v>
      </c>
      <c r="AC828" t="s">
        <v>1070</v>
      </c>
      <c r="AI828">
        <v>2</v>
      </c>
    </row>
    <row r="829" spans="1:35" x14ac:dyDescent="0.3">
      <c r="A829" t="s">
        <v>1553</v>
      </c>
      <c r="C829" t="s">
        <v>1495</v>
      </c>
      <c r="O829">
        <v>1</v>
      </c>
      <c r="P829" t="s">
        <v>59</v>
      </c>
      <c r="S829">
        <v>2</v>
      </c>
      <c r="T829">
        <v>24</v>
      </c>
      <c r="V829">
        <v>50</v>
      </c>
      <c r="W829" t="s">
        <v>1057</v>
      </c>
      <c r="X829" t="s">
        <v>114</v>
      </c>
      <c r="Y829">
        <v>10</v>
      </c>
      <c r="AB829">
        <v>39.299999999999898</v>
      </c>
      <c r="AC829" t="s">
        <v>1070</v>
      </c>
      <c r="AI829">
        <v>2</v>
      </c>
    </row>
    <row r="830" spans="1:35" x14ac:dyDescent="0.3">
      <c r="A830" t="s">
        <v>1553</v>
      </c>
      <c r="C830" t="s">
        <v>1495</v>
      </c>
      <c r="O830">
        <v>1</v>
      </c>
      <c r="P830" t="s">
        <v>59</v>
      </c>
      <c r="S830">
        <v>2</v>
      </c>
      <c r="T830">
        <v>24</v>
      </c>
      <c r="V830">
        <v>50</v>
      </c>
      <c r="W830" t="s">
        <v>1057</v>
      </c>
      <c r="X830" t="s">
        <v>114</v>
      </c>
      <c r="Y830">
        <v>10</v>
      </c>
      <c r="AB830">
        <v>98.4</v>
      </c>
      <c r="AC830" t="s">
        <v>1070</v>
      </c>
      <c r="AI830">
        <v>2</v>
      </c>
    </row>
    <row r="831" spans="1:35" x14ac:dyDescent="0.3">
      <c r="A831" t="s">
        <v>1553</v>
      </c>
      <c r="C831" t="s">
        <v>1495</v>
      </c>
      <c r="O831">
        <v>2</v>
      </c>
      <c r="P831" t="s">
        <v>59</v>
      </c>
      <c r="S831">
        <v>2</v>
      </c>
      <c r="T831">
        <v>24</v>
      </c>
      <c r="V831">
        <v>50</v>
      </c>
      <c r="W831" t="s">
        <v>1057</v>
      </c>
      <c r="X831" t="s">
        <v>114</v>
      </c>
      <c r="Y831">
        <v>10</v>
      </c>
      <c r="AB831">
        <v>100</v>
      </c>
      <c r="AC831" t="s">
        <v>1070</v>
      </c>
      <c r="AI831">
        <v>2</v>
      </c>
    </row>
    <row r="832" spans="1:35" x14ac:dyDescent="0.3">
      <c r="A832" t="s">
        <v>1553</v>
      </c>
      <c r="C832" t="s">
        <v>1495</v>
      </c>
      <c r="O832">
        <v>2</v>
      </c>
      <c r="P832" t="s">
        <v>59</v>
      </c>
      <c r="S832">
        <v>2</v>
      </c>
      <c r="T832">
        <v>24</v>
      </c>
      <c r="V832">
        <v>50</v>
      </c>
      <c r="W832" t="s">
        <v>1057</v>
      </c>
      <c r="X832" t="s">
        <v>114</v>
      </c>
      <c r="Y832">
        <v>10</v>
      </c>
      <c r="AB832">
        <v>100</v>
      </c>
      <c r="AC832" t="s">
        <v>1070</v>
      </c>
      <c r="AI832">
        <v>2</v>
      </c>
    </row>
    <row r="833" spans="1:53" x14ac:dyDescent="0.3">
      <c r="A833" t="s">
        <v>1553</v>
      </c>
      <c r="C833" t="s">
        <v>1495</v>
      </c>
      <c r="O833">
        <v>5</v>
      </c>
      <c r="P833" t="s">
        <v>59</v>
      </c>
      <c r="S833">
        <v>2</v>
      </c>
      <c r="T833">
        <v>24</v>
      </c>
      <c r="V833">
        <v>50</v>
      </c>
      <c r="W833" t="s">
        <v>1057</v>
      </c>
      <c r="X833" t="s">
        <v>114</v>
      </c>
      <c r="Y833">
        <v>10</v>
      </c>
      <c r="AB833">
        <v>82.6</v>
      </c>
      <c r="AC833" t="s">
        <v>1070</v>
      </c>
      <c r="AI833">
        <v>2</v>
      </c>
    </row>
    <row r="834" spans="1:53" x14ac:dyDescent="0.3">
      <c r="A834" t="s">
        <v>1553</v>
      </c>
      <c r="C834" t="s">
        <v>1495</v>
      </c>
      <c r="O834">
        <v>5</v>
      </c>
      <c r="P834" t="s">
        <v>59</v>
      </c>
      <c r="S834">
        <v>2</v>
      </c>
      <c r="T834">
        <v>24</v>
      </c>
      <c r="V834">
        <v>50</v>
      </c>
      <c r="W834" t="s">
        <v>1057</v>
      </c>
      <c r="X834" t="s">
        <v>114</v>
      </c>
      <c r="Y834">
        <v>10</v>
      </c>
      <c r="AB834">
        <v>99.9</v>
      </c>
      <c r="AC834" t="s">
        <v>1070</v>
      </c>
      <c r="AI834">
        <v>2</v>
      </c>
    </row>
    <row r="835" spans="1:53" x14ac:dyDescent="0.3">
      <c r="A835" t="s">
        <v>1553</v>
      </c>
      <c r="C835" t="s">
        <v>1495</v>
      </c>
      <c r="O835">
        <v>5</v>
      </c>
      <c r="P835" t="s">
        <v>59</v>
      </c>
      <c r="S835">
        <v>2</v>
      </c>
      <c r="T835">
        <v>24</v>
      </c>
      <c r="V835">
        <v>50</v>
      </c>
      <c r="W835" t="s">
        <v>1057</v>
      </c>
      <c r="X835" t="s">
        <v>114</v>
      </c>
      <c r="Y835">
        <v>10</v>
      </c>
      <c r="AB835">
        <v>100</v>
      </c>
      <c r="AC835" t="s">
        <v>1070</v>
      </c>
      <c r="AI835">
        <v>2</v>
      </c>
    </row>
    <row r="836" spans="1:53" x14ac:dyDescent="0.3">
      <c r="A836" t="s">
        <v>1554</v>
      </c>
      <c r="C836" t="s">
        <v>1495</v>
      </c>
      <c r="H836">
        <v>3</v>
      </c>
      <c r="I836" t="s">
        <v>82</v>
      </c>
      <c r="J836">
        <v>3.0000000000000001E-6</v>
      </c>
      <c r="K836" t="s">
        <v>252</v>
      </c>
      <c r="O836">
        <v>5.5E-2</v>
      </c>
      <c r="P836" t="s">
        <v>59</v>
      </c>
      <c r="T836">
        <v>50</v>
      </c>
      <c r="V836">
        <v>50</v>
      </c>
      <c r="W836" t="s">
        <v>1057</v>
      </c>
      <c r="X836" t="s">
        <v>114</v>
      </c>
      <c r="Y836">
        <v>8.3116403808773817E-2</v>
      </c>
      <c r="AB836">
        <v>0.272164948453608</v>
      </c>
      <c r="AC836" t="s">
        <v>85</v>
      </c>
      <c r="AI836">
        <v>2</v>
      </c>
      <c r="AV836" t="s">
        <v>256</v>
      </c>
    </row>
    <row r="837" spans="1:53" x14ac:dyDescent="0.3">
      <c r="A837" t="s">
        <v>1554</v>
      </c>
      <c r="C837" t="s">
        <v>1495</v>
      </c>
      <c r="H837">
        <v>3</v>
      </c>
      <c r="I837" t="s">
        <v>82</v>
      </c>
      <c r="J837">
        <v>3.0000000000000001E-6</v>
      </c>
      <c r="K837" t="s">
        <v>252</v>
      </c>
      <c r="O837">
        <v>5.5E-2</v>
      </c>
      <c r="P837" t="s">
        <v>59</v>
      </c>
      <c r="T837">
        <v>50</v>
      </c>
      <c r="V837">
        <v>50</v>
      </c>
      <c r="W837" t="s">
        <v>1057</v>
      </c>
      <c r="X837" t="s">
        <v>114</v>
      </c>
      <c r="Y837">
        <v>0.1670299928646983</v>
      </c>
      <c r="AB837">
        <v>0.51958762886597798</v>
      </c>
      <c r="AC837" t="s">
        <v>85</v>
      </c>
      <c r="AI837">
        <v>2</v>
      </c>
      <c r="AV837" t="s">
        <v>256</v>
      </c>
    </row>
    <row r="838" spans="1:53" x14ac:dyDescent="0.3">
      <c r="A838" t="s">
        <v>1554</v>
      </c>
      <c r="C838" t="s">
        <v>1495</v>
      </c>
      <c r="H838">
        <v>3</v>
      </c>
      <c r="I838" t="s">
        <v>82</v>
      </c>
      <c r="J838">
        <v>3.0000000000000001E-6</v>
      </c>
      <c r="K838" t="s">
        <v>252</v>
      </c>
      <c r="O838">
        <v>5.5E-2</v>
      </c>
      <c r="P838" t="s">
        <v>59</v>
      </c>
      <c r="T838">
        <v>50</v>
      </c>
      <c r="V838">
        <v>50</v>
      </c>
      <c r="W838" t="s">
        <v>1057</v>
      </c>
      <c r="X838" t="s">
        <v>114</v>
      </c>
      <c r="Y838">
        <v>0.2497289406129784</v>
      </c>
      <c r="AB838">
        <v>1.08865979381443</v>
      </c>
      <c r="AC838" t="s">
        <v>85</v>
      </c>
      <c r="AI838">
        <v>2</v>
      </c>
      <c r="AV838" t="s">
        <v>256</v>
      </c>
    </row>
    <row r="839" spans="1:53" x14ac:dyDescent="0.3">
      <c r="A839" t="s">
        <v>1554</v>
      </c>
      <c r="C839" t="s">
        <v>1495</v>
      </c>
      <c r="H839">
        <v>3</v>
      </c>
      <c r="I839" t="s">
        <v>82</v>
      </c>
      <c r="J839">
        <v>3.0000000000000001E-6</v>
      </c>
      <c r="K839" t="s">
        <v>252</v>
      </c>
      <c r="O839">
        <v>5.5E-2</v>
      </c>
      <c r="P839" t="s">
        <v>59</v>
      </c>
      <c r="T839">
        <v>50</v>
      </c>
      <c r="V839">
        <v>50</v>
      </c>
      <c r="W839" t="s">
        <v>1057</v>
      </c>
      <c r="X839" t="s">
        <v>114</v>
      </c>
      <c r="Y839">
        <v>0.33319636837831829</v>
      </c>
      <c r="AB839">
        <v>2.0659793814432801</v>
      </c>
      <c r="AC839" t="s">
        <v>85</v>
      </c>
      <c r="AI839">
        <v>2</v>
      </c>
      <c r="AV839" t="s">
        <v>256</v>
      </c>
    </row>
    <row r="840" spans="1:53" x14ac:dyDescent="0.3">
      <c r="A840" t="s">
        <v>1554</v>
      </c>
      <c r="C840" t="s">
        <v>1495</v>
      </c>
      <c r="H840">
        <v>3</v>
      </c>
      <c r="I840" t="s">
        <v>82</v>
      </c>
      <c r="J840">
        <v>3.0000000000000001E-6</v>
      </c>
      <c r="K840" t="s">
        <v>252</v>
      </c>
      <c r="O840">
        <v>5.5E-2</v>
      </c>
      <c r="P840" t="s">
        <v>59</v>
      </c>
      <c r="T840">
        <v>60</v>
      </c>
      <c r="V840">
        <v>50</v>
      </c>
      <c r="W840" t="s">
        <v>1057</v>
      </c>
      <c r="X840" t="s">
        <v>114</v>
      </c>
      <c r="Y840">
        <v>8.3088518728112001E-2</v>
      </c>
      <c r="AB840">
        <v>0.69278350515463905</v>
      </c>
      <c r="AC840" t="s">
        <v>85</v>
      </c>
      <c r="AI840">
        <v>2</v>
      </c>
      <c r="AV840" t="s">
        <v>256</v>
      </c>
    </row>
    <row r="841" spans="1:53" x14ac:dyDescent="0.3">
      <c r="A841" t="s">
        <v>1554</v>
      </c>
      <c r="C841" t="s">
        <v>1495</v>
      </c>
      <c r="H841">
        <v>3</v>
      </c>
      <c r="I841" t="s">
        <v>82</v>
      </c>
      <c r="J841">
        <v>3.0000000000000001E-6</v>
      </c>
      <c r="K841" t="s">
        <v>252</v>
      </c>
      <c r="O841">
        <v>5.5E-2</v>
      </c>
      <c r="P841" t="s">
        <v>59</v>
      </c>
      <c r="T841">
        <v>60</v>
      </c>
      <c r="V841">
        <v>50</v>
      </c>
      <c r="W841" t="s">
        <v>1057</v>
      </c>
      <c r="X841" t="s">
        <v>114</v>
      </c>
      <c r="Y841">
        <v>0.16654856514857</v>
      </c>
      <c r="AB841">
        <v>1.7814432989690701</v>
      </c>
      <c r="AC841" t="s">
        <v>85</v>
      </c>
      <c r="AI841">
        <v>2</v>
      </c>
      <c r="AV841" t="s">
        <v>256</v>
      </c>
    </row>
    <row r="842" spans="1:53" x14ac:dyDescent="0.3">
      <c r="A842" t="s">
        <v>1554</v>
      </c>
      <c r="C842" t="s">
        <v>1495</v>
      </c>
      <c r="H842">
        <v>3</v>
      </c>
      <c r="I842" t="s">
        <v>82</v>
      </c>
      <c r="J842">
        <v>3.0000000000000001E-6</v>
      </c>
      <c r="K842" t="s">
        <v>252</v>
      </c>
      <c r="O842">
        <v>5.5E-2</v>
      </c>
      <c r="P842" t="s">
        <v>59</v>
      </c>
      <c r="T842">
        <v>60</v>
      </c>
      <c r="V842">
        <v>50</v>
      </c>
      <c r="W842" t="s">
        <v>1057</v>
      </c>
      <c r="X842" t="s">
        <v>114</v>
      </c>
      <c r="Y842">
        <v>0.24996432349973999</v>
      </c>
      <c r="AB842">
        <v>3.5381443298969</v>
      </c>
      <c r="AC842" t="s">
        <v>85</v>
      </c>
      <c r="AI842">
        <v>2</v>
      </c>
      <c r="AV842" t="s">
        <v>256</v>
      </c>
    </row>
    <row r="843" spans="1:53" x14ac:dyDescent="0.3">
      <c r="A843" t="s">
        <v>1554</v>
      </c>
      <c r="C843" t="s">
        <v>1495</v>
      </c>
      <c r="H843">
        <v>3</v>
      </c>
      <c r="I843" t="s">
        <v>82</v>
      </c>
      <c r="J843">
        <v>3.0000000000000001E-6</v>
      </c>
      <c r="K843" t="s">
        <v>252</v>
      </c>
      <c r="O843">
        <v>5.5E-2</v>
      </c>
      <c r="P843" t="s">
        <v>59</v>
      </c>
      <c r="T843">
        <v>60</v>
      </c>
      <c r="V843">
        <v>50</v>
      </c>
      <c r="W843" t="s">
        <v>1057</v>
      </c>
      <c r="X843" t="s">
        <v>114</v>
      </c>
      <c r="Y843">
        <v>0.33338418259806668</v>
      </c>
      <c r="AA843" t="s">
        <v>184</v>
      </c>
      <c r="AB843">
        <v>5</v>
      </c>
      <c r="AC843" t="s">
        <v>85</v>
      </c>
      <c r="AI843">
        <v>2</v>
      </c>
      <c r="AV843" t="s">
        <v>256</v>
      </c>
      <c r="AZ843">
        <v>0</v>
      </c>
      <c r="BA843">
        <v>5</v>
      </c>
    </row>
    <row r="844" spans="1:53" x14ac:dyDescent="0.3">
      <c r="A844" t="s">
        <v>1554</v>
      </c>
      <c r="C844" t="s">
        <v>1495</v>
      </c>
      <c r="H844">
        <v>3</v>
      </c>
      <c r="I844" t="s">
        <v>82</v>
      </c>
      <c r="J844">
        <v>3.0000000000000001E-6</v>
      </c>
      <c r="K844" t="s">
        <v>252</v>
      </c>
      <c r="O844">
        <v>5.5E-2</v>
      </c>
      <c r="P844" t="s">
        <v>59</v>
      </c>
      <c r="T844">
        <v>70</v>
      </c>
      <c r="V844">
        <v>50</v>
      </c>
      <c r="W844" t="s">
        <v>1057</v>
      </c>
      <c r="X844" t="s">
        <v>114</v>
      </c>
      <c r="Y844">
        <v>8.3003223187264649E-2</v>
      </c>
      <c r="AB844">
        <v>1.97938144329896</v>
      </c>
      <c r="AC844" t="s">
        <v>85</v>
      </c>
      <c r="AI844">
        <v>2</v>
      </c>
      <c r="AV844" t="s">
        <v>256</v>
      </c>
    </row>
    <row r="845" spans="1:53" x14ac:dyDescent="0.3">
      <c r="A845" t="s">
        <v>1554</v>
      </c>
      <c r="C845" t="s">
        <v>1495</v>
      </c>
      <c r="H845">
        <v>3</v>
      </c>
      <c r="I845" t="s">
        <v>82</v>
      </c>
      <c r="J845">
        <v>3.0000000000000001E-6</v>
      </c>
      <c r="K845" t="s">
        <v>252</v>
      </c>
      <c r="O845">
        <v>5.5E-2</v>
      </c>
      <c r="P845" t="s">
        <v>59</v>
      </c>
      <c r="T845">
        <v>70</v>
      </c>
      <c r="V845">
        <v>50</v>
      </c>
      <c r="W845" t="s">
        <v>1057</v>
      </c>
      <c r="X845" t="s">
        <v>114</v>
      </c>
      <c r="Y845">
        <v>0.16569314929180071</v>
      </c>
      <c r="AB845">
        <v>2.6845360824742102</v>
      </c>
      <c r="AC845" t="s">
        <v>85</v>
      </c>
      <c r="AI845">
        <v>2</v>
      </c>
      <c r="AV845" t="s">
        <v>256</v>
      </c>
    </row>
    <row r="846" spans="1:53" x14ac:dyDescent="0.3">
      <c r="A846" t="s">
        <v>1554</v>
      </c>
      <c r="C846" t="s">
        <v>1495</v>
      </c>
      <c r="H846">
        <v>3</v>
      </c>
      <c r="I846" t="s">
        <v>82</v>
      </c>
      <c r="J846">
        <v>3.0000000000000001E-6</v>
      </c>
      <c r="K846" t="s">
        <v>252</v>
      </c>
      <c r="O846">
        <v>5.5E-2</v>
      </c>
      <c r="P846" t="s">
        <v>59</v>
      </c>
      <c r="T846">
        <v>70</v>
      </c>
      <c r="V846">
        <v>50</v>
      </c>
      <c r="W846" t="s">
        <v>1057</v>
      </c>
      <c r="X846" t="s">
        <v>114</v>
      </c>
      <c r="Y846">
        <v>0.24944926965692829</v>
      </c>
      <c r="AA846" t="s">
        <v>184</v>
      </c>
      <c r="AB846">
        <v>5</v>
      </c>
      <c r="AC846" t="s">
        <v>85</v>
      </c>
      <c r="AI846">
        <v>2</v>
      </c>
      <c r="AV846" t="s">
        <v>256</v>
      </c>
      <c r="AZ846">
        <v>0</v>
      </c>
      <c r="BA846">
        <v>5</v>
      </c>
    </row>
    <row r="847" spans="1:53" x14ac:dyDescent="0.3">
      <c r="A847" t="s">
        <v>1554</v>
      </c>
      <c r="C847" t="s">
        <v>1495</v>
      </c>
      <c r="H847">
        <v>3</v>
      </c>
      <c r="I847" t="s">
        <v>82</v>
      </c>
      <c r="J847">
        <v>3.0000000000000001E-6</v>
      </c>
      <c r="K847" t="s">
        <v>252</v>
      </c>
      <c r="O847">
        <v>5.5E-2</v>
      </c>
      <c r="P847" t="s">
        <v>59</v>
      </c>
      <c r="T847">
        <v>70</v>
      </c>
      <c r="V847">
        <v>50</v>
      </c>
      <c r="W847" t="s">
        <v>1057</v>
      </c>
      <c r="X847" t="s">
        <v>114</v>
      </c>
      <c r="Y847">
        <v>0.33337516095432329</v>
      </c>
      <c r="AA847" t="s">
        <v>184</v>
      </c>
      <c r="AB847">
        <v>5</v>
      </c>
      <c r="AC847" t="s">
        <v>85</v>
      </c>
      <c r="AI847">
        <v>2</v>
      </c>
      <c r="AV847" t="s">
        <v>256</v>
      </c>
      <c r="AZ847">
        <v>0</v>
      </c>
      <c r="BA847">
        <v>5</v>
      </c>
    </row>
    <row r="848" spans="1:53" x14ac:dyDescent="0.3">
      <c r="A848" t="s">
        <v>1554</v>
      </c>
      <c r="C848" t="s">
        <v>1495</v>
      </c>
      <c r="H848">
        <v>3</v>
      </c>
      <c r="I848" t="s">
        <v>82</v>
      </c>
      <c r="J848">
        <v>3.0000000000000001E-6</v>
      </c>
      <c r="K848" t="s">
        <v>252</v>
      </c>
      <c r="O848">
        <v>6.5000000000000002E-2</v>
      </c>
      <c r="P848" t="s">
        <v>59</v>
      </c>
      <c r="T848">
        <v>50</v>
      </c>
      <c r="V848">
        <v>50</v>
      </c>
      <c r="W848" t="s">
        <v>1057</v>
      </c>
      <c r="X848" t="s">
        <v>114</v>
      </c>
      <c r="Y848">
        <v>8.3333333333333329E-2</v>
      </c>
      <c r="AB848">
        <v>0.50115207373271797</v>
      </c>
      <c r="AC848" t="s">
        <v>85</v>
      </c>
      <c r="AI848">
        <v>2</v>
      </c>
      <c r="AV848" t="s">
        <v>256</v>
      </c>
    </row>
    <row r="849" spans="1:53" x14ac:dyDescent="0.3">
      <c r="A849" t="s">
        <v>1554</v>
      </c>
      <c r="C849" t="s">
        <v>1495</v>
      </c>
      <c r="H849">
        <v>3</v>
      </c>
      <c r="I849" t="s">
        <v>82</v>
      </c>
      <c r="J849">
        <v>3.0000000000000001E-6</v>
      </c>
      <c r="K849" t="s">
        <v>252</v>
      </c>
      <c r="O849">
        <v>6.5000000000000002E-2</v>
      </c>
      <c r="P849" t="s">
        <v>59</v>
      </c>
      <c r="T849">
        <v>50</v>
      </c>
      <c r="V849">
        <v>50</v>
      </c>
      <c r="W849" t="s">
        <v>1057</v>
      </c>
      <c r="X849" t="s">
        <v>114</v>
      </c>
      <c r="Y849">
        <v>0.16706924315619831</v>
      </c>
      <c r="AB849">
        <v>1.16821946169772</v>
      </c>
      <c r="AC849" t="s">
        <v>85</v>
      </c>
      <c r="AI849">
        <v>2</v>
      </c>
      <c r="AV849" t="s">
        <v>256</v>
      </c>
    </row>
    <row r="850" spans="1:53" x14ac:dyDescent="0.3">
      <c r="A850" t="s">
        <v>1554</v>
      </c>
      <c r="C850" t="s">
        <v>1495</v>
      </c>
      <c r="H850">
        <v>3</v>
      </c>
      <c r="I850" t="s">
        <v>82</v>
      </c>
      <c r="J850">
        <v>3.0000000000000001E-6</v>
      </c>
      <c r="K850" t="s">
        <v>252</v>
      </c>
      <c r="O850">
        <v>6.5000000000000002E-2</v>
      </c>
      <c r="P850" t="s">
        <v>59</v>
      </c>
      <c r="T850">
        <v>50</v>
      </c>
      <c r="V850">
        <v>50</v>
      </c>
      <c r="W850" t="s">
        <v>1057</v>
      </c>
      <c r="X850" t="s">
        <v>114</v>
      </c>
      <c r="Y850">
        <v>0.24959742351046671</v>
      </c>
      <c r="AB850">
        <v>1.5863888332331399</v>
      </c>
      <c r="AC850" t="s">
        <v>85</v>
      </c>
      <c r="AI850">
        <v>2</v>
      </c>
      <c r="AV850" t="s">
        <v>256</v>
      </c>
    </row>
    <row r="851" spans="1:53" x14ac:dyDescent="0.3">
      <c r="A851" t="s">
        <v>1554</v>
      </c>
      <c r="C851" t="s">
        <v>1495</v>
      </c>
      <c r="H851">
        <v>3</v>
      </c>
      <c r="I851" t="s">
        <v>82</v>
      </c>
      <c r="J851">
        <v>3.0000000000000001E-6</v>
      </c>
      <c r="K851" t="s">
        <v>252</v>
      </c>
      <c r="O851">
        <v>6.5000000000000002E-2</v>
      </c>
      <c r="P851" t="s">
        <v>59</v>
      </c>
      <c r="T851">
        <v>50</v>
      </c>
      <c r="V851">
        <v>50</v>
      </c>
      <c r="W851" t="s">
        <v>1057</v>
      </c>
      <c r="X851" t="s">
        <v>114</v>
      </c>
      <c r="Y851">
        <v>0.333735909822865</v>
      </c>
      <c r="AB851">
        <v>3.1244406598543901</v>
      </c>
      <c r="AC851" t="s">
        <v>85</v>
      </c>
      <c r="AI851">
        <v>2</v>
      </c>
      <c r="AV851" t="s">
        <v>256</v>
      </c>
    </row>
    <row r="852" spans="1:53" x14ac:dyDescent="0.3">
      <c r="A852" t="s">
        <v>1554</v>
      </c>
      <c r="C852" t="s">
        <v>1495</v>
      </c>
      <c r="H852">
        <v>3</v>
      </c>
      <c r="I852" t="s">
        <v>82</v>
      </c>
      <c r="J852">
        <v>3.0000000000000001E-6</v>
      </c>
      <c r="K852" t="s">
        <v>252</v>
      </c>
      <c r="O852">
        <v>6.5000000000000002E-2</v>
      </c>
      <c r="P852" t="s">
        <v>59</v>
      </c>
      <c r="T852">
        <v>60</v>
      </c>
      <c r="V852">
        <v>50</v>
      </c>
      <c r="W852" t="s">
        <v>1057</v>
      </c>
      <c r="X852" t="s">
        <v>114</v>
      </c>
      <c r="Y852">
        <v>8.3333333333333329E-2</v>
      </c>
      <c r="AB852">
        <v>1.0956221198156499</v>
      </c>
      <c r="AC852" t="s">
        <v>85</v>
      </c>
      <c r="AI852">
        <v>2</v>
      </c>
      <c r="AV852" t="s">
        <v>256</v>
      </c>
    </row>
    <row r="853" spans="1:53" x14ac:dyDescent="0.3">
      <c r="A853" t="s">
        <v>1554</v>
      </c>
      <c r="C853" t="s">
        <v>1495</v>
      </c>
      <c r="H853">
        <v>3</v>
      </c>
      <c r="I853" t="s">
        <v>82</v>
      </c>
      <c r="J853">
        <v>3.0000000000000001E-6</v>
      </c>
      <c r="K853" t="s">
        <v>252</v>
      </c>
      <c r="O853">
        <v>6.5000000000000002E-2</v>
      </c>
      <c r="P853" t="s">
        <v>59</v>
      </c>
      <c r="T853">
        <v>60</v>
      </c>
      <c r="V853">
        <v>50</v>
      </c>
      <c r="W853" t="s">
        <v>1057</v>
      </c>
      <c r="X853" t="s">
        <v>114</v>
      </c>
      <c r="Y853">
        <v>0.1662640901771337</v>
      </c>
      <c r="AB853">
        <v>2.6059740866893701</v>
      </c>
      <c r="AC853" t="s">
        <v>85</v>
      </c>
      <c r="AI853">
        <v>2</v>
      </c>
      <c r="AV853" t="s">
        <v>256</v>
      </c>
    </row>
    <row r="854" spans="1:53" x14ac:dyDescent="0.3">
      <c r="A854" t="s">
        <v>1554</v>
      </c>
      <c r="C854" t="s">
        <v>1495</v>
      </c>
      <c r="H854">
        <v>3</v>
      </c>
      <c r="I854" t="s">
        <v>82</v>
      </c>
      <c r="J854">
        <v>3.0000000000000001E-6</v>
      </c>
      <c r="K854" t="s">
        <v>252</v>
      </c>
      <c r="O854">
        <v>6.5000000000000002E-2</v>
      </c>
      <c r="P854" t="s">
        <v>59</v>
      </c>
      <c r="T854">
        <v>60</v>
      </c>
      <c r="V854">
        <v>50</v>
      </c>
      <c r="W854" t="s">
        <v>1057</v>
      </c>
      <c r="X854" t="s">
        <v>114</v>
      </c>
      <c r="Y854">
        <v>0.25080515297906331</v>
      </c>
      <c r="AB854">
        <v>3.75694583583783</v>
      </c>
      <c r="AC854" t="s">
        <v>85</v>
      </c>
      <c r="AI854">
        <v>2</v>
      </c>
      <c r="AV854" t="s">
        <v>256</v>
      </c>
    </row>
    <row r="855" spans="1:53" x14ac:dyDescent="0.3">
      <c r="A855" t="s">
        <v>1554</v>
      </c>
      <c r="C855" t="s">
        <v>1495</v>
      </c>
      <c r="H855">
        <v>3</v>
      </c>
      <c r="I855" t="s">
        <v>82</v>
      </c>
      <c r="J855">
        <v>3.0000000000000001E-6</v>
      </c>
      <c r="K855" t="s">
        <v>252</v>
      </c>
      <c r="O855">
        <v>6.5000000000000002E-2</v>
      </c>
      <c r="P855" t="s">
        <v>59</v>
      </c>
      <c r="T855">
        <v>60</v>
      </c>
      <c r="V855">
        <v>50</v>
      </c>
      <c r="W855" t="s">
        <v>1057</v>
      </c>
      <c r="X855" t="s">
        <v>114</v>
      </c>
      <c r="Y855">
        <v>0.33333333333333331</v>
      </c>
      <c r="AB855">
        <v>5.2119815668202598</v>
      </c>
      <c r="AC855" t="s">
        <v>85</v>
      </c>
      <c r="AI855">
        <v>2</v>
      </c>
      <c r="AV855" t="s">
        <v>256</v>
      </c>
    </row>
    <row r="856" spans="1:53" x14ac:dyDescent="0.3">
      <c r="A856" t="s">
        <v>1554</v>
      </c>
      <c r="C856" t="s">
        <v>1495</v>
      </c>
      <c r="H856">
        <v>3</v>
      </c>
      <c r="I856" t="s">
        <v>82</v>
      </c>
      <c r="J856">
        <v>3.0000000000000001E-6</v>
      </c>
      <c r="K856" t="s">
        <v>252</v>
      </c>
      <c r="O856">
        <v>6.5000000000000002E-2</v>
      </c>
      <c r="P856" t="s">
        <v>59</v>
      </c>
      <c r="T856">
        <v>70</v>
      </c>
      <c r="V856">
        <v>50</v>
      </c>
      <c r="W856" t="s">
        <v>1057</v>
      </c>
      <c r="X856" t="s">
        <v>114</v>
      </c>
      <c r="Y856">
        <v>8.293075684380033E-2</v>
      </c>
      <c r="AB856">
        <v>3.1416883724036602</v>
      </c>
      <c r="AC856" t="s">
        <v>85</v>
      </c>
      <c r="AI856">
        <v>2</v>
      </c>
      <c r="AV856" t="s">
        <v>256</v>
      </c>
    </row>
    <row r="857" spans="1:53" x14ac:dyDescent="0.3">
      <c r="A857" t="s">
        <v>1554</v>
      </c>
      <c r="C857" t="s">
        <v>1495</v>
      </c>
      <c r="H857">
        <v>3</v>
      </c>
      <c r="I857" t="s">
        <v>82</v>
      </c>
      <c r="J857">
        <v>3.0000000000000001E-6</v>
      </c>
      <c r="K857" t="s">
        <v>252</v>
      </c>
      <c r="O857">
        <v>6.5000000000000002E-2</v>
      </c>
      <c r="P857" t="s">
        <v>59</v>
      </c>
      <c r="T857">
        <v>70</v>
      </c>
      <c r="V857">
        <v>50</v>
      </c>
      <c r="W857" t="s">
        <v>1057</v>
      </c>
      <c r="X857" t="s">
        <v>114</v>
      </c>
      <c r="Y857">
        <v>0.16706924315619831</v>
      </c>
      <c r="AB857">
        <v>4.01614572897883</v>
      </c>
      <c r="AC857" t="s">
        <v>85</v>
      </c>
      <c r="AI857">
        <v>2</v>
      </c>
      <c r="AV857" t="s">
        <v>256</v>
      </c>
    </row>
    <row r="858" spans="1:53" x14ac:dyDescent="0.3">
      <c r="A858" t="s">
        <v>1554</v>
      </c>
      <c r="C858" t="s">
        <v>1495</v>
      </c>
      <c r="H858">
        <v>3</v>
      </c>
      <c r="I858" t="s">
        <v>82</v>
      </c>
      <c r="J858">
        <v>3.0000000000000001E-6</v>
      </c>
      <c r="K858" t="s">
        <v>252</v>
      </c>
      <c r="O858">
        <v>6.5000000000000002E-2</v>
      </c>
      <c r="P858" t="s">
        <v>59</v>
      </c>
      <c r="T858">
        <v>70</v>
      </c>
      <c r="V858">
        <v>50</v>
      </c>
      <c r="W858" t="s">
        <v>1057</v>
      </c>
      <c r="X858" t="s">
        <v>114</v>
      </c>
      <c r="Y858">
        <v>0.25040257648953168</v>
      </c>
      <c r="AA858" t="s">
        <v>184</v>
      </c>
      <c r="AB858">
        <v>5</v>
      </c>
      <c r="AC858" t="s">
        <v>85</v>
      </c>
      <c r="AI858">
        <v>2</v>
      </c>
      <c r="AV858" t="s">
        <v>256</v>
      </c>
      <c r="AZ858">
        <v>0</v>
      </c>
      <c r="BA858">
        <v>5</v>
      </c>
    </row>
    <row r="859" spans="1:53" x14ac:dyDescent="0.3">
      <c r="A859" t="s">
        <v>1554</v>
      </c>
      <c r="C859" t="s">
        <v>1495</v>
      </c>
      <c r="H859">
        <v>3</v>
      </c>
      <c r="I859" t="s">
        <v>82</v>
      </c>
      <c r="J859">
        <v>3.0000000000000001E-6</v>
      </c>
      <c r="K859" t="s">
        <v>252</v>
      </c>
      <c r="O859">
        <v>6.5000000000000002E-2</v>
      </c>
      <c r="P859" t="s">
        <v>59</v>
      </c>
      <c r="T859">
        <v>70</v>
      </c>
      <c r="V859">
        <v>50</v>
      </c>
      <c r="W859" t="s">
        <v>1057</v>
      </c>
      <c r="X859" t="s">
        <v>114</v>
      </c>
      <c r="Y859">
        <v>0.33333333333333331</v>
      </c>
      <c r="AA859" t="s">
        <v>184</v>
      </c>
      <c r="AB859">
        <v>5</v>
      </c>
      <c r="AC859" t="s">
        <v>85</v>
      </c>
      <c r="AI859">
        <v>2</v>
      </c>
      <c r="AV859" t="s">
        <v>256</v>
      </c>
      <c r="AZ859">
        <v>0</v>
      </c>
      <c r="BA859">
        <v>5</v>
      </c>
    </row>
    <row r="860" spans="1:53" x14ac:dyDescent="0.3">
      <c r="A860" t="s">
        <v>1554</v>
      </c>
      <c r="C860" t="s">
        <v>1495</v>
      </c>
      <c r="H860">
        <v>3</v>
      </c>
      <c r="I860" t="s">
        <v>82</v>
      </c>
      <c r="J860">
        <v>3.0000000000000001E-6</v>
      </c>
      <c r="K860" t="s">
        <v>252</v>
      </c>
      <c r="O860">
        <v>7.49999999999999E-2</v>
      </c>
      <c r="P860" t="s">
        <v>59</v>
      </c>
      <c r="T860">
        <v>50</v>
      </c>
      <c r="V860">
        <v>50</v>
      </c>
      <c r="W860" t="s">
        <v>1057</v>
      </c>
      <c r="X860" t="s">
        <v>114</v>
      </c>
      <c r="Y860">
        <v>8.3164540815290164E-2</v>
      </c>
      <c r="AB860">
        <v>0.97541844701133595</v>
      </c>
      <c r="AC860" t="s">
        <v>85</v>
      </c>
      <c r="AI860">
        <v>2</v>
      </c>
      <c r="AV860" t="s">
        <v>256</v>
      </c>
    </row>
    <row r="861" spans="1:53" x14ac:dyDescent="0.3">
      <c r="A861" t="s">
        <v>1554</v>
      </c>
      <c r="C861" t="s">
        <v>1495</v>
      </c>
      <c r="H861">
        <v>3</v>
      </c>
      <c r="I861" t="s">
        <v>82</v>
      </c>
      <c r="J861">
        <v>3.0000000000000001E-6</v>
      </c>
      <c r="K861" t="s">
        <v>252</v>
      </c>
      <c r="O861">
        <v>7.49999999999999E-2</v>
      </c>
      <c r="P861" t="s">
        <v>59</v>
      </c>
      <c r="T861">
        <v>50</v>
      </c>
      <c r="V861">
        <v>50</v>
      </c>
      <c r="W861" t="s">
        <v>1057</v>
      </c>
      <c r="X861" t="s">
        <v>114</v>
      </c>
      <c r="Y861">
        <v>0.16709443687484499</v>
      </c>
      <c r="AB861">
        <v>1.73006359273351</v>
      </c>
      <c r="AC861" t="s">
        <v>85</v>
      </c>
      <c r="AI861">
        <v>2</v>
      </c>
      <c r="AV861" t="s">
        <v>256</v>
      </c>
    </row>
    <row r="862" spans="1:53" x14ac:dyDescent="0.3">
      <c r="A862" t="s">
        <v>1554</v>
      </c>
      <c r="C862" t="s">
        <v>1495</v>
      </c>
      <c r="H862">
        <v>3</v>
      </c>
      <c r="I862" t="s">
        <v>82</v>
      </c>
      <c r="J862">
        <v>3.0000000000000001E-6</v>
      </c>
      <c r="K862" t="s">
        <v>252</v>
      </c>
      <c r="O862">
        <v>7.49999999999999E-2</v>
      </c>
      <c r="P862" t="s">
        <v>59</v>
      </c>
      <c r="T862">
        <v>50</v>
      </c>
      <c r="V862">
        <v>50</v>
      </c>
      <c r="W862" t="s">
        <v>1057</v>
      </c>
      <c r="X862" t="s">
        <v>114</v>
      </c>
      <c r="Y862">
        <v>0.25114132991441829</v>
      </c>
      <c r="AB862">
        <v>3.36815293455237</v>
      </c>
      <c r="AC862" t="s">
        <v>85</v>
      </c>
      <c r="AI862">
        <v>2</v>
      </c>
      <c r="AV862" t="s">
        <v>256</v>
      </c>
    </row>
    <row r="863" spans="1:53" x14ac:dyDescent="0.3">
      <c r="A863" t="s">
        <v>1554</v>
      </c>
      <c r="C863" t="s">
        <v>1495</v>
      </c>
      <c r="H863">
        <v>3</v>
      </c>
      <c r="I863" t="s">
        <v>82</v>
      </c>
      <c r="J863">
        <v>3.0000000000000001E-6</v>
      </c>
      <c r="K863" t="s">
        <v>252</v>
      </c>
      <c r="O863">
        <v>7.49999999999999E-2</v>
      </c>
      <c r="P863" t="s">
        <v>59</v>
      </c>
      <c r="T863">
        <v>50</v>
      </c>
      <c r="V863">
        <v>50</v>
      </c>
      <c r="W863" t="s">
        <v>1057</v>
      </c>
      <c r="X863" t="s">
        <v>114</v>
      </c>
      <c r="Y863">
        <v>0.33362988817851003</v>
      </c>
      <c r="AA863" t="s">
        <v>184</v>
      </c>
      <c r="AB863">
        <v>5</v>
      </c>
      <c r="AC863" t="s">
        <v>85</v>
      </c>
      <c r="AI863">
        <v>2</v>
      </c>
      <c r="AV863" t="s">
        <v>256</v>
      </c>
      <c r="AZ863">
        <v>0</v>
      </c>
      <c r="BA863">
        <v>5</v>
      </c>
    </row>
    <row r="864" spans="1:53" x14ac:dyDescent="0.3">
      <c r="A864" t="s">
        <v>1554</v>
      </c>
      <c r="C864" t="s">
        <v>1495</v>
      </c>
      <c r="H864">
        <v>3</v>
      </c>
      <c r="I864" t="s">
        <v>82</v>
      </c>
      <c r="J864">
        <v>3.0000000000000001E-6</v>
      </c>
      <c r="K864" t="s">
        <v>252</v>
      </c>
      <c r="O864">
        <v>7.49999999999999E-2</v>
      </c>
      <c r="P864" t="s">
        <v>59</v>
      </c>
      <c r="T864">
        <v>60</v>
      </c>
      <c r="V864">
        <v>50</v>
      </c>
      <c r="W864" t="s">
        <v>1057</v>
      </c>
      <c r="X864" t="s">
        <v>114</v>
      </c>
      <c r="Y864">
        <v>8.3628466340212343E-2</v>
      </c>
      <c r="AB864">
        <v>1.47852008570028</v>
      </c>
      <c r="AC864" t="s">
        <v>85</v>
      </c>
      <c r="AI864">
        <v>2</v>
      </c>
      <c r="AV864" t="s">
        <v>256</v>
      </c>
    </row>
    <row r="865" spans="1:53" x14ac:dyDescent="0.3">
      <c r="A865" t="s">
        <v>1554</v>
      </c>
      <c r="C865" t="s">
        <v>1495</v>
      </c>
      <c r="H865">
        <v>3</v>
      </c>
      <c r="I865" t="s">
        <v>82</v>
      </c>
      <c r="J865">
        <v>3.0000000000000001E-6</v>
      </c>
      <c r="K865" t="s">
        <v>252</v>
      </c>
      <c r="O865">
        <v>7.49999999999999E-2</v>
      </c>
      <c r="P865" t="s">
        <v>59</v>
      </c>
      <c r="T865">
        <v>60</v>
      </c>
      <c r="V865">
        <v>50</v>
      </c>
      <c r="W865" t="s">
        <v>1057</v>
      </c>
      <c r="X865" t="s">
        <v>114</v>
      </c>
      <c r="Y865">
        <v>0.16653545130366301</v>
      </c>
      <c r="AB865">
        <v>3.5091635447159901</v>
      </c>
      <c r="AC865" t="s">
        <v>85</v>
      </c>
      <c r="AI865">
        <v>2</v>
      </c>
      <c r="AV865" t="s">
        <v>256</v>
      </c>
    </row>
    <row r="866" spans="1:53" x14ac:dyDescent="0.3">
      <c r="A866" t="s">
        <v>1554</v>
      </c>
      <c r="C866" t="s">
        <v>1495</v>
      </c>
      <c r="H866">
        <v>3</v>
      </c>
      <c r="I866" t="s">
        <v>82</v>
      </c>
      <c r="J866">
        <v>3.0000000000000001E-6</v>
      </c>
      <c r="K866" t="s">
        <v>252</v>
      </c>
      <c r="O866">
        <v>7.49999999999999E-2</v>
      </c>
      <c r="P866" t="s">
        <v>59</v>
      </c>
      <c r="T866">
        <v>60</v>
      </c>
      <c r="V866">
        <v>50</v>
      </c>
      <c r="W866" t="s">
        <v>1057</v>
      </c>
      <c r="X866" t="s">
        <v>114</v>
      </c>
      <c r="Y866">
        <v>0.25020779151138173</v>
      </c>
      <c r="AA866" t="s">
        <v>184</v>
      </c>
      <c r="AB866">
        <v>5</v>
      </c>
      <c r="AC866" t="s">
        <v>85</v>
      </c>
      <c r="AI866">
        <v>2</v>
      </c>
      <c r="AV866" t="s">
        <v>256</v>
      </c>
      <c r="AZ866">
        <v>0</v>
      </c>
      <c r="BA866">
        <v>5</v>
      </c>
    </row>
    <row r="867" spans="1:53" x14ac:dyDescent="0.3">
      <c r="A867" t="s">
        <v>1554</v>
      </c>
      <c r="C867" t="s">
        <v>1495</v>
      </c>
      <c r="H867">
        <v>3</v>
      </c>
      <c r="I867" t="s">
        <v>82</v>
      </c>
      <c r="J867">
        <v>3.0000000000000001E-6</v>
      </c>
      <c r="K867" t="s">
        <v>252</v>
      </c>
      <c r="O867">
        <v>7.49999999999999E-2</v>
      </c>
      <c r="P867" t="s">
        <v>59</v>
      </c>
      <c r="T867">
        <v>60</v>
      </c>
      <c r="V867">
        <v>50</v>
      </c>
      <c r="W867" t="s">
        <v>1057</v>
      </c>
      <c r="X867" t="s">
        <v>114</v>
      </c>
      <c r="Y867">
        <v>0.33483316961880671</v>
      </c>
      <c r="AA867" t="s">
        <v>184</v>
      </c>
      <c r="AB867">
        <v>5</v>
      </c>
      <c r="AC867" t="s">
        <v>85</v>
      </c>
      <c r="AI867">
        <v>2</v>
      </c>
      <c r="AV867" t="s">
        <v>256</v>
      </c>
      <c r="AZ867">
        <v>0</v>
      </c>
      <c r="BA867">
        <v>5</v>
      </c>
    </row>
    <row r="868" spans="1:53" x14ac:dyDescent="0.3">
      <c r="A868" t="s">
        <v>1554</v>
      </c>
      <c r="C868" t="s">
        <v>1495</v>
      </c>
      <c r="H868">
        <v>3</v>
      </c>
      <c r="I868" t="s">
        <v>82</v>
      </c>
      <c r="J868">
        <v>3.0000000000000001E-6</v>
      </c>
      <c r="K868" t="s">
        <v>252</v>
      </c>
      <c r="O868">
        <v>7.49999999999999E-2</v>
      </c>
      <c r="P868" t="s">
        <v>59</v>
      </c>
      <c r="T868">
        <v>70</v>
      </c>
      <c r="V868">
        <v>50</v>
      </c>
      <c r="W868" t="s">
        <v>1057</v>
      </c>
      <c r="X868" t="s">
        <v>114</v>
      </c>
      <c r="Y868">
        <v>8.3715401596196157E-2</v>
      </c>
      <c r="AA868" t="s">
        <v>184</v>
      </c>
      <c r="AB868">
        <v>5</v>
      </c>
      <c r="AC868" t="s">
        <v>85</v>
      </c>
      <c r="AI868">
        <v>2</v>
      </c>
      <c r="AV868" t="s">
        <v>256</v>
      </c>
      <c r="AZ868">
        <v>0</v>
      </c>
      <c r="BA868">
        <v>5</v>
      </c>
    </row>
    <row r="869" spans="1:53" x14ac:dyDescent="0.3">
      <c r="A869" t="s">
        <v>1554</v>
      </c>
      <c r="C869" t="s">
        <v>1495</v>
      </c>
      <c r="H869">
        <v>3</v>
      </c>
      <c r="I869" t="s">
        <v>82</v>
      </c>
      <c r="J869">
        <v>3.0000000000000001E-6</v>
      </c>
      <c r="K869" t="s">
        <v>252</v>
      </c>
      <c r="O869">
        <v>7.49999999999999E-2</v>
      </c>
      <c r="P869" t="s">
        <v>59</v>
      </c>
      <c r="T869">
        <v>70</v>
      </c>
      <c r="V869">
        <v>50</v>
      </c>
      <c r="W869" t="s">
        <v>1057</v>
      </c>
      <c r="X869" t="s">
        <v>114</v>
      </c>
      <c r="Y869">
        <v>0.16794022754287499</v>
      </c>
      <c r="AA869" t="s">
        <v>184</v>
      </c>
      <c r="AB869">
        <v>5</v>
      </c>
      <c r="AC869" t="s">
        <v>85</v>
      </c>
      <c r="AI869">
        <v>2</v>
      </c>
      <c r="AV869" t="s">
        <v>256</v>
      </c>
      <c r="AZ869">
        <v>0</v>
      </c>
      <c r="BA869">
        <v>5</v>
      </c>
    </row>
    <row r="870" spans="1:53" x14ac:dyDescent="0.3">
      <c r="A870" t="s">
        <v>1554</v>
      </c>
      <c r="C870" t="s">
        <v>1495</v>
      </c>
      <c r="H870">
        <v>3</v>
      </c>
      <c r="I870" t="s">
        <v>82</v>
      </c>
      <c r="J870">
        <v>3.0000000000000001E-6</v>
      </c>
      <c r="K870" t="s">
        <v>252</v>
      </c>
      <c r="O870">
        <v>7.49999999999999E-2</v>
      </c>
      <c r="P870" t="s">
        <v>59</v>
      </c>
      <c r="T870">
        <v>70</v>
      </c>
      <c r="V870">
        <v>50</v>
      </c>
      <c r="W870" t="s">
        <v>1057</v>
      </c>
      <c r="X870" t="s">
        <v>114</v>
      </c>
      <c r="Y870">
        <v>0.25097477171370502</v>
      </c>
      <c r="AA870" t="s">
        <v>184</v>
      </c>
      <c r="AB870">
        <v>5</v>
      </c>
      <c r="AC870" t="s">
        <v>85</v>
      </c>
      <c r="AI870">
        <v>2</v>
      </c>
      <c r="AV870" t="s">
        <v>256</v>
      </c>
      <c r="AZ870">
        <v>0</v>
      </c>
      <c r="BA870">
        <v>5</v>
      </c>
    </row>
    <row r="871" spans="1:53" x14ac:dyDescent="0.3">
      <c r="A871" t="s">
        <v>1554</v>
      </c>
      <c r="C871" t="s">
        <v>1495</v>
      </c>
      <c r="H871">
        <v>3</v>
      </c>
      <c r="I871" t="s">
        <v>82</v>
      </c>
      <c r="J871">
        <v>3.0000000000000001E-6</v>
      </c>
      <c r="K871" t="s">
        <v>252</v>
      </c>
      <c r="O871">
        <v>7.49999999999999E-2</v>
      </c>
      <c r="P871" t="s">
        <v>59</v>
      </c>
      <c r="T871">
        <v>70</v>
      </c>
      <c r="V871">
        <v>50</v>
      </c>
      <c r="W871" t="s">
        <v>1057</v>
      </c>
      <c r="X871" t="s">
        <v>114</v>
      </c>
      <c r="Y871">
        <v>0.334408243087225</v>
      </c>
      <c r="AA871" t="s">
        <v>184</v>
      </c>
      <c r="AB871">
        <v>5</v>
      </c>
      <c r="AC871" t="s">
        <v>85</v>
      </c>
      <c r="AI871">
        <v>2</v>
      </c>
      <c r="AV871" t="s">
        <v>256</v>
      </c>
      <c r="AZ871">
        <v>0</v>
      </c>
      <c r="BA871">
        <v>5</v>
      </c>
    </row>
    <row r="872" spans="1:53" x14ac:dyDescent="0.3">
      <c r="A872" t="s">
        <v>1555</v>
      </c>
      <c r="C872" t="s">
        <v>1495</v>
      </c>
      <c r="D872" t="s">
        <v>81</v>
      </c>
      <c r="E872">
        <v>1000000000</v>
      </c>
      <c r="H872">
        <v>10</v>
      </c>
      <c r="I872" t="s">
        <v>82</v>
      </c>
      <c r="J872">
        <v>9.9999999999999991E-6</v>
      </c>
      <c r="K872" t="s">
        <v>252</v>
      </c>
      <c r="L872" t="s">
        <v>58</v>
      </c>
      <c r="O872">
        <v>10</v>
      </c>
      <c r="P872" t="s">
        <v>1543</v>
      </c>
      <c r="S872" t="s">
        <v>928</v>
      </c>
      <c r="T872">
        <v>37</v>
      </c>
      <c r="V872">
        <v>50</v>
      </c>
      <c r="W872" t="s">
        <v>1057</v>
      </c>
      <c r="X872" t="s">
        <v>932</v>
      </c>
      <c r="Y872">
        <v>0.10489510489510501</v>
      </c>
      <c r="AB872">
        <v>3.2902783491019598E-2</v>
      </c>
      <c r="AC872" t="s">
        <v>85</v>
      </c>
      <c r="AI872">
        <v>3</v>
      </c>
      <c r="AV872" t="s">
        <v>256</v>
      </c>
    </row>
    <row r="873" spans="1:53" x14ac:dyDescent="0.3">
      <c r="A873" t="s">
        <v>1555</v>
      </c>
      <c r="C873" t="s">
        <v>1495</v>
      </c>
      <c r="D873" t="s">
        <v>81</v>
      </c>
      <c r="E873">
        <v>1000000000</v>
      </c>
      <c r="H873">
        <v>10</v>
      </c>
      <c r="I873" t="s">
        <v>82</v>
      </c>
      <c r="J873">
        <v>9.9999999999999991E-6</v>
      </c>
      <c r="K873" t="s">
        <v>252</v>
      </c>
      <c r="L873" t="s">
        <v>58</v>
      </c>
      <c r="O873">
        <v>10</v>
      </c>
      <c r="P873" t="s">
        <v>1543</v>
      </c>
      <c r="S873" t="s">
        <v>928</v>
      </c>
      <c r="T873">
        <v>37</v>
      </c>
      <c r="V873">
        <v>50</v>
      </c>
      <c r="W873" t="s">
        <v>1057</v>
      </c>
      <c r="X873" t="s">
        <v>932</v>
      </c>
      <c r="Y873">
        <v>4.93006993006993</v>
      </c>
      <c r="AB873">
        <v>7.2287837652543487</v>
      </c>
      <c r="AC873" t="s">
        <v>85</v>
      </c>
      <c r="AI873">
        <v>3</v>
      </c>
      <c r="AV873" t="s">
        <v>256</v>
      </c>
    </row>
    <row r="874" spans="1:53" x14ac:dyDescent="0.3">
      <c r="A874" t="s">
        <v>1555</v>
      </c>
      <c r="C874" t="s">
        <v>1495</v>
      </c>
      <c r="D874" t="s">
        <v>81</v>
      </c>
      <c r="E874">
        <v>1000000000</v>
      </c>
      <c r="H874">
        <v>10</v>
      </c>
      <c r="I874" t="s">
        <v>82</v>
      </c>
      <c r="J874">
        <v>9.9999999999999991E-6</v>
      </c>
      <c r="K874" t="s">
        <v>252</v>
      </c>
      <c r="L874" t="s">
        <v>58</v>
      </c>
      <c r="O874">
        <v>10</v>
      </c>
      <c r="P874" t="s">
        <v>1543</v>
      </c>
      <c r="S874" t="s">
        <v>928</v>
      </c>
      <c r="T874">
        <v>37</v>
      </c>
      <c r="V874">
        <v>50</v>
      </c>
      <c r="W874" t="s">
        <v>1057</v>
      </c>
      <c r="X874" t="s">
        <v>932</v>
      </c>
      <c r="Y874">
        <v>9.65034965034965</v>
      </c>
      <c r="AB874">
        <v>7.4247031399972494</v>
      </c>
      <c r="AC874" t="s">
        <v>85</v>
      </c>
      <c r="AI874">
        <v>3</v>
      </c>
      <c r="AV874" t="s">
        <v>256</v>
      </c>
    </row>
    <row r="875" spans="1:53" x14ac:dyDescent="0.3">
      <c r="A875" t="s">
        <v>1555</v>
      </c>
      <c r="C875" t="s">
        <v>1495</v>
      </c>
      <c r="D875" t="s">
        <v>81</v>
      </c>
      <c r="E875">
        <v>1000000000</v>
      </c>
      <c r="H875">
        <v>10</v>
      </c>
      <c r="I875" t="s">
        <v>82</v>
      </c>
      <c r="J875">
        <v>9.9999999999999991E-6</v>
      </c>
      <c r="K875" t="s">
        <v>252</v>
      </c>
      <c r="L875" t="s">
        <v>58</v>
      </c>
      <c r="O875">
        <v>10</v>
      </c>
      <c r="P875" t="s">
        <v>1543</v>
      </c>
      <c r="S875" t="s">
        <v>928</v>
      </c>
      <c r="T875">
        <v>37</v>
      </c>
      <c r="V875">
        <v>50</v>
      </c>
      <c r="W875" t="s">
        <v>1057</v>
      </c>
      <c r="X875" t="s">
        <v>932</v>
      </c>
      <c r="Y875">
        <v>15</v>
      </c>
      <c r="AB875">
        <v>7.4227450980392096</v>
      </c>
      <c r="AC875" t="s">
        <v>85</v>
      </c>
      <c r="AI875">
        <v>3</v>
      </c>
      <c r="AV875" t="s">
        <v>256</v>
      </c>
    </row>
    <row r="876" spans="1:53" x14ac:dyDescent="0.3">
      <c r="A876" t="s">
        <v>1555</v>
      </c>
      <c r="C876" t="s">
        <v>1495</v>
      </c>
      <c r="D876" t="s">
        <v>81</v>
      </c>
      <c r="E876">
        <v>1000000000</v>
      </c>
      <c r="H876">
        <v>10</v>
      </c>
      <c r="I876" t="s">
        <v>82</v>
      </c>
      <c r="J876">
        <v>9.9999999999999991E-6</v>
      </c>
      <c r="K876" t="s">
        <v>252</v>
      </c>
      <c r="L876" t="s">
        <v>58</v>
      </c>
      <c r="O876">
        <v>10</v>
      </c>
      <c r="P876" t="s">
        <v>1543</v>
      </c>
      <c r="S876" t="s">
        <v>928</v>
      </c>
      <c r="T876">
        <v>37</v>
      </c>
      <c r="V876">
        <v>50</v>
      </c>
      <c r="W876" t="s">
        <v>1057</v>
      </c>
      <c r="X876" t="s">
        <v>932</v>
      </c>
      <c r="Y876">
        <v>30</v>
      </c>
      <c r="AB876">
        <v>7.4007843137254801</v>
      </c>
      <c r="AC876" t="s">
        <v>85</v>
      </c>
      <c r="AI876">
        <v>3</v>
      </c>
      <c r="AV876" t="s">
        <v>256</v>
      </c>
    </row>
    <row r="877" spans="1:53" x14ac:dyDescent="0.3">
      <c r="A877" t="s">
        <v>1555</v>
      </c>
      <c r="C877" t="s">
        <v>1495</v>
      </c>
      <c r="D877" t="s">
        <v>81</v>
      </c>
      <c r="E877">
        <v>1000000000</v>
      </c>
      <c r="H877">
        <v>10</v>
      </c>
      <c r="I877" t="s">
        <v>82</v>
      </c>
      <c r="J877">
        <v>9.9999999999999991E-6</v>
      </c>
      <c r="K877" t="s">
        <v>252</v>
      </c>
      <c r="L877" t="s">
        <v>58</v>
      </c>
      <c r="O877">
        <v>10</v>
      </c>
      <c r="P877" t="s">
        <v>1543</v>
      </c>
      <c r="S877" t="s">
        <v>928</v>
      </c>
      <c r="T877">
        <v>37</v>
      </c>
      <c r="V877">
        <v>50</v>
      </c>
      <c r="W877" t="s">
        <v>1057</v>
      </c>
      <c r="X877" t="s">
        <v>932</v>
      </c>
      <c r="Y877">
        <v>60</v>
      </c>
      <c r="AB877">
        <v>7.3898039215686211</v>
      </c>
      <c r="AC877" t="s">
        <v>85</v>
      </c>
      <c r="AI877">
        <v>3</v>
      </c>
      <c r="AV877" t="s">
        <v>256</v>
      </c>
    </row>
    <row r="878" spans="1:53" x14ac:dyDescent="0.3">
      <c r="A878" t="s">
        <v>1555</v>
      </c>
      <c r="C878" t="s">
        <v>1495</v>
      </c>
      <c r="D878" t="s">
        <v>81</v>
      </c>
      <c r="E878">
        <v>1000000000</v>
      </c>
      <c r="H878">
        <v>10</v>
      </c>
      <c r="I878" t="s">
        <v>82</v>
      </c>
      <c r="J878">
        <v>9.9999999999999991E-6</v>
      </c>
      <c r="K878" t="s">
        <v>252</v>
      </c>
      <c r="L878" t="s">
        <v>58</v>
      </c>
      <c r="O878">
        <v>10</v>
      </c>
      <c r="P878" t="s">
        <v>1543</v>
      </c>
      <c r="S878" t="s">
        <v>928</v>
      </c>
      <c r="T878">
        <v>20</v>
      </c>
      <c r="V878">
        <v>50</v>
      </c>
      <c r="W878" t="s">
        <v>1057</v>
      </c>
      <c r="X878" t="s">
        <v>932</v>
      </c>
      <c r="Y878">
        <v>0</v>
      </c>
      <c r="AB878">
        <v>4.9411764705881801E-2</v>
      </c>
      <c r="AC878" t="s">
        <v>85</v>
      </c>
      <c r="AI878">
        <v>3</v>
      </c>
      <c r="AV878" t="s">
        <v>256</v>
      </c>
    </row>
    <row r="879" spans="1:53" x14ac:dyDescent="0.3">
      <c r="A879" t="s">
        <v>1555</v>
      </c>
      <c r="C879" t="s">
        <v>1495</v>
      </c>
      <c r="D879" t="s">
        <v>81</v>
      </c>
      <c r="E879">
        <v>1000000000</v>
      </c>
      <c r="H879">
        <v>10</v>
      </c>
      <c r="I879" t="s">
        <v>82</v>
      </c>
      <c r="J879">
        <v>9.9999999999999991E-6</v>
      </c>
      <c r="K879" t="s">
        <v>252</v>
      </c>
      <c r="L879" t="s">
        <v>58</v>
      </c>
      <c r="O879">
        <v>10</v>
      </c>
      <c r="P879" t="s">
        <v>1543</v>
      </c>
      <c r="S879" t="s">
        <v>928</v>
      </c>
      <c r="T879">
        <v>20</v>
      </c>
      <c r="V879">
        <v>50</v>
      </c>
      <c r="W879" t="s">
        <v>1057</v>
      </c>
      <c r="X879" t="s">
        <v>932</v>
      </c>
      <c r="Y879">
        <v>5.0349650349650297</v>
      </c>
      <c r="AB879">
        <v>1.3158041958041899</v>
      </c>
      <c r="AC879" t="s">
        <v>85</v>
      </c>
      <c r="AI879">
        <v>3</v>
      </c>
      <c r="AV879" t="s">
        <v>256</v>
      </c>
    </row>
    <row r="880" spans="1:53" x14ac:dyDescent="0.3">
      <c r="A880" t="s">
        <v>1555</v>
      </c>
      <c r="C880" t="s">
        <v>1495</v>
      </c>
      <c r="D880" t="s">
        <v>81</v>
      </c>
      <c r="E880">
        <v>1000000000</v>
      </c>
      <c r="H880">
        <v>10</v>
      </c>
      <c r="I880" t="s">
        <v>82</v>
      </c>
      <c r="J880">
        <v>9.9999999999999991E-6</v>
      </c>
      <c r="K880" t="s">
        <v>252</v>
      </c>
      <c r="L880" t="s">
        <v>58</v>
      </c>
      <c r="O880">
        <v>10</v>
      </c>
      <c r="P880" t="s">
        <v>1543</v>
      </c>
      <c r="S880" t="s">
        <v>928</v>
      </c>
      <c r="T880">
        <v>20</v>
      </c>
      <c r="V880">
        <v>50</v>
      </c>
      <c r="W880" t="s">
        <v>1057</v>
      </c>
      <c r="X880" t="s">
        <v>932</v>
      </c>
      <c r="Y880">
        <v>9.86013986013986</v>
      </c>
      <c r="AB880">
        <v>3.7187440010969399</v>
      </c>
      <c r="AC880" t="s">
        <v>85</v>
      </c>
      <c r="AI880">
        <v>3</v>
      </c>
      <c r="AV880" t="s">
        <v>256</v>
      </c>
    </row>
    <row r="881" spans="1:48" x14ac:dyDescent="0.3">
      <c r="A881" t="s">
        <v>1555</v>
      </c>
      <c r="C881" t="s">
        <v>1495</v>
      </c>
      <c r="D881" t="s">
        <v>81</v>
      </c>
      <c r="E881">
        <v>1000000000</v>
      </c>
      <c r="H881">
        <v>10</v>
      </c>
      <c r="I881" t="s">
        <v>82</v>
      </c>
      <c r="J881">
        <v>9.9999999999999991E-6</v>
      </c>
      <c r="K881" t="s">
        <v>252</v>
      </c>
      <c r="L881" t="s">
        <v>58</v>
      </c>
      <c r="O881">
        <v>10</v>
      </c>
      <c r="P881" t="s">
        <v>1543</v>
      </c>
      <c r="S881" t="s">
        <v>928</v>
      </c>
      <c r="T881">
        <v>20</v>
      </c>
      <c r="V881">
        <v>50</v>
      </c>
      <c r="W881" t="s">
        <v>1057</v>
      </c>
      <c r="X881" t="s">
        <v>932</v>
      </c>
      <c r="Y881">
        <v>15</v>
      </c>
      <c r="AB881">
        <v>7.1921568627450903</v>
      </c>
      <c r="AC881" t="s">
        <v>85</v>
      </c>
      <c r="AI881">
        <v>3</v>
      </c>
      <c r="AV881" t="s">
        <v>256</v>
      </c>
    </row>
    <row r="882" spans="1:48" x14ac:dyDescent="0.3">
      <c r="A882" t="s">
        <v>1555</v>
      </c>
      <c r="C882" t="s">
        <v>1495</v>
      </c>
      <c r="D882" t="s">
        <v>81</v>
      </c>
      <c r="E882">
        <v>1000000000</v>
      </c>
      <c r="H882">
        <v>10</v>
      </c>
      <c r="I882" t="s">
        <v>82</v>
      </c>
      <c r="J882">
        <v>9.9999999999999991E-6</v>
      </c>
      <c r="K882" t="s">
        <v>252</v>
      </c>
      <c r="L882" t="s">
        <v>58</v>
      </c>
      <c r="O882">
        <v>10</v>
      </c>
      <c r="P882" t="s">
        <v>1543</v>
      </c>
      <c r="S882" t="s">
        <v>928</v>
      </c>
      <c r="T882">
        <v>20</v>
      </c>
      <c r="V882">
        <v>50</v>
      </c>
      <c r="W882" t="s">
        <v>1057</v>
      </c>
      <c r="X882" t="s">
        <v>932</v>
      </c>
      <c r="Y882">
        <v>29.8951048951049</v>
      </c>
      <c r="AB882">
        <v>7.5325874125874099</v>
      </c>
      <c r="AC882" t="s">
        <v>85</v>
      </c>
      <c r="AI882">
        <v>3</v>
      </c>
      <c r="AV882" t="s">
        <v>256</v>
      </c>
    </row>
    <row r="883" spans="1:48" x14ac:dyDescent="0.3">
      <c r="A883" t="s">
        <v>1555</v>
      </c>
      <c r="C883" t="s">
        <v>1495</v>
      </c>
      <c r="D883" t="s">
        <v>81</v>
      </c>
      <c r="E883">
        <v>1000000000</v>
      </c>
      <c r="H883">
        <v>10</v>
      </c>
      <c r="I883" t="s">
        <v>82</v>
      </c>
      <c r="J883">
        <v>9.9999999999999991E-6</v>
      </c>
      <c r="K883" t="s">
        <v>252</v>
      </c>
      <c r="L883" t="s">
        <v>58</v>
      </c>
      <c r="O883">
        <v>10</v>
      </c>
      <c r="P883" t="s">
        <v>1543</v>
      </c>
      <c r="S883" t="s">
        <v>928</v>
      </c>
      <c r="T883">
        <v>20</v>
      </c>
      <c r="V883">
        <v>50</v>
      </c>
      <c r="W883" t="s">
        <v>1057</v>
      </c>
      <c r="X883" t="s">
        <v>932</v>
      </c>
      <c r="Y883">
        <v>60</v>
      </c>
      <c r="AB883">
        <v>7.5050980392156799</v>
      </c>
      <c r="AC883" t="s">
        <v>85</v>
      </c>
      <c r="AI883">
        <v>3</v>
      </c>
      <c r="AV883" t="s">
        <v>256</v>
      </c>
    </row>
    <row r="884" spans="1:48" x14ac:dyDescent="0.3">
      <c r="A884" t="s">
        <v>1555</v>
      </c>
      <c r="C884" t="s">
        <v>1495</v>
      </c>
      <c r="D884" t="s">
        <v>81</v>
      </c>
      <c r="E884">
        <v>1000000000</v>
      </c>
      <c r="H884">
        <v>10</v>
      </c>
      <c r="I884" t="s">
        <v>82</v>
      </c>
      <c r="J884">
        <v>9.9999999999999991E-6</v>
      </c>
      <c r="K884" t="s">
        <v>252</v>
      </c>
      <c r="L884" t="s">
        <v>58</v>
      </c>
      <c r="O884">
        <v>7.0000000000000007E-2</v>
      </c>
      <c r="P884" t="s">
        <v>1556</v>
      </c>
      <c r="S884" t="s">
        <v>928</v>
      </c>
      <c r="T884">
        <v>37</v>
      </c>
      <c r="V884">
        <v>50</v>
      </c>
      <c r="W884" t="s">
        <v>1057</v>
      </c>
      <c r="X884" t="s">
        <v>932</v>
      </c>
      <c r="Y884">
        <v>4.8251748251748197</v>
      </c>
      <c r="AB884">
        <v>-1.7660770601946E-3</v>
      </c>
      <c r="AC884" t="s">
        <v>85</v>
      </c>
      <c r="AI884">
        <v>3</v>
      </c>
      <c r="AV884" t="s">
        <v>256</v>
      </c>
    </row>
    <row r="885" spans="1:48" x14ac:dyDescent="0.3">
      <c r="A885" t="s">
        <v>1555</v>
      </c>
      <c r="C885" t="s">
        <v>1495</v>
      </c>
      <c r="D885" t="s">
        <v>81</v>
      </c>
      <c r="E885">
        <v>1000000000</v>
      </c>
      <c r="H885">
        <v>10</v>
      </c>
      <c r="I885" t="s">
        <v>82</v>
      </c>
      <c r="J885">
        <v>9.9999999999999991E-6</v>
      </c>
      <c r="K885" t="s">
        <v>252</v>
      </c>
      <c r="L885" t="s">
        <v>58</v>
      </c>
      <c r="O885">
        <v>7.0000000000000007E-2</v>
      </c>
      <c r="P885" t="s">
        <v>1556</v>
      </c>
      <c r="S885" t="s">
        <v>928</v>
      </c>
      <c r="T885">
        <v>37</v>
      </c>
      <c r="V885">
        <v>50</v>
      </c>
      <c r="W885" t="s">
        <v>1057</v>
      </c>
      <c r="X885" t="s">
        <v>932</v>
      </c>
      <c r="Y885">
        <v>9.86013986013986</v>
      </c>
      <c r="AB885">
        <v>-3.6089400795287201E-3</v>
      </c>
      <c r="AC885" t="s">
        <v>85</v>
      </c>
      <c r="AI885">
        <v>3</v>
      </c>
      <c r="AV885" t="s">
        <v>256</v>
      </c>
    </row>
    <row r="886" spans="1:48" x14ac:dyDescent="0.3">
      <c r="A886" t="s">
        <v>1555</v>
      </c>
      <c r="C886" t="s">
        <v>1495</v>
      </c>
      <c r="D886" t="s">
        <v>81</v>
      </c>
      <c r="E886">
        <v>1000000000</v>
      </c>
      <c r="H886">
        <v>10</v>
      </c>
      <c r="I886" t="s">
        <v>82</v>
      </c>
      <c r="J886">
        <v>9.9999999999999991E-6</v>
      </c>
      <c r="K886" t="s">
        <v>252</v>
      </c>
      <c r="L886" t="s">
        <v>58</v>
      </c>
      <c r="O886">
        <v>7.0000000000000007E-2</v>
      </c>
      <c r="P886" t="s">
        <v>1556</v>
      </c>
      <c r="S886" t="s">
        <v>928</v>
      </c>
      <c r="T886">
        <v>37</v>
      </c>
      <c r="V886">
        <v>50</v>
      </c>
      <c r="W886" t="s">
        <v>1057</v>
      </c>
      <c r="X886" t="s">
        <v>932</v>
      </c>
      <c r="Y886">
        <v>15.1048951048951</v>
      </c>
      <c r="AB886">
        <v>1.09419991772927E-2</v>
      </c>
      <c r="AC886" t="s">
        <v>85</v>
      </c>
      <c r="AI886">
        <v>3</v>
      </c>
      <c r="AV886" t="s">
        <v>256</v>
      </c>
    </row>
    <row r="887" spans="1:48" x14ac:dyDescent="0.3">
      <c r="A887" t="s">
        <v>1555</v>
      </c>
      <c r="C887" t="s">
        <v>1495</v>
      </c>
      <c r="D887" t="s">
        <v>81</v>
      </c>
      <c r="E887">
        <v>1000000000</v>
      </c>
      <c r="H887">
        <v>10</v>
      </c>
      <c r="I887" t="s">
        <v>82</v>
      </c>
      <c r="J887">
        <v>9.9999999999999991E-6</v>
      </c>
      <c r="K887" t="s">
        <v>252</v>
      </c>
      <c r="L887" t="s">
        <v>58</v>
      </c>
      <c r="O887">
        <v>7.0000000000000007E-2</v>
      </c>
      <c r="P887" t="s">
        <v>1556</v>
      </c>
      <c r="S887" t="s">
        <v>928</v>
      </c>
      <c r="T887">
        <v>37</v>
      </c>
      <c r="V887">
        <v>50</v>
      </c>
      <c r="W887" t="s">
        <v>1057</v>
      </c>
      <c r="X887" t="s">
        <v>932</v>
      </c>
      <c r="Y887">
        <v>30</v>
      </c>
      <c r="AB887">
        <v>2.7396078431372501</v>
      </c>
      <c r="AC887" t="s">
        <v>85</v>
      </c>
      <c r="AI887">
        <v>3</v>
      </c>
      <c r="AV887" t="s">
        <v>256</v>
      </c>
    </row>
    <row r="888" spans="1:48" x14ac:dyDescent="0.3">
      <c r="A888" t="s">
        <v>1555</v>
      </c>
      <c r="C888" t="s">
        <v>1495</v>
      </c>
      <c r="D888" t="s">
        <v>81</v>
      </c>
      <c r="E888">
        <v>1000000000</v>
      </c>
      <c r="H888">
        <v>10</v>
      </c>
      <c r="I888" t="s">
        <v>82</v>
      </c>
      <c r="J888">
        <v>9.9999999999999991E-6</v>
      </c>
      <c r="K888" t="s">
        <v>252</v>
      </c>
      <c r="L888" t="s">
        <v>58</v>
      </c>
      <c r="O888">
        <v>7.0000000000000007E-2</v>
      </c>
      <c r="P888" t="s">
        <v>1556</v>
      </c>
      <c r="S888" t="s">
        <v>928</v>
      </c>
      <c r="T888">
        <v>37</v>
      </c>
      <c r="V888">
        <v>50</v>
      </c>
      <c r="W888" t="s">
        <v>1057</v>
      </c>
      <c r="X888" t="s">
        <v>932</v>
      </c>
      <c r="Y888">
        <v>60</v>
      </c>
      <c r="AB888">
        <v>5.5780392156862701</v>
      </c>
      <c r="AC888" t="s">
        <v>85</v>
      </c>
      <c r="AI888">
        <v>3</v>
      </c>
      <c r="AV888" t="s">
        <v>256</v>
      </c>
    </row>
    <row r="889" spans="1:48" x14ac:dyDescent="0.3">
      <c r="A889" t="s">
        <v>1555</v>
      </c>
      <c r="C889" t="s">
        <v>1495</v>
      </c>
      <c r="D889" t="s">
        <v>81</v>
      </c>
      <c r="E889">
        <v>1000000000</v>
      </c>
      <c r="H889">
        <v>10</v>
      </c>
      <c r="I889" t="s">
        <v>82</v>
      </c>
      <c r="J889">
        <v>9.9999999999999991E-6</v>
      </c>
      <c r="K889" t="s">
        <v>252</v>
      </c>
      <c r="L889" t="s">
        <v>58</v>
      </c>
      <c r="O889">
        <v>7.0000000000000007E-2</v>
      </c>
      <c r="P889" t="s">
        <v>1556</v>
      </c>
      <c r="S889" t="s">
        <v>928</v>
      </c>
      <c r="T889">
        <v>20</v>
      </c>
      <c r="V889">
        <v>50</v>
      </c>
      <c r="W889" t="s">
        <v>1057</v>
      </c>
      <c r="X889" t="s">
        <v>932</v>
      </c>
      <c r="Y889">
        <v>4.93006993006993</v>
      </c>
      <c r="AB889">
        <v>3.1136706430825001E-2</v>
      </c>
      <c r="AC889" t="s">
        <v>85</v>
      </c>
      <c r="AI889">
        <v>3</v>
      </c>
      <c r="AV889" t="s">
        <v>256</v>
      </c>
    </row>
    <row r="890" spans="1:48" x14ac:dyDescent="0.3">
      <c r="A890" t="s">
        <v>1555</v>
      </c>
      <c r="C890" t="s">
        <v>1495</v>
      </c>
      <c r="D890" t="s">
        <v>81</v>
      </c>
      <c r="E890">
        <v>1000000000</v>
      </c>
      <c r="H890">
        <v>10</v>
      </c>
      <c r="I890" t="s">
        <v>82</v>
      </c>
      <c r="J890">
        <v>9.9999999999999991E-6</v>
      </c>
      <c r="K890" t="s">
        <v>252</v>
      </c>
      <c r="L890" t="s">
        <v>58</v>
      </c>
      <c r="O890">
        <v>7.0000000000000007E-2</v>
      </c>
      <c r="P890" t="s">
        <v>1556</v>
      </c>
      <c r="S890" t="s">
        <v>928</v>
      </c>
      <c r="T890">
        <v>20</v>
      </c>
      <c r="V890">
        <v>50</v>
      </c>
      <c r="W890" t="s">
        <v>1057</v>
      </c>
      <c r="X890" t="s">
        <v>932</v>
      </c>
      <c r="Y890">
        <v>9.9650349650349597</v>
      </c>
      <c r="AB890">
        <v>6.2235019882077497E-2</v>
      </c>
      <c r="AC890" t="s">
        <v>85</v>
      </c>
      <c r="AI890">
        <v>3</v>
      </c>
      <c r="AV890" t="s">
        <v>256</v>
      </c>
    </row>
    <row r="891" spans="1:48" x14ac:dyDescent="0.3">
      <c r="A891" t="s">
        <v>1555</v>
      </c>
      <c r="C891" t="s">
        <v>1495</v>
      </c>
      <c r="D891" t="s">
        <v>81</v>
      </c>
      <c r="E891">
        <v>1000000000</v>
      </c>
      <c r="H891">
        <v>10</v>
      </c>
      <c r="I891" t="s">
        <v>82</v>
      </c>
      <c r="J891">
        <v>9.9999999999999991E-6</v>
      </c>
      <c r="K891" t="s">
        <v>252</v>
      </c>
      <c r="L891" t="s">
        <v>58</v>
      </c>
      <c r="O891">
        <v>7.0000000000000007E-2</v>
      </c>
      <c r="P891" t="s">
        <v>1556</v>
      </c>
      <c r="S891" t="s">
        <v>928</v>
      </c>
      <c r="T891">
        <v>20</v>
      </c>
      <c r="V891">
        <v>50</v>
      </c>
      <c r="W891" t="s">
        <v>1057</v>
      </c>
      <c r="X891" t="s">
        <v>932</v>
      </c>
      <c r="Y891">
        <v>15</v>
      </c>
      <c r="AB891">
        <v>2.7450980392156699E-2</v>
      </c>
      <c r="AC891" t="s">
        <v>85</v>
      </c>
      <c r="AI891">
        <v>3</v>
      </c>
      <c r="AV891" t="s">
        <v>256</v>
      </c>
    </row>
    <row r="892" spans="1:48" x14ac:dyDescent="0.3">
      <c r="A892" t="s">
        <v>1555</v>
      </c>
      <c r="C892" t="s">
        <v>1495</v>
      </c>
      <c r="D892" t="s">
        <v>81</v>
      </c>
      <c r="E892">
        <v>1000000000</v>
      </c>
      <c r="H892">
        <v>10</v>
      </c>
      <c r="I892" t="s">
        <v>82</v>
      </c>
      <c r="J892">
        <v>9.9999999999999991E-6</v>
      </c>
      <c r="K892" t="s">
        <v>252</v>
      </c>
      <c r="L892" t="s">
        <v>58</v>
      </c>
      <c r="O892">
        <v>7.0000000000000007E-2</v>
      </c>
      <c r="P892" t="s">
        <v>1556</v>
      </c>
      <c r="S892" t="s">
        <v>928</v>
      </c>
      <c r="T892">
        <v>20</v>
      </c>
      <c r="V892">
        <v>50</v>
      </c>
      <c r="W892" t="s">
        <v>1057</v>
      </c>
      <c r="X892" t="s">
        <v>932</v>
      </c>
      <c r="Y892">
        <v>30</v>
      </c>
      <c r="AB892">
        <v>-1.0980392156863399E-2</v>
      </c>
      <c r="AC892" t="s">
        <v>85</v>
      </c>
      <c r="AI892">
        <v>3</v>
      </c>
      <c r="AV892" t="s">
        <v>256</v>
      </c>
    </row>
    <row r="893" spans="1:48" x14ac:dyDescent="0.3">
      <c r="A893" t="s">
        <v>1555</v>
      </c>
      <c r="C893" t="s">
        <v>1495</v>
      </c>
      <c r="D893" t="s">
        <v>81</v>
      </c>
      <c r="E893">
        <v>1000000000</v>
      </c>
      <c r="H893">
        <v>10</v>
      </c>
      <c r="I893" t="s">
        <v>82</v>
      </c>
      <c r="J893">
        <v>9.9999999999999991E-6</v>
      </c>
      <c r="K893" t="s">
        <v>252</v>
      </c>
      <c r="L893" t="s">
        <v>58</v>
      </c>
      <c r="O893">
        <v>7.0000000000000007E-2</v>
      </c>
      <c r="P893" t="s">
        <v>1556</v>
      </c>
      <c r="S893" t="s">
        <v>928</v>
      </c>
      <c r="T893">
        <v>20</v>
      </c>
      <c r="V893">
        <v>50</v>
      </c>
      <c r="W893" t="s">
        <v>1057</v>
      </c>
      <c r="X893" t="s">
        <v>932</v>
      </c>
      <c r="Y893">
        <v>60.1048951048951</v>
      </c>
      <c r="AB893">
        <v>-5.5285890580023499E-3</v>
      </c>
      <c r="AC893" t="s">
        <v>85</v>
      </c>
      <c r="AI893">
        <v>3</v>
      </c>
      <c r="AV893" t="s">
        <v>256</v>
      </c>
    </row>
    <row r="894" spans="1:48" x14ac:dyDescent="0.3">
      <c r="A894" t="s">
        <v>1555</v>
      </c>
      <c r="C894" t="s">
        <v>1495</v>
      </c>
      <c r="D894" t="s">
        <v>81</v>
      </c>
      <c r="E894">
        <v>1000000000</v>
      </c>
      <c r="H894">
        <v>10</v>
      </c>
      <c r="I894" t="s">
        <v>82</v>
      </c>
      <c r="J894">
        <v>9.9999999999999991E-6</v>
      </c>
      <c r="K894" t="s">
        <v>252</v>
      </c>
      <c r="L894" t="s">
        <v>58</v>
      </c>
      <c r="O894">
        <v>100</v>
      </c>
      <c r="P894" t="s">
        <v>1543</v>
      </c>
      <c r="S894" t="s">
        <v>928</v>
      </c>
      <c r="T894">
        <v>60</v>
      </c>
      <c r="V894">
        <v>50</v>
      </c>
      <c r="W894" t="s">
        <v>1057</v>
      </c>
      <c r="X894" t="s">
        <v>932</v>
      </c>
      <c r="Y894">
        <v>0.21686746987951899</v>
      </c>
      <c r="AB894">
        <v>3.4401308939461403E-2</v>
      </c>
      <c r="AC894" t="s">
        <v>85</v>
      </c>
      <c r="AI894">
        <v>3</v>
      </c>
      <c r="AV894" t="s">
        <v>256</v>
      </c>
    </row>
    <row r="895" spans="1:48" x14ac:dyDescent="0.3">
      <c r="A895" t="s">
        <v>1555</v>
      </c>
      <c r="C895" t="s">
        <v>1495</v>
      </c>
      <c r="D895" t="s">
        <v>81</v>
      </c>
      <c r="E895">
        <v>1000000000</v>
      </c>
      <c r="H895">
        <v>10</v>
      </c>
      <c r="I895" t="s">
        <v>82</v>
      </c>
      <c r="J895">
        <v>9.9999999999999991E-6</v>
      </c>
      <c r="K895" t="s">
        <v>252</v>
      </c>
      <c r="L895" t="s">
        <v>58</v>
      </c>
      <c r="O895">
        <v>100</v>
      </c>
      <c r="P895" t="s">
        <v>1543</v>
      </c>
      <c r="S895" t="s">
        <v>928</v>
      </c>
      <c r="T895">
        <v>60</v>
      </c>
      <c r="V895">
        <v>50</v>
      </c>
      <c r="W895" t="s">
        <v>1057</v>
      </c>
      <c r="X895" t="s">
        <v>932</v>
      </c>
      <c r="Y895">
        <v>4.7710843373493903</v>
      </c>
      <c r="AB895">
        <v>7.1864584262977802</v>
      </c>
      <c r="AC895" t="s">
        <v>85</v>
      </c>
      <c r="AI895">
        <v>3</v>
      </c>
      <c r="AV895" t="s">
        <v>256</v>
      </c>
    </row>
    <row r="896" spans="1:48" x14ac:dyDescent="0.3">
      <c r="A896" t="s">
        <v>1555</v>
      </c>
      <c r="C896" t="s">
        <v>1495</v>
      </c>
      <c r="D896" t="s">
        <v>81</v>
      </c>
      <c r="E896">
        <v>1000000000</v>
      </c>
      <c r="H896">
        <v>10</v>
      </c>
      <c r="I896" t="s">
        <v>82</v>
      </c>
      <c r="J896">
        <v>9.9999999999999991E-6</v>
      </c>
      <c r="K896" t="s">
        <v>252</v>
      </c>
      <c r="L896" t="s">
        <v>58</v>
      </c>
      <c r="O896">
        <v>100</v>
      </c>
      <c r="P896" t="s">
        <v>1543</v>
      </c>
      <c r="S896" t="s">
        <v>928</v>
      </c>
      <c r="T896">
        <v>60</v>
      </c>
      <c r="V896">
        <v>50</v>
      </c>
      <c r="W896" t="s">
        <v>1057</v>
      </c>
      <c r="X896" t="s">
        <v>932</v>
      </c>
      <c r="Y896">
        <v>10.084337349397501</v>
      </c>
      <c r="AB896">
        <v>7.4934880261787811</v>
      </c>
      <c r="AC896" t="s">
        <v>85</v>
      </c>
      <c r="AI896">
        <v>3</v>
      </c>
      <c r="AV896" t="s">
        <v>256</v>
      </c>
    </row>
    <row r="897" spans="1:48" x14ac:dyDescent="0.3">
      <c r="A897" t="s">
        <v>1555</v>
      </c>
      <c r="C897" t="s">
        <v>1495</v>
      </c>
      <c r="D897" t="s">
        <v>81</v>
      </c>
      <c r="E897">
        <v>1000000000</v>
      </c>
      <c r="H897">
        <v>10</v>
      </c>
      <c r="I897" t="s">
        <v>82</v>
      </c>
      <c r="J897">
        <v>9.9999999999999991E-6</v>
      </c>
      <c r="K897" t="s">
        <v>252</v>
      </c>
      <c r="L897" t="s">
        <v>58</v>
      </c>
      <c r="O897">
        <v>100</v>
      </c>
      <c r="P897" t="s">
        <v>1543</v>
      </c>
      <c r="S897" t="s">
        <v>928</v>
      </c>
      <c r="T897">
        <v>60</v>
      </c>
      <c r="V897">
        <v>50</v>
      </c>
      <c r="W897" t="s">
        <v>1057</v>
      </c>
      <c r="X897" t="s">
        <v>932</v>
      </c>
      <c r="Y897">
        <v>14.855421686746899</v>
      </c>
      <c r="AB897">
        <v>7.5071069463037299</v>
      </c>
      <c r="AC897" t="s">
        <v>85</v>
      </c>
      <c r="AI897">
        <v>3</v>
      </c>
      <c r="AV897" t="s">
        <v>256</v>
      </c>
    </row>
    <row r="898" spans="1:48" x14ac:dyDescent="0.3">
      <c r="A898" t="s">
        <v>1555</v>
      </c>
      <c r="C898" t="s">
        <v>1495</v>
      </c>
      <c r="D898" t="s">
        <v>81</v>
      </c>
      <c r="E898">
        <v>1000000000</v>
      </c>
      <c r="H898">
        <v>10</v>
      </c>
      <c r="I898" t="s">
        <v>82</v>
      </c>
      <c r="J898">
        <v>9.9999999999999991E-6</v>
      </c>
      <c r="K898" t="s">
        <v>252</v>
      </c>
      <c r="L898" t="s">
        <v>58</v>
      </c>
      <c r="O898">
        <v>100</v>
      </c>
      <c r="P898" t="s">
        <v>1543</v>
      </c>
      <c r="S898" t="s">
        <v>928</v>
      </c>
      <c r="T898">
        <v>60</v>
      </c>
      <c r="V898">
        <v>50</v>
      </c>
      <c r="W898" t="s">
        <v>1057</v>
      </c>
      <c r="X898" t="s">
        <v>932</v>
      </c>
      <c r="Y898">
        <v>30.036144578313198</v>
      </c>
      <c r="AB898">
        <v>7.4954454856462798</v>
      </c>
      <c r="AC898" t="s">
        <v>85</v>
      </c>
      <c r="AI898">
        <v>3</v>
      </c>
      <c r="AV898" t="s">
        <v>256</v>
      </c>
    </row>
    <row r="899" spans="1:48" x14ac:dyDescent="0.3">
      <c r="A899" t="s">
        <v>1555</v>
      </c>
      <c r="C899" t="s">
        <v>1495</v>
      </c>
      <c r="D899" t="s">
        <v>81</v>
      </c>
      <c r="E899">
        <v>1000000000</v>
      </c>
      <c r="H899">
        <v>10</v>
      </c>
      <c r="I899" t="s">
        <v>82</v>
      </c>
      <c r="J899">
        <v>9.9999999999999991E-6</v>
      </c>
      <c r="K899" t="s">
        <v>252</v>
      </c>
      <c r="L899" t="s">
        <v>58</v>
      </c>
      <c r="O899">
        <v>100</v>
      </c>
      <c r="P899" t="s">
        <v>1543</v>
      </c>
      <c r="S899" t="s">
        <v>928</v>
      </c>
      <c r="T899">
        <v>60</v>
      </c>
      <c r="V899">
        <v>50</v>
      </c>
      <c r="W899" t="s">
        <v>1057</v>
      </c>
      <c r="X899" t="s">
        <v>932</v>
      </c>
      <c r="Y899">
        <v>59.963855421686702</v>
      </c>
      <c r="AB899">
        <v>7.4551717983043204</v>
      </c>
      <c r="AC899" t="s">
        <v>85</v>
      </c>
      <c r="AI899">
        <v>3</v>
      </c>
      <c r="AV899" t="s">
        <v>256</v>
      </c>
    </row>
    <row r="900" spans="1:48" x14ac:dyDescent="0.3">
      <c r="A900" t="s">
        <v>1555</v>
      </c>
      <c r="C900" t="s">
        <v>1495</v>
      </c>
      <c r="D900" t="s">
        <v>81</v>
      </c>
      <c r="E900">
        <v>1000000000</v>
      </c>
      <c r="H900">
        <v>10</v>
      </c>
      <c r="I900" t="s">
        <v>82</v>
      </c>
      <c r="J900">
        <v>9.9999999999999991E-6</v>
      </c>
      <c r="K900" t="s">
        <v>252</v>
      </c>
      <c r="L900" t="s">
        <v>58</v>
      </c>
      <c r="O900">
        <v>50</v>
      </c>
      <c r="P900" t="s">
        <v>1543</v>
      </c>
      <c r="S900" t="s">
        <v>928</v>
      </c>
      <c r="T900">
        <v>60</v>
      </c>
      <c r="V900">
        <v>50</v>
      </c>
      <c r="W900" t="s">
        <v>1057</v>
      </c>
      <c r="X900" t="s">
        <v>932</v>
      </c>
      <c r="Y900">
        <v>5.0963855421686697</v>
      </c>
      <c r="AB900">
        <v>6.9788011304477102</v>
      </c>
      <c r="AC900" t="s">
        <v>85</v>
      </c>
      <c r="AI900">
        <v>3</v>
      </c>
      <c r="AV900" t="s">
        <v>256</v>
      </c>
    </row>
    <row r="901" spans="1:48" x14ac:dyDescent="0.3">
      <c r="A901" t="s">
        <v>1555</v>
      </c>
      <c r="C901" t="s">
        <v>1495</v>
      </c>
      <c r="D901" t="s">
        <v>81</v>
      </c>
      <c r="E901">
        <v>1000000000</v>
      </c>
      <c r="H901">
        <v>10</v>
      </c>
      <c r="I901" t="s">
        <v>82</v>
      </c>
      <c r="J901">
        <v>9.9999999999999991E-6</v>
      </c>
      <c r="K901" t="s">
        <v>252</v>
      </c>
      <c r="L901" t="s">
        <v>58</v>
      </c>
      <c r="O901">
        <v>50</v>
      </c>
      <c r="P901" t="s">
        <v>1543</v>
      </c>
      <c r="S901" t="s">
        <v>928</v>
      </c>
      <c r="T901">
        <v>60</v>
      </c>
      <c r="V901">
        <v>50</v>
      </c>
      <c r="W901" t="s">
        <v>1057</v>
      </c>
      <c r="X901" t="s">
        <v>932</v>
      </c>
      <c r="Y901">
        <v>10.084337349397501</v>
      </c>
      <c r="AB901">
        <v>7.4416361743269297</v>
      </c>
      <c r="AC901" t="s">
        <v>85</v>
      </c>
      <c r="AI901">
        <v>3</v>
      </c>
      <c r="AV901" t="s">
        <v>256</v>
      </c>
    </row>
    <row r="902" spans="1:48" x14ac:dyDescent="0.3">
      <c r="A902" t="s">
        <v>1555</v>
      </c>
      <c r="C902" t="s">
        <v>1495</v>
      </c>
      <c r="D902" t="s">
        <v>81</v>
      </c>
      <c r="E902">
        <v>1000000000</v>
      </c>
      <c r="H902">
        <v>10</v>
      </c>
      <c r="I902" t="s">
        <v>82</v>
      </c>
      <c r="J902">
        <v>9.9999999999999991E-6</v>
      </c>
      <c r="K902" t="s">
        <v>252</v>
      </c>
      <c r="L902" t="s">
        <v>58</v>
      </c>
      <c r="O902">
        <v>50</v>
      </c>
      <c r="P902" t="s">
        <v>1543</v>
      </c>
      <c r="S902" t="s">
        <v>928</v>
      </c>
      <c r="T902">
        <v>60</v>
      </c>
      <c r="V902">
        <v>50</v>
      </c>
      <c r="W902" t="s">
        <v>1057</v>
      </c>
      <c r="X902" t="s">
        <v>932</v>
      </c>
      <c r="Y902">
        <v>30.036144578313198</v>
      </c>
      <c r="AB902">
        <v>7.4608775844117199</v>
      </c>
      <c r="AC902" t="s">
        <v>85</v>
      </c>
      <c r="AI902">
        <v>3</v>
      </c>
      <c r="AV902" t="s">
        <v>256</v>
      </c>
    </row>
    <row r="903" spans="1:48" x14ac:dyDescent="0.3">
      <c r="A903" t="s">
        <v>1555</v>
      </c>
      <c r="C903" t="s">
        <v>1495</v>
      </c>
      <c r="D903" t="s">
        <v>81</v>
      </c>
      <c r="E903">
        <v>1000000000</v>
      </c>
      <c r="H903">
        <v>10</v>
      </c>
      <c r="I903" t="s">
        <v>82</v>
      </c>
      <c r="J903">
        <v>9.9999999999999991E-6</v>
      </c>
      <c r="K903" t="s">
        <v>252</v>
      </c>
      <c r="L903" t="s">
        <v>58</v>
      </c>
      <c r="O903">
        <v>33.299999999999997</v>
      </c>
      <c r="P903" t="s">
        <v>1543</v>
      </c>
      <c r="S903" t="s">
        <v>928</v>
      </c>
      <c r="T903">
        <v>60</v>
      </c>
      <c r="V903">
        <v>50</v>
      </c>
      <c r="W903" t="s">
        <v>1057</v>
      </c>
      <c r="X903" t="s">
        <v>932</v>
      </c>
      <c r="Y903">
        <v>0.10843373493976</v>
      </c>
      <c r="AB903">
        <v>3.4484605087014203E-2</v>
      </c>
      <c r="AC903" t="s">
        <v>85</v>
      </c>
      <c r="AI903">
        <v>3</v>
      </c>
      <c r="AV903" t="s">
        <v>256</v>
      </c>
    </row>
    <row r="904" spans="1:48" x14ac:dyDescent="0.3">
      <c r="A904" t="s">
        <v>1555</v>
      </c>
      <c r="C904" t="s">
        <v>1495</v>
      </c>
      <c r="D904" t="s">
        <v>81</v>
      </c>
      <c r="E904">
        <v>1000000000</v>
      </c>
      <c r="H904">
        <v>10</v>
      </c>
      <c r="I904" t="s">
        <v>82</v>
      </c>
      <c r="J904">
        <v>9.9999999999999991E-6</v>
      </c>
      <c r="K904" t="s">
        <v>252</v>
      </c>
      <c r="L904" t="s">
        <v>58</v>
      </c>
      <c r="O904">
        <v>33.299999999999997</v>
      </c>
      <c r="P904" t="s">
        <v>1543</v>
      </c>
      <c r="S904" t="s">
        <v>928</v>
      </c>
      <c r="T904">
        <v>60</v>
      </c>
      <c r="V904">
        <v>50</v>
      </c>
      <c r="W904" t="s">
        <v>1057</v>
      </c>
      <c r="X904" t="s">
        <v>932</v>
      </c>
      <c r="Y904">
        <v>5.2048192771084301</v>
      </c>
      <c r="AB904">
        <v>5.0601993157816398</v>
      </c>
      <c r="AC904" t="s">
        <v>85</v>
      </c>
      <c r="AI904">
        <v>3</v>
      </c>
      <c r="AV904" t="s">
        <v>256</v>
      </c>
    </row>
    <row r="905" spans="1:48" x14ac:dyDescent="0.3">
      <c r="A905" t="s">
        <v>1555</v>
      </c>
      <c r="C905" t="s">
        <v>1495</v>
      </c>
      <c r="D905" t="s">
        <v>81</v>
      </c>
      <c r="E905">
        <v>1000000000</v>
      </c>
      <c r="H905">
        <v>10</v>
      </c>
      <c r="I905" t="s">
        <v>82</v>
      </c>
      <c r="J905">
        <v>9.9999999999999991E-6</v>
      </c>
      <c r="K905" t="s">
        <v>252</v>
      </c>
      <c r="L905" t="s">
        <v>58</v>
      </c>
      <c r="O905">
        <v>33.299999999999997</v>
      </c>
      <c r="P905" t="s">
        <v>1543</v>
      </c>
      <c r="S905" t="s">
        <v>928</v>
      </c>
      <c r="T905">
        <v>60</v>
      </c>
      <c r="V905">
        <v>50</v>
      </c>
      <c r="W905" t="s">
        <v>1057</v>
      </c>
      <c r="X905" t="s">
        <v>932</v>
      </c>
      <c r="Y905">
        <v>10.084337349397501</v>
      </c>
      <c r="AB905">
        <v>7.09595716198125</v>
      </c>
      <c r="AC905" t="s">
        <v>85</v>
      </c>
      <c r="AI905">
        <v>3</v>
      </c>
      <c r="AV905" t="s">
        <v>256</v>
      </c>
    </row>
    <row r="906" spans="1:48" x14ac:dyDescent="0.3">
      <c r="A906" t="s">
        <v>1555</v>
      </c>
      <c r="C906" t="s">
        <v>1495</v>
      </c>
      <c r="D906" t="s">
        <v>81</v>
      </c>
      <c r="E906">
        <v>1000000000</v>
      </c>
      <c r="H906">
        <v>10</v>
      </c>
      <c r="I906" t="s">
        <v>82</v>
      </c>
      <c r="J906">
        <v>9.9999999999999991E-6</v>
      </c>
      <c r="K906" t="s">
        <v>252</v>
      </c>
      <c r="L906" t="s">
        <v>58</v>
      </c>
      <c r="O906">
        <v>33.299999999999997</v>
      </c>
      <c r="P906" t="s">
        <v>1543</v>
      </c>
      <c r="S906" t="s">
        <v>928</v>
      </c>
      <c r="T906">
        <v>60</v>
      </c>
      <c r="V906">
        <v>50</v>
      </c>
      <c r="W906" t="s">
        <v>1057</v>
      </c>
      <c r="X906" t="s">
        <v>932</v>
      </c>
      <c r="Y906">
        <v>14.855421686746899</v>
      </c>
      <c r="AB906">
        <v>7.4379711438345906</v>
      </c>
      <c r="AC906" t="s">
        <v>85</v>
      </c>
      <c r="AI906">
        <v>3</v>
      </c>
      <c r="AV906" t="s">
        <v>256</v>
      </c>
    </row>
    <row r="907" spans="1:48" x14ac:dyDescent="0.3">
      <c r="A907" t="s">
        <v>1555</v>
      </c>
      <c r="C907" t="s">
        <v>1495</v>
      </c>
      <c r="D907" t="s">
        <v>81</v>
      </c>
      <c r="E907">
        <v>1000000000</v>
      </c>
      <c r="H907">
        <v>10</v>
      </c>
      <c r="I907" t="s">
        <v>82</v>
      </c>
      <c r="J907">
        <v>9.9999999999999991E-6</v>
      </c>
      <c r="K907" t="s">
        <v>252</v>
      </c>
      <c r="L907" t="s">
        <v>58</v>
      </c>
      <c r="O907">
        <v>33.299999999999997</v>
      </c>
      <c r="P907" t="s">
        <v>1543</v>
      </c>
      <c r="S907" t="s">
        <v>928</v>
      </c>
      <c r="T907">
        <v>60</v>
      </c>
      <c r="V907">
        <v>50</v>
      </c>
      <c r="W907" t="s">
        <v>1057</v>
      </c>
      <c r="X907" t="s">
        <v>932</v>
      </c>
      <c r="Y907">
        <v>30.144578313253</v>
      </c>
      <c r="AB907">
        <v>7.3052387327086086</v>
      </c>
      <c r="AC907" t="s">
        <v>85</v>
      </c>
      <c r="AI907">
        <v>3</v>
      </c>
      <c r="AV907" t="s">
        <v>256</v>
      </c>
    </row>
    <row r="908" spans="1:48" x14ac:dyDescent="0.3">
      <c r="A908" t="s">
        <v>1555</v>
      </c>
      <c r="C908" t="s">
        <v>1495</v>
      </c>
      <c r="D908" t="s">
        <v>81</v>
      </c>
      <c r="E908">
        <v>1000000000</v>
      </c>
      <c r="H908">
        <v>10</v>
      </c>
      <c r="I908" t="s">
        <v>82</v>
      </c>
      <c r="J908">
        <v>9.9999999999999991E-6</v>
      </c>
      <c r="K908" t="s">
        <v>252</v>
      </c>
      <c r="L908" t="s">
        <v>58</v>
      </c>
      <c r="O908">
        <v>33.299999999999997</v>
      </c>
      <c r="P908" t="s">
        <v>1543</v>
      </c>
      <c r="S908" t="s">
        <v>928</v>
      </c>
      <c r="T908">
        <v>60</v>
      </c>
      <c r="V908">
        <v>50</v>
      </c>
      <c r="W908" t="s">
        <v>1057</v>
      </c>
      <c r="X908" t="s">
        <v>932</v>
      </c>
      <c r="Y908">
        <v>60.072289156626397</v>
      </c>
      <c r="AB908">
        <v>7.4032366503049198</v>
      </c>
      <c r="AC908" t="s">
        <v>85</v>
      </c>
      <c r="AI908">
        <v>3</v>
      </c>
      <c r="AV908" t="s">
        <v>256</v>
      </c>
    </row>
    <row r="909" spans="1:48" x14ac:dyDescent="0.3">
      <c r="A909" t="s">
        <v>1555</v>
      </c>
      <c r="C909" t="s">
        <v>1495</v>
      </c>
      <c r="D909" t="s">
        <v>81</v>
      </c>
      <c r="E909">
        <v>1000000000</v>
      </c>
      <c r="H909">
        <v>10</v>
      </c>
      <c r="I909" t="s">
        <v>82</v>
      </c>
      <c r="J909">
        <v>9.9999999999999991E-6</v>
      </c>
      <c r="K909" t="s">
        <v>252</v>
      </c>
      <c r="L909" t="s">
        <v>58</v>
      </c>
      <c r="O909">
        <v>20</v>
      </c>
      <c r="P909" t="s">
        <v>1543</v>
      </c>
      <c r="S909" t="s">
        <v>928</v>
      </c>
      <c r="T909">
        <v>60</v>
      </c>
      <c r="V909">
        <v>50</v>
      </c>
      <c r="W909" t="s">
        <v>1057</v>
      </c>
      <c r="X909" t="s">
        <v>932</v>
      </c>
      <c r="Y909">
        <v>5.0963855421686697</v>
      </c>
      <c r="AB909">
        <v>2.6232455748921599</v>
      </c>
      <c r="AC909" t="s">
        <v>85</v>
      </c>
      <c r="AI909">
        <v>3</v>
      </c>
      <c r="AV909" t="s">
        <v>256</v>
      </c>
    </row>
    <row r="910" spans="1:48" x14ac:dyDescent="0.3">
      <c r="A910" t="s">
        <v>1555</v>
      </c>
      <c r="C910" t="s">
        <v>1495</v>
      </c>
      <c r="D910" t="s">
        <v>81</v>
      </c>
      <c r="E910">
        <v>1000000000</v>
      </c>
      <c r="H910">
        <v>10</v>
      </c>
      <c r="I910" t="s">
        <v>82</v>
      </c>
      <c r="J910">
        <v>9.9999999999999991E-6</v>
      </c>
      <c r="K910" t="s">
        <v>252</v>
      </c>
      <c r="L910" t="s">
        <v>58</v>
      </c>
      <c r="O910">
        <v>20</v>
      </c>
      <c r="P910" t="s">
        <v>1543</v>
      </c>
      <c r="S910" t="s">
        <v>928</v>
      </c>
      <c r="T910">
        <v>60</v>
      </c>
      <c r="V910">
        <v>50</v>
      </c>
      <c r="W910" t="s">
        <v>1057</v>
      </c>
      <c r="X910" t="s">
        <v>932</v>
      </c>
      <c r="Y910">
        <v>10.3012048192771</v>
      </c>
      <c r="AB910">
        <v>4.2785066190688603</v>
      </c>
      <c r="AC910" t="s">
        <v>85</v>
      </c>
      <c r="AI910">
        <v>3</v>
      </c>
      <c r="AV910" t="s">
        <v>256</v>
      </c>
    </row>
    <row r="911" spans="1:48" x14ac:dyDescent="0.3">
      <c r="A911" t="s">
        <v>1555</v>
      </c>
      <c r="C911" t="s">
        <v>1495</v>
      </c>
      <c r="D911" t="s">
        <v>81</v>
      </c>
      <c r="E911">
        <v>1000000000</v>
      </c>
      <c r="H911">
        <v>10</v>
      </c>
      <c r="I911" t="s">
        <v>82</v>
      </c>
      <c r="J911">
        <v>9.9999999999999991E-6</v>
      </c>
      <c r="K911" t="s">
        <v>252</v>
      </c>
      <c r="L911" t="s">
        <v>58</v>
      </c>
      <c r="O911">
        <v>20</v>
      </c>
      <c r="P911" t="s">
        <v>1543</v>
      </c>
      <c r="S911" t="s">
        <v>928</v>
      </c>
      <c r="T911">
        <v>60</v>
      </c>
      <c r="V911">
        <v>50</v>
      </c>
      <c r="W911" t="s">
        <v>1057</v>
      </c>
      <c r="X911" t="s">
        <v>932</v>
      </c>
      <c r="Y911">
        <v>14.9638554216867</v>
      </c>
      <c r="AB911">
        <v>5.6057890822549403</v>
      </c>
      <c r="AC911" t="s">
        <v>85</v>
      </c>
      <c r="AI911">
        <v>3</v>
      </c>
      <c r="AV911" t="s">
        <v>256</v>
      </c>
    </row>
    <row r="912" spans="1:48" x14ac:dyDescent="0.3">
      <c r="A912" t="s">
        <v>1555</v>
      </c>
      <c r="C912" t="s">
        <v>1495</v>
      </c>
      <c r="D912" t="s">
        <v>81</v>
      </c>
      <c r="E912">
        <v>1000000000</v>
      </c>
      <c r="H912">
        <v>10</v>
      </c>
      <c r="I912" t="s">
        <v>82</v>
      </c>
      <c r="J912">
        <v>9.9999999999999991E-6</v>
      </c>
      <c r="K912" t="s">
        <v>252</v>
      </c>
      <c r="L912" t="s">
        <v>58</v>
      </c>
      <c r="O912">
        <v>20</v>
      </c>
      <c r="P912" t="s">
        <v>1543</v>
      </c>
      <c r="S912" t="s">
        <v>928</v>
      </c>
      <c r="T912">
        <v>60</v>
      </c>
      <c r="V912">
        <v>50</v>
      </c>
      <c r="W912" t="s">
        <v>1057</v>
      </c>
      <c r="X912" t="s">
        <v>932</v>
      </c>
      <c r="Y912">
        <v>30.036144578313198</v>
      </c>
      <c r="AB912">
        <v>7.35717388070801</v>
      </c>
      <c r="AC912" t="s">
        <v>85</v>
      </c>
      <c r="AI912">
        <v>3</v>
      </c>
      <c r="AV912" t="s">
        <v>256</v>
      </c>
    </row>
    <row r="913" spans="1:48" x14ac:dyDescent="0.3">
      <c r="A913" t="s">
        <v>1555</v>
      </c>
      <c r="C913" t="s">
        <v>1495</v>
      </c>
      <c r="D913" t="s">
        <v>81</v>
      </c>
      <c r="E913">
        <v>1000000000</v>
      </c>
      <c r="H913">
        <v>10</v>
      </c>
      <c r="I913" t="s">
        <v>82</v>
      </c>
      <c r="J913">
        <v>9.9999999999999991E-6</v>
      </c>
      <c r="K913" t="s">
        <v>252</v>
      </c>
      <c r="L913" t="s">
        <v>58</v>
      </c>
      <c r="O913">
        <v>50</v>
      </c>
      <c r="P913" t="s">
        <v>1543</v>
      </c>
      <c r="S913" t="s">
        <v>928</v>
      </c>
      <c r="T913">
        <v>37</v>
      </c>
      <c r="V913">
        <v>50</v>
      </c>
      <c r="W913" t="s">
        <v>1057</v>
      </c>
      <c r="X913" t="s">
        <v>932</v>
      </c>
      <c r="Y913">
        <v>60</v>
      </c>
      <c r="AB913">
        <v>0</v>
      </c>
      <c r="AC913" t="s">
        <v>85</v>
      </c>
      <c r="AI913">
        <v>3</v>
      </c>
      <c r="AV913" t="s">
        <v>256</v>
      </c>
    </row>
    <row r="914" spans="1:48" x14ac:dyDescent="0.3">
      <c r="A914" t="s">
        <v>1555</v>
      </c>
      <c r="C914" t="s">
        <v>1495</v>
      </c>
      <c r="D914" t="s">
        <v>81</v>
      </c>
      <c r="E914">
        <v>1000000000</v>
      </c>
      <c r="H914">
        <v>10</v>
      </c>
      <c r="I914" t="s">
        <v>82</v>
      </c>
      <c r="J914">
        <v>9.9999999999999991E-6</v>
      </c>
      <c r="K914" t="s">
        <v>252</v>
      </c>
      <c r="L914" t="s">
        <v>58</v>
      </c>
      <c r="O914">
        <v>50</v>
      </c>
      <c r="P914" t="s">
        <v>1543</v>
      </c>
      <c r="S914" t="s">
        <v>928</v>
      </c>
      <c r="T914">
        <v>50</v>
      </c>
      <c r="V914">
        <v>50</v>
      </c>
      <c r="W914" t="s">
        <v>1057</v>
      </c>
      <c r="X914" t="s">
        <v>932</v>
      </c>
      <c r="Y914">
        <v>60</v>
      </c>
      <c r="AB914">
        <v>0</v>
      </c>
      <c r="AC914" t="s">
        <v>85</v>
      </c>
      <c r="AI914">
        <v>3</v>
      </c>
      <c r="AV914" t="s">
        <v>256</v>
      </c>
    </row>
    <row r="915" spans="1:48" x14ac:dyDescent="0.3">
      <c r="A915" t="s">
        <v>1555</v>
      </c>
      <c r="C915" t="s">
        <v>1495</v>
      </c>
      <c r="D915" t="s">
        <v>81</v>
      </c>
      <c r="E915">
        <v>1000000000</v>
      </c>
      <c r="H915">
        <v>10</v>
      </c>
      <c r="I915" t="s">
        <v>82</v>
      </c>
      <c r="J915">
        <v>9.9999999999999991E-6</v>
      </c>
      <c r="K915" t="s">
        <v>252</v>
      </c>
      <c r="L915" t="s">
        <v>58</v>
      </c>
      <c r="O915">
        <v>79.150000000000006</v>
      </c>
      <c r="P915" t="s">
        <v>1543</v>
      </c>
      <c r="S915" t="s">
        <v>928</v>
      </c>
      <c r="T915">
        <v>60</v>
      </c>
      <c r="V915">
        <v>50</v>
      </c>
      <c r="W915" t="s">
        <v>1057</v>
      </c>
      <c r="X915" t="s">
        <v>932</v>
      </c>
      <c r="Y915">
        <v>5.0963855421686697</v>
      </c>
      <c r="AB915">
        <v>3.06529822995695E-2</v>
      </c>
      <c r="AC915" t="s">
        <v>85</v>
      </c>
      <c r="AI915">
        <v>3</v>
      </c>
      <c r="AV915" t="s">
        <v>256</v>
      </c>
    </row>
    <row r="916" spans="1:48" x14ac:dyDescent="0.3">
      <c r="A916" t="s">
        <v>1555</v>
      </c>
      <c r="C916" t="s">
        <v>1495</v>
      </c>
      <c r="D916" t="s">
        <v>81</v>
      </c>
      <c r="E916">
        <v>1000000000</v>
      </c>
      <c r="H916">
        <v>10</v>
      </c>
      <c r="I916" t="s">
        <v>82</v>
      </c>
      <c r="J916">
        <v>9.9999999999999991E-6</v>
      </c>
      <c r="K916" t="s">
        <v>252</v>
      </c>
      <c r="L916" t="s">
        <v>58</v>
      </c>
      <c r="O916">
        <v>79.150000000000006</v>
      </c>
      <c r="P916" t="s">
        <v>1543</v>
      </c>
      <c r="S916" t="s">
        <v>928</v>
      </c>
      <c r="T916">
        <v>60</v>
      </c>
      <c r="V916">
        <v>50</v>
      </c>
      <c r="W916" t="s">
        <v>1057</v>
      </c>
      <c r="X916" t="s">
        <v>932</v>
      </c>
      <c r="Y916">
        <v>10.084337349397501</v>
      </c>
      <c r="AB916">
        <v>2.68213595121231E-2</v>
      </c>
      <c r="AC916" t="s">
        <v>85</v>
      </c>
      <c r="AI916">
        <v>3</v>
      </c>
      <c r="AV916" t="s">
        <v>256</v>
      </c>
    </row>
    <row r="917" spans="1:48" x14ac:dyDescent="0.3">
      <c r="A917" t="s">
        <v>1555</v>
      </c>
      <c r="C917" t="s">
        <v>1495</v>
      </c>
      <c r="D917" t="s">
        <v>81</v>
      </c>
      <c r="E917">
        <v>1000000000</v>
      </c>
      <c r="H917">
        <v>10</v>
      </c>
      <c r="I917" t="s">
        <v>82</v>
      </c>
      <c r="J917">
        <v>9.9999999999999991E-6</v>
      </c>
      <c r="K917" t="s">
        <v>252</v>
      </c>
      <c r="L917" t="s">
        <v>58</v>
      </c>
      <c r="O917">
        <v>79.150000000000006</v>
      </c>
      <c r="P917" t="s">
        <v>1543</v>
      </c>
      <c r="S917" t="s">
        <v>928</v>
      </c>
      <c r="T917">
        <v>60</v>
      </c>
      <c r="V917">
        <v>50</v>
      </c>
      <c r="W917" t="s">
        <v>1057</v>
      </c>
      <c r="X917" t="s">
        <v>932</v>
      </c>
      <c r="Y917">
        <v>14.855421686746899</v>
      </c>
      <c r="AB917">
        <v>2.3156329019784001E-2</v>
      </c>
      <c r="AC917" t="s">
        <v>85</v>
      </c>
      <c r="AI917">
        <v>3</v>
      </c>
      <c r="AV917" t="s">
        <v>256</v>
      </c>
    </row>
    <row r="918" spans="1:48" x14ac:dyDescent="0.3">
      <c r="A918" t="s">
        <v>1555</v>
      </c>
      <c r="C918" t="s">
        <v>1495</v>
      </c>
      <c r="D918" t="s">
        <v>81</v>
      </c>
      <c r="E918">
        <v>1000000000</v>
      </c>
      <c r="H918">
        <v>10</v>
      </c>
      <c r="I918" t="s">
        <v>82</v>
      </c>
      <c r="J918">
        <v>9.9999999999999991E-6</v>
      </c>
      <c r="K918" t="s">
        <v>252</v>
      </c>
      <c r="L918" t="s">
        <v>58</v>
      </c>
      <c r="O918">
        <v>79.150000000000006</v>
      </c>
      <c r="P918" t="s">
        <v>1543</v>
      </c>
      <c r="S918" t="s">
        <v>928</v>
      </c>
      <c r="T918">
        <v>60</v>
      </c>
      <c r="V918">
        <v>50</v>
      </c>
      <c r="W918" t="s">
        <v>1057</v>
      </c>
      <c r="X918" t="s">
        <v>932</v>
      </c>
      <c r="Y918">
        <v>30.144578313253</v>
      </c>
      <c r="AB918">
        <v>1.1411572214786499E-2</v>
      </c>
      <c r="AC918" t="s">
        <v>85</v>
      </c>
      <c r="AI918">
        <v>3</v>
      </c>
      <c r="AV918" t="s">
        <v>256</v>
      </c>
    </row>
    <row r="919" spans="1:48" x14ac:dyDescent="0.3">
      <c r="A919" t="s">
        <v>1555</v>
      </c>
      <c r="C919" t="s">
        <v>1495</v>
      </c>
      <c r="D919" t="s">
        <v>81</v>
      </c>
      <c r="E919">
        <v>1000000000</v>
      </c>
      <c r="H919">
        <v>10</v>
      </c>
      <c r="I919" t="s">
        <v>82</v>
      </c>
      <c r="J919">
        <v>9.9999999999999991E-6</v>
      </c>
      <c r="K919" t="s">
        <v>252</v>
      </c>
      <c r="L919" t="s">
        <v>58</v>
      </c>
      <c r="O919">
        <v>79.150000000000006</v>
      </c>
      <c r="P919" t="s">
        <v>1543</v>
      </c>
      <c r="S919" t="s">
        <v>928</v>
      </c>
      <c r="T919">
        <v>60</v>
      </c>
      <c r="V919">
        <v>50</v>
      </c>
      <c r="W919" t="s">
        <v>1057</v>
      </c>
      <c r="X919" t="s">
        <v>932</v>
      </c>
      <c r="Y919">
        <v>59.638554216867398</v>
      </c>
      <c r="AB919">
        <v>-1.1244979919677401E-2</v>
      </c>
      <c r="AC919" t="s">
        <v>85</v>
      </c>
      <c r="AI919">
        <v>3</v>
      </c>
      <c r="AV919" t="s">
        <v>256</v>
      </c>
    </row>
    <row r="920" spans="1:48" x14ac:dyDescent="0.3">
      <c r="A920" t="s">
        <v>1555</v>
      </c>
      <c r="B920" t="s">
        <v>1557</v>
      </c>
      <c r="C920" t="s">
        <v>1495</v>
      </c>
      <c r="D920" t="s">
        <v>81</v>
      </c>
      <c r="E920">
        <v>1000000000</v>
      </c>
      <c r="H920">
        <v>10</v>
      </c>
      <c r="I920" t="s">
        <v>82</v>
      </c>
      <c r="J920">
        <v>9.9999999999999991E-6</v>
      </c>
      <c r="K920" t="s">
        <v>252</v>
      </c>
      <c r="L920" t="s">
        <v>58</v>
      </c>
      <c r="S920" t="s">
        <v>928</v>
      </c>
      <c r="T920">
        <v>60</v>
      </c>
      <c r="V920">
        <v>50</v>
      </c>
      <c r="W920" t="s">
        <v>1558</v>
      </c>
      <c r="X920" t="s">
        <v>932</v>
      </c>
      <c r="Y920">
        <v>4.9138186882176997</v>
      </c>
      <c r="AB920">
        <v>2.4118895966029701</v>
      </c>
      <c r="AC920" t="s">
        <v>85</v>
      </c>
      <c r="AI920">
        <v>3</v>
      </c>
      <c r="AV920" t="s">
        <v>256</v>
      </c>
    </row>
    <row r="921" spans="1:48" x14ac:dyDescent="0.3">
      <c r="A921" t="s">
        <v>1555</v>
      </c>
      <c r="B921" t="s">
        <v>1557</v>
      </c>
      <c r="C921" t="s">
        <v>1495</v>
      </c>
      <c r="D921" t="s">
        <v>81</v>
      </c>
      <c r="E921">
        <v>1000000000</v>
      </c>
      <c r="H921">
        <v>10</v>
      </c>
      <c r="I921" t="s">
        <v>82</v>
      </c>
      <c r="J921">
        <v>9.9999999999999991E-6</v>
      </c>
      <c r="K921" t="s">
        <v>252</v>
      </c>
      <c r="L921" t="s">
        <v>58</v>
      </c>
      <c r="S921" t="s">
        <v>928</v>
      </c>
      <c r="T921">
        <v>60</v>
      </c>
      <c r="V921">
        <v>50</v>
      </c>
      <c r="W921" t="s">
        <v>1558</v>
      </c>
      <c r="X921" t="s">
        <v>932</v>
      </c>
      <c r="Y921">
        <v>9.9595918087802104</v>
      </c>
      <c r="AB921">
        <v>3.0063694267515899</v>
      </c>
      <c r="AC921" t="s">
        <v>85</v>
      </c>
      <c r="AI921">
        <v>3</v>
      </c>
      <c r="AV921" t="s">
        <v>256</v>
      </c>
    </row>
    <row r="922" spans="1:48" x14ac:dyDescent="0.3">
      <c r="A922" t="s">
        <v>1555</v>
      </c>
      <c r="B922" t="s">
        <v>1557</v>
      </c>
      <c r="C922" t="s">
        <v>1495</v>
      </c>
      <c r="D922" t="s">
        <v>81</v>
      </c>
      <c r="E922">
        <v>1000000000</v>
      </c>
      <c r="H922">
        <v>10</v>
      </c>
      <c r="I922" t="s">
        <v>82</v>
      </c>
      <c r="J922">
        <v>9.9999999999999991E-6</v>
      </c>
      <c r="K922" t="s">
        <v>252</v>
      </c>
      <c r="L922" t="s">
        <v>58</v>
      </c>
      <c r="S922" t="s">
        <v>928</v>
      </c>
      <c r="T922">
        <v>60</v>
      </c>
      <c r="V922">
        <v>50</v>
      </c>
      <c r="W922" t="s">
        <v>1558</v>
      </c>
      <c r="X922" t="s">
        <v>932</v>
      </c>
      <c r="AB922">
        <v>3.3970276008492499E-2</v>
      </c>
      <c r="AC922" t="s">
        <v>85</v>
      </c>
      <c r="AI922">
        <v>3</v>
      </c>
      <c r="AV922" t="s">
        <v>256</v>
      </c>
    </row>
    <row r="923" spans="1:48" x14ac:dyDescent="0.3">
      <c r="A923" t="s">
        <v>1555</v>
      </c>
      <c r="B923" t="s">
        <v>1557</v>
      </c>
      <c r="C923" t="s">
        <v>1495</v>
      </c>
      <c r="D923" t="s">
        <v>81</v>
      </c>
      <c r="E923">
        <v>1000000000</v>
      </c>
      <c r="H923">
        <v>10</v>
      </c>
      <c r="I923" t="s">
        <v>82</v>
      </c>
      <c r="J923">
        <v>9.9999999999999991E-6</v>
      </c>
      <c r="K923" t="s">
        <v>252</v>
      </c>
      <c r="L923" t="s">
        <v>58</v>
      </c>
      <c r="S923" t="s">
        <v>928</v>
      </c>
      <c r="T923">
        <v>60</v>
      </c>
      <c r="V923">
        <v>50</v>
      </c>
      <c r="W923" t="s">
        <v>1558</v>
      </c>
      <c r="X923" t="s">
        <v>932</v>
      </c>
      <c r="Y923">
        <v>14.7971600118713</v>
      </c>
      <c r="AB923">
        <v>3.09129511677282</v>
      </c>
      <c r="AC923" t="s">
        <v>85</v>
      </c>
      <c r="AI923">
        <v>3</v>
      </c>
      <c r="AV923" t="s">
        <v>256</v>
      </c>
    </row>
    <row r="924" spans="1:48" x14ac:dyDescent="0.3">
      <c r="A924" t="s">
        <v>1555</v>
      </c>
      <c r="B924" t="s">
        <v>1557</v>
      </c>
      <c r="C924" t="s">
        <v>1495</v>
      </c>
      <c r="D924" t="s">
        <v>81</v>
      </c>
      <c r="E924">
        <v>1000000000</v>
      </c>
      <c r="H924">
        <v>10</v>
      </c>
      <c r="I924" t="s">
        <v>82</v>
      </c>
      <c r="J924">
        <v>9.9999999999999991E-6</v>
      </c>
      <c r="K924" t="s">
        <v>252</v>
      </c>
      <c r="L924" t="s">
        <v>58</v>
      </c>
      <c r="S924" t="s">
        <v>928</v>
      </c>
      <c r="T924">
        <v>60</v>
      </c>
      <c r="V924">
        <v>50</v>
      </c>
      <c r="W924" t="s">
        <v>1558</v>
      </c>
      <c r="X924" t="s">
        <v>932</v>
      </c>
      <c r="Y924">
        <v>29.9559390909298</v>
      </c>
      <c r="AB924">
        <v>3.27813163481953</v>
      </c>
      <c r="AC924" t="s">
        <v>85</v>
      </c>
      <c r="AI924">
        <v>3</v>
      </c>
      <c r="AV924" t="s">
        <v>256</v>
      </c>
    </row>
    <row r="925" spans="1:48" x14ac:dyDescent="0.3">
      <c r="A925" t="s">
        <v>1555</v>
      </c>
      <c r="B925" t="s">
        <v>1557</v>
      </c>
      <c r="C925" t="s">
        <v>1495</v>
      </c>
      <c r="D925" t="s">
        <v>81</v>
      </c>
      <c r="E925">
        <v>1000000000</v>
      </c>
      <c r="H925">
        <v>10</v>
      </c>
      <c r="I925" t="s">
        <v>82</v>
      </c>
      <c r="J925">
        <v>9.9999999999999991E-6</v>
      </c>
      <c r="K925" t="s">
        <v>252</v>
      </c>
      <c r="L925" t="s">
        <v>58</v>
      </c>
      <c r="S925" t="s">
        <v>928</v>
      </c>
      <c r="T925">
        <v>60</v>
      </c>
      <c r="V925">
        <v>50</v>
      </c>
      <c r="W925" t="s">
        <v>1558</v>
      </c>
      <c r="X925" t="s">
        <v>932</v>
      </c>
      <c r="Y925">
        <v>59.737917494235496</v>
      </c>
      <c r="AB925">
        <v>3.4989384288747289</v>
      </c>
      <c r="AC925" t="s">
        <v>85</v>
      </c>
      <c r="AI925">
        <v>3</v>
      </c>
      <c r="AV925" t="s">
        <v>256</v>
      </c>
    </row>
    <row r="926" spans="1:48" x14ac:dyDescent="0.3">
      <c r="A926" t="s">
        <v>1555</v>
      </c>
      <c r="B926" t="s">
        <v>1557</v>
      </c>
      <c r="C926" t="s">
        <v>1495</v>
      </c>
      <c r="D926" t="s">
        <v>81</v>
      </c>
      <c r="E926">
        <v>1000000000</v>
      </c>
      <c r="H926">
        <v>10</v>
      </c>
      <c r="I926" t="s">
        <v>82</v>
      </c>
      <c r="J926">
        <v>9.9999999999999991E-6</v>
      </c>
      <c r="K926" t="s">
        <v>252</v>
      </c>
      <c r="L926" t="s">
        <v>58</v>
      </c>
      <c r="S926" t="s">
        <v>928</v>
      </c>
      <c r="T926">
        <v>60</v>
      </c>
      <c r="V926">
        <v>50</v>
      </c>
      <c r="W926" t="s">
        <v>1558</v>
      </c>
      <c r="X926" t="s">
        <v>932</v>
      </c>
      <c r="Y926">
        <v>0</v>
      </c>
      <c r="AB926">
        <v>0</v>
      </c>
      <c r="AC926" t="s">
        <v>85</v>
      </c>
      <c r="AI926">
        <v>3</v>
      </c>
      <c r="AV926" t="s">
        <v>256</v>
      </c>
    </row>
    <row r="927" spans="1:48" x14ac:dyDescent="0.3">
      <c r="A927" t="s">
        <v>1555</v>
      </c>
      <c r="B927" t="s">
        <v>1557</v>
      </c>
      <c r="C927" t="s">
        <v>1495</v>
      </c>
      <c r="D927" t="s">
        <v>81</v>
      </c>
      <c r="E927">
        <v>1000000000</v>
      </c>
      <c r="H927">
        <v>10</v>
      </c>
      <c r="I927" t="s">
        <v>82</v>
      </c>
      <c r="J927">
        <v>9.9999999999999991E-6</v>
      </c>
      <c r="K927" t="s">
        <v>252</v>
      </c>
      <c r="L927" t="s">
        <v>58</v>
      </c>
      <c r="S927" t="s">
        <v>928</v>
      </c>
      <c r="T927">
        <v>60</v>
      </c>
      <c r="V927">
        <v>50</v>
      </c>
      <c r="W927" t="s">
        <v>1558</v>
      </c>
      <c r="X927" t="s">
        <v>932</v>
      </c>
      <c r="Y927">
        <v>4.9028605346665701</v>
      </c>
      <c r="AB927">
        <v>3.2271762208067898</v>
      </c>
      <c r="AC927" t="s">
        <v>85</v>
      </c>
      <c r="AI927">
        <v>3</v>
      </c>
      <c r="AV927" t="s">
        <v>256</v>
      </c>
    </row>
    <row r="928" spans="1:48" x14ac:dyDescent="0.3">
      <c r="A928" t="s">
        <v>1555</v>
      </c>
      <c r="B928" t="s">
        <v>1557</v>
      </c>
      <c r="C928" t="s">
        <v>1495</v>
      </c>
      <c r="D928" t="s">
        <v>81</v>
      </c>
      <c r="E928">
        <v>1000000000</v>
      </c>
      <c r="H928">
        <v>10</v>
      </c>
      <c r="I928" t="s">
        <v>82</v>
      </c>
      <c r="J928">
        <v>9.9999999999999991E-6</v>
      </c>
      <c r="K928" t="s">
        <v>252</v>
      </c>
      <c r="L928" t="s">
        <v>58</v>
      </c>
      <c r="S928" t="s">
        <v>928</v>
      </c>
      <c r="T928">
        <v>60</v>
      </c>
      <c r="V928">
        <v>50</v>
      </c>
      <c r="W928" t="s">
        <v>1558</v>
      </c>
      <c r="X928" t="s">
        <v>932</v>
      </c>
      <c r="Y928">
        <v>9.7244480971622895</v>
      </c>
      <c r="AB928">
        <v>4.50106157112526</v>
      </c>
      <c r="AC928" t="s">
        <v>85</v>
      </c>
      <c r="AI928">
        <v>3</v>
      </c>
      <c r="AV928" t="s">
        <v>256</v>
      </c>
    </row>
    <row r="929" spans="1:52" x14ac:dyDescent="0.3">
      <c r="A929" t="s">
        <v>1555</v>
      </c>
      <c r="B929" t="s">
        <v>1557</v>
      </c>
      <c r="C929" t="s">
        <v>1495</v>
      </c>
      <c r="D929" t="s">
        <v>81</v>
      </c>
      <c r="E929">
        <v>1000000000</v>
      </c>
      <c r="H929">
        <v>10</v>
      </c>
      <c r="I929" t="s">
        <v>82</v>
      </c>
      <c r="J929">
        <v>9.9999999999999991E-6</v>
      </c>
      <c r="K929" t="s">
        <v>252</v>
      </c>
      <c r="L929" t="s">
        <v>58</v>
      </c>
      <c r="S929" t="s">
        <v>928</v>
      </c>
      <c r="T929">
        <v>60</v>
      </c>
      <c r="V929">
        <v>50</v>
      </c>
      <c r="W929" t="s">
        <v>1558</v>
      </c>
      <c r="X929" t="s">
        <v>932</v>
      </c>
      <c r="Y929">
        <v>15.192566719174399</v>
      </c>
      <c r="AB929">
        <v>5.6730360934182498</v>
      </c>
      <c r="AC929" t="s">
        <v>85</v>
      </c>
      <c r="AI929">
        <v>3</v>
      </c>
      <c r="AV929" t="s">
        <v>256</v>
      </c>
    </row>
    <row r="930" spans="1:52" x14ac:dyDescent="0.3">
      <c r="A930" t="s">
        <v>1555</v>
      </c>
      <c r="B930" t="s">
        <v>1557</v>
      </c>
      <c r="C930" t="s">
        <v>1495</v>
      </c>
      <c r="D930" t="s">
        <v>81</v>
      </c>
      <c r="E930">
        <v>1000000000</v>
      </c>
      <c r="H930">
        <v>10</v>
      </c>
      <c r="I930" t="s">
        <v>82</v>
      </c>
      <c r="J930">
        <v>9.9999999999999991E-6</v>
      </c>
      <c r="K930" t="s">
        <v>252</v>
      </c>
      <c r="L930" t="s">
        <v>58</v>
      </c>
      <c r="S930" t="s">
        <v>928</v>
      </c>
      <c r="T930">
        <v>60</v>
      </c>
      <c r="V930">
        <v>50</v>
      </c>
      <c r="W930" t="s">
        <v>1558</v>
      </c>
      <c r="X930" t="s">
        <v>932</v>
      </c>
      <c r="Y930">
        <v>29.791795082528491</v>
      </c>
      <c r="AB930">
        <v>7.4904458598726098</v>
      </c>
      <c r="AC930" t="s">
        <v>85</v>
      </c>
      <c r="AI930">
        <v>3</v>
      </c>
      <c r="AV930" t="s">
        <v>256</v>
      </c>
    </row>
    <row r="931" spans="1:52" x14ac:dyDescent="0.3">
      <c r="A931" t="s">
        <v>1555</v>
      </c>
      <c r="B931" t="s">
        <v>1557</v>
      </c>
      <c r="C931" t="s">
        <v>1495</v>
      </c>
      <c r="D931" t="s">
        <v>81</v>
      </c>
      <c r="E931">
        <v>1000000000</v>
      </c>
      <c r="H931">
        <v>10</v>
      </c>
      <c r="I931" t="s">
        <v>82</v>
      </c>
      <c r="J931">
        <v>9.9999999999999991E-6</v>
      </c>
      <c r="K931" t="s">
        <v>252</v>
      </c>
      <c r="L931" t="s">
        <v>58</v>
      </c>
      <c r="S931" t="s">
        <v>928</v>
      </c>
      <c r="T931">
        <v>60</v>
      </c>
      <c r="V931">
        <v>50</v>
      </c>
      <c r="W931" t="s">
        <v>1558</v>
      </c>
      <c r="X931" t="s">
        <v>932</v>
      </c>
      <c r="Y931">
        <v>59.681985252151598</v>
      </c>
      <c r="AB931">
        <v>7.6602972399150708</v>
      </c>
      <c r="AC931" t="s">
        <v>85</v>
      </c>
      <c r="AI931">
        <v>3</v>
      </c>
      <c r="AV931" t="s">
        <v>256</v>
      </c>
    </row>
    <row r="932" spans="1:52" x14ac:dyDescent="0.3">
      <c r="A932" t="s">
        <v>1559</v>
      </c>
      <c r="C932" t="s">
        <v>1495</v>
      </c>
      <c r="O932">
        <v>1</v>
      </c>
      <c r="P932" t="s">
        <v>59</v>
      </c>
      <c r="T932">
        <v>25</v>
      </c>
      <c r="V932">
        <v>50</v>
      </c>
      <c r="W932" t="s">
        <v>1057</v>
      </c>
      <c r="X932" t="s">
        <v>1273</v>
      </c>
      <c r="Y932">
        <v>10</v>
      </c>
      <c r="AB932">
        <v>1</v>
      </c>
      <c r="AC932" t="s">
        <v>297</v>
      </c>
      <c r="AI932">
        <v>1</v>
      </c>
      <c r="AZ932">
        <v>1</v>
      </c>
    </row>
    <row r="933" spans="1:52" x14ac:dyDescent="0.3">
      <c r="A933" t="s">
        <v>1559</v>
      </c>
      <c r="C933" t="s">
        <v>1495</v>
      </c>
      <c r="O933">
        <v>0</v>
      </c>
      <c r="T933">
        <v>25</v>
      </c>
      <c r="V933">
        <v>50</v>
      </c>
      <c r="W933" t="s">
        <v>1057</v>
      </c>
      <c r="X933" t="s">
        <v>1273</v>
      </c>
      <c r="Y933">
        <v>10</v>
      </c>
      <c r="AB933">
        <v>1</v>
      </c>
      <c r="AC933" t="s">
        <v>297</v>
      </c>
      <c r="AI933">
        <v>1</v>
      </c>
      <c r="AZ933">
        <v>1</v>
      </c>
    </row>
    <row r="934" spans="1:52" x14ac:dyDescent="0.3">
      <c r="A934" t="s">
        <v>1559</v>
      </c>
      <c r="C934" t="s">
        <v>1495</v>
      </c>
      <c r="O934">
        <v>0</v>
      </c>
      <c r="T934">
        <v>25</v>
      </c>
      <c r="V934">
        <v>50</v>
      </c>
      <c r="W934" t="s">
        <v>1057</v>
      </c>
      <c r="X934" t="s">
        <v>1273</v>
      </c>
      <c r="Y934">
        <v>10</v>
      </c>
      <c r="AB934">
        <v>0</v>
      </c>
      <c r="AC934" t="s">
        <v>297</v>
      </c>
      <c r="AI934">
        <v>1</v>
      </c>
      <c r="AZ934">
        <v>0</v>
      </c>
    </row>
    <row r="935" spans="1:52" x14ac:dyDescent="0.3">
      <c r="A935" t="s">
        <v>1559</v>
      </c>
      <c r="C935" t="s">
        <v>1495</v>
      </c>
      <c r="O935">
        <v>0</v>
      </c>
      <c r="T935">
        <v>25</v>
      </c>
      <c r="V935">
        <v>50</v>
      </c>
      <c r="W935" t="s">
        <v>1057</v>
      </c>
      <c r="X935" t="s">
        <v>1273</v>
      </c>
      <c r="Y935">
        <v>10</v>
      </c>
      <c r="AB935">
        <v>1</v>
      </c>
      <c r="AC935" t="s">
        <v>297</v>
      </c>
      <c r="AI935">
        <v>1</v>
      </c>
      <c r="AZ935">
        <v>1</v>
      </c>
    </row>
    <row r="936" spans="1:52" x14ac:dyDescent="0.3">
      <c r="A936" t="s">
        <v>1559</v>
      </c>
      <c r="C936" t="s">
        <v>1495</v>
      </c>
      <c r="O936">
        <v>0</v>
      </c>
      <c r="T936">
        <v>25</v>
      </c>
      <c r="V936">
        <v>50</v>
      </c>
      <c r="W936" t="s">
        <v>1057</v>
      </c>
      <c r="X936" t="s">
        <v>1273</v>
      </c>
      <c r="Y936">
        <v>10</v>
      </c>
      <c r="AB936">
        <v>1</v>
      </c>
      <c r="AC936" t="s">
        <v>297</v>
      </c>
      <c r="AI936">
        <v>1</v>
      </c>
      <c r="AZ936">
        <v>1</v>
      </c>
    </row>
    <row r="937" spans="1:52" x14ac:dyDescent="0.3">
      <c r="A937" t="s">
        <v>1559</v>
      </c>
      <c r="C937" t="s">
        <v>1495</v>
      </c>
      <c r="O937">
        <v>1</v>
      </c>
      <c r="P937" t="s">
        <v>59</v>
      </c>
      <c r="T937">
        <v>25</v>
      </c>
      <c r="V937">
        <v>50</v>
      </c>
      <c r="W937" t="s">
        <v>1057</v>
      </c>
      <c r="X937" t="s">
        <v>1273</v>
      </c>
      <c r="Y937">
        <v>20</v>
      </c>
      <c r="AB937">
        <v>1</v>
      </c>
      <c r="AC937" t="s">
        <v>297</v>
      </c>
      <c r="AI937">
        <v>1</v>
      </c>
      <c r="AZ937">
        <v>1</v>
      </c>
    </row>
    <row r="938" spans="1:52" x14ac:dyDescent="0.3">
      <c r="A938" t="s">
        <v>1559</v>
      </c>
      <c r="C938" t="s">
        <v>1495</v>
      </c>
      <c r="O938">
        <v>0</v>
      </c>
      <c r="T938">
        <v>25</v>
      </c>
      <c r="V938">
        <v>50</v>
      </c>
      <c r="W938" t="s">
        <v>1057</v>
      </c>
      <c r="X938" t="s">
        <v>1273</v>
      </c>
      <c r="Y938">
        <v>20</v>
      </c>
      <c r="AB938">
        <v>1</v>
      </c>
      <c r="AC938" t="s">
        <v>297</v>
      </c>
      <c r="AI938">
        <v>1</v>
      </c>
      <c r="AZ938">
        <v>1</v>
      </c>
    </row>
    <row r="939" spans="1:52" x14ac:dyDescent="0.3">
      <c r="A939" t="s">
        <v>1559</v>
      </c>
      <c r="C939" t="s">
        <v>1495</v>
      </c>
      <c r="O939">
        <v>0</v>
      </c>
      <c r="T939">
        <v>25</v>
      </c>
      <c r="V939">
        <v>50</v>
      </c>
      <c r="W939" t="s">
        <v>1057</v>
      </c>
      <c r="X939" t="s">
        <v>1273</v>
      </c>
      <c r="Y939">
        <v>20</v>
      </c>
      <c r="AB939">
        <v>0</v>
      </c>
      <c r="AC939" t="s">
        <v>297</v>
      </c>
      <c r="AI939">
        <v>1</v>
      </c>
      <c r="AZ939">
        <v>0</v>
      </c>
    </row>
    <row r="940" spans="1:52" x14ac:dyDescent="0.3">
      <c r="A940" t="s">
        <v>1559</v>
      </c>
      <c r="C940" t="s">
        <v>1495</v>
      </c>
      <c r="O940">
        <v>0</v>
      </c>
      <c r="T940">
        <v>25</v>
      </c>
      <c r="V940">
        <v>50</v>
      </c>
      <c r="W940" t="s">
        <v>1057</v>
      </c>
      <c r="X940" t="s">
        <v>1273</v>
      </c>
      <c r="Y940">
        <v>20</v>
      </c>
      <c r="AB940">
        <v>0</v>
      </c>
      <c r="AC940" t="s">
        <v>297</v>
      </c>
      <c r="AI940">
        <v>1</v>
      </c>
      <c r="AZ940">
        <v>0</v>
      </c>
    </row>
    <row r="941" spans="1:52" x14ac:dyDescent="0.3">
      <c r="A941" t="s">
        <v>1559</v>
      </c>
      <c r="C941" t="s">
        <v>1495</v>
      </c>
      <c r="O941">
        <v>0</v>
      </c>
      <c r="T941">
        <v>25</v>
      </c>
      <c r="V941">
        <v>50</v>
      </c>
      <c r="W941" t="s">
        <v>1057</v>
      </c>
      <c r="X941" t="s">
        <v>1273</v>
      </c>
      <c r="Y941">
        <v>20</v>
      </c>
      <c r="AB941">
        <v>0</v>
      </c>
      <c r="AC941" t="s">
        <v>297</v>
      </c>
      <c r="AI941">
        <v>1</v>
      </c>
      <c r="AZ941">
        <v>0</v>
      </c>
    </row>
    <row r="942" spans="1:52" x14ac:dyDescent="0.3">
      <c r="A942" t="s">
        <v>1559</v>
      </c>
      <c r="C942" t="s">
        <v>1495</v>
      </c>
      <c r="O942">
        <v>1</v>
      </c>
      <c r="P942" t="s">
        <v>59</v>
      </c>
      <c r="T942">
        <v>25</v>
      </c>
      <c r="V942">
        <v>50</v>
      </c>
      <c r="W942" t="s">
        <v>1057</v>
      </c>
      <c r="X942" t="s">
        <v>1273</v>
      </c>
      <c r="Y942">
        <v>30</v>
      </c>
      <c r="AB942">
        <v>1</v>
      </c>
      <c r="AC942" t="s">
        <v>297</v>
      </c>
      <c r="AI942">
        <v>1</v>
      </c>
      <c r="AZ942">
        <v>1</v>
      </c>
    </row>
    <row r="943" spans="1:52" x14ac:dyDescent="0.3">
      <c r="A943" t="s">
        <v>1559</v>
      </c>
      <c r="C943" t="s">
        <v>1495</v>
      </c>
      <c r="O943">
        <v>0</v>
      </c>
      <c r="T943">
        <v>25</v>
      </c>
      <c r="V943">
        <v>50</v>
      </c>
      <c r="W943" t="s">
        <v>1057</v>
      </c>
      <c r="X943" t="s">
        <v>1273</v>
      </c>
      <c r="Y943">
        <v>30</v>
      </c>
      <c r="AB943">
        <v>1</v>
      </c>
      <c r="AC943" t="s">
        <v>297</v>
      </c>
      <c r="AI943">
        <v>1</v>
      </c>
      <c r="AZ943">
        <v>1</v>
      </c>
    </row>
    <row r="944" spans="1:52" x14ac:dyDescent="0.3">
      <c r="A944" t="s">
        <v>1559</v>
      </c>
      <c r="C944" t="s">
        <v>1495</v>
      </c>
      <c r="O944">
        <v>0</v>
      </c>
      <c r="T944">
        <v>25</v>
      </c>
      <c r="V944">
        <v>50</v>
      </c>
      <c r="W944" t="s">
        <v>1057</v>
      </c>
      <c r="X944" t="s">
        <v>1273</v>
      </c>
      <c r="Y944">
        <v>30</v>
      </c>
      <c r="AB944">
        <v>0</v>
      </c>
      <c r="AC944" t="s">
        <v>297</v>
      </c>
      <c r="AI944">
        <v>1</v>
      </c>
      <c r="AZ944">
        <v>0</v>
      </c>
    </row>
    <row r="945" spans="1:52" x14ac:dyDescent="0.3">
      <c r="A945" t="s">
        <v>1559</v>
      </c>
      <c r="C945" t="s">
        <v>1495</v>
      </c>
      <c r="O945">
        <v>0</v>
      </c>
      <c r="T945">
        <v>25</v>
      </c>
      <c r="V945">
        <v>50</v>
      </c>
      <c r="W945" t="s">
        <v>1057</v>
      </c>
      <c r="X945" t="s">
        <v>1273</v>
      </c>
      <c r="Y945">
        <v>30</v>
      </c>
      <c r="AB945">
        <v>0</v>
      </c>
      <c r="AC945" t="s">
        <v>297</v>
      </c>
      <c r="AI945">
        <v>1</v>
      </c>
      <c r="AZ945">
        <v>0</v>
      </c>
    </row>
    <row r="946" spans="1:52" x14ac:dyDescent="0.3">
      <c r="A946" t="s">
        <v>1559</v>
      </c>
      <c r="C946" t="s">
        <v>1495</v>
      </c>
      <c r="O946">
        <v>0</v>
      </c>
      <c r="T946">
        <v>25</v>
      </c>
      <c r="V946">
        <v>50</v>
      </c>
      <c r="W946" t="s">
        <v>1057</v>
      </c>
      <c r="X946" t="s">
        <v>1273</v>
      </c>
      <c r="Y946">
        <v>30</v>
      </c>
      <c r="AB946">
        <v>0</v>
      </c>
      <c r="AC946" t="s">
        <v>297</v>
      </c>
      <c r="AI946">
        <v>1</v>
      </c>
      <c r="AZ946">
        <v>0</v>
      </c>
    </row>
    <row r="947" spans="1:52" x14ac:dyDescent="0.3">
      <c r="A947" t="s">
        <v>1559</v>
      </c>
      <c r="C947" t="s">
        <v>1495</v>
      </c>
      <c r="O947">
        <v>1</v>
      </c>
      <c r="P947" t="s">
        <v>59</v>
      </c>
      <c r="T947">
        <v>25</v>
      </c>
      <c r="V947">
        <v>50</v>
      </c>
      <c r="W947" t="s">
        <v>1057</v>
      </c>
      <c r="X947" t="s">
        <v>1273</v>
      </c>
      <c r="Y947">
        <v>60</v>
      </c>
      <c r="AB947">
        <v>1</v>
      </c>
      <c r="AC947" t="s">
        <v>297</v>
      </c>
      <c r="AI947">
        <v>1</v>
      </c>
      <c r="AZ947">
        <v>1</v>
      </c>
    </row>
    <row r="948" spans="1:52" x14ac:dyDescent="0.3">
      <c r="A948" t="s">
        <v>1559</v>
      </c>
      <c r="C948" t="s">
        <v>1495</v>
      </c>
      <c r="O948">
        <v>0</v>
      </c>
      <c r="T948">
        <v>25</v>
      </c>
      <c r="V948">
        <v>50</v>
      </c>
      <c r="W948" t="s">
        <v>1057</v>
      </c>
      <c r="X948" t="s">
        <v>1273</v>
      </c>
      <c r="Y948">
        <v>60</v>
      </c>
      <c r="AB948">
        <v>1</v>
      </c>
      <c r="AC948" t="s">
        <v>297</v>
      </c>
      <c r="AI948">
        <v>1</v>
      </c>
      <c r="AZ948">
        <v>1</v>
      </c>
    </row>
    <row r="949" spans="1:52" x14ac:dyDescent="0.3">
      <c r="A949" t="s">
        <v>1559</v>
      </c>
      <c r="C949" t="s">
        <v>1495</v>
      </c>
      <c r="O949">
        <v>0</v>
      </c>
      <c r="T949">
        <v>25</v>
      </c>
      <c r="V949">
        <v>50</v>
      </c>
      <c r="W949" t="s">
        <v>1057</v>
      </c>
      <c r="X949" t="s">
        <v>1273</v>
      </c>
      <c r="Y949">
        <v>60</v>
      </c>
      <c r="AB949">
        <v>0</v>
      </c>
      <c r="AC949" t="s">
        <v>297</v>
      </c>
      <c r="AI949">
        <v>1</v>
      </c>
      <c r="AZ949">
        <v>0</v>
      </c>
    </row>
    <row r="950" spans="1:52" x14ac:dyDescent="0.3">
      <c r="A950" t="s">
        <v>1559</v>
      </c>
      <c r="C950" t="s">
        <v>1495</v>
      </c>
      <c r="O950">
        <v>0</v>
      </c>
      <c r="T950">
        <v>25</v>
      </c>
      <c r="V950">
        <v>50</v>
      </c>
      <c r="W950" t="s">
        <v>1057</v>
      </c>
      <c r="X950" t="s">
        <v>1273</v>
      </c>
      <c r="Y950">
        <v>60</v>
      </c>
      <c r="AB950">
        <v>0</v>
      </c>
      <c r="AC950" t="s">
        <v>297</v>
      </c>
      <c r="AI950">
        <v>1</v>
      </c>
      <c r="AZ950">
        <v>0</v>
      </c>
    </row>
    <row r="951" spans="1:52" x14ac:dyDescent="0.3">
      <c r="A951" t="s">
        <v>1559</v>
      </c>
      <c r="C951" t="s">
        <v>1495</v>
      </c>
      <c r="O951">
        <v>0</v>
      </c>
      <c r="T951">
        <v>25</v>
      </c>
      <c r="V951">
        <v>50</v>
      </c>
      <c r="W951" t="s">
        <v>1057</v>
      </c>
      <c r="X951" t="s">
        <v>1273</v>
      </c>
      <c r="Y951">
        <v>60</v>
      </c>
      <c r="AB951">
        <v>0</v>
      </c>
      <c r="AC951" t="s">
        <v>297</v>
      </c>
      <c r="AI951">
        <v>1</v>
      </c>
      <c r="AZ951">
        <v>0</v>
      </c>
    </row>
    <row r="952" spans="1:52" x14ac:dyDescent="0.3">
      <c r="A952" t="s">
        <v>1559</v>
      </c>
      <c r="C952" t="s">
        <v>1495</v>
      </c>
      <c r="O952">
        <v>1</v>
      </c>
      <c r="P952" t="s">
        <v>59</v>
      </c>
      <c r="T952">
        <v>25</v>
      </c>
      <c r="V952">
        <v>50</v>
      </c>
      <c r="W952" t="s">
        <v>1057</v>
      </c>
      <c r="X952" t="s">
        <v>1273</v>
      </c>
      <c r="Y952">
        <v>10</v>
      </c>
      <c r="AB952">
        <v>1</v>
      </c>
      <c r="AC952" t="s">
        <v>297</v>
      </c>
      <c r="AI952">
        <v>1</v>
      </c>
      <c r="AZ952">
        <v>1</v>
      </c>
    </row>
    <row r="953" spans="1:52" x14ac:dyDescent="0.3">
      <c r="A953" t="s">
        <v>1559</v>
      </c>
      <c r="C953" t="s">
        <v>1495</v>
      </c>
      <c r="O953">
        <v>0</v>
      </c>
      <c r="T953">
        <v>25</v>
      </c>
      <c r="V953">
        <v>50</v>
      </c>
      <c r="W953" t="s">
        <v>1057</v>
      </c>
      <c r="X953" t="s">
        <v>1273</v>
      </c>
      <c r="Y953">
        <v>10</v>
      </c>
      <c r="AB953">
        <v>1</v>
      </c>
      <c r="AC953" t="s">
        <v>297</v>
      </c>
      <c r="AI953">
        <v>1</v>
      </c>
      <c r="AZ953">
        <v>1</v>
      </c>
    </row>
    <row r="954" spans="1:52" x14ac:dyDescent="0.3">
      <c r="A954" t="s">
        <v>1559</v>
      </c>
      <c r="C954" t="s">
        <v>1495</v>
      </c>
      <c r="O954">
        <v>0</v>
      </c>
      <c r="T954">
        <v>25</v>
      </c>
      <c r="V954">
        <v>50</v>
      </c>
      <c r="W954" t="s">
        <v>1057</v>
      </c>
      <c r="X954" t="s">
        <v>1273</v>
      </c>
      <c r="Y954">
        <v>10</v>
      </c>
      <c r="AB954">
        <v>1</v>
      </c>
      <c r="AC954" t="s">
        <v>297</v>
      </c>
      <c r="AI954">
        <v>1</v>
      </c>
      <c r="AZ954">
        <v>1</v>
      </c>
    </row>
    <row r="955" spans="1:52" x14ac:dyDescent="0.3">
      <c r="A955" t="s">
        <v>1559</v>
      </c>
      <c r="C955" t="s">
        <v>1495</v>
      </c>
      <c r="O955">
        <v>0</v>
      </c>
      <c r="T955">
        <v>25</v>
      </c>
      <c r="V955">
        <v>50</v>
      </c>
      <c r="W955" t="s">
        <v>1057</v>
      </c>
      <c r="X955" t="s">
        <v>1273</v>
      </c>
      <c r="Y955">
        <v>10</v>
      </c>
      <c r="AB955">
        <v>0</v>
      </c>
      <c r="AC955" t="s">
        <v>297</v>
      </c>
      <c r="AI955">
        <v>1</v>
      </c>
      <c r="AZ955">
        <v>0</v>
      </c>
    </row>
    <row r="956" spans="1:52" x14ac:dyDescent="0.3">
      <c r="A956" t="s">
        <v>1559</v>
      </c>
      <c r="C956" t="s">
        <v>1495</v>
      </c>
      <c r="O956">
        <v>1</v>
      </c>
      <c r="P956" t="s">
        <v>59</v>
      </c>
      <c r="T956">
        <v>25</v>
      </c>
      <c r="V956">
        <v>50</v>
      </c>
      <c r="W956" t="s">
        <v>1057</v>
      </c>
      <c r="X956" t="s">
        <v>1273</v>
      </c>
      <c r="Y956">
        <v>20</v>
      </c>
      <c r="AB956">
        <v>1</v>
      </c>
      <c r="AC956" t="s">
        <v>297</v>
      </c>
      <c r="AI956">
        <v>1</v>
      </c>
      <c r="AZ956">
        <v>1</v>
      </c>
    </row>
    <row r="957" spans="1:52" x14ac:dyDescent="0.3">
      <c r="A957" t="s">
        <v>1559</v>
      </c>
      <c r="C957" t="s">
        <v>1495</v>
      </c>
      <c r="O957">
        <v>0</v>
      </c>
      <c r="T957">
        <v>25</v>
      </c>
      <c r="V957">
        <v>50</v>
      </c>
      <c r="W957" t="s">
        <v>1057</v>
      </c>
      <c r="X957" t="s">
        <v>1273</v>
      </c>
      <c r="Y957">
        <v>20</v>
      </c>
      <c r="AB957">
        <v>1</v>
      </c>
      <c r="AC957" t="s">
        <v>297</v>
      </c>
      <c r="AI957">
        <v>1</v>
      </c>
      <c r="AZ957">
        <v>1</v>
      </c>
    </row>
    <row r="958" spans="1:52" x14ac:dyDescent="0.3">
      <c r="A958" t="s">
        <v>1559</v>
      </c>
      <c r="C958" t="s">
        <v>1495</v>
      </c>
      <c r="O958">
        <v>0</v>
      </c>
      <c r="T958">
        <v>25</v>
      </c>
      <c r="V958">
        <v>50</v>
      </c>
      <c r="W958" t="s">
        <v>1057</v>
      </c>
      <c r="X958" t="s">
        <v>1273</v>
      </c>
      <c r="Y958">
        <v>20</v>
      </c>
      <c r="AB958">
        <v>1</v>
      </c>
      <c r="AC958" t="s">
        <v>297</v>
      </c>
      <c r="AI958">
        <v>1</v>
      </c>
      <c r="AZ958">
        <v>1</v>
      </c>
    </row>
    <row r="959" spans="1:52" x14ac:dyDescent="0.3">
      <c r="A959" t="s">
        <v>1559</v>
      </c>
      <c r="C959" t="s">
        <v>1495</v>
      </c>
      <c r="O959">
        <v>0</v>
      </c>
      <c r="T959">
        <v>25</v>
      </c>
      <c r="V959">
        <v>50</v>
      </c>
      <c r="W959" t="s">
        <v>1057</v>
      </c>
      <c r="X959" t="s">
        <v>1273</v>
      </c>
      <c r="Y959">
        <v>20</v>
      </c>
      <c r="AB959">
        <v>0</v>
      </c>
      <c r="AC959" t="s">
        <v>297</v>
      </c>
      <c r="AI959">
        <v>1</v>
      </c>
      <c r="AZ959">
        <v>0</v>
      </c>
    </row>
    <row r="960" spans="1:52" x14ac:dyDescent="0.3">
      <c r="A960" t="s">
        <v>1559</v>
      </c>
      <c r="C960" t="s">
        <v>1495</v>
      </c>
      <c r="O960">
        <v>1</v>
      </c>
      <c r="P960" t="s">
        <v>59</v>
      </c>
      <c r="T960">
        <v>25</v>
      </c>
      <c r="V960">
        <v>50</v>
      </c>
      <c r="W960" t="s">
        <v>1057</v>
      </c>
      <c r="X960" t="s">
        <v>1273</v>
      </c>
      <c r="Y960">
        <v>30</v>
      </c>
      <c r="AB960">
        <v>1</v>
      </c>
      <c r="AC960" t="s">
        <v>297</v>
      </c>
      <c r="AI960">
        <v>1</v>
      </c>
      <c r="AZ960">
        <v>1</v>
      </c>
    </row>
    <row r="961" spans="1:52" x14ac:dyDescent="0.3">
      <c r="A961" t="s">
        <v>1559</v>
      </c>
      <c r="C961" t="s">
        <v>1495</v>
      </c>
      <c r="O961">
        <v>0</v>
      </c>
      <c r="T961">
        <v>25</v>
      </c>
      <c r="V961">
        <v>50</v>
      </c>
      <c r="W961" t="s">
        <v>1057</v>
      </c>
      <c r="X961" t="s">
        <v>1273</v>
      </c>
      <c r="Y961">
        <v>30</v>
      </c>
      <c r="AB961">
        <v>1</v>
      </c>
      <c r="AC961" t="s">
        <v>297</v>
      </c>
      <c r="AI961">
        <v>1</v>
      </c>
      <c r="AZ961">
        <v>1</v>
      </c>
    </row>
    <row r="962" spans="1:52" x14ac:dyDescent="0.3">
      <c r="A962" t="s">
        <v>1559</v>
      </c>
      <c r="C962" t="s">
        <v>1495</v>
      </c>
      <c r="O962">
        <v>0</v>
      </c>
      <c r="T962">
        <v>25</v>
      </c>
      <c r="V962">
        <v>50</v>
      </c>
      <c r="W962" t="s">
        <v>1057</v>
      </c>
      <c r="X962" t="s">
        <v>1273</v>
      </c>
      <c r="Y962">
        <v>30</v>
      </c>
      <c r="AB962">
        <v>1</v>
      </c>
      <c r="AC962" t="s">
        <v>297</v>
      </c>
      <c r="AI962">
        <v>1</v>
      </c>
      <c r="AZ962">
        <v>1</v>
      </c>
    </row>
    <row r="963" spans="1:52" x14ac:dyDescent="0.3">
      <c r="A963" t="s">
        <v>1559</v>
      </c>
      <c r="C963" t="s">
        <v>1495</v>
      </c>
      <c r="O963">
        <v>0</v>
      </c>
      <c r="T963">
        <v>25</v>
      </c>
      <c r="V963">
        <v>50</v>
      </c>
      <c r="W963" t="s">
        <v>1057</v>
      </c>
      <c r="X963" t="s">
        <v>1273</v>
      </c>
      <c r="Y963">
        <v>30</v>
      </c>
      <c r="AB963">
        <v>0</v>
      </c>
      <c r="AC963" t="s">
        <v>297</v>
      </c>
      <c r="AI963">
        <v>1</v>
      </c>
      <c r="AZ963">
        <v>0</v>
      </c>
    </row>
    <row r="964" spans="1:52" x14ac:dyDescent="0.3">
      <c r="A964" t="s">
        <v>1559</v>
      </c>
      <c r="C964" t="s">
        <v>1495</v>
      </c>
      <c r="O964">
        <v>1</v>
      </c>
      <c r="P964" t="s">
        <v>59</v>
      </c>
      <c r="T964">
        <v>25</v>
      </c>
      <c r="V964">
        <v>50</v>
      </c>
      <c r="W964" t="s">
        <v>1057</v>
      </c>
      <c r="X964" t="s">
        <v>1273</v>
      </c>
      <c r="Y964">
        <v>60</v>
      </c>
      <c r="AB964">
        <v>1</v>
      </c>
      <c r="AC964" t="s">
        <v>297</v>
      </c>
      <c r="AI964">
        <v>1</v>
      </c>
      <c r="AZ964">
        <v>1</v>
      </c>
    </row>
    <row r="965" spans="1:52" x14ac:dyDescent="0.3">
      <c r="A965" t="s">
        <v>1559</v>
      </c>
      <c r="C965" t="s">
        <v>1495</v>
      </c>
      <c r="O965">
        <v>0</v>
      </c>
      <c r="T965">
        <v>25</v>
      </c>
      <c r="V965">
        <v>50</v>
      </c>
      <c r="W965" t="s">
        <v>1057</v>
      </c>
      <c r="X965" t="s">
        <v>1273</v>
      </c>
      <c r="Y965">
        <v>60</v>
      </c>
      <c r="AB965">
        <v>0</v>
      </c>
      <c r="AC965" t="s">
        <v>297</v>
      </c>
      <c r="AI965">
        <v>1</v>
      </c>
      <c r="AZ965">
        <v>0</v>
      </c>
    </row>
    <row r="966" spans="1:52" x14ac:dyDescent="0.3">
      <c r="A966" t="s">
        <v>1559</v>
      </c>
      <c r="C966" t="s">
        <v>1495</v>
      </c>
      <c r="O966">
        <v>0</v>
      </c>
      <c r="T966">
        <v>25</v>
      </c>
      <c r="V966">
        <v>50</v>
      </c>
      <c r="W966" t="s">
        <v>1057</v>
      </c>
      <c r="X966" t="s">
        <v>1273</v>
      </c>
      <c r="Y966">
        <v>60</v>
      </c>
      <c r="AB966">
        <v>0</v>
      </c>
      <c r="AC966" t="s">
        <v>297</v>
      </c>
      <c r="AI966">
        <v>1</v>
      </c>
      <c r="AZ966">
        <v>0</v>
      </c>
    </row>
    <row r="967" spans="1:52" x14ac:dyDescent="0.3">
      <c r="A967" t="s">
        <v>1559</v>
      </c>
      <c r="C967" t="s">
        <v>1495</v>
      </c>
      <c r="O967">
        <v>0</v>
      </c>
      <c r="T967">
        <v>25</v>
      </c>
      <c r="V967">
        <v>50</v>
      </c>
      <c r="W967" t="s">
        <v>1057</v>
      </c>
      <c r="X967" t="s">
        <v>1273</v>
      </c>
      <c r="Y967">
        <v>60</v>
      </c>
      <c r="AB967">
        <v>0</v>
      </c>
      <c r="AC967" t="s">
        <v>297</v>
      </c>
      <c r="AI967">
        <v>1</v>
      </c>
      <c r="AZ967">
        <v>0</v>
      </c>
    </row>
    <row r="968" spans="1:52" x14ac:dyDescent="0.3">
      <c r="A968" t="s">
        <v>1560</v>
      </c>
      <c r="C968" t="s">
        <v>1495</v>
      </c>
      <c r="D968" t="s">
        <v>470</v>
      </c>
      <c r="E968">
        <v>1000000000</v>
      </c>
      <c r="L968" t="s">
        <v>58</v>
      </c>
      <c r="O968">
        <v>0</v>
      </c>
      <c r="P968" t="s">
        <v>277</v>
      </c>
      <c r="T968">
        <v>72</v>
      </c>
      <c r="V968">
        <v>50</v>
      </c>
      <c r="W968" t="s">
        <v>1147</v>
      </c>
      <c r="X968" t="s">
        <v>280</v>
      </c>
      <c r="Y968">
        <v>6012</v>
      </c>
      <c r="AB968">
        <v>6</v>
      </c>
      <c r="AC968" t="s">
        <v>85</v>
      </c>
      <c r="AI968">
        <v>6</v>
      </c>
    </row>
    <row r="969" spans="1:52" x14ac:dyDescent="0.3">
      <c r="A969" t="s">
        <v>1560</v>
      </c>
      <c r="C969" t="s">
        <v>1495</v>
      </c>
      <c r="D969" t="s">
        <v>470</v>
      </c>
      <c r="E969">
        <v>1000000000</v>
      </c>
      <c r="L969" t="s">
        <v>58</v>
      </c>
      <c r="O969">
        <v>1050</v>
      </c>
      <c r="P969" t="s">
        <v>277</v>
      </c>
      <c r="T969">
        <v>72</v>
      </c>
      <c r="V969">
        <v>50</v>
      </c>
      <c r="W969" t="s">
        <v>1147</v>
      </c>
      <c r="X969" t="s">
        <v>280</v>
      </c>
      <c r="Y969">
        <v>14</v>
      </c>
      <c r="AB969">
        <v>6</v>
      </c>
      <c r="AC969" t="s">
        <v>85</v>
      </c>
      <c r="AI969">
        <v>6</v>
      </c>
    </row>
    <row r="970" spans="1:52" x14ac:dyDescent="0.3">
      <c r="A970" t="s">
        <v>1560</v>
      </c>
      <c r="C970" t="s">
        <v>1495</v>
      </c>
      <c r="D970" t="s">
        <v>470</v>
      </c>
      <c r="E970">
        <v>1000000000</v>
      </c>
      <c r="L970" t="s">
        <v>58</v>
      </c>
      <c r="O970">
        <v>1750</v>
      </c>
      <c r="P970" t="s">
        <v>277</v>
      </c>
      <c r="T970">
        <v>72</v>
      </c>
      <c r="V970">
        <v>50</v>
      </c>
      <c r="W970" t="s">
        <v>1147</v>
      </c>
      <c r="X970" t="s">
        <v>280</v>
      </c>
      <c r="Y970">
        <v>3.4</v>
      </c>
      <c r="AB970">
        <v>6</v>
      </c>
      <c r="AC970" t="s">
        <v>85</v>
      </c>
      <c r="AI970">
        <v>6</v>
      </c>
    </row>
    <row r="971" spans="1:52" x14ac:dyDescent="0.3">
      <c r="A971" t="s">
        <v>1560</v>
      </c>
      <c r="C971" t="s">
        <v>1495</v>
      </c>
      <c r="D971" t="s">
        <v>470</v>
      </c>
      <c r="E971">
        <v>1000000000</v>
      </c>
      <c r="L971" t="s">
        <v>58</v>
      </c>
      <c r="O971">
        <v>0</v>
      </c>
      <c r="P971" t="s">
        <v>277</v>
      </c>
      <c r="T971">
        <v>80</v>
      </c>
      <c r="V971">
        <v>50</v>
      </c>
      <c r="W971" t="s">
        <v>1147</v>
      </c>
      <c r="X971" t="s">
        <v>280</v>
      </c>
      <c r="Y971">
        <v>756</v>
      </c>
      <c r="AB971">
        <v>6</v>
      </c>
      <c r="AC971" t="s">
        <v>85</v>
      </c>
      <c r="AI971">
        <v>6</v>
      </c>
    </row>
    <row r="972" spans="1:52" x14ac:dyDescent="0.3">
      <c r="A972" t="s">
        <v>1560</v>
      </c>
      <c r="C972" t="s">
        <v>1495</v>
      </c>
      <c r="D972" t="s">
        <v>470</v>
      </c>
      <c r="E972">
        <v>1000000000</v>
      </c>
      <c r="L972" t="s">
        <v>58</v>
      </c>
      <c r="O972">
        <v>1050</v>
      </c>
      <c r="P972" t="s">
        <v>277</v>
      </c>
      <c r="T972">
        <v>80</v>
      </c>
      <c r="V972">
        <v>50</v>
      </c>
      <c r="W972" t="s">
        <v>1147</v>
      </c>
      <c r="X972" t="s">
        <v>280</v>
      </c>
      <c r="Y972">
        <v>2</v>
      </c>
      <c r="AB972">
        <v>6</v>
      </c>
      <c r="AC972" t="s">
        <v>85</v>
      </c>
      <c r="AI972">
        <v>6</v>
      </c>
    </row>
    <row r="973" spans="1:52" x14ac:dyDescent="0.3">
      <c r="A973" t="s">
        <v>1560</v>
      </c>
      <c r="C973" t="s">
        <v>1495</v>
      </c>
      <c r="D973" t="s">
        <v>470</v>
      </c>
      <c r="E973">
        <v>1000000000</v>
      </c>
      <c r="L973" t="s">
        <v>58</v>
      </c>
      <c r="O973">
        <v>1750</v>
      </c>
      <c r="P973" t="s">
        <v>277</v>
      </c>
      <c r="T973">
        <v>80</v>
      </c>
      <c r="V973">
        <v>50</v>
      </c>
      <c r="W973" t="s">
        <v>1147</v>
      </c>
      <c r="X973" t="s">
        <v>280</v>
      </c>
      <c r="Y973">
        <v>0.6</v>
      </c>
      <c r="AB973">
        <v>6</v>
      </c>
      <c r="AC973" t="s">
        <v>85</v>
      </c>
      <c r="AI973">
        <v>6</v>
      </c>
    </row>
    <row r="974" spans="1:52" x14ac:dyDescent="0.3">
      <c r="A974" t="s">
        <v>1560</v>
      </c>
      <c r="C974" t="s">
        <v>1495</v>
      </c>
      <c r="D974" t="s">
        <v>470</v>
      </c>
      <c r="E974">
        <v>1000000000</v>
      </c>
      <c r="L974" t="s">
        <v>58</v>
      </c>
      <c r="O974">
        <v>0</v>
      </c>
      <c r="P974" t="s">
        <v>277</v>
      </c>
      <c r="T974">
        <v>85</v>
      </c>
      <c r="V974">
        <v>50</v>
      </c>
      <c r="W974" t="s">
        <v>1147</v>
      </c>
      <c r="X974" t="s">
        <v>280</v>
      </c>
      <c r="Y974">
        <v>288</v>
      </c>
      <c r="AB974">
        <v>6</v>
      </c>
      <c r="AC974" t="s">
        <v>85</v>
      </c>
      <c r="AI974">
        <v>6</v>
      </c>
    </row>
    <row r="975" spans="1:52" x14ac:dyDescent="0.3">
      <c r="A975" t="s">
        <v>1560</v>
      </c>
      <c r="C975" t="s">
        <v>1495</v>
      </c>
      <c r="D975" t="s">
        <v>470</v>
      </c>
      <c r="E975">
        <v>1000000000</v>
      </c>
      <c r="L975" t="s">
        <v>58</v>
      </c>
      <c r="O975">
        <v>1050</v>
      </c>
      <c r="P975" t="s">
        <v>277</v>
      </c>
      <c r="T975">
        <v>85</v>
      </c>
      <c r="V975">
        <v>50</v>
      </c>
      <c r="W975" t="s">
        <v>1147</v>
      </c>
      <c r="X975" t="s">
        <v>280</v>
      </c>
      <c r="Y975">
        <v>1.3</v>
      </c>
      <c r="AB975">
        <v>6</v>
      </c>
      <c r="AC975" t="s">
        <v>85</v>
      </c>
      <c r="AI975">
        <v>6</v>
      </c>
    </row>
    <row r="976" spans="1:52" x14ac:dyDescent="0.3">
      <c r="A976" t="s">
        <v>1560</v>
      </c>
      <c r="C976" t="s">
        <v>1495</v>
      </c>
      <c r="D976" t="s">
        <v>470</v>
      </c>
      <c r="E976">
        <v>1000000000</v>
      </c>
      <c r="L976" t="s">
        <v>58</v>
      </c>
      <c r="O976">
        <v>1750</v>
      </c>
      <c r="P976" t="s">
        <v>277</v>
      </c>
      <c r="T976">
        <v>85</v>
      </c>
      <c r="V976">
        <v>50</v>
      </c>
      <c r="W976" t="s">
        <v>1147</v>
      </c>
      <c r="X976" t="s">
        <v>280</v>
      </c>
      <c r="Y976">
        <v>0.4</v>
      </c>
      <c r="AB976">
        <v>6</v>
      </c>
      <c r="AC976" t="s">
        <v>85</v>
      </c>
      <c r="AI976">
        <v>6</v>
      </c>
    </row>
    <row r="977" spans="1:35" x14ac:dyDescent="0.3">
      <c r="A977" t="s">
        <v>1560</v>
      </c>
      <c r="C977" t="s">
        <v>1495</v>
      </c>
      <c r="D977" t="s">
        <v>470</v>
      </c>
      <c r="E977">
        <v>1000000000</v>
      </c>
      <c r="L977" t="s">
        <v>58</v>
      </c>
      <c r="O977">
        <v>0</v>
      </c>
      <c r="P977" t="s">
        <v>277</v>
      </c>
      <c r="T977">
        <v>72</v>
      </c>
      <c r="V977">
        <v>50</v>
      </c>
      <c r="W977" t="s">
        <v>1147</v>
      </c>
      <c r="X977" t="s">
        <v>280</v>
      </c>
      <c r="Y977">
        <v>5112</v>
      </c>
      <c r="AB977">
        <v>6</v>
      </c>
      <c r="AC977" t="s">
        <v>85</v>
      </c>
      <c r="AI977">
        <v>6</v>
      </c>
    </row>
    <row r="978" spans="1:35" x14ac:dyDescent="0.3">
      <c r="A978" t="s">
        <v>1560</v>
      </c>
      <c r="C978" t="s">
        <v>1495</v>
      </c>
      <c r="D978" t="s">
        <v>470</v>
      </c>
      <c r="E978">
        <v>1000000000</v>
      </c>
      <c r="L978" t="s">
        <v>58</v>
      </c>
      <c r="O978">
        <v>1050</v>
      </c>
      <c r="P978" t="s">
        <v>277</v>
      </c>
      <c r="T978">
        <v>72</v>
      </c>
      <c r="V978">
        <v>50</v>
      </c>
      <c r="W978" t="s">
        <v>1147</v>
      </c>
      <c r="X978" t="s">
        <v>280</v>
      </c>
      <c r="Y978">
        <v>82</v>
      </c>
      <c r="AB978">
        <v>6</v>
      </c>
      <c r="AC978" t="s">
        <v>85</v>
      </c>
      <c r="AI978">
        <v>6</v>
      </c>
    </row>
    <row r="979" spans="1:35" x14ac:dyDescent="0.3">
      <c r="A979" t="s">
        <v>1560</v>
      </c>
      <c r="C979" t="s">
        <v>1495</v>
      </c>
      <c r="D979" t="s">
        <v>470</v>
      </c>
      <c r="E979">
        <v>1000000000</v>
      </c>
      <c r="L979" t="s">
        <v>58</v>
      </c>
      <c r="O979">
        <v>1750</v>
      </c>
      <c r="P979" t="s">
        <v>277</v>
      </c>
      <c r="T979">
        <v>72</v>
      </c>
      <c r="V979">
        <v>50</v>
      </c>
      <c r="W979" t="s">
        <v>1147</v>
      </c>
      <c r="X979" t="s">
        <v>280</v>
      </c>
      <c r="Y979">
        <v>40</v>
      </c>
      <c r="AB979">
        <v>6</v>
      </c>
      <c r="AC979" t="s">
        <v>85</v>
      </c>
      <c r="AI979">
        <v>6</v>
      </c>
    </row>
    <row r="980" spans="1:35" x14ac:dyDescent="0.3">
      <c r="A980" t="s">
        <v>1560</v>
      </c>
      <c r="C980" t="s">
        <v>1495</v>
      </c>
      <c r="D980" t="s">
        <v>470</v>
      </c>
      <c r="E980">
        <v>1000000000</v>
      </c>
      <c r="L980" t="s">
        <v>58</v>
      </c>
      <c r="O980">
        <v>2100</v>
      </c>
      <c r="P980" t="s">
        <v>277</v>
      </c>
      <c r="T980">
        <v>72</v>
      </c>
      <c r="V980">
        <v>50</v>
      </c>
      <c r="W980" t="s">
        <v>1147</v>
      </c>
      <c r="X980" t="s">
        <v>280</v>
      </c>
      <c r="Y980">
        <v>14</v>
      </c>
      <c r="AB980">
        <v>6</v>
      </c>
      <c r="AC980" t="s">
        <v>85</v>
      </c>
      <c r="AI980">
        <v>6</v>
      </c>
    </row>
    <row r="981" spans="1:35" x14ac:dyDescent="0.3">
      <c r="A981" t="s">
        <v>1560</v>
      </c>
      <c r="C981" t="s">
        <v>1495</v>
      </c>
      <c r="D981" t="s">
        <v>470</v>
      </c>
      <c r="E981">
        <v>1000000000</v>
      </c>
      <c r="L981" t="s">
        <v>58</v>
      </c>
      <c r="O981">
        <v>2800</v>
      </c>
      <c r="P981" t="s">
        <v>277</v>
      </c>
      <c r="T981">
        <v>72</v>
      </c>
      <c r="V981">
        <v>50</v>
      </c>
      <c r="W981" t="s">
        <v>1147</v>
      </c>
      <c r="X981" t="s">
        <v>280</v>
      </c>
      <c r="Y981">
        <v>2</v>
      </c>
      <c r="AB981">
        <v>6</v>
      </c>
      <c r="AC981" t="s">
        <v>85</v>
      </c>
      <c r="AI981">
        <v>6</v>
      </c>
    </row>
    <row r="982" spans="1:35" x14ac:dyDescent="0.3">
      <c r="A982" t="s">
        <v>1560</v>
      </c>
      <c r="C982" t="s">
        <v>1495</v>
      </c>
      <c r="D982" t="s">
        <v>470</v>
      </c>
      <c r="E982">
        <v>1000000000</v>
      </c>
      <c r="L982" t="s">
        <v>58</v>
      </c>
      <c r="O982">
        <v>4200</v>
      </c>
      <c r="P982" t="s">
        <v>277</v>
      </c>
      <c r="T982">
        <v>72</v>
      </c>
      <c r="V982">
        <v>50</v>
      </c>
      <c r="W982" t="s">
        <v>1147</v>
      </c>
      <c r="X982" t="s">
        <v>280</v>
      </c>
      <c r="Y982">
        <v>2</v>
      </c>
      <c r="AB982">
        <v>6</v>
      </c>
      <c r="AC982" t="s">
        <v>85</v>
      </c>
      <c r="AI982">
        <v>6</v>
      </c>
    </row>
    <row r="983" spans="1:35" x14ac:dyDescent="0.3">
      <c r="A983" t="s">
        <v>1560</v>
      </c>
      <c r="C983" t="s">
        <v>1495</v>
      </c>
      <c r="D983" t="s">
        <v>470</v>
      </c>
      <c r="E983">
        <v>1000000000</v>
      </c>
      <c r="L983" t="s">
        <v>58</v>
      </c>
      <c r="O983">
        <v>5300</v>
      </c>
      <c r="P983" t="s">
        <v>277</v>
      </c>
      <c r="T983">
        <v>72</v>
      </c>
      <c r="V983">
        <v>50</v>
      </c>
      <c r="W983" t="s">
        <v>1147</v>
      </c>
      <c r="X983" t="s">
        <v>280</v>
      </c>
      <c r="Y983">
        <v>1.8</v>
      </c>
      <c r="AB983">
        <v>6</v>
      </c>
      <c r="AC983" t="s">
        <v>85</v>
      </c>
      <c r="AI983">
        <v>6</v>
      </c>
    </row>
    <row r="984" spans="1:35" x14ac:dyDescent="0.3">
      <c r="A984" t="s">
        <v>1560</v>
      </c>
      <c r="C984" t="s">
        <v>1495</v>
      </c>
      <c r="D984" t="s">
        <v>470</v>
      </c>
      <c r="E984">
        <v>1000000000</v>
      </c>
      <c r="L984" t="s">
        <v>58</v>
      </c>
      <c r="O984">
        <v>7000</v>
      </c>
      <c r="P984" t="s">
        <v>277</v>
      </c>
      <c r="T984">
        <v>72</v>
      </c>
      <c r="V984">
        <v>50</v>
      </c>
      <c r="W984" t="s">
        <v>1147</v>
      </c>
      <c r="X984" t="s">
        <v>280</v>
      </c>
      <c r="Y984">
        <v>1</v>
      </c>
      <c r="AB984">
        <v>6</v>
      </c>
      <c r="AC984" t="s">
        <v>85</v>
      </c>
      <c r="AI984">
        <v>6</v>
      </c>
    </row>
    <row r="985" spans="1:35" x14ac:dyDescent="0.3">
      <c r="A985" t="s">
        <v>1560</v>
      </c>
      <c r="C985" t="s">
        <v>1495</v>
      </c>
      <c r="D985" t="s">
        <v>470</v>
      </c>
      <c r="E985">
        <v>1000000000</v>
      </c>
      <c r="L985" t="s">
        <v>58</v>
      </c>
      <c r="O985">
        <v>0</v>
      </c>
      <c r="P985" t="s">
        <v>277</v>
      </c>
      <c r="T985">
        <v>80</v>
      </c>
      <c r="V985">
        <v>50</v>
      </c>
      <c r="W985" t="s">
        <v>1147</v>
      </c>
      <c r="X985" t="s">
        <v>280</v>
      </c>
      <c r="Y985">
        <v>432</v>
      </c>
      <c r="AB985">
        <v>6</v>
      </c>
      <c r="AC985" t="s">
        <v>85</v>
      </c>
      <c r="AI985">
        <v>6</v>
      </c>
    </row>
    <row r="986" spans="1:35" x14ac:dyDescent="0.3">
      <c r="A986" t="s">
        <v>1560</v>
      </c>
      <c r="C986" t="s">
        <v>1495</v>
      </c>
      <c r="D986" t="s">
        <v>470</v>
      </c>
      <c r="E986">
        <v>1000000000</v>
      </c>
      <c r="L986" t="s">
        <v>58</v>
      </c>
      <c r="O986">
        <v>1050</v>
      </c>
      <c r="P986" t="s">
        <v>277</v>
      </c>
      <c r="T986">
        <v>80</v>
      </c>
      <c r="V986">
        <v>50</v>
      </c>
      <c r="W986" t="s">
        <v>1147</v>
      </c>
      <c r="X986" t="s">
        <v>280</v>
      </c>
      <c r="Y986">
        <v>16</v>
      </c>
      <c r="AB986">
        <v>6</v>
      </c>
      <c r="AC986" t="s">
        <v>85</v>
      </c>
      <c r="AI986">
        <v>6</v>
      </c>
    </row>
    <row r="987" spans="1:35" x14ac:dyDescent="0.3">
      <c r="A987" t="s">
        <v>1560</v>
      </c>
      <c r="C987" t="s">
        <v>1495</v>
      </c>
      <c r="D987" t="s">
        <v>470</v>
      </c>
      <c r="E987">
        <v>1000000000</v>
      </c>
      <c r="L987" t="s">
        <v>58</v>
      </c>
      <c r="O987">
        <v>1750</v>
      </c>
      <c r="P987" t="s">
        <v>277</v>
      </c>
      <c r="T987">
        <v>80</v>
      </c>
      <c r="V987">
        <v>50</v>
      </c>
      <c r="W987" t="s">
        <v>1147</v>
      </c>
      <c r="X987" t="s">
        <v>280</v>
      </c>
      <c r="Y987">
        <v>6</v>
      </c>
      <c r="AB987">
        <v>6</v>
      </c>
      <c r="AC987" t="s">
        <v>85</v>
      </c>
      <c r="AI987">
        <v>6</v>
      </c>
    </row>
    <row r="988" spans="1:35" x14ac:dyDescent="0.3">
      <c r="A988" t="s">
        <v>1560</v>
      </c>
      <c r="C988" t="s">
        <v>1495</v>
      </c>
      <c r="D988" t="s">
        <v>470</v>
      </c>
      <c r="E988">
        <v>1000000000</v>
      </c>
      <c r="L988" t="s">
        <v>58</v>
      </c>
      <c r="O988">
        <v>2100</v>
      </c>
      <c r="P988" t="s">
        <v>277</v>
      </c>
      <c r="T988">
        <v>80</v>
      </c>
      <c r="V988">
        <v>50</v>
      </c>
      <c r="W988" t="s">
        <v>1147</v>
      </c>
      <c r="X988" t="s">
        <v>280</v>
      </c>
      <c r="Y988">
        <v>5</v>
      </c>
      <c r="AB988">
        <v>6</v>
      </c>
      <c r="AC988" t="s">
        <v>85</v>
      </c>
      <c r="AI988">
        <v>6</v>
      </c>
    </row>
    <row r="989" spans="1:35" x14ac:dyDescent="0.3">
      <c r="A989" t="s">
        <v>1560</v>
      </c>
      <c r="C989" t="s">
        <v>1495</v>
      </c>
      <c r="D989" t="s">
        <v>470</v>
      </c>
      <c r="E989">
        <v>1000000000</v>
      </c>
      <c r="L989" t="s">
        <v>58</v>
      </c>
      <c r="O989">
        <v>2800</v>
      </c>
      <c r="P989" t="s">
        <v>277</v>
      </c>
      <c r="T989">
        <v>80</v>
      </c>
      <c r="V989">
        <v>50</v>
      </c>
      <c r="W989" t="s">
        <v>1147</v>
      </c>
      <c r="X989" t="s">
        <v>280</v>
      </c>
      <c r="Y989">
        <v>2</v>
      </c>
      <c r="AB989">
        <v>6</v>
      </c>
      <c r="AC989" t="s">
        <v>85</v>
      </c>
      <c r="AI989">
        <v>6</v>
      </c>
    </row>
    <row r="990" spans="1:35" x14ac:dyDescent="0.3">
      <c r="A990" t="s">
        <v>1560</v>
      </c>
      <c r="C990" t="s">
        <v>1495</v>
      </c>
      <c r="D990" t="s">
        <v>470</v>
      </c>
      <c r="E990">
        <v>1000000000</v>
      </c>
      <c r="L990" t="s">
        <v>58</v>
      </c>
      <c r="O990">
        <v>0</v>
      </c>
      <c r="P990" t="s">
        <v>277</v>
      </c>
      <c r="T990">
        <v>85</v>
      </c>
      <c r="V990">
        <v>50</v>
      </c>
      <c r="W990" t="s">
        <v>1147</v>
      </c>
      <c r="X990" t="s">
        <v>280</v>
      </c>
      <c r="Y990">
        <v>180</v>
      </c>
      <c r="AB990">
        <v>6</v>
      </c>
      <c r="AC990" t="s">
        <v>85</v>
      </c>
      <c r="AI990">
        <v>6</v>
      </c>
    </row>
    <row r="991" spans="1:35" x14ac:dyDescent="0.3">
      <c r="A991" t="s">
        <v>1560</v>
      </c>
      <c r="C991" t="s">
        <v>1495</v>
      </c>
      <c r="D991" t="s">
        <v>470</v>
      </c>
      <c r="E991">
        <v>1000000000</v>
      </c>
      <c r="L991" t="s">
        <v>58</v>
      </c>
      <c r="O991">
        <v>1050</v>
      </c>
      <c r="P991" t="s">
        <v>277</v>
      </c>
      <c r="T991">
        <v>85</v>
      </c>
      <c r="V991">
        <v>50</v>
      </c>
      <c r="W991" t="s">
        <v>1147</v>
      </c>
      <c r="X991" t="s">
        <v>280</v>
      </c>
      <c r="Y991">
        <v>11</v>
      </c>
      <c r="AB991">
        <v>6</v>
      </c>
      <c r="AC991" t="s">
        <v>85</v>
      </c>
      <c r="AI991">
        <v>6</v>
      </c>
    </row>
    <row r="992" spans="1:35" x14ac:dyDescent="0.3">
      <c r="A992" t="s">
        <v>1560</v>
      </c>
      <c r="C992" t="s">
        <v>1495</v>
      </c>
      <c r="D992" t="s">
        <v>470</v>
      </c>
      <c r="E992">
        <v>1000000000</v>
      </c>
      <c r="L992" t="s">
        <v>58</v>
      </c>
      <c r="O992">
        <v>1750</v>
      </c>
      <c r="P992" t="s">
        <v>277</v>
      </c>
      <c r="T992">
        <v>85</v>
      </c>
      <c r="V992">
        <v>50</v>
      </c>
      <c r="W992" t="s">
        <v>1147</v>
      </c>
      <c r="X992" t="s">
        <v>280</v>
      </c>
      <c r="Y992">
        <v>3.6</v>
      </c>
      <c r="AB992">
        <v>6</v>
      </c>
      <c r="AC992" t="s">
        <v>85</v>
      </c>
      <c r="AI992">
        <v>6</v>
      </c>
    </row>
    <row r="993" spans="1:35" x14ac:dyDescent="0.3">
      <c r="A993" t="s">
        <v>1560</v>
      </c>
      <c r="C993" t="s">
        <v>1495</v>
      </c>
      <c r="D993" t="s">
        <v>470</v>
      </c>
      <c r="E993">
        <v>1000000000</v>
      </c>
      <c r="L993" t="s">
        <v>58</v>
      </c>
      <c r="O993">
        <v>2100</v>
      </c>
      <c r="P993" t="s">
        <v>277</v>
      </c>
      <c r="T993">
        <v>85</v>
      </c>
      <c r="V993">
        <v>50</v>
      </c>
      <c r="W993" t="s">
        <v>1147</v>
      </c>
      <c r="X993" t="s">
        <v>280</v>
      </c>
      <c r="Y993">
        <v>2.9</v>
      </c>
      <c r="AB993">
        <v>6</v>
      </c>
      <c r="AC993" t="s">
        <v>85</v>
      </c>
      <c r="AI993">
        <v>6</v>
      </c>
    </row>
    <row r="994" spans="1:35" x14ac:dyDescent="0.3">
      <c r="A994" t="s">
        <v>1560</v>
      </c>
      <c r="C994" t="s">
        <v>1495</v>
      </c>
      <c r="D994" t="s">
        <v>470</v>
      </c>
      <c r="E994">
        <v>1000000000</v>
      </c>
      <c r="L994" t="s">
        <v>58</v>
      </c>
      <c r="O994">
        <v>2800</v>
      </c>
      <c r="P994" t="s">
        <v>277</v>
      </c>
      <c r="T994">
        <v>85</v>
      </c>
      <c r="V994">
        <v>50</v>
      </c>
      <c r="W994" t="s">
        <v>1147</v>
      </c>
      <c r="X994" t="s">
        <v>280</v>
      </c>
      <c r="Y994">
        <v>1.1000000000000001</v>
      </c>
      <c r="AB994">
        <v>6</v>
      </c>
      <c r="AC994" t="s">
        <v>85</v>
      </c>
      <c r="AI994">
        <v>6</v>
      </c>
    </row>
    <row r="995" spans="1:35" x14ac:dyDescent="0.3">
      <c r="A995" t="s">
        <v>1560</v>
      </c>
      <c r="C995" t="s">
        <v>1495</v>
      </c>
      <c r="D995" t="s">
        <v>470</v>
      </c>
      <c r="E995">
        <v>1000000000</v>
      </c>
      <c r="L995" t="s">
        <v>58</v>
      </c>
      <c r="O995">
        <v>0</v>
      </c>
      <c r="P995" t="s">
        <v>277</v>
      </c>
      <c r="T995">
        <v>72</v>
      </c>
      <c r="V995">
        <v>50</v>
      </c>
      <c r="W995" t="s">
        <v>1147</v>
      </c>
      <c r="X995" t="s">
        <v>280</v>
      </c>
      <c r="Y995">
        <v>1224</v>
      </c>
      <c r="AB995">
        <v>6</v>
      </c>
      <c r="AC995" t="s">
        <v>85</v>
      </c>
      <c r="AI995">
        <v>6</v>
      </c>
    </row>
    <row r="996" spans="1:35" x14ac:dyDescent="0.3">
      <c r="A996" t="s">
        <v>1560</v>
      </c>
      <c r="C996" t="s">
        <v>1495</v>
      </c>
      <c r="D996" t="s">
        <v>470</v>
      </c>
      <c r="E996">
        <v>1000000000</v>
      </c>
      <c r="L996" t="s">
        <v>58</v>
      </c>
      <c r="O996">
        <v>1050</v>
      </c>
      <c r="P996" t="s">
        <v>277</v>
      </c>
      <c r="T996">
        <v>72</v>
      </c>
      <c r="V996">
        <v>50</v>
      </c>
      <c r="W996" t="s">
        <v>1147</v>
      </c>
      <c r="X996" t="s">
        <v>280</v>
      </c>
      <c r="Y996">
        <v>253</v>
      </c>
      <c r="AB996">
        <v>6</v>
      </c>
      <c r="AC996" t="s">
        <v>85</v>
      </c>
      <c r="AI996">
        <v>6</v>
      </c>
    </row>
    <row r="997" spans="1:35" x14ac:dyDescent="0.3">
      <c r="A997" t="s">
        <v>1560</v>
      </c>
      <c r="C997" t="s">
        <v>1495</v>
      </c>
      <c r="D997" t="s">
        <v>470</v>
      </c>
      <c r="E997">
        <v>1000000000</v>
      </c>
      <c r="L997" t="s">
        <v>58</v>
      </c>
      <c r="O997">
        <v>1750</v>
      </c>
      <c r="P997" t="s">
        <v>277</v>
      </c>
      <c r="T997">
        <v>72</v>
      </c>
      <c r="V997">
        <v>50</v>
      </c>
      <c r="W997" t="s">
        <v>1147</v>
      </c>
      <c r="X997" t="s">
        <v>280</v>
      </c>
      <c r="Y997">
        <v>78</v>
      </c>
      <c r="AB997">
        <v>6</v>
      </c>
      <c r="AC997" t="s">
        <v>85</v>
      </c>
      <c r="AI997">
        <v>6</v>
      </c>
    </row>
    <row r="998" spans="1:35" x14ac:dyDescent="0.3">
      <c r="A998" t="s">
        <v>1560</v>
      </c>
      <c r="C998" t="s">
        <v>1495</v>
      </c>
      <c r="D998" t="s">
        <v>470</v>
      </c>
      <c r="E998">
        <v>1000000000</v>
      </c>
      <c r="L998" t="s">
        <v>58</v>
      </c>
      <c r="O998">
        <v>2100</v>
      </c>
      <c r="P998" t="s">
        <v>277</v>
      </c>
      <c r="T998">
        <v>72</v>
      </c>
      <c r="V998">
        <v>50</v>
      </c>
      <c r="W998" t="s">
        <v>1147</v>
      </c>
      <c r="X998" t="s">
        <v>280</v>
      </c>
      <c r="Y998">
        <v>11</v>
      </c>
      <c r="AB998">
        <v>6</v>
      </c>
      <c r="AC998" t="s">
        <v>85</v>
      </c>
      <c r="AI998">
        <v>6</v>
      </c>
    </row>
    <row r="999" spans="1:35" x14ac:dyDescent="0.3">
      <c r="A999" t="s">
        <v>1560</v>
      </c>
      <c r="C999" t="s">
        <v>1495</v>
      </c>
      <c r="D999" t="s">
        <v>470</v>
      </c>
      <c r="E999">
        <v>1000000000</v>
      </c>
      <c r="L999" t="s">
        <v>58</v>
      </c>
      <c r="O999">
        <v>2800</v>
      </c>
      <c r="P999" t="s">
        <v>277</v>
      </c>
      <c r="T999">
        <v>72</v>
      </c>
      <c r="V999">
        <v>50</v>
      </c>
      <c r="W999" t="s">
        <v>1147</v>
      </c>
      <c r="X999" t="s">
        <v>280</v>
      </c>
      <c r="Y999">
        <v>6</v>
      </c>
      <c r="AB999">
        <v>6</v>
      </c>
      <c r="AC999" t="s">
        <v>85</v>
      </c>
      <c r="AI999">
        <v>6</v>
      </c>
    </row>
    <row r="1000" spans="1:35" x14ac:dyDescent="0.3">
      <c r="A1000" t="s">
        <v>1560</v>
      </c>
      <c r="C1000" t="s">
        <v>1495</v>
      </c>
      <c r="D1000" t="s">
        <v>470</v>
      </c>
      <c r="E1000">
        <v>1000000000</v>
      </c>
      <c r="L1000" t="s">
        <v>58</v>
      </c>
      <c r="O1000">
        <v>4200</v>
      </c>
      <c r="P1000" t="s">
        <v>277</v>
      </c>
      <c r="T1000">
        <v>72</v>
      </c>
      <c r="V1000">
        <v>50</v>
      </c>
      <c r="W1000" t="s">
        <v>1147</v>
      </c>
      <c r="X1000" t="s">
        <v>280</v>
      </c>
      <c r="Y1000">
        <v>5</v>
      </c>
      <c r="AB1000">
        <v>6</v>
      </c>
      <c r="AC1000" t="s">
        <v>85</v>
      </c>
      <c r="AI1000">
        <v>6</v>
      </c>
    </row>
    <row r="1001" spans="1:35" x14ac:dyDescent="0.3">
      <c r="A1001" t="s">
        <v>1560</v>
      </c>
      <c r="C1001" t="s">
        <v>1495</v>
      </c>
      <c r="D1001" t="s">
        <v>470</v>
      </c>
      <c r="E1001">
        <v>1000000000</v>
      </c>
      <c r="L1001" t="s">
        <v>58</v>
      </c>
      <c r="O1001">
        <v>5300</v>
      </c>
      <c r="P1001" t="s">
        <v>277</v>
      </c>
      <c r="T1001">
        <v>72</v>
      </c>
      <c r="V1001">
        <v>50</v>
      </c>
      <c r="W1001" t="s">
        <v>1147</v>
      </c>
      <c r="X1001" t="s">
        <v>280</v>
      </c>
      <c r="Y1001">
        <v>3</v>
      </c>
      <c r="AB1001">
        <v>6</v>
      </c>
      <c r="AC1001" t="s">
        <v>85</v>
      </c>
      <c r="AI1001">
        <v>6</v>
      </c>
    </row>
    <row r="1002" spans="1:35" x14ac:dyDescent="0.3">
      <c r="A1002" t="s">
        <v>1560</v>
      </c>
      <c r="C1002" t="s">
        <v>1495</v>
      </c>
      <c r="D1002" t="s">
        <v>470</v>
      </c>
      <c r="E1002">
        <v>1000000000</v>
      </c>
      <c r="L1002" t="s">
        <v>58</v>
      </c>
      <c r="O1002">
        <v>7000</v>
      </c>
      <c r="P1002" t="s">
        <v>277</v>
      </c>
      <c r="T1002">
        <v>72</v>
      </c>
      <c r="V1002">
        <v>50</v>
      </c>
      <c r="W1002" t="s">
        <v>1147</v>
      </c>
      <c r="X1002" t="s">
        <v>280</v>
      </c>
      <c r="Y1002">
        <v>1</v>
      </c>
      <c r="AB1002">
        <v>6</v>
      </c>
      <c r="AC1002" t="s">
        <v>85</v>
      </c>
      <c r="AI1002">
        <v>6</v>
      </c>
    </row>
    <row r="1003" spans="1:35" x14ac:dyDescent="0.3">
      <c r="A1003" t="s">
        <v>1560</v>
      </c>
      <c r="C1003" t="s">
        <v>1495</v>
      </c>
      <c r="D1003" t="s">
        <v>470</v>
      </c>
      <c r="E1003">
        <v>1000000000</v>
      </c>
      <c r="L1003" t="s">
        <v>58</v>
      </c>
      <c r="O1003">
        <v>0</v>
      </c>
      <c r="P1003" t="s">
        <v>277</v>
      </c>
      <c r="T1003">
        <v>80</v>
      </c>
      <c r="V1003">
        <v>50</v>
      </c>
      <c r="W1003" t="s">
        <v>1147</v>
      </c>
      <c r="X1003" t="s">
        <v>280</v>
      </c>
      <c r="Y1003">
        <v>324</v>
      </c>
      <c r="AB1003">
        <v>6</v>
      </c>
      <c r="AC1003" t="s">
        <v>85</v>
      </c>
      <c r="AI1003">
        <v>6</v>
      </c>
    </row>
    <row r="1004" spans="1:35" x14ac:dyDescent="0.3">
      <c r="A1004" t="s">
        <v>1560</v>
      </c>
      <c r="C1004" t="s">
        <v>1495</v>
      </c>
      <c r="D1004" t="s">
        <v>470</v>
      </c>
      <c r="E1004">
        <v>1000000000</v>
      </c>
      <c r="L1004" t="s">
        <v>58</v>
      </c>
      <c r="O1004">
        <v>1050</v>
      </c>
      <c r="P1004" t="s">
        <v>277</v>
      </c>
      <c r="T1004">
        <v>80</v>
      </c>
      <c r="V1004">
        <v>50</v>
      </c>
      <c r="W1004" t="s">
        <v>1147</v>
      </c>
      <c r="X1004" t="s">
        <v>280</v>
      </c>
      <c r="Y1004">
        <v>89</v>
      </c>
      <c r="AB1004">
        <v>6</v>
      </c>
      <c r="AC1004" t="s">
        <v>85</v>
      </c>
      <c r="AI1004">
        <v>6</v>
      </c>
    </row>
    <row r="1005" spans="1:35" x14ac:dyDescent="0.3">
      <c r="A1005" t="s">
        <v>1560</v>
      </c>
      <c r="C1005" t="s">
        <v>1495</v>
      </c>
      <c r="D1005" t="s">
        <v>470</v>
      </c>
      <c r="E1005">
        <v>1000000000</v>
      </c>
      <c r="L1005" t="s">
        <v>58</v>
      </c>
      <c r="O1005">
        <v>1750</v>
      </c>
      <c r="P1005" t="s">
        <v>277</v>
      </c>
      <c r="T1005">
        <v>80</v>
      </c>
      <c r="V1005">
        <v>50</v>
      </c>
      <c r="W1005" t="s">
        <v>1147</v>
      </c>
      <c r="X1005" t="s">
        <v>280</v>
      </c>
      <c r="Y1005">
        <v>29</v>
      </c>
      <c r="AB1005">
        <v>6</v>
      </c>
      <c r="AC1005" t="s">
        <v>85</v>
      </c>
      <c r="AI1005">
        <v>6</v>
      </c>
    </row>
    <row r="1006" spans="1:35" x14ac:dyDescent="0.3">
      <c r="A1006" t="s">
        <v>1560</v>
      </c>
      <c r="C1006" t="s">
        <v>1495</v>
      </c>
      <c r="D1006" t="s">
        <v>470</v>
      </c>
      <c r="E1006">
        <v>1000000000</v>
      </c>
      <c r="L1006" t="s">
        <v>58</v>
      </c>
      <c r="O1006">
        <v>2100</v>
      </c>
      <c r="P1006" t="s">
        <v>277</v>
      </c>
      <c r="T1006">
        <v>80</v>
      </c>
      <c r="V1006">
        <v>50</v>
      </c>
      <c r="W1006" t="s">
        <v>1147</v>
      </c>
      <c r="X1006" t="s">
        <v>280</v>
      </c>
      <c r="Y1006">
        <v>5</v>
      </c>
      <c r="AB1006">
        <v>6</v>
      </c>
      <c r="AC1006" t="s">
        <v>85</v>
      </c>
      <c r="AI1006">
        <v>6</v>
      </c>
    </row>
    <row r="1007" spans="1:35" x14ac:dyDescent="0.3">
      <c r="A1007" t="s">
        <v>1560</v>
      </c>
      <c r="C1007" t="s">
        <v>1495</v>
      </c>
      <c r="D1007" t="s">
        <v>470</v>
      </c>
      <c r="E1007">
        <v>1000000000</v>
      </c>
      <c r="L1007" t="s">
        <v>58</v>
      </c>
      <c r="O1007">
        <v>2800</v>
      </c>
      <c r="P1007" t="s">
        <v>277</v>
      </c>
      <c r="T1007">
        <v>80</v>
      </c>
      <c r="V1007">
        <v>50</v>
      </c>
      <c r="W1007" t="s">
        <v>1147</v>
      </c>
      <c r="X1007" t="s">
        <v>280</v>
      </c>
      <c r="Y1007">
        <v>2</v>
      </c>
      <c r="AB1007">
        <v>6</v>
      </c>
      <c r="AC1007" t="s">
        <v>85</v>
      </c>
      <c r="AI1007">
        <v>6</v>
      </c>
    </row>
    <row r="1008" spans="1:35" x14ac:dyDescent="0.3">
      <c r="A1008" t="s">
        <v>1560</v>
      </c>
      <c r="C1008" t="s">
        <v>1495</v>
      </c>
      <c r="D1008" t="s">
        <v>470</v>
      </c>
      <c r="E1008">
        <v>1000000000</v>
      </c>
      <c r="L1008" t="s">
        <v>58</v>
      </c>
      <c r="O1008">
        <v>0</v>
      </c>
      <c r="P1008" t="s">
        <v>277</v>
      </c>
      <c r="T1008">
        <v>85</v>
      </c>
      <c r="V1008">
        <v>50</v>
      </c>
      <c r="W1008" t="s">
        <v>1147</v>
      </c>
      <c r="X1008" t="s">
        <v>280</v>
      </c>
      <c r="Y1008">
        <v>180</v>
      </c>
      <c r="AB1008">
        <v>6</v>
      </c>
      <c r="AC1008" t="s">
        <v>85</v>
      </c>
      <c r="AI1008">
        <v>6</v>
      </c>
    </row>
    <row r="1009" spans="1:35" x14ac:dyDescent="0.3">
      <c r="A1009" t="s">
        <v>1560</v>
      </c>
      <c r="C1009" t="s">
        <v>1495</v>
      </c>
      <c r="D1009" t="s">
        <v>470</v>
      </c>
      <c r="E1009">
        <v>1000000000</v>
      </c>
      <c r="L1009" t="s">
        <v>58</v>
      </c>
      <c r="O1009">
        <v>1050</v>
      </c>
      <c r="P1009" t="s">
        <v>277</v>
      </c>
      <c r="T1009">
        <v>85</v>
      </c>
      <c r="V1009">
        <v>50</v>
      </c>
      <c r="W1009" t="s">
        <v>1147</v>
      </c>
      <c r="X1009" t="s">
        <v>280</v>
      </c>
      <c r="Y1009">
        <v>47</v>
      </c>
      <c r="AB1009">
        <v>6</v>
      </c>
      <c r="AC1009" t="s">
        <v>85</v>
      </c>
      <c r="AI1009">
        <v>6</v>
      </c>
    </row>
    <row r="1010" spans="1:35" x14ac:dyDescent="0.3">
      <c r="A1010" t="s">
        <v>1560</v>
      </c>
      <c r="C1010" t="s">
        <v>1495</v>
      </c>
      <c r="D1010" t="s">
        <v>470</v>
      </c>
      <c r="E1010">
        <v>1000000000</v>
      </c>
      <c r="L1010" t="s">
        <v>58</v>
      </c>
      <c r="O1010">
        <v>1750</v>
      </c>
      <c r="P1010" t="s">
        <v>277</v>
      </c>
      <c r="T1010">
        <v>85</v>
      </c>
      <c r="V1010">
        <v>50</v>
      </c>
      <c r="W1010" t="s">
        <v>1147</v>
      </c>
      <c r="X1010" t="s">
        <v>280</v>
      </c>
      <c r="Y1010">
        <v>16</v>
      </c>
      <c r="AB1010">
        <v>6</v>
      </c>
      <c r="AC1010" t="s">
        <v>85</v>
      </c>
      <c r="AI1010">
        <v>6</v>
      </c>
    </row>
    <row r="1011" spans="1:35" x14ac:dyDescent="0.3">
      <c r="A1011" t="s">
        <v>1560</v>
      </c>
      <c r="C1011" t="s">
        <v>1495</v>
      </c>
      <c r="D1011" t="s">
        <v>470</v>
      </c>
      <c r="E1011">
        <v>1000000000</v>
      </c>
      <c r="L1011" t="s">
        <v>58</v>
      </c>
      <c r="O1011">
        <v>2100</v>
      </c>
      <c r="P1011" t="s">
        <v>277</v>
      </c>
      <c r="T1011">
        <v>85</v>
      </c>
      <c r="V1011">
        <v>50</v>
      </c>
      <c r="W1011" t="s">
        <v>1147</v>
      </c>
      <c r="X1011" t="s">
        <v>280</v>
      </c>
      <c r="Y1011">
        <v>2</v>
      </c>
      <c r="AB1011">
        <v>6</v>
      </c>
      <c r="AC1011" t="s">
        <v>85</v>
      </c>
      <c r="AI1011">
        <v>6</v>
      </c>
    </row>
    <row r="1012" spans="1:35" x14ac:dyDescent="0.3">
      <c r="A1012" t="s">
        <v>1560</v>
      </c>
      <c r="C1012" t="s">
        <v>1495</v>
      </c>
      <c r="D1012" t="s">
        <v>470</v>
      </c>
      <c r="E1012">
        <v>1000000000</v>
      </c>
      <c r="L1012" t="s">
        <v>58</v>
      </c>
      <c r="O1012">
        <v>2800</v>
      </c>
      <c r="P1012" t="s">
        <v>277</v>
      </c>
      <c r="T1012">
        <v>85</v>
      </c>
      <c r="V1012">
        <v>50</v>
      </c>
      <c r="W1012" t="s">
        <v>1147</v>
      </c>
      <c r="X1012" t="s">
        <v>280</v>
      </c>
      <c r="Y1012">
        <v>0.9</v>
      </c>
      <c r="AB1012">
        <v>6</v>
      </c>
      <c r="AC1012" t="s">
        <v>85</v>
      </c>
      <c r="AI1012">
        <v>6</v>
      </c>
    </row>
    <row r="1013" spans="1:35" x14ac:dyDescent="0.3">
      <c r="A1013" t="s">
        <v>1560</v>
      </c>
      <c r="C1013" t="s">
        <v>1495</v>
      </c>
      <c r="D1013" t="s">
        <v>470</v>
      </c>
      <c r="E1013">
        <v>1000000000</v>
      </c>
      <c r="L1013" t="s">
        <v>58</v>
      </c>
      <c r="O1013">
        <v>0</v>
      </c>
      <c r="P1013" t="s">
        <v>277</v>
      </c>
      <c r="T1013">
        <v>72</v>
      </c>
      <c r="V1013">
        <v>50</v>
      </c>
      <c r="W1013" t="s">
        <v>1147</v>
      </c>
      <c r="X1013" t="s">
        <v>280</v>
      </c>
      <c r="Y1013">
        <v>1224</v>
      </c>
      <c r="AB1013">
        <v>6</v>
      </c>
      <c r="AC1013" t="s">
        <v>85</v>
      </c>
      <c r="AI1013">
        <v>6</v>
      </c>
    </row>
    <row r="1014" spans="1:35" x14ac:dyDescent="0.3">
      <c r="A1014" t="s">
        <v>1560</v>
      </c>
      <c r="C1014" t="s">
        <v>1495</v>
      </c>
      <c r="D1014" t="s">
        <v>470</v>
      </c>
      <c r="E1014">
        <v>1000000000</v>
      </c>
      <c r="L1014" t="s">
        <v>58</v>
      </c>
      <c r="O1014">
        <v>840</v>
      </c>
      <c r="P1014" t="s">
        <v>277</v>
      </c>
      <c r="T1014">
        <v>72</v>
      </c>
      <c r="V1014">
        <v>50</v>
      </c>
      <c r="W1014" t="s">
        <v>1147</v>
      </c>
      <c r="X1014" t="s">
        <v>280</v>
      </c>
      <c r="Y1014">
        <v>6</v>
      </c>
      <c r="AB1014">
        <v>6</v>
      </c>
      <c r="AC1014" t="s">
        <v>85</v>
      </c>
      <c r="AI1014">
        <v>6</v>
      </c>
    </row>
    <row r="1015" spans="1:35" x14ac:dyDescent="0.3">
      <c r="A1015" t="s">
        <v>1560</v>
      </c>
      <c r="C1015" t="s">
        <v>1495</v>
      </c>
      <c r="D1015" t="s">
        <v>470</v>
      </c>
      <c r="E1015">
        <v>1000000000</v>
      </c>
      <c r="L1015" t="s">
        <v>58</v>
      </c>
      <c r="O1015">
        <v>840</v>
      </c>
      <c r="P1015" t="s">
        <v>277</v>
      </c>
      <c r="T1015">
        <v>72</v>
      </c>
      <c r="V1015">
        <v>50</v>
      </c>
      <c r="W1015" t="s">
        <v>1147</v>
      </c>
      <c r="X1015" t="s">
        <v>280</v>
      </c>
      <c r="Y1015">
        <v>1.5</v>
      </c>
      <c r="AB1015">
        <v>6</v>
      </c>
      <c r="AC1015" t="s">
        <v>85</v>
      </c>
      <c r="AI1015">
        <v>6</v>
      </c>
    </row>
    <row r="1016" spans="1:35" x14ac:dyDescent="0.3">
      <c r="A1016" t="s">
        <v>1560</v>
      </c>
      <c r="C1016" t="s">
        <v>1495</v>
      </c>
      <c r="D1016" t="s">
        <v>470</v>
      </c>
      <c r="E1016">
        <v>1000000000</v>
      </c>
      <c r="L1016" t="s">
        <v>58</v>
      </c>
      <c r="O1016">
        <v>1260</v>
      </c>
      <c r="P1016" t="s">
        <v>277</v>
      </c>
      <c r="T1016">
        <v>72</v>
      </c>
      <c r="V1016">
        <v>50</v>
      </c>
      <c r="W1016" t="s">
        <v>1147</v>
      </c>
      <c r="X1016" t="s">
        <v>280</v>
      </c>
      <c r="Y1016">
        <v>0.7</v>
      </c>
      <c r="AB1016">
        <v>6</v>
      </c>
      <c r="AC1016" t="s">
        <v>85</v>
      </c>
      <c r="AI1016">
        <v>6</v>
      </c>
    </row>
    <row r="1017" spans="1:35" x14ac:dyDescent="0.3">
      <c r="A1017" t="s">
        <v>1560</v>
      </c>
      <c r="C1017" t="s">
        <v>1495</v>
      </c>
      <c r="D1017" t="s">
        <v>470</v>
      </c>
      <c r="E1017">
        <v>1000000000</v>
      </c>
      <c r="L1017" t="s">
        <v>58</v>
      </c>
      <c r="O1017">
        <v>1260</v>
      </c>
      <c r="P1017" t="s">
        <v>277</v>
      </c>
      <c r="T1017">
        <v>72</v>
      </c>
      <c r="V1017">
        <v>50</v>
      </c>
      <c r="W1017" t="s">
        <v>1147</v>
      </c>
      <c r="X1017" t="s">
        <v>280</v>
      </c>
      <c r="Y1017">
        <v>0.4</v>
      </c>
      <c r="AB1017">
        <v>6</v>
      </c>
      <c r="AC1017" t="s">
        <v>85</v>
      </c>
      <c r="AI1017">
        <v>6</v>
      </c>
    </row>
    <row r="1018" spans="1:35" x14ac:dyDescent="0.3">
      <c r="A1018" t="s">
        <v>1560</v>
      </c>
      <c r="C1018" t="s">
        <v>1495</v>
      </c>
      <c r="D1018" t="s">
        <v>470</v>
      </c>
      <c r="E1018">
        <v>1000000000</v>
      </c>
      <c r="L1018" t="s">
        <v>58</v>
      </c>
      <c r="O1018">
        <v>0</v>
      </c>
      <c r="P1018" t="s">
        <v>277</v>
      </c>
      <c r="T1018">
        <v>80</v>
      </c>
      <c r="V1018">
        <v>50</v>
      </c>
      <c r="W1018" t="s">
        <v>1147</v>
      </c>
      <c r="X1018" t="s">
        <v>280</v>
      </c>
      <c r="Y1018">
        <v>324</v>
      </c>
      <c r="AB1018">
        <v>6</v>
      </c>
      <c r="AC1018" t="s">
        <v>85</v>
      </c>
      <c r="AI1018">
        <v>6</v>
      </c>
    </row>
    <row r="1019" spans="1:35" x14ac:dyDescent="0.3">
      <c r="A1019" t="s">
        <v>1560</v>
      </c>
      <c r="C1019" t="s">
        <v>1495</v>
      </c>
      <c r="D1019" t="s">
        <v>470</v>
      </c>
      <c r="E1019">
        <v>1000000000</v>
      </c>
      <c r="L1019" t="s">
        <v>58</v>
      </c>
      <c r="O1019">
        <v>840</v>
      </c>
      <c r="P1019" t="s">
        <v>277</v>
      </c>
      <c r="T1019">
        <v>80</v>
      </c>
      <c r="V1019">
        <v>50</v>
      </c>
      <c r="W1019" t="s">
        <v>1147</v>
      </c>
      <c r="X1019" t="s">
        <v>280</v>
      </c>
      <c r="Y1019">
        <v>2.4</v>
      </c>
      <c r="AB1019">
        <v>6</v>
      </c>
      <c r="AC1019" t="s">
        <v>85</v>
      </c>
      <c r="AI1019">
        <v>6</v>
      </c>
    </row>
    <row r="1020" spans="1:35" x14ac:dyDescent="0.3">
      <c r="A1020" t="s">
        <v>1560</v>
      </c>
      <c r="C1020" t="s">
        <v>1495</v>
      </c>
      <c r="D1020" t="s">
        <v>470</v>
      </c>
      <c r="E1020">
        <v>1000000000</v>
      </c>
      <c r="L1020" t="s">
        <v>58</v>
      </c>
      <c r="O1020">
        <v>840</v>
      </c>
      <c r="P1020" t="s">
        <v>277</v>
      </c>
      <c r="T1020">
        <v>80</v>
      </c>
      <c r="V1020">
        <v>50</v>
      </c>
      <c r="W1020" t="s">
        <v>1147</v>
      </c>
      <c r="X1020" t="s">
        <v>280</v>
      </c>
      <c r="Y1020">
        <v>1.6</v>
      </c>
      <c r="AB1020">
        <v>6</v>
      </c>
      <c r="AC1020" t="s">
        <v>85</v>
      </c>
      <c r="AI1020">
        <v>6</v>
      </c>
    </row>
    <row r="1021" spans="1:35" x14ac:dyDescent="0.3">
      <c r="A1021" t="s">
        <v>1560</v>
      </c>
      <c r="C1021" t="s">
        <v>1495</v>
      </c>
      <c r="D1021" t="s">
        <v>470</v>
      </c>
      <c r="E1021">
        <v>1000000000</v>
      </c>
      <c r="L1021" t="s">
        <v>58</v>
      </c>
      <c r="O1021">
        <v>1260</v>
      </c>
      <c r="P1021" t="s">
        <v>277</v>
      </c>
      <c r="T1021">
        <v>80</v>
      </c>
      <c r="V1021">
        <v>50</v>
      </c>
      <c r="W1021" t="s">
        <v>1147</v>
      </c>
      <c r="X1021" t="s">
        <v>280</v>
      </c>
      <c r="Y1021">
        <v>0.3</v>
      </c>
      <c r="AB1021">
        <v>6</v>
      </c>
      <c r="AC1021" t="s">
        <v>85</v>
      </c>
      <c r="AI1021">
        <v>6</v>
      </c>
    </row>
    <row r="1022" spans="1:35" x14ac:dyDescent="0.3">
      <c r="A1022" t="s">
        <v>1560</v>
      </c>
      <c r="C1022" t="s">
        <v>1495</v>
      </c>
      <c r="D1022" t="s">
        <v>470</v>
      </c>
      <c r="E1022">
        <v>1000000000</v>
      </c>
      <c r="L1022" t="s">
        <v>58</v>
      </c>
      <c r="O1022">
        <v>1260</v>
      </c>
      <c r="P1022" t="s">
        <v>277</v>
      </c>
      <c r="T1022">
        <v>80</v>
      </c>
      <c r="V1022">
        <v>50</v>
      </c>
      <c r="W1022" t="s">
        <v>1147</v>
      </c>
      <c r="X1022" t="s">
        <v>280</v>
      </c>
      <c r="Y1022">
        <v>0.1</v>
      </c>
      <c r="AB1022">
        <v>6</v>
      </c>
      <c r="AC1022" t="s">
        <v>85</v>
      </c>
      <c r="AI1022">
        <v>6</v>
      </c>
    </row>
    <row r="1023" spans="1:35" x14ac:dyDescent="0.3">
      <c r="A1023" t="s">
        <v>1560</v>
      </c>
      <c r="C1023" t="s">
        <v>1495</v>
      </c>
      <c r="D1023" t="s">
        <v>470</v>
      </c>
      <c r="E1023">
        <v>1000000000</v>
      </c>
      <c r="L1023" t="s">
        <v>58</v>
      </c>
      <c r="O1023">
        <v>0</v>
      </c>
      <c r="P1023" t="s">
        <v>277</v>
      </c>
      <c r="T1023">
        <v>72</v>
      </c>
      <c r="V1023">
        <v>50</v>
      </c>
      <c r="W1023" t="s">
        <v>1147</v>
      </c>
      <c r="X1023" t="s">
        <v>280</v>
      </c>
      <c r="Y1023">
        <v>5112</v>
      </c>
      <c r="AB1023">
        <v>6</v>
      </c>
      <c r="AC1023" t="s">
        <v>85</v>
      </c>
      <c r="AI1023">
        <v>6</v>
      </c>
    </row>
    <row r="1024" spans="1:35" x14ac:dyDescent="0.3">
      <c r="A1024" t="s">
        <v>1560</v>
      </c>
      <c r="C1024" t="s">
        <v>1495</v>
      </c>
      <c r="D1024" t="s">
        <v>470</v>
      </c>
      <c r="E1024">
        <v>1000000000</v>
      </c>
      <c r="L1024" t="s">
        <v>58</v>
      </c>
      <c r="O1024">
        <v>840</v>
      </c>
      <c r="P1024" t="s">
        <v>277</v>
      </c>
      <c r="T1024">
        <v>72</v>
      </c>
      <c r="V1024">
        <v>50</v>
      </c>
      <c r="W1024" t="s">
        <v>1147</v>
      </c>
      <c r="X1024" t="s">
        <v>280</v>
      </c>
      <c r="Y1024">
        <v>12</v>
      </c>
      <c r="AB1024">
        <v>6</v>
      </c>
      <c r="AC1024" t="s">
        <v>85</v>
      </c>
      <c r="AI1024">
        <v>6</v>
      </c>
    </row>
    <row r="1025" spans="1:35" x14ac:dyDescent="0.3">
      <c r="A1025" t="s">
        <v>1560</v>
      </c>
      <c r="C1025" t="s">
        <v>1495</v>
      </c>
      <c r="D1025" t="s">
        <v>470</v>
      </c>
      <c r="E1025">
        <v>1000000000</v>
      </c>
      <c r="L1025" t="s">
        <v>58</v>
      </c>
      <c r="O1025">
        <v>840</v>
      </c>
      <c r="P1025" t="s">
        <v>277</v>
      </c>
      <c r="T1025">
        <v>72</v>
      </c>
      <c r="V1025">
        <v>50</v>
      </c>
      <c r="W1025" t="s">
        <v>1147</v>
      </c>
      <c r="X1025" t="s">
        <v>280</v>
      </c>
      <c r="Y1025">
        <v>4.3</v>
      </c>
      <c r="AB1025">
        <v>6</v>
      </c>
      <c r="AC1025" t="s">
        <v>85</v>
      </c>
      <c r="AI1025">
        <v>6</v>
      </c>
    </row>
    <row r="1026" spans="1:35" x14ac:dyDescent="0.3">
      <c r="A1026" t="s">
        <v>1560</v>
      </c>
      <c r="C1026" t="s">
        <v>1495</v>
      </c>
      <c r="D1026" t="s">
        <v>470</v>
      </c>
      <c r="E1026">
        <v>1000000000</v>
      </c>
      <c r="L1026" t="s">
        <v>58</v>
      </c>
      <c r="O1026">
        <v>1260</v>
      </c>
      <c r="P1026" t="s">
        <v>277</v>
      </c>
      <c r="T1026">
        <v>72</v>
      </c>
      <c r="V1026">
        <v>50</v>
      </c>
      <c r="W1026" t="s">
        <v>1147</v>
      </c>
      <c r="X1026" t="s">
        <v>280</v>
      </c>
      <c r="Y1026">
        <v>1.4</v>
      </c>
      <c r="AB1026">
        <v>6</v>
      </c>
      <c r="AC1026" t="s">
        <v>85</v>
      </c>
      <c r="AI1026">
        <v>6</v>
      </c>
    </row>
    <row r="1027" spans="1:35" x14ac:dyDescent="0.3">
      <c r="A1027" t="s">
        <v>1560</v>
      </c>
      <c r="C1027" t="s">
        <v>1495</v>
      </c>
      <c r="D1027" t="s">
        <v>470</v>
      </c>
      <c r="E1027">
        <v>1000000000</v>
      </c>
      <c r="L1027" t="s">
        <v>58</v>
      </c>
      <c r="O1027">
        <v>1260</v>
      </c>
      <c r="P1027" t="s">
        <v>277</v>
      </c>
      <c r="T1027">
        <v>72</v>
      </c>
      <c r="V1027">
        <v>50</v>
      </c>
      <c r="W1027" t="s">
        <v>1147</v>
      </c>
      <c r="X1027" t="s">
        <v>280</v>
      </c>
      <c r="Y1027">
        <v>0.8</v>
      </c>
      <c r="AB1027">
        <v>6</v>
      </c>
      <c r="AC1027" t="s">
        <v>85</v>
      </c>
      <c r="AI1027">
        <v>6</v>
      </c>
    </row>
    <row r="1028" spans="1:35" x14ac:dyDescent="0.3">
      <c r="A1028" t="s">
        <v>1560</v>
      </c>
      <c r="C1028" t="s">
        <v>1495</v>
      </c>
      <c r="D1028" t="s">
        <v>470</v>
      </c>
      <c r="E1028">
        <v>1000000000</v>
      </c>
      <c r="L1028" t="s">
        <v>58</v>
      </c>
      <c r="O1028">
        <v>0</v>
      </c>
      <c r="P1028" t="s">
        <v>277</v>
      </c>
      <c r="T1028">
        <v>80</v>
      </c>
      <c r="V1028">
        <v>50</v>
      </c>
      <c r="W1028" t="s">
        <v>1147</v>
      </c>
      <c r="X1028" t="s">
        <v>280</v>
      </c>
      <c r="Y1028">
        <v>432</v>
      </c>
      <c r="AB1028">
        <v>6</v>
      </c>
      <c r="AC1028" t="s">
        <v>85</v>
      </c>
      <c r="AI1028">
        <v>6</v>
      </c>
    </row>
    <row r="1029" spans="1:35" x14ac:dyDescent="0.3">
      <c r="A1029" t="s">
        <v>1560</v>
      </c>
      <c r="C1029" t="s">
        <v>1495</v>
      </c>
      <c r="D1029" t="s">
        <v>470</v>
      </c>
      <c r="E1029">
        <v>1000000000</v>
      </c>
      <c r="L1029" t="s">
        <v>58</v>
      </c>
      <c r="O1029">
        <v>840</v>
      </c>
      <c r="P1029" t="s">
        <v>277</v>
      </c>
      <c r="T1029">
        <v>80</v>
      </c>
      <c r="V1029">
        <v>50</v>
      </c>
      <c r="W1029" t="s">
        <v>1147</v>
      </c>
      <c r="X1029" t="s">
        <v>280</v>
      </c>
      <c r="Y1029">
        <v>4.4000000000000004</v>
      </c>
      <c r="AB1029">
        <v>6</v>
      </c>
      <c r="AC1029" t="s">
        <v>85</v>
      </c>
      <c r="AI1029">
        <v>6</v>
      </c>
    </row>
    <row r="1030" spans="1:35" x14ac:dyDescent="0.3">
      <c r="A1030" t="s">
        <v>1560</v>
      </c>
      <c r="C1030" t="s">
        <v>1495</v>
      </c>
      <c r="D1030" t="s">
        <v>470</v>
      </c>
      <c r="E1030">
        <v>1000000000</v>
      </c>
      <c r="L1030" t="s">
        <v>58</v>
      </c>
      <c r="O1030">
        <v>840</v>
      </c>
      <c r="P1030" t="s">
        <v>277</v>
      </c>
      <c r="T1030">
        <v>80</v>
      </c>
      <c r="V1030">
        <v>50</v>
      </c>
      <c r="W1030" t="s">
        <v>1147</v>
      </c>
      <c r="X1030" t="s">
        <v>280</v>
      </c>
      <c r="Y1030">
        <v>2</v>
      </c>
      <c r="AB1030">
        <v>6</v>
      </c>
      <c r="AC1030" t="s">
        <v>85</v>
      </c>
      <c r="AI1030">
        <v>6</v>
      </c>
    </row>
    <row r="1031" spans="1:35" x14ac:dyDescent="0.3">
      <c r="A1031" t="s">
        <v>1560</v>
      </c>
      <c r="C1031" t="s">
        <v>1495</v>
      </c>
      <c r="D1031" t="s">
        <v>470</v>
      </c>
      <c r="E1031">
        <v>1000000000</v>
      </c>
      <c r="L1031" t="s">
        <v>58</v>
      </c>
      <c r="O1031">
        <v>1260</v>
      </c>
      <c r="P1031" t="s">
        <v>277</v>
      </c>
      <c r="T1031">
        <v>80</v>
      </c>
      <c r="V1031">
        <v>50</v>
      </c>
      <c r="W1031" t="s">
        <v>1147</v>
      </c>
      <c r="X1031" t="s">
        <v>280</v>
      </c>
      <c r="Y1031">
        <v>0.7</v>
      </c>
      <c r="AB1031">
        <v>6</v>
      </c>
      <c r="AC1031" t="s">
        <v>85</v>
      </c>
      <c r="AI1031">
        <v>6</v>
      </c>
    </row>
    <row r="1032" spans="1:35" x14ac:dyDescent="0.3">
      <c r="A1032" t="s">
        <v>1560</v>
      </c>
      <c r="C1032" t="s">
        <v>1495</v>
      </c>
      <c r="D1032" t="s">
        <v>470</v>
      </c>
      <c r="E1032">
        <v>1000000000</v>
      </c>
      <c r="L1032" t="s">
        <v>58</v>
      </c>
      <c r="O1032">
        <v>1260</v>
      </c>
      <c r="P1032" t="s">
        <v>277</v>
      </c>
      <c r="T1032">
        <v>80</v>
      </c>
      <c r="V1032">
        <v>50</v>
      </c>
      <c r="W1032" t="s">
        <v>1147</v>
      </c>
      <c r="X1032" t="s">
        <v>280</v>
      </c>
      <c r="Y1032">
        <v>0.3</v>
      </c>
      <c r="AB1032">
        <v>6</v>
      </c>
      <c r="AC1032" t="s">
        <v>85</v>
      </c>
      <c r="AI1032">
        <v>6</v>
      </c>
    </row>
    <row r="1033" spans="1:35" x14ac:dyDescent="0.3">
      <c r="A1033" t="s">
        <v>1560</v>
      </c>
      <c r="C1033" t="s">
        <v>1495</v>
      </c>
      <c r="D1033" t="s">
        <v>470</v>
      </c>
      <c r="E1033">
        <v>1000000000</v>
      </c>
      <c r="L1033" t="s">
        <v>58</v>
      </c>
      <c r="O1033">
        <v>0</v>
      </c>
      <c r="P1033" t="s">
        <v>277</v>
      </c>
      <c r="T1033">
        <v>72</v>
      </c>
      <c r="V1033">
        <v>50</v>
      </c>
      <c r="W1033" t="s">
        <v>1147</v>
      </c>
      <c r="X1033" t="s">
        <v>280</v>
      </c>
      <c r="Y1033">
        <v>6012</v>
      </c>
      <c r="AB1033">
        <v>6</v>
      </c>
      <c r="AC1033" t="s">
        <v>85</v>
      </c>
      <c r="AI1033">
        <v>6</v>
      </c>
    </row>
    <row r="1034" spans="1:35" x14ac:dyDescent="0.3">
      <c r="A1034" t="s">
        <v>1560</v>
      </c>
      <c r="C1034" t="s">
        <v>1495</v>
      </c>
      <c r="D1034" t="s">
        <v>470</v>
      </c>
      <c r="E1034">
        <v>1000000000</v>
      </c>
      <c r="L1034" t="s">
        <v>58</v>
      </c>
      <c r="O1034">
        <v>840</v>
      </c>
      <c r="P1034" t="s">
        <v>277</v>
      </c>
      <c r="T1034">
        <v>72</v>
      </c>
      <c r="V1034">
        <v>50</v>
      </c>
      <c r="W1034" t="s">
        <v>1147</v>
      </c>
      <c r="X1034" t="s">
        <v>280</v>
      </c>
      <c r="Y1034">
        <v>3.6</v>
      </c>
      <c r="AB1034">
        <v>6</v>
      </c>
      <c r="AC1034" t="s">
        <v>85</v>
      </c>
      <c r="AI1034">
        <v>6</v>
      </c>
    </row>
    <row r="1035" spans="1:35" x14ac:dyDescent="0.3">
      <c r="A1035" t="s">
        <v>1560</v>
      </c>
      <c r="C1035" t="s">
        <v>1495</v>
      </c>
      <c r="D1035" t="s">
        <v>470</v>
      </c>
      <c r="E1035">
        <v>1000000000</v>
      </c>
      <c r="L1035" t="s">
        <v>58</v>
      </c>
      <c r="O1035">
        <v>840</v>
      </c>
      <c r="P1035" t="s">
        <v>277</v>
      </c>
      <c r="T1035">
        <v>72</v>
      </c>
      <c r="V1035">
        <v>50</v>
      </c>
      <c r="W1035" t="s">
        <v>1147</v>
      </c>
      <c r="X1035" t="s">
        <v>280</v>
      </c>
      <c r="Y1035">
        <v>1.2</v>
      </c>
      <c r="AB1035">
        <v>6</v>
      </c>
      <c r="AC1035" t="s">
        <v>85</v>
      </c>
      <c r="AI1035">
        <v>6</v>
      </c>
    </row>
    <row r="1036" spans="1:35" x14ac:dyDescent="0.3">
      <c r="A1036" t="s">
        <v>1560</v>
      </c>
      <c r="C1036" t="s">
        <v>1495</v>
      </c>
      <c r="D1036" t="s">
        <v>470</v>
      </c>
      <c r="E1036">
        <v>1000000000</v>
      </c>
      <c r="L1036" t="s">
        <v>58</v>
      </c>
      <c r="O1036">
        <v>1260</v>
      </c>
      <c r="P1036" t="s">
        <v>277</v>
      </c>
      <c r="T1036">
        <v>72</v>
      </c>
      <c r="V1036">
        <v>50</v>
      </c>
      <c r="W1036" t="s">
        <v>1147</v>
      </c>
      <c r="X1036" t="s">
        <v>280</v>
      </c>
      <c r="Y1036">
        <v>0.4</v>
      </c>
      <c r="AB1036">
        <v>6</v>
      </c>
      <c r="AC1036" t="s">
        <v>85</v>
      </c>
      <c r="AI1036">
        <v>6</v>
      </c>
    </row>
    <row r="1037" spans="1:35" x14ac:dyDescent="0.3">
      <c r="A1037" t="s">
        <v>1560</v>
      </c>
      <c r="C1037" t="s">
        <v>1495</v>
      </c>
      <c r="D1037" t="s">
        <v>470</v>
      </c>
      <c r="E1037">
        <v>1000000000</v>
      </c>
      <c r="L1037" t="s">
        <v>58</v>
      </c>
      <c r="O1037">
        <v>1260</v>
      </c>
      <c r="P1037" t="s">
        <v>277</v>
      </c>
      <c r="T1037">
        <v>72</v>
      </c>
      <c r="V1037">
        <v>50</v>
      </c>
      <c r="W1037" t="s">
        <v>1147</v>
      </c>
      <c r="X1037" t="s">
        <v>280</v>
      </c>
      <c r="Y1037">
        <v>0.3</v>
      </c>
      <c r="AB1037">
        <v>6</v>
      </c>
      <c r="AC1037" t="s">
        <v>85</v>
      </c>
      <c r="AI1037">
        <v>6</v>
      </c>
    </row>
    <row r="1038" spans="1:35" x14ac:dyDescent="0.3">
      <c r="A1038" t="s">
        <v>1560</v>
      </c>
      <c r="C1038" t="s">
        <v>1495</v>
      </c>
      <c r="D1038" t="s">
        <v>470</v>
      </c>
      <c r="E1038">
        <v>1000000000</v>
      </c>
      <c r="L1038" t="s">
        <v>58</v>
      </c>
      <c r="O1038">
        <v>0</v>
      </c>
      <c r="P1038" t="s">
        <v>277</v>
      </c>
      <c r="T1038">
        <v>80</v>
      </c>
      <c r="V1038">
        <v>50</v>
      </c>
      <c r="W1038" t="s">
        <v>1147</v>
      </c>
      <c r="X1038" t="s">
        <v>280</v>
      </c>
      <c r="Y1038">
        <v>756</v>
      </c>
      <c r="AB1038">
        <v>6</v>
      </c>
      <c r="AC1038" t="s">
        <v>85</v>
      </c>
      <c r="AI1038">
        <v>6</v>
      </c>
    </row>
    <row r="1039" spans="1:35" x14ac:dyDescent="0.3">
      <c r="A1039" t="s">
        <v>1560</v>
      </c>
      <c r="C1039" t="s">
        <v>1495</v>
      </c>
      <c r="D1039" t="s">
        <v>470</v>
      </c>
      <c r="E1039">
        <v>1000000000</v>
      </c>
      <c r="L1039" t="s">
        <v>58</v>
      </c>
      <c r="O1039">
        <v>840</v>
      </c>
      <c r="P1039" t="s">
        <v>277</v>
      </c>
      <c r="T1039">
        <v>80</v>
      </c>
      <c r="V1039">
        <v>50</v>
      </c>
      <c r="W1039" t="s">
        <v>1147</v>
      </c>
      <c r="X1039" t="s">
        <v>280</v>
      </c>
      <c r="Y1039">
        <v>0.8</v>
      </c>
      <c r="AB1039">
        <v>6</v>
      </c>
      <c r="AC1039" t="s">
        <v>85</v>
      </c>
      <c r="AI1039">
        <v>6</v>
      </c>
    </row>
    <row r="1040" spans="1:35" x14ac:dyDescent="0.3">
      <c r="A1040" t="s">
        <v>1560</v>
      </c>
      <c r="C1040" t="s">
        <v>1495</v>
      </c>
      <c r="D1040" t="s">
        <v>470</v>
      </c>
      <c r="E1040">
        <v>1000000000</v>
      </c>
      <c r="L1040" t="s">
        <v>58</v>
      </c>
      <c r="O1040">
        <v>840</v>
      </c>
      <c r="P1040" t="s">
        <v>277</v>
      </c>
      <c r="T1040">
        <v>80</v>
      </c>
      <c r="V1040">
        <v>50</v>
      </c>
      <c r="W1040" t="s">
        <v>1147</v>
      </c>
      <c r="X1040" t="s">
        <v>280</v>
      </c>
      <c r="Y1040">
        <v>0.5</v>
      </c>
      <c r="AB1040">
        <v>6</v>
      </c>
      <c r="AC1040" t="s">
        <v>85</v>
      </c>
      <c r="AI1040">
        <v>6</v>
      </c>
    </row>
    <row r="1041" spans="1:35" x14ac:dyDescent="0.3">
      <c r="A1041" t="s">
        <v>1560</v>
      </c>
      <c r="C1041" t="s">
        <v>1495</v>
      </c>
      <c r="D1041" t="s">
        <v>470</v>
      </c>
      <c r="E1041">
        <v>1000000000</v>
      </c>
      <c r="L1041" t="s">
        <v>58</v>
      </c>
      <c r="O1041">
        <v>1260</v>
      </c>
      <c r="P1041" t="s">
        <v>277</v>
      </c>
      <c r="T1041">
        <v>80</v>
      </c>
      <c r="V1041">
        <v>50</v>
      </c>
      <c r="W1041" t="s">
        <v>1147</v>
      </c>
      <c r="X1041" t="s">
        <v>280</v>
      </c>
      <c r="Y1041">
        <v>0.2</v>
      </c>
      <c r="AB1041">
        <v>6</v>
      </c>
      <c r="AC1041" t="s">
        <v>85</v>
      </c>
      <c r="AI1041">
        <v>6</v>
      </c>
    </row>
    <row r="1042" spans="1:35" x14ac:dyDescent="0.3">
      <c r="A1042" t="s">
        <v>1560</v>
      </c>
      <c r="C1042" t="s">
        <v>1495</v>
      </c>
      <c r="D1042" t="s">
        <v>470</v>
      </c>
      <c r="E1042">
        <v>1000000000</v>
      </c>
      <c r="L1042" t="s">
        <v>58</v>
      </c>
      <c r="O1042">
        <v>1260</v>
      </c>
      <c r="P1042" t="s">
        <v>277</v>
      </c>
      <c r="T1042">
        <v>80</v>
      </c>
      <c r="V1042">
        <v>50</v>
      </c>
      <c r="W1042" t="s">
        <v>1147</v>
      </c>
      <c r="X1042" t="s">
        <v>280</v>
      </c>
      <c r="Y1042">
        <v>0.1</v>
      </c>
      <c r="AB1042">
        <v>6</v>
      </c>
      <c r="AC1042" t="s">
        <v>85</v>
      </c>
      <c r="AI1042">
        <v>6</v>
      </c>
    </row>
    <row r="1043" spans="1:35" x14ac:dyDescent="0.3">
      <c r="A1043" t="s">
        <v>1560</v>
      </c>
      <c r="C1043" t="s">
        <v>1495</v>
      </c>
      <c r="D1043" t="s">
        <v>470</v>
      </c>
      <c r="E1043">
        <v>1000000000</v>
      </c>
      <c r="L1043" t="s">
        <v>58</v>
      </c>
      <c r="O1043">
        <v>0</v>
      </c>
      <c r="P1043" t="s">
        <v>277</v>
      </c>
      <c r="T1043">
        <v>72</v>
      </c>
      <c r="V1043">
        <v>50</v>
      </c>
      <c r="W1043" t="s">
        <v>1147</v>
      </c>
      <c r="X1043" t="s">
        <v>280</v>
      </c>
      <c r="Y1043">
        <v>1224</v>
      </c>
      <c r="AB1043">
        <v>6</v>
      </c>
      <c r="AC1043" t="s">
        <v>85</v>
      </c>
      <c r="AI1043">
        <v>6</v>
      </c>
    </row>
    <row r="1044" spans="1:35" x14ac:dyDescent="0.3">
      <c r="A1044" t="s">
        <v>1560</v>
      </c>
      <c r="C1044" t="s">
        <v>1495</v>
      </c>
      <c r="D1044" t="s">
        <v>470</v>
      </c>
      <c r="E1044">
        <v>1000000000</v>
      </c>
      <c r="L1044" t="s">
        <v>58</v>
      </c>
      <c r="O1044">
        <v>42</v>
      </c>
      <c r="P1044" t="s">
        <v>277</v>
      </c>
      <c r="T1044">
        <v>72</v>
      </c>
      <c r="V1044">
        <v>50</v>
      </c>
      <c r="W1044" t="s">
        <v>1147</v>
      </c>
      <c r="X1044" t="s">
        <v>280</v>
      </c>
      <c r="Y1044">
        <v>3.3</v>
      </c>
      <c r="AB1044">
        <v>6</v>
      </c>
      <c r="AC1044" t="s">
        <v>85</v>
      </c>
      <c r="AI1044">
        <v>6</v>
      </c>
    </row>
    <row r="1045" spans="1:35" x14ac:dyDescent="0.3">
      <c r="A1045" t="s">
        <v>1560</v>
      </c>
      <c r="C1045" t="s">
        <v>1495</v>
      </c>
      <c r="D1045" t="s">
        <v>470</v>
      </c>
      <c r="E1045">
        <v>1000000000</v>
      </c>
      <c r="L1045" t="s">
        <v>58</v>
      </c>
      <c r="O1045">
        <v>84</v>
      </c>
      <c r="P1045" t="s">
        <v>277</v>
      </c>
      <c r="T1045">
        <v>72</v>
      </c>
      <c r="V1045">
        <v>50</v>
      </c>
      <c r="W1045" t="s">
        <v>1147</v>
      </c>
      <c r="X1045" t="s">
        <v>280</v>
      </c>
      <c r="Y1045">
        <v>1.5</v>
      </c>
      <c r="AB1045">
        <v>6</v>
      </c>
      <c r="AC1045" t="s">
        <v>85</v>
      </c>
      <c r="AI1045">
        <v>6</v>
      </c>
    </row>
    <row r="1046" spans="1:35" x14ac:dyDescent="0.3">
      <c r="A1046" t="s">
        <v>1560</v>
      </c>
      <c r="C1046" t="s">
        <v>1495</v>
      </c>
      <c r="D1046" t="s">
        <v>470</v>
      </c>
      <c r="E1046">
        <v>1000000000</v>
      </c>
      <c r="L1046" t="s">
        <v>58</v>
      </c>
      <c r="O1046">
        <v>840</v>
      </c>
      <c r="P1046" t="s">
        <v>277</v>
      </c>
      <c r="T1046">
        <v>72</v>
      </c>
      <c r="V1046">
        <v>50</v>
      </c>
      <c r="W1046" t="s">
        <v>1147</v>
      </c>
      <c r="X1046" t="s">
        <v>280</v>
      </c>
      <c r="Y1046">
        <v>3.4</v>
      </c>
      <c r="AB1046">
        <v>6</v>
      </c>
      <c r="AC1046" t="s">
        <v>85</v>
      </c>
      <c r="AI1046">
        <v>6</v>
      </c>
    </row>
    <row r="1047" spans="1:35" x14ac:dyDescent="0.3">
      <c r="A1047" t="s">
        <v>1560</v>
      </c>
      <c r="C1047" t="s">
        <v>1495</v>
      </c>
      <c r="D1047" t="s">
        <v>470</v>
      </c>
      <c r="E1047">
        <v>1000000000</v>
      </c>
      <c r="L1047" t="s">
        <v>58</v>
      </c>
      <c r="O1047">
        <v>840</v>
      </c>
      <c r="P1047" t="s">
        <v>277</v>
      </c>
      <c r="T1047">
        <v>72</v>
      </c>
      <c r="V1047">
        <v>50</v>
      </c>
      <c r="W1047" t="s">
        <v>1147</v>
      </c>
      <c r="X1047" t="s">
        <v>280</v>
      </c>
      <c r="Y1047">
        <v>1.4</v>
      </c>
      <c r="AB1047">
        <v>6</v>
      </c>
      <c r="AC1047" t="s">
        <v>85</v>
      </c>
      <c r="AI1047">
        <v>6</v>
      </c>
    </row>
    <row r="1048" spans="1:35" x14ac:dyDescent="0.3">
      <c r="A1048" t="s">
        <v>1560</v>
      </c>
      <c r="C1048" t="s">
        <v>1495</v>
      </c>
      <c r="D1048" t="s">
        <v>470</v>
      </c>
      <c r="E1048">
        <v>1000000000</v>
      </c>
      <c r="L1048" t="s">
        <v>58</v>
      </c>
      <c r="O1048">
        <v>840</v>
      </c>
      <c r="P1048" t="s">
        <v>277</v>
      </c>
      <c r="T1048">
        <v>72</v>
      </c>
      <c r="V1048">
        <v>50</v>
      </c>
      <c r="W1048" t="s">
        <v>1147</v>
      </c>
      <c r="X1048" t="s">
        <v>280</v>
      </c>
      <c r="Y1048">
        <v>0.4</v>
      </c>
      <c r="AB1048">
        <v>6</v>
      </c>
      <c r="AC1048" t="s">
        <v>85</v>
      </c>
      <c r="AI1048">
        <v>6</v>
      </c>
    </row>
    <row r="1049" spans="1:35" x14ac:dyDescent="0.3">
      <c r="A1049" t="s">
        <v>1560</v>
      </c>
      <c r="C1049" t="s">
        <v>1495</v>
      </c>
      <c r="D1049" t="s">
        <v>470</v>
      </c>
      <c r="E1049">
        <v>1000000000</v>
      </c>
      <c r="L1049" t="s">
        <v>58</v>
      </c>
      <c r="O1049">
        <v>1260</v>
      </c>
      <c r="P1049" t="s">
        <v>277</v>
      </c>
      <c r="T1049">
        <v>72</v>
      </c>
      <c r="V1049">
        <v>50</v>
      </c>
      <c r="W1049" t="s">
        <v>1147</v>
      </c>
      <c r="X1049" t="s">
        <v>280</v>
      </c>
      <c r="Y1049">
        <v>0.4</v>
      </c>
      <c r="AB1049">
        <v>6</v>
      </c>
      <c r="AC1049" t="s">
        <v>85</v>
      </c>
      <c r="AI1049">
        <v>6</v>
      </c>
    </row>
    <row r="1050" spans="1:35" x14ac:dyDescent="0.3">
      <c r="A1050" t="s">
        <v>1560</v>
      </c>
      <c r="C1050" t="s">
        <v>1495</v>
      </c>
      <c r="D1050" t="s">
        <v>470</v>
      </c>
      <c r="E1050">
        <v>1000000000</v>
      </c>
      <c r="L1050" t="s">
        <v>58</v>
      </c>
      <c r="O1050">
        <v>1260</v>
      </c>
      <c r="P1050" t="s">
        <v>277</v>
      </c>
      <c r="T1050">
        <v>72</v>
      </c>
      <c r="V1050">
        <v>50</v>
      </c>
      <c r="W1050" t="s">
        <v>1147</v>
      </c>
      <c r="X1050" t="s">
        <v>280</v>
      </c>
      <c r="Y1050">
        <v>0.3</v>
      </c>
      <c r="AB1050">
        <v>6</v>
      </c>
      <c r="AC1050" t="s">
        <v>85</v>
      </c>
      <c r="AI1050">
        <v>6</v>
      </c>
    </row>
    <row r="1051" spans="1:35" x14ac:dyDescent="0.3">
      <c r="A1051" t="s">
        <v>1560</v>
      </c>
      <c r="C1051" t="s">
        <v>1495</v>
      </c>
      <c r="D1051" t="s">
        <v>470</v>
      </c>
      <c r="E1051">
        <v>1000000000</v>
      </c>
      <c r="L1051" t="s">
        <v>58</v>
      </c>
      <c r="O1051">
        <v>0</v>
      </c>
      <c r="P1051" t="s">
        <v>277</v>
      </c>
      <c r="T1051">
        <v>80</v>
      </c>
      <c r="V1051">
        <v>50</v>
      </c>
      <c r="W1051" t="s">
        <v>1147</v>
      </c>
      <c r="X1051" t="s">
        <v>280</v>
      </c>
      <c r="Y1051">
        <v>324</v>
      </c>
      <c r="AB1051">
        <v>6</v>
      </c>
      <c r="AC1051" t="s">
        <v>85</v>
      </c>
      <c r="AI1051">
        <v>6</v>
      </c>
    </row>
    <row r="1052" spans="1:35" x14ac:dyDescent="0.3">
      <c r="A1052" t="s">
        <v>1560</v>
      </c>
      <c r="C1052" t="s">
        <v>1495</v>
      </c>
      <c r="D1052" t="s">
        <v>470</v>
      </c>
      <c r="E1052">
        <v>1000000000</v>
      </c>
      <c r="L1052" t="s">
        <v>58</v>
      </c>
      <c r="O1052">
        <v>42</v>
      </c>
      <c r="P1052" t="s">
        <v>277</v>
      </c>
      <c r="T1052">
        <v>80</v>
      </c>
      <c r="V1052">
        <v>50</v>
      </c>
      <c r="W1052" t="s">
        <v>1147</v>
      </c>
      <c r="X1052" t="s">
        <v>280</v>
      </c>
      <c r="Y1052">
        <v>2</v>
      </c>
      <c r="AB1052">
        <v>6</v>
      </c>
      <c r="AC1052" t="s">
        <v>85</v>
      </c>
      <c r="AI1052">
        <v>6</v>
      </c>
    </row>
    <row r="1053" spans="1:35" x14ac:dyDescent="0.3">
      <c r="A1053" t="s">
        <v>1560</v>
      </c>
      <c r="C1053" t="s">
        <v>1495</v>
      </c>
      <c r="D1053" t="s">
        <v>470</v>
      </c>
      <c r="E1053">
        <v>1000000000</v>
      </c>
      <c r="L1053" t="s">
        <v>58</v>
      </c>
      <c r="O1053">
        <v>84</v>
      </c>
      <c r="P1053" t="s">
        <v>277</v>
      </c>
      <c r="T1053">
        <v>80</v>
      </c>
      <c r="V1053">
        <v>50</v>
      </c>
      <c r="W1053" t="s">
        <v>1147</v>
      </c>
      <c r="X1053" t="s">
        <v>280</v>
      </c>
      <c r="Y1053">
        <v>0.9</v>
      </c>
      <c r="AB1053">
        <v>6</v>
      </c>
      <c r="AC1053" t="s">
        <v>85</v>
      </c>
      <c r="AI1053">
        <v>6</v>
      </c>
    </row>
    <row r="1054" spans="1:35" x14ac:dyDescent="0.3">
      <c r="A1054" t="s">
        <v>1560</v>
      </c>
      <c r="C1054" t="s">
        <v>1495</v>
      </c>
      <c r="D1054" t="s">
        <v>470</v>
      </c>
      <c r="E1054">
        <v>1000000000</v>
      </c>
      <c r="L1054" t="s">
        <v>58</v>
      </c>
      <c r="O1054">
        <v>840</v>
      </c>
      <c r="P1054" t="s">
        <v>277</v>
      </c>
      <c r="T1054">
        <v>80</v>
      </c>
      <c r="V1054">
        <v>50</v>
      </c>
      <c r="W1054" t="s">
        <v>1147</v>
      </c>
      <c r="X1054" t="s">
        <v>280</v>
      </c>
      <c r="Y1054">
        <v>1.8</v>
      </c>
      <c r="AB1054">
        <v>6</v>
      </c>
      <c r="AC1054" t="s">
        <v>85</v>
      </c>
      <c r="AI1054">
        <v>6</v>
      </c>
    </row>
    <row r="1055" spans="1:35" x14ac:dyDescent="0.3">
      <c r="A1055" t="s">
        <v>1560</v>
      </c>
      <c r="C1055" t="s">
        <v>1495</v>
      </c>
      <c r="D1055" t="s">
        <v>470</v>
      </c>
      <c r="E1055">
        <v>1000000000</v>
      </c>
      <c r="L1055" t="s">
        <v>58</v>
      </c>
      <c r="O1055">
        <v>840</v>
      </c>
      <c r="P1055" t="s">
        <v>277</v>
      </c>
      <c r="T1055">
        <v>80</v>
      </c>
      <c r="V1055">
        <v>50</v>
      </c>
      <c r="W1055" t="s">
        <v>1147</v>
      </c>
      <c r="X1055" t="s">
        <v>280</v>
      </c>
      <c r="Y1055">
        <v>0.8</v>
      </c>
      <c r="AB1055">
        <v>6</v>
      </c>
      <c r="AC1055" t="s">
        <v>85</v>
      </c>
      <c r="AI1055">
        <v>6</v>
      </c>
    </row>
    <row r="1056" spans="1:35" x14ac:dyDescent="0.3">
      <c r="A1056" t="s">
        <v>1560</v>
      </c>
      <c r="C1056" t="s">
        <v>1495</v>
      </c>
      <c r="D1056" t="s">
        <v>470</v>
      </c>
      <c r="E1056">
        <v>1000000000</v>
      </c>
      <c r="L1056" t="s">
        <v>58</v>
      </c>
      <c r="O1056">
        <v>840</v>
      </c>
      <c r="P1056" t="s">
        <v>277</v>
      </c>
      <c r="T1056">
        <v>80</v>
      </c>
      <c r="V1056">
        <v>50</v>
      </c>
      <c r="W1056" t="s">
        <v>1147</v>
      </c>
      <c r="X1056" t="s">
        <v>280</v>
      </c>
      <c r="Y1056">
        <v>0.2</v>
      </c>
      <c r="AB1056">
        <v>6</v>
      </c>
      <c r="AC1056" t="s">
        <v>85</v>
      </c>
      <c r="AI1056">
        <v>6</v>
      </c>
    </row>
    <row r="1057" spans="1:35" x14ac:dyDescent="0.3">
      <c r="A1057" t="s">
        <v>1560</v>
      </c>
      <c r="C1057" t="s">
        <v>1495</v>
      </c>
      <c r="D1057" t="s">
        <v>470</v>
      </c>
      <c r="E1057">
        <v>1000000000</v>
      </c>
      <c r="L1057" t="s">
        <v>58</v>
      </c>
      <c r="O1057">
        <v>1260</v>
      </c>
      <c r="P1057" t="s">
        <v>277</v>
      </c>
      <c r="T1057">
        <v>80</v>
      </c>
      <c r="V1057">
        <v>50</v>
      </c>
      <c r="W1057" t="s">
        <v>1147</v>
      </c>
      <c r="X1057" t="s">
        <v>280</v>
      </c>
      <c r="Y1057">
        <v>0.2</v>
      </c>
      <c r="AB1057">
        <v>6</v>
      </c>
      <c r="AC1057" t="s">
        <v>85</v>
      </c>
      <c r="AI1057">
        <v>6</v>
      </c>
    </row>
    <row r="1058" spans="1:35" x14ac:dyDescent="0.3">
      <c r="A1058" t="s">
        <v>1560</v>
      </c>
      <c r="C1058" t="s">
        <v>1495</v>
      </c>
      <c r="D1058" t="s">
        <v>470</v>
      </c>
      <c r="E1058">
        <v>1000000000</v>
      </c>
      <c r="L1058" t="s">
        <v>58</v>
      </c>
      <c r="O1058">
        <v>1260</v>
      </c>
      <c r="P1058" t="s">
        <v>277</v>
      </c>
      <c r="T1058">
        <v>80</v>
      </c>
      <c r="V1058">
        <v>50</v>
      </c>
      <c r="W1058" t="s">
        <v>1147</v>
      </c>
      <c r="X1058" t="s">
        <v>280</v>
      </c>
      <c r="Y1058">
        <v>0.1</v>
      </c>
      <c r="AB1058">
        <v>6</v>
      </c>
      <c r="AC1058" t="s">
        <v>85</v>
      </c>
      <c r="AI1058">
        <v>6</v>
      </c>
    </row>
    <row r="1059" spans="1:35" x14ac:dyDescent="0.3">
      <c r="A1059" t="s">
        <v>1560</v>
      </c>
      <c r="C1059" t="s">
        <v>1495</v>
      </c>
      <c r="D1059" t="s">
        <v>470</v>
      </c>
      <c r="E1059">
        <v>1000000000</v>
      </c>
      <c r="L1059" t="s">
        <v>58</v>
      </c>
      <c r="O1059">
        <v>0</v>
      </c>
      <c r="P1059" t="s">
        <v>277</v>
      </c>
      <c r="T1059">
        <v>72</v>
      </c>
      <c r="V1059">
        <v>50</v>
      </c>
      <c r="W1059" t="s">
        <v>1147</v>
      </c>
      <c r="X1059" t="s">
        <v>280</v>
      </c>
      <c r="Y1059">
        <v>5112</v>
      </c>
      <c r="AB1059">
        <v>6</v>
      </c>
      <c r="AC1059" t="s">
        <v>85</v>
      </c>
      <c r="AI1059">
        <v>6</v>
      </c>
    </row>
    <row r="1060" spans="1:35" x14ac:dyDescent="0.3">
      <c r="A1060" t="s">
        <v>1560</v>
      </c>
      <c r="C1060" t="s">
        <v>1495</v>
      </c>
      <c r="D1060" t="s">
        <v>470</v>
      </c>
      <c r="E1060">
        <v>1000000000</v>
      </c>
      <c r="L1060" t="s">
        <v>58</v>
      </c>
      <c r="O1060">
        <v>42</v>
      </c>
      <c r="P1060" t="s">
        <v>277</v>
      </c>
      <c r="T1060">
        <v>72</v>
      </c>
      <c r="V1060">
        <v>50</v>
      </c>
      <c r="W1060" t="s">
        <v>1147</v>
      </c>
      <c r="X1060" t="s">
        <v>280</v>
      </c>
      <c r="Y1060">
        <v>4.8</v>
      </c>
      <c r="AB1060">
        <v>6</v>
      </c>
      <c r="AC1060" t="s">
        <v>85</v>
      </c>
      <c r="AI1060">
        <v>6</v>
      </c>
    </row>
    <row r="1061" spans="1:35" x14ac:dyDescent="0.3">
      <c r="A1061" t="s">
        <v>1560</v>
      </c>
      <c r="C1061" t="s">
        <v>1495</v>
      </c>
      <c r="D1061" t="s">
        <v>470</v>
      </c>
      <c r="E1061">
        <v>1000000000</v>
      </c>
      <c r="L1061" t="s">
        <v>58</v>
      </c>
      <c r="O1061">
        <v>84</v>
      </c>
      <c r="P1061" t="s">
        <v>277</v>
      </c>
      <c r="T1061">
        <v>72</v>
      </c>
      <c r="V1061">
        <v>50</v>
      </c>
      <c r="W1061" t="s">
        <v>1147</v>
      </c>
      <c r="X1061" t="s">
        <v>280</v>
      </c>
      <c r="Y1061">
        <v>2.6</v>
      </c>
      <c r="AB1061">
        <v>6</v>
      </c>
      <c r="AC1061" t="s">
        <v>85</v>
      </c>
      <c r="AI1061">
        <v>6</v>
      </c>
    </row>
    <row r="1062" spans="1:35" x14ac:dyDescent="0.3">
      <c r="A1062" t="s">
        <v>1560</v>
      </c>
      <c r="C1062" t="s">
        <v>1495</v>
      </c>
      <c r="D1062" t="s">
        <v>470</v>
      </c>
      <c r="E1062">
        <v>1000000000</v>
      </c>
      <c r="L1062" t="s">
        <v>58</v>
      </c>
      <c r="O1062">
        <v>840</v>
      </c>
      <c r="P1062" t="s">
        <v>277</v>
      </c>
      <c r="T1062">
        <v>72</v>
      </c>
      <c r="V1062">
        <v>50</v>
      </c>
      <c r="W1062" t="s">
        <v>1147</v>
      </c>
      <c r="X1062" t="s">
        <v>280</v>
      </c>
      <c r="Y1062">
        <v>6</v>
      </c>
      <c r="AB1062">
        <v>6</v>
      </c>
      <c r="AC1062" t="s">
        <v>85</v>
      </c>
      <c r="AI1062">
        <v>6</v>
      </c>
    </row>
    <row r="1063" spans="1:35" x14ac:dyDescent="0.3">
      <c r="A1063" t="s">
        <v>1560</v>
      </c>
      <c r="C1063" t="s">
        <v>1495</v>
      </c>
      <c r="D1063" t="s">
        <v>470</v>
      </c>
      <c r="E1063">
        <v>1000000000</v>
      </c>
      <c r="L1063" t="s">
        <v>58</v>
      </c>
      <c r="O1063">
        <v>840</v>
      </c>
      <c r="P1063" t="s">
        <v>277</v>
      </c>
      <c r="T1063">
        <v>72</v>
      </c>
      <c r="V1063">
        <v>50</v>
      </c>
      <c r="W1063" t="s">
        <v>1147</v>
      </c>
      <c r="X1063" t="s">
        <v>280</v>
      </c>
      <c r="Y1063">
        <v>2.5</v>
      </c>
      <c r="AB1063">
        <v>6</v>
      </c>
      <c r="AC1063" t="s">
        <v>85</v>
      </c>
      <c r="AI1063">
        <v>6</v>
      </c>
    </row>
    <row r="1064" spans="1:35" x14ac:dyDescent="0.3">
      <c r="A1064" t="s">
        <v>1560</v>
      </c>
      <c r="C1064" t="s">
        <v>1495</v>
      </c>
      <c r="D1064" t="s">
        <v>470</v>
      </c>
      <c r="E1064">
        <v>1000000000</v>
      </c>
      <c r="L1064" t="s">
        <v>58</v>
      </c>
      <c r="O1064">
        <v>840</v>
      </c>
      <c r="P1064" t="s">
        <v>277</v>
      </c>
      <c r="T1064">
        <v>72</v>
      </c>
      <c r="V1064">
        <v>50</v>
      </c>
      <c r="W1064" t="s">
        <v>1147</v>
      </c>
      <c r="X1064" t="s">
        <v>280</v>
      </c>
      <c r="Y1064">
        <v>0.9</v>
      </c>
      <c r="AB1064">
        <v>6</v>
      </c>
      <c r="AC1064" t="s">
        <v>85</v>
      </c>
      <c r="AI1064">
        <v>6</v>
      </c>
    </row>
    <row r="1065" spans="1:35" x14ac:dyDescent="0.3">
      <c r="A1065" t="s">
        <v>1560</v>
      </c>
      <c r="C1065" t="s">
        <v>1495</v>
      </c>
      <c r="D1065" t="s">
        <v>470</v>
      </c>
      <c r="E1065">
        <v>1000000000</v>
      </c>
      <c r="L1065" t="s">
        <v>58</v>
      </c>
      <c r="O1065">
        <v>1260</v>
      </c>
      <c r="P1065" t="s">
        <v>277</v>
      </c>
      <c r="T1065">
        <v>72</v>
      </c>
      <c r="V1065">
        <v>50</v>
      </c>
      <c r="W1065" t="s">
        <v>1147</v>
      </c>
      <c r="X1065" t="s">
        <v>280</v>
      </c>
      <c r="Y1065">
        <v>1.2</v>
      </c>
      <c r="AB1065">
        <v>6</v>
      </c>
      <c r="AC1065" t="s">
        <v>85</v>
      </c>
      <c r="AI1065">
        <v>6</v>
      </c>
    </row>
    <row r="1066" spans="1:35" x14ac:dyDescent="0.3">
      <c r="A1066" t="s">
        <v>1560</v>
      </c>
      <c r="C1066" t="s">
        <v>1495</v>
      </c>
      <c r="D1066" t="s">
        <v>470</v>
      </c>
      <c r="E1066">
        <v>1000000000</v>
      </c>
      <c r="L1066" t="s">
        <v>58</v>
      </c>
      <c r="O1066">
        <v>1260</v>
      </c>
      <c r="P1066" t="s">
        <v>277</v>
      </c>
      <c r="T1066">
        <v>72</v>
      </c>
      <c r="V1066">
        <v>50</v>
      </c>
      <c r="W1066" t="s">
        <v>1147</v>
      </c>
      <c r="X1066" t="s">
        <v>280</v>
      </c>
      <c r="Y1066">
        <v>0.4</v>
      </c>
      <c r="AB1066">
        <v>6</v>
      </c>
      <c r="AC1066" t="s">
        <v>85</v>
      </c>
      <c r="AI1066">
        <v>6</v>
      </c>
    </row>
    <row r="1067" spans="1:35" x14ac:dyDescent="0.3">
      <c r="A1067" t="s">
        <v>1560</v>
      </c>
      <c r="C1067" t="s">
        <v>1495</v>
      </c>
      <c r="D1067" t="s">
        <v>470</v>
      </c>
      <c r="E1067">
        <v>1000000000</v>
      </c>
      <c r="L1067" t="s">
        <v>58</v>
      </c>
      <c r="O1067">
        <v>0</v>
      </c>
      <c r="P1067" t="s">
        <v>277</v>
      </c>
      <c r="T1067">
        <v>80</v>
      </c>
      <c r="V1067">
        <v>50</v>
      </c>
      <c r="W1067" t="s">
        <v>1147</v>
      </c>
      <c r="X1067" t="s">
        <v>280</v>
      </c>
      <c r="Y1067">
        <v>432</v>
      </c>
      <c r="AB1067">
        <v>6</v>
      </c>
      <c r="AC1067" t="s">
        <v>85</v>
      </c>
      <c r="AI1067">
        <v>6</v>
      </c>
    </row>
    <row r="1068" spans="1:35" x14ac:dyDescent="0.3">
      <c r="A1068" t="s">
        <v>1560</v>
      </c>
      <c r="C1068" t="s">
        <v>1495</v>
      </c>
      <c r="D1068" t="s">
        <v>470</v>
      </c>
      <c r="E1068">
        <v>1000000000</v>
      </c>
      <c r="L1068" t="s">
        <v>58</v>
      </c>
      <c r="O1068">
        <v>42</v>
      </c>
      <c r="P1068" t="s">
        <v>277</v>
      </c>
      <c r="T1068">
        <v>80</v>
      </c>
      <c r="V1068">
        <v>50</v>
      </c>
      <c r="W1068" t="s">
        <v>1147</v>
      </c>
      <c r="X1068" t="s">
        <v>280</v>
      </c>
      <c r="Y1068">
        <v>2.8</v>
      </c>
      <c r="AB1068">
        <v>6</v>
      </c>
      <c r="AC1068" t="s">
        <v>85</v>
      </c>
      <c r="AI1068">
        <v>6</v>
      </c>
    </row>
    <row r="1069" spans="1:35" x14ac:dyDescent="0.3">
      <c r="A1069" t="s">
        <v>1560</v>
      </c>
      <c r="C1069" t="s">
        <v>1495</v>
      </c>
      <c r="D1069" t="s">
        <v>470</v>
      </c>
      <c r="E1069">
        <v>1000000000</v>
      </c>
      <c r="L1069" t="s">
        <v>58</v>
      </c>
      <c r="O1069">
        <v>84</v>
      </c>
      <c r="P1069" t="s">
        <v>277</v>
      </c>
      <c r="T1069">
        <v>80</v>
      </c>
      <c r="V1069">
        <v>50</v>
      </c>
      <c r="W1069" t="s">
        <v>1147</v>
      </c>
      <c r="X1069" t="s">
        <v>280</v>
      </c>
      <c r="Y1069">
        <v>1.6</v>
      </c>
      <c r="AB1069">
        <v>6</v>
      </c>
      <c r="AC1069" t="s">
        <v>85</v>
      </c>
      <c r="AI1069">
        <v>6</v>
      </c>
    </row>
    <row r="1070" spans="1:35" x14ac:dyDescent="0.3">
      <c r="A1070" t="s">
        <v>1560</v>
      </c>
      <c r="C1070" t="s">
        <v>1495</v>
      </c>
      <c r="D1070" t="s">
        <v>470</v>
      </c>
      <c r="E1070">
        <v>1000000000</v>
      </c>
      <c r="L1070" t="s">
        <v>58</v>
      </c>
      <c r="O1070">
        <v>840</v>
      </c>
      <c r="P1070" t="s">
        <v>277</v>
      </c>
      <c r="T1070">
        <v>80</v>
      </c>
      <c r="V1070">
        <v>50</v>
      </c>
      <c r="W1070" t="s">
        <v>1147</v>
      </c>
      <c r="X1070" t="s">
        <v>280</v>
      </c>
      <c r="Y1070">
        <v>2.5</v>
      </c>
      <c r="AB1070">
        <v>6</v>
      </c>
      <c r="AC1070" t="s">
        <v>85</v>
      </c>
      <c r="AI1070">
        <v>6</v>
      </c>
    </row>
    <row r="1071" spans="1:35" x14ac:dyDescent="0.3">
      <c r="A1071" t="s">
        <v>1560</v>
      </c>
      <c r="C1071" t="s">
        <v>1495</v>
      </c>
      <c r="D1071" t="s">
        <v>470</v>
      </c>
      <c r="E1071">
        <v>1000000000</v>
      </c>
      <c r="L1071" t="s">
        <v>58</v>
      </c>
      <c r="O1071">
        <v>840</v>
      </c>
      <c r="P1071" t="s">
        <v>277</v>
      </c>
      <c r="T1071">
        <v>80</v>
      </c>
      <c r="V1071">
        <v>50</v>
      </c>
      <c r="W1071" t="s">
        <v>1147</v>
      </c>
      <c r="X1071" t="s">
        <v>280</v>
      </c>
      <c r="Y1071">
        <v>1.2</v>
      </c>
      <c r="AB1071">
        <v>6</v>
      </c>
      <c r="AC1071" t="s">
        <v>85</v>
      </c>
      <c r="AI1071">
        <v>6</v>
      </c>
    </row>
    <row r="1072" spans="1:35" x14ac:dyDescent="0.3">
      <c r="A1072" t="s">
        <v>1560</v>
      </c>
      <c r="C1072" t="s">
        <v>1495</v>
      </c>
      <c r="D1072" t="s">
        <v>470</v>
      </c>
      <c r="E1072">
        <v>1000000000</v>
      </c>
      <c r="L1072" t="s">
        <v>58</v>
      </c>
      <c r="O1072">
        <v>840</v>
      </c>
      <c r="P1072" t="s">
        <v>277</v>
      </c>
      <c r="T1072">
        <v>80</v>
      </c>
      <c r="V1072">
        <v>50</v>
      </c>
      <c r="W1072" t="s">
        <v>1147</v>
      </c>
      <c r="X1072" t="s">
        <v>280</v>
      </c>
      <c r="Y1072">
        <v>0.5</v>
      </c>
      <c r="AB1072">
        <v>6</v>
      </c>
      <c r="AC1072" t="s">
        <v>85</v>
      </c>
      <c r="AI1072">
        <v>6</v>
      </c>
    </row>
    <row r="1073" spans="1:35" x14ac:dyDescent="0.3">
      <c r="A1073" t="s">
        <v>1560</v>
      </c>
      <c r="C1073" t="s">
        <v>1495</v>
      </c>
      <c r="D1073" t="s">
        <v>470</v>
      </c>
      <c r="E1073">
        <v>1000000000</v>
      </c>
      <c r="L1073" t="s">
        <v>58</v>
      </c>
      <c r="O1073">
        <v>1260</v>
      </c>
      <c r="P1073" t="s">
        <v>277</v>
      </c>
      <c r="T1073">
        <v>80</v>
      </c>
      <c r="V1073">
        <v>50</v>
      </c>
      <c r="W1073" t="s">
        <v>1147</v>
      </c>
      <c r="X1073" t="s">
        <v>280</v>
      </c>
      <c r="Y1073">
        <v>0.5</v>
      </c>
      <c r="AB1073">
        <v>6</v>
      </c>
      <c r="AC1073" t="s">
        <v>85</v>
      </c>
      <c r="AI1073">
        <v>6</v>
      </c>
    </row>
    <row r="1074" spans="1:35" x14ac:dyDescent="0.3">
      <c r="A1074" t="s">
        <v>1560</v>
      </c>
      <c r="C1074" t="s">
        <v>1495</v>
      </c>
      <c r="D1074" t="s">
        <v>470</v>
      </c>
      <c r="E1074">
        <v>1000000000</v>
      </c>
      <c r="L1074" t="s">
        <v>58</v>
      </c>
      <c r="O1074">
        <v>1260</v>
      </c>
      <c r="P1074" t="s">
        <v>277</v>
      </c>
      <c r="T1074">
        <v>80</v>
      </c>
      <c r="V1074">
        <v>50</v>
      </c>
      <c r="W1074" t="s">
        <v>1147</v>
      </c>
      <c r="X1074" t="s">
        <v>280</v>
      </c>
      <c r="Y1074">
        <v>0.2</v>
      </c>
      <c r="AB1074">
        <v>6</v>
      </c>
      <c r="AC1074" t="s">
        <v>85</v>
      </c>
      <c r="AI1074">
        <v>6</v>
      </c>
    </row>
    <row r="1075" spans="1:35" x14ac:dyDescent="0.3">
      <c r="A1075" t="s">
        <v>1560</v>
      </c>
      <c r="C1075" t="s">
        <v>1495</v>
      </c>
      <c r="D1075" t="s">
        <v>470</v>
      </c>
      <c r="E1075">
        <v>1000000000</v>
      </c>
      <c r="L1075" t="s">
        <v>58</v>
      </c>
      <c r="O1075">
        <v>0</v>
      </c>
      <c r="P1075" t="s">
        <v>277</v>
      </c>
      <c r="T1075">
        <v>72</v>
      </c>
      <c r="V1075">
        <v>50</v>
      </c>
      <c r="W1075" t="s">
        <v>1147</v>
      </c>
      <c r="X1075" t="s">
        <v>280</v>
      </c>
      <c r="Y1075">
        <v>6012</v>
      </c>
      <c r="AB1075">
        <v>6</v>
      </c>
      <c r="AC1075" t="s">
        <v>85</v>
      </c>
      <c r="AI1075">
        <v>6</v>
      </c>
    </row>
    <row r="1076" spans="1:35" x14ac:dyDescent="0.3">
      <c r="A1076" t="s">
        <v>1560</v>
      </c>
      <c r="C1076" t="s">
        <v>1495</v>
      </c>
      <c r="D1076" t="s">
        <v>470</v>
      </c>
      <c r="E1076">
        <v>1000000000</v>
      </c>
      <c r="L1076" t="s">
        <v>58</v>
      </c>
      <c r="O1076">
        <v>840</v>
      </c>
      <c r="P1076" t="s">
        <v>277</v>
      </c>
      <c r="T1076">
        <v>72</v>
      </c>
      <c r="V1076">
        <v>50</v>
      </c>
      <c r="W1076" t="s">
        <v>1147</v>
      </c>
      <c r="X1076" t="s">
        <v>280</v>
      </c>
      <c r="Y1076">
        <v>0.5</v>
      </c>
      <c r="AB1076">
        <v>6</v>
      </c>
      <c r="AC1076" t="s">
        <v>85</v>
      </c>
      <c r="AI1076">
        <v>6</v>
      </c>
    </row>
    <row r="1077" spans="1:35" x14ac:dyDescent="0.3">
      <c r="A1077" t="s">
        <v>1560</v>
      </c>
      <c r="C1077" t="s">
        <v>1495</v>
      </c>
      <c r="D1077" t="s">
        <v>470</v>
      </c>
      <c r="E1077">
        <v>1000000000</v>
      </c>
      <c r="L1077" t="s">
        <v>58</v>
      </c>
      <c r="O1077">
        <v>840</v>
      </c>
      <c r="P1077" t="s">
        <v>277</v>
      </c>
      <c r="T1077">
        <v>72</v>
      </c>
      <c r="V1077">
        <v>50</v>
      </c>
      <c r="W1077" t="s">
        <v>1147</v>
      </c>
      <c r="X1077" t="s">
        <v>280</v>
      </c>
      <c r="Y1077">
        <v>0.2</v>
      </c>
      <c r="AB1077">
        <v>6</v>
      </c>
      <c r="AC1077" t="s">
        <v>85</v>
      </c>
      <c r="AI1077">
        <v>6</v>
      </c>
    </row>
    <row r="1078" spans="1:35" x14ac:dyDescent="0.3">
      <c r="A1078" t="s">
        <v>1560</v>
      </c>
      <c r="C1078" t="s">
        <v>1495</v>
      </c>
      <c r="D1078" t="s">
        <v>470</v>
      </c>
      <c r="E1078">
        <v>1000000000</v>
      </c>
      <c r="L1078" t="s">
        <v>58</v>
      </c>
      <c r="O1078">
        <v>840</v>
      </c>
      <c r="P1078" t="s">
        <v>277</v>
      </c>
      <c r="T1078">
        <v>72</v>
      </c>
      <c r="V1078">
        <v>50</v>
      </c>
      <c r="W1078" t="s">
        <v>1147</v>
      </c>
      <c r="X1078" t="s">
        <v>280</v>
      </c>
      <c r="Y1078">
        <v>0.3</v>
      </c>
      <c r="AB1078">
        <v>6</v>
      </c>
      <c r="AC1078" t="s">
        <v>85</v>
      </c>
      <c r="AI1078">
        <v>6</v>
      </c>
    </row>
    <row r="1079" spans="1:35" x14ac:dyDescent="0.3">
      <c r="A1079" t="s">
        <v>1560</v>
      </c>
      <c r="C1079" t="s">
        <v>1495</v>
      </c>
      <c r="D1079" t="s">
        <v>470</v>
      </c>
      <c r="E1079">
        <v>1000000000</v>
      </c>
      <c r="L1079" t="s">
        <v>58</v>
      </c>
      <c r="O1079">
        <v>1260</v>
      </c>
      <c r="P1079" t="s">
        <v>277</v>
      </c>
      <c r="T1079">
        <v>72</v>
      </c>
      <c r="V1079">
        <v>50</v>
      </c>
      <c r="W1079" t="s">
        <v>1147</v>
      </c>
      <c r="X1079" t="s">
        <v>280</v>
      </c>
      <c r="Y1079">
        <v>0.2</v>
      </c>
      <c r="AB1079">
        <v>6</v>
      </c>
      <c r="AC1079" t="s">
        <v>85</v>
      </c>
      <c r="AI1079">
        <v>6</v>
      </c>
    </row>
    <row r="1080" spans="1:35" x14ac:dyDescent="0.3">
      <c r="A1080" t="s">
        <v>1560</v>
      </c>
      <c r="C1080" t="s">
        <v>1495</v>
      </c>
      <c r="D1080" t="s">
        <v>470</v>
      </c>
      <c r="E1080">
        <v>1000000000</v>
      </c>
      <c r="L1080" t="s">
        <v>58</v>
      </c>
      <c r="O1080">
        <v>1260</v>
      </c>
      <c r="P1080" t="s">
        <v>277</v>
      </c>
      <c r="T1080">
        <v>72</v>
      </c>
      <c r="V1080">
        <v>50</v>
      </c>
      <c r="W1080" t="s">
        <v>1147</v>
      </c>
      <c r="X1080" t="s">
        <v>280</v>
      </c>
      <c r="Y1080">
        <v>0.2</v>
      </c>
      <c r="AB1080">
        <v>6</v>
      </c>
      <c r="AC1080" t="s">
        <v>85</v>
      </c>
      <c r="AI1080">
        <v>6</v>
      </c>
    </row>
    <row r="1081" spans="1:35" x14ac:dyDescent="0.3">
      <c r="A1081" t="s">
        <v>1560</v>
      </c>
      <c r="C1081" t="s">
        <v>1495</v>
      </c>
      <c r="D1081" t="s">
        <v>470</v>
      </c>
      <c r="E1081">
        <v>1000000000</v>
      </c>
      <c r="L1081" t="s">
        <v>58</v>
      </c>
      <c r="O1081">
        <v>0</v>
      </c>
      <c r="P1081" t="s">
        <v>277</v>
      </c>
      <c r="T1081">
        <v>80</v>
      </c>
      <c r="V1081">
        <v>50</v>
      </c>
      <c r="W1081" t="s">
        <v>1147</v>
      </c>
      <c r="X1081" t="s">
        <v>280</v>
      </c>
      <c r="Y1081">
        <v>756</v>
      </c>
      <c r="AB1081">
        <v>6</v>
      </c>
      <c r="AC1081" t="s">
        <v>85</v>
      </c>
      <c r="AI1081">
        <v>6</v>
      </c>
    </row>
    <row r="1082" spans="1:35" x14ac:dyDescent="0.3">
      <c r="A1082" t="s">
        <v>1560</v>
      </c>
      <c r="C1082" t="s">
        <v>1495</v>
      </c>
      <c r="D1082" t="s">
        <v>470</v>
      </c>
      <c r="E1082">
        <v>1000000000</v>
      </c>
      <c r="L1082" t="s">
        <v>58</v>
      </c>
      <c r="O1082">
        <v>840</v>
      </c>
      <c r="P1082" t="s">
        <v>277</v>
      </c>
      <c r="T1082">
        <v>80</v>
      </c>
      <c r="V1082">
        <v>50</v>
      </c>
      <c r="W1082" t="s">
        <v>1147</v>
      </c>
      <c r="X1082" t="s">
        <v>280</v>
      </c>
      <c r="Y1082">
        <v>0.4</v>
      </c>
      <c r="AB1082">
        <v>6</v>
      </c>
      <c r="AC1082" t="s">
        <v>85</v>
      </c>
      <c r="AI1082">
        <v>6</v>
      </c>
    </row>
    <row r="1083" spans="1:35" x14ac:dyDescent="0.3">
      <c r="A1083" t="s">
        <v>1560</v>
      </c>
      <c r="C1083" t="s">
        <v>1495</v>
      </c>
      <c r="D1083" t="s">
        <v>470</v>
      </c>
      <c r="E1083">
        <v>1000000000</v>
      </c>
      <c r="L1083" t="s">
        <v>58</v>
      </c>
      <c r="O1083">
        <v>840</v>
      </c>
      <c r="P1083" t="s">
        <v>277</v>
      </c>
      <c r="T1083">
        <v>80</v>
      </c>
      <c r="V1083">
        <v>50</v>
      </c>
      <c r="W1083" t="s">
        <v>1147</v>
      </c>
      <c r="X1083" t="s">
        <v>280</v>
      </c>
      <c r="Y1083">
        <v>0.2</v>
      </c>
      <c r="AB1083">
        <v>6</v>
      </c>
      <c r="AC1083" t="s">
        <v>85</v>
      </c>
      <c r="AI1083">
        <v>6</v>
      </c>
    </row>
    <row r="1084" spans="1:35" x14ac:dyDescent="0.3">
      <c r="A1084" t="s">
        <v>1560</v>
      </c>
      <c r="C1084" t="s">
        <v>1495</v>
      </c>
      <c r="D1084" t="s">
        <v>470</v>
      </c>
      <c r="E1084">
        <v>1000000000</v>
      </c>
      <c r="L1084" t="s">
        <v>58</v>
      </c>
      <c r="O1084">
        <v>840</v>
      </c>
      <c r="P1084" t="s">
        <v>277</v>
      </c>
      <c r="T1084">
        <v>80</v>
      </c>
      <c r="V1084">
        <v>50</v>
      </c>
      <c r="W1084" t="s">
        <v>1147</v>
      </c>
      <c r="X1084" t="s">
        <v>280</v>
      </c>
      <c r="Y1084">
        <v>0.2</v>
      </c>
      <c r="AB1084">
        <v>6</v>
      </c>
      <c r="AC1084" t="s">
        <v>85</v>
      </c>
      <c r="AI1084">
        <v>6</v>
      </c>
    </row>
    <row r="1085" spans="1:35" x14ac:dyDescent="0.3">
      <c r="A1085" t="s">
        <v>1560</v>
      </c>
      <c r="C1085" t="s">
        <v>1495</v>
      </c>
      <c r="D1085" t="s">
        <v>470</v>
      </c>
      <c r="E1085">
        <v>1000000000</v>
      </c>
      <c r="L1085" t="s">
        <v>58</v>
      </c>
      <c r="O1085">
        <v>1260</v>
      </c>
      <c r="P1085" t="s">
        <v>277</v>
      </c>
      <c r="T1085">
        <v>80</v>
      </c>
      <c r="V1085">
        <v>50</v>
      </c>
      <c r="W1085" t="s">
        <v>1147</v>
      </c>
      <c r="X1085" t="s">
        <v>280</v>
      </c>
      <c r="Y1085">
        <v>0.1</v>
      </c>
      <c r="AB1085">
        <v>6</v>
      </c>
      <c r="AC1085" t="s">
        <v>85</v>
      </c>
      <c r="AI1085">
        <v>6</v>
      </c>
    </row>
    <row r="1086" spans="1:35" x14ac:dyDescent="0.3">
      <c r="A1086" t="s">
        <v>1560</v>
      </c>
      <c r="C1086" t="s">
        <v>1495</v>
      </c>
      <c r="D1086" t="s">
        <v>470</v>
      </c>
      <c r="E1086">
        <v>1000000000</v>
      </c>
      <c r="L1086" t="s">
        <v>58</v>
      </c>
      <c r="O1086">
        <v>1260</v>
      </c>
      <c r="P1086" t="s">
        <v>277</v>
      </c>
      <c r="T1086">
        <v>80</v>
      </c>
      <c r="V1086">
        <v>50</v>
      </c>
      <c r="W1086" t="s">
        <v>1147</v>
      </c>
      <c r="X1086" t="s">
        <v>280</v>
      </c>
      <c r="Y1086">
        <v>0.1</v>
      </c>
      <c r="AB1086">
        <v>6</v>
      </c>
      <c r="AC1086" t="s">
        <v>85</v>
      </c>
      <c r="AI1086">
        <v>6</v>
      </c>
    </row>
    <row r="1087" spans="1:35" x14ac:dyDescent="0.3">
      <c r="A1087" t="s">
        <v>1560</v>
      </c>
      <c r="C1087" t="s">
        <v>1495</v>
      </c>
      <c r="D1087" t="s">
        <v>470</v>
      </c>
      <c r="E1087">
        <v>1000000000</v>
      </c>
      <c r="L1087" t="s">
        <v>58</v>
      </c>
      <c r="O1087">
        <v>0</v>
      </c>
      <c r="P1087" t="s">
        <v>277</v>
      </c>
      <c r="T1087">
        <v>72</v>
      </c>
      <c r="V1087">
        <v>50</v>
      </c>
      <c r="W1087" t="s">
        <v>1147</v>
      </c>
      <c r="X1087" t="s">
        <v>280</v>
      </c>
      <c r="Y1087">
        <v>5112</v>
      </c>
      <c r="AB1087">
        <v>6</v>
      </c>
      <c r="AC1087" t="s">
        <v>85</v>
      </c>
      <c r="AI1087">
        <v>6</v>
      </c>
    </row>
    <row r="1088" spans="1:35" x14ac:dyDescent="0.3">
      <c r="A1088" t="s">
        <v>1560</v>
      </c>
      <c r="C1088" t="s">
        <v>1495</v>
      </c>
      <c r="D1088" t="s">
        <v>470</v>
      </c>
      <c r="E1088">
        <v>1000000000</v>
      </c>
      <c r="L1088" t="s">
        <v>58</v>
      </c>
      <c r="O1088">
        <v>840</v>
      </c>
      <c r="P1088" t="s">
        <v>277</v>
      </c>
      <c r="T1088">
        <v>72</v>
      </c>
      <c r="V1088">
        <v>50</v>
      </c>
      <c r="W1088" t="s">
        <v>1147</v>
      </c>
      <c r="X1088" t="s">
        <v>280</v>
      </c>
      <c r="Y1088">
        <v>1.8</v>
      </c>
      <c r="AB1088">
        <v>6</v>
      </c>
      <c r="AC1088" t="s">
        <v>85</v>
      </c>
      <c r="AI1088">
        <v>6</v>
      </c>
    </row>
    <row r="1089" spans="1:35" x14ac:dyDescent="0.3">
      <c r="A1089" t="s">
        <v>1560</v>
      </c>
      <c r="C1089" t="s">
        <v>1495</v>
      </c>
      <c r="D1089" t="s">
        <v>470</v>
      </c>
      <c r="E1089">
        <v>1000000000</v>
      </c>
      <c r="L1089" t="s">
        <v>58</v>
      </c>
      <c r="O1089">
        <v>840</v>
      </c>
      <c r="P1089" t="s">
        <v>277</v>
      </c>
      <c r="T1089">
        <v>72</v>
      </c>
      <c r="V1089">
        <v>50</v>
      </c>
      <c r="W1089" t="s">
        <v>1147</v>
      </c>
      <c r="X1089" t="s">
        <v>280</v>
      </c>
      <c r="Y1089">
        <v>0.9</v>
      </c>
      <c r="AB1089">
        <v>6</v>
      </c>
      <c r="AC1089" t="s">
        <v>85</v>
      </c>
      <c r="AI1089">
        <v>6</v>
      </c>
    </row>
    <row r="1090" spans="1:35" x14ac:dyDescent="0.3">
      <c r="A1090" t="s">
        <v>1560</v>
      </c>
      <c r="C1090" t="s">
        <v>1495</v>
      </c>
      <c r="D1090" t="s">
        <v>470</v>
      </c>
      <c r="E1090">
        <v>1000000000</v>
      </c>
      <c r="L1090" t="s">
        <v>58</v>
      </c>
      <c r="O1090">
        <v>840</v>
      </c>
      <c r="P1090" t="s">
        <v>277</v>
      </c>
      <c r="T1090">
        <v>72</v>
      </c>
      <c r="V1090">
        <v>50</v>
      </c>
      <c r="W1090" t="s">
        <v>1147</v>
      </c>
      <c r="X1090" t="s">
        <v>280</v>
      </c>
      <c r="Y1090">
        <v>0.9</v>
      </c>
      <c r="AB1090">
        <v>6</v>
      </c>
      <c r="AC1090" t="s">
        <v>85</v>
      </c>
      <c r="AI1090">
        <v>6</v>
      </c>
    </row>
    <row r="1091" spans="1:35" x14ac:dyDescent="0.3">
      <c r="A1091" t="s">
        <v>1560</v>
      </c>
      <c r="C1091" t="s">
        <v>1495</v>
      </c>
      <c r="D1091" t="s">
        <v>470</v>
      </c>
      <c r="E1091">
        <v>1000000000</v>
      </c>
      <c r="L1091" t="s">
        <v>58</v>
      </c>
      <c r="O1091">
        <v>1260</v>
      </c>
      <c r="P1091" t="s">
        <v>277</v>
      </c>
      <c r="T1091">
        <v>72</v>
      </c>
      <c r="V1091">
        <v>50</v>
      </c>
      <c r="W1091" t="s">
        <v>1147</v>
      </c>
      <c r="X1091" t="s">
        <v>280</v>
      </c>
      <c r="Y1091">
        <v>0.9</v>
      </c>
      <c r="AB1091">
        <v>6</v>
      </c>
      <c r="AC1091" t="s">
        <v>85</v>
      </c>
      <c r="AI1091">
        <v>6</v>
      </c>
    </row>
    <row r="1092" spans="1:35" x14ac:dyDescent="0.3">
      <c r="A1092" t="s">
        <v>1560</v>
      </c>
      <c r="C1092" t="s">
        <v>1495</v>
      </c>
      <c r="D1092" t="s">
        <v>470</v>
      </c>
      <c r="E1092">
        <v>1000000000</v>
      </c>
      <c r="L1092" t="s">
        <v>58</v>
      </c>
      <c r="O1092">
        <v>1260</v>
      </c>
      <c r="P1092" t="s">
        <v>277</v>
      </c>
      <c r="T1092">
        <v>72</v>
      </c>
      <c r="V1092">
        <v>50</v>
      </c>
      <c r="W1092" t="s">
        <v>1147</v>
      </c>
      <c r="X1092" t="s">
        <v>280</v>
      </c>
      <c r="Y1092">
        <v>0.7</v>
      </c>
      <c r="AB1092">
        <v>6</v>
      </c>
      <c r="AC1092" t="s">
        <v>85</v>
      </c>
      <c r="AI1092">
        <v>6</v>
      </c>
    </row>
    <row r="1093" spans="1:35" x14ac:dyDescent="0.3">
      <c r="A1093" t="s">
        <v>1560</v>
      </c>
      <c r="C1093" t="s">
        <v>1495</v>
      </c>
      <c r="D1093" t="s">
        <v>470</v>
      </c>
      <c r="E1093">
        <v>1000000000</v>
      </c>
      <c r="L1093" t="s">
        <v>58</v>
      </c>
      <c r="O1093">
        <v>0</v>
      </c>
      <c r="P1093" t="s">
        <v>277</v>
      </c>
      <c r="T1093">
        <v>80</v>
      </c>
      <c r="V1093">
        <v>50</v>
      </c>
      <c r="W1093" t="s">
        <v>1147</v>
      </c>
      <c r="X1093" t="s">
        <v>280</v>
      </c>
      <c r="Y1093">
        <v>432</v>
      </c>
      <c r="AB1093">
        <v>6</v>
      </c>
      <c r="AC1093" t="s">
        <v>85</v>
      </c>
      <c r="AI1093">
        <v>6</v>
      </c>
    </row>
    <row r="1094" spans="1:35" x14ac:dyDescent="0.3">
      <c r="A1094" t="s">
        <v>1560</v>
      </c>
      <c r="C1094" t="s">
        <v>1495</v>
      </c>
      <c r="D1094" t="s">
        <v>470</v>
      </c>
      <c r="E1094">
        <v>1000000000</v>
      </c>
      <c r="L1094" t="s">
        <v>58</v>
      </c>
      <c r="O1094">
        <v>840</v>
      </c>
      <c r="P1094" t="s">
        <v>277</v>
      </c>
      <c r="T1094">
        <v>80</v>
      </c>
      <c r="V1094">
        <v>50</v>
      </c>
      <c r="W1094" t="s">
        <v>1147</v>
      </c>
      <c r="X1094" t="s">
        <v>280</v>
      </c>
      <c r="Y1094">
        <v>0.8</v>
      </c>
      <c r="AB1094">
        <v>6</v>
      </c>
      <c r="AC1094" t="s">
        <v>85</v>
      </c>
      <c r="AI1094">
        <v>6</v>
      </c>
    </row>
    <row r="1095" spans="1:35" x14ac:dyDescent="0.3">
      <c r="A1095" t="s">
        <v>1560</v>
      </c>
      <c r="C1095" t="s">
        <v>1495</v>
      </c>
      <c r="D1095" t="s">
        <v>470</v>
      </c>
      <c r="E1095">
        <v>1000000000</v>
      </c>
      <c r="L1095" t="s">
        <v>58</v>
      </c>
      <c r="O1095">
        <v>840</v>
      </c>
      <c r="P1095" t="s">
        <v>277</v>
      </c>
      <c r="T1095">
        <v>80</v>
      </c>
      <c r="V1095">
        <v>50</v>
      </c>
      <c r="W1095" t="s">
        <v>1147</v>
      </c>
      <c r="X1095" t="s">
        <v>280</v>
      </c>
      <c r="Y1095">
        <v>0.6</v>
      </c>
      <c r="AB1095">
        <v>6</v>
      </c>
      <c r="AC1095" t="s">
        <v>85</v>
      </c>
      <c r="AI1095">
        <v>6</v>
      </c>
    </row>
    <row r="1096" spans="1:35" x14ac:dyDescent="0.3">
      <c r="A1096" t="s">
        <v>1560</v>
      </c>
      <c r="C1096" t="s">
        <v>1495</v>
      </c>
      <c r="D1096" t="s">
        <v>470</v>
      </c>
      <c r="E1096">
        <v>1000000000</v>
      </c>
      <c r="L1096" t="s">
        <v>58</v>
      </c>
      <c r="O1096">
        <v>840</v>
      </c>
      <c r="P1096" t="s">
        <v>277</v>
      </c>
      <c r="T1096">
        <v>80</v>
      </c>
      <c r="V1096">
        <v>50</v>
      </c>
      <c r="W1096" t="s">
        <v>1147</v>
      </c>
      <c r="X1096" t="s">
        <v>280</v>
      </c>
      <c r="Y1096">
        <v>0.4</v>
      </c>
      <c r="AB1096">
        <v>6</v>
      </c>
      <c r="AC1096" t="s">
        <v>85</v>
      </c>
      <c r="AI1096">
        <v>6</v>
      </c>
    </row>
    <row r="1097" spans="1:35" x14ac:dyDescent="0.3">
      <c r="A1097" t="s">
        <v>1560</v>
      </c>
      <c r="C1097" t="s">
        <v>1495</v>
      </c>
      <c r="D1097" t="s">
        <v>470</v>
      </c>
      <c r="E1097">
        <v>1000000000</v>
      </c>
      <c r="L1097" t="s">
        <v>58</v>
      </c>
      <c r="O1097">
        <v>1260</v>
      </c>
      <c r="P1097" t="s">
        <v>277</v>
      </c>
      <c r="T1097">
        <v>80</v>
      </c>
      <c r="V1097">
        <v>50</v>
      </c>
      <c r="W1097" t="s">
        <v>1147</v>
      </c>
      <c r="X1097" t="s">
        <v>280</v>
      </c>
      <c r="Y1097">
        <v>0.4</v>
      </c>
      <c r="AB1097">
        <v>6</v>
      </c>
      <c r="AC1097" t="s">
        <v>85</v>
      </c>
      <c r="AI1097">
        <v>6</v>
      </c>
    </row>
    <row r="1098" spans="1:35" x14ac:dyDescent="0.3">
      <c r="A1098" t="s">
        <v>1560</v>
      </c>
      <c r="C1098" t="s">
        <v>1495</v>
      </c>
      <c r="D1098" t="s">
        <v>470</v>
      </c>
      <c r="E1098">
        <v>1000000000</v>
      </c>
      <c r="L1098" t="s">
        <v>58</v>
      </c>
      <c r="O1098">
        <v>1260</v>
      </c>
      <c r="P1098" t="s">
        <v>277</v>
      </c>
      <c r="T1098">
        <v>80</v>
      </c>
      <c r="V1098">
        <v>50</v>
      </c>
      <c r="W1098" t="s">
        <v>1147</v>
      </c>
      <c r="X1098" t="s">
        <v>280</v>
      </c>
      <c r="Y1098">
        <v>0.3</v>
      </c>
      <c r="AB1098">
        <v>6</v>
      </c>
      <c r="AC1098" t="s">
        <v>85</v>
      </c>
      <c r="AI1098">
        <v>6</v>
      </c>
    </row>
    <row r="1099" spans="1:35" x14ac:dyDescent="0.3">
      <c r="A1099" t="s">
        <v>1560</v>
      </c>
      <c r="C1099" t="s">
        <v>1495</v>
      </c>
      <c r="D1099" t="s">
        <v>470</v>
      </c>
      <c r="E1099">
        <v>1000000000</v>
      </c>
      <c r="L1099" t="s">
        <v>58</v>
      </c>
      <c r="O1099">
        <v>0</v>
      </c>
      <c r="P1099" t="s">
        <v>277</v>
      </c>
      <c r="T1099">
        <v>72</v>
      </c>
      <c r="V1099">
        <v>50</v>
      </c>
      <c r="W1099" t="s">
        <v>1147</v>
      </c>
      <c r="X1099" t="s">
        <v>280</v>
      </c>
      <c r="Y1099">
        <v>1224</v>
      </c>
      <c r="AB1099">
        <v>6</v>
      </c>
      <c r="AC1099" t="s">
        <v>85</v>
      </c>
      <c r="AI1099">
        <v>6</v>
      </c>
    </row>
    <row r="1100" spans="1:35" x14ac:dyDescent="0.3">
      <c r="A1100" t="s">
        <v>1560</v>
      </c>
      <c r="C1100" t="s">
        <v>1495</v>
      </c>
      <c r="D1100" t="s">
        <v>470</v>
      </c>
      <c r="E1100">
        <v>1000000000</v>
      </c>
      <c r="L1100" t="s">
        <v>58</v>
      </c>
      <c r="O1100">
        <v>840</v>
      </c>
      <c r="P1100" t="s">
        <v>277</v>
      </c>
      <c r="T1100">
        <v>72</v>
      </c>
      <c r="V1100">
        <v>50</v>
      </c>
      <c r="W1100" t="s">
        <v>1147</v>
      </c>
      <c r="X1100" t="s">
        <v>280</v>
      </c>
      <c r="Y1100">
        <v>0.8</v>
      </c>
      <c r="AB1100">
        <v>6</v>
      </c>
      <c r="AC1100" t="s">
        <v>85</v>
      </c>
      <c r="AI1100">
        <v>6</v>
      </c>
    </row>
    <row r="1101" spans="1:35" x14ac:dyDescent="0.3">
      <c r="A1101" t="s">
        <v>1560</v>
      </c>
      <c r="C1101" t="s">
        <v>1495</v>
      </c>
      <c r="D1101" t="s">
        <v>470</v>
      </c>
      <c r="E1101">
        <v>1000000000</v>
      </c>
      <c r="L1101" t="s">
        <v>58</v>
      </c>
      <c r="O1101">
        <v>840</v>
      </c>
      <c r="P1101" t="s">
        <v>277</v>
      </c>
      <c r="T1101">
        <v>72</v>
      </c>
      <c r="V1101">
        <v>50</v>
      </c>
      <c r="W1101" t="s">
        <v>1147</v>
      </c>
      <c r="X1101" t="s">
        <v>280</v>
      </c>
      <c r="Y1101">
        <v>0.4</v>
      </c>
      <c r="AB1101">
        <v>6</v>
      </c>
      <c r="AC1101" t="s">
        <v>85</v>
      </c>
      <c r="AI1101">
        <v>6</v>
      </c>
    </row>
    <row r="1102" spans="1:35" x14ac:dyDescent="0.3">
      <c r="A1102" t="s">
        <v>1560</v>
      </c>
      <c r="C1102" t="s">
        <v>1495</v>
      </c>
      <c r="D1102" t="s">
        <v>470</v>
      </c>
      <c r="E1102">
        <v>1000000000</v>
      </c>
      <c r="L1102" t="s">
        <v>58</v>
      </c>
      <c r="O1102">
        <v>840</v>
      </c>
      <c r="P1102" t="s">
        <v>277</v>
      </c>
      <c r="T1102">
        <v>72</v>
      </c>
      <c r="V1102">
        <v>50</v>
      </c>
      <c r="W1102" t="s">
        <v>1147</v>
      </c>
      <c r="X1102" t="s">
        <v>280</v>
      </c>
      <c r="Y1102">
        <v>0.4</v>
      </c>
      <c r="AB1102">
        <v>6</v>
      </c>
      <c r="AC1102" t="s">
        <v>85</v>
      </c>
      <c r="AI1102">
        <v>6</v>
      </c>
    </row>
    <row r="1103" spans="1:35" x14ac:dyDescent="0.3">
      <c r="A1103" t="s">
        <v>1560</v>
      </c>
      <c r="C1103" t="s">
        <v>1495</v>
      </c>
      <c r="D1103" t="s">
        <v>470</v>
      </c>
      <c r="E1103">
        <v>1000000000</v>
      </c>
      <c r="L1103" t="s">
        <v>58</v>
      </c>
      <c r="O1103">
        <v>1260</v>
      </c>
      <c r="P1103" t="s">
        <v>277</v>
      </c>
      <c r="T1103">
        <v>72</v>
      </c>
      <c r="V1103">
        <v>50</v>
      </c>
      <c r="W1103" t="s">
        <v>1147</v>
      </c>
      <c r="X1103" t="s">
        <v>280</v>
      </c>
      <c r="Y1103">
        <v>0.4</v>
      </c>
      <c r="AB1103">
        <v>6</v>
      </c>
      <c r="AC1103" t="s">
        <v>85</v>
      </c>
      <c r="AI1103">
        <v>6</v>
      </c>
    </row>
    <row r="1104" spans="1:35" x14ac:dyDescent="0.3">
      <c r="A1104" t="s">
        <v>1560</v>
      </c>
      <c r="C1104" t="s">
        <v>1495</v>
      </c>
      <c r="D1104" t="s">
        <v>470</v>
      </c>
      <c r="E1104">
        <v>1000000000</v>
      </c>
      <c r="L1104" t="s">
        <v>58</v>
      </c>
      <c r="O1104">
        <v>1260</v>
      </c>
      <c r="P1104" t="s">
        <v>277</v>
      </c>
      <c r="T1104">
        <v>72</v>
      </c>
      <c r="V1104">
        <v>50</v>
      </c>
      <c r="W1104" t="s">
        <v>1147</v>
      </c>
      <c r="X1104" t="s">
        <v>280</v>
      </c>
      <c r="Y1104">
        <v>0.3</v>
      </c>
      <c r="AB1104">
        <v>6</v>
      </c>
      <c r="AC1104" t="s">
        <v>85</v>
      </c>
      <c r="AI1104">
        <v>6</v>
      </c>
    </row>
    <row r="1105" spans="1:35" x14ac:dyDescent="0.3">
      <c r="A1105" t="s">
        <v>1560</v>
      </c>
      <c r="C1105" t="s">
        <v>1495</v>
      </c>
      <c r="D1105" t="s">
        <v>470</v>
      </c>
      <c r="E1105">
        <v>1000000000</v>
      </c>
      <c r="L1105" t="s">
        <v>58</v>
      </c>
      <c r="O1105">
        <v>0</v>
      </c>
      <c r="P1105" t="s">
        <v>277</v>
      </c>
      <c r="T1105">
        <v>80</v>
      </c>
      <c r="V1105">
        <v>50</v>
      </c>
      <c r="W1105" t="s">
        <v>1147</v>
      </c>
      <c r="X1105" t="s">
        <v>280</v>
      </c>
      <c r="Y1105">
        <v>324</v>
      </c>
      <c r="AB1105">
        <v>6</v>
      </c>
      <c r="AC1105" t="s">
        <v>85</v>
      </c>
      <c r="AI1105">
        <v>6</v>
      </c>
    </row>
    <row r="1106" spans="1:35" x14ac:dyDescent="0.3">
      <c r="A1106" t="s">
        <v>1560</v>
      </c>
      <c r="C1106" t="s">
        <v>1495</v>
      </c>
      <c r="D1106" t="s">
        <v>470</v>
      </c>
      <c r="E1106">
        <v>1000000000</v>
      </c>
      <c r="L1106" t="s">
        <v>58</v>
      </c>
      <c r="O1106">
        <v>840</v>
      </c>
      <c r="P1106" t="s">
        <v>277</v>
      </c>
      <c r="T1106">
        <v>80</v>
      </c>
      <c r="V1106">
        <v>50</v>
      </c>
      <c r="W1106" t="s">
        <v>1147</v>
      </c>
      <c r="X1106" t="s">
        <v>280</v>
      </c>
      <c r="Y1106">
        <v>0.5</v>
      </c>
      <c r="AB1106">
        <v>6</v>
      </c>
      <c r="AC1106" t="s">
        <v>85</v>
      </c>
      <c r="AI1106">
        <v>6</v>
      </c>
    </row>
    <row r="1107" spans="1:35" x14ac:dyDescent="0.3">
      <c r="A1107" t="s">
        <v>1560</v>
      </c>
      <c r="C1107" t="s">
        <v>1495</v>
      </c>
      <c r="D1107" t="s">
        <v>470</v>
      </c>
      <c r="E1107">
        <v>1000000000</v>
      </c>
      <c r="L1107" t="s">
        <v>58</v>
      </c>
      <c r="O1107">
        <v>840</v>
      </c>
      <c r="P1107" t="s">
        <v>277</v>
      </c>
      <c r="T1107">
        <v>80</v>
      </c>
      <c r="V1107">
        <v>50</v>
      </c>
      <c r="W1107" t="s">
        <v>1147</v>
      </c>
      <c r="X1107" t="s">
        <v>280</v>
      </c>
      <c r="Y1107">
        <v>0.2</v>
      </c>
      <c r="AB1107">
        <v>6</v>
      </c>
      <c r="AC1107" t="s">
        <v>85</v>
      </c>
      <c r="AI1107">
        <v>6</v>
      </c>
    </row>
    <row r="1108" spans="1:35" x14ac:dyDescent="0.3">
      <c r="A1108" t="s">
        <v>1560</v>
      </c>
      <c r="C1108" t="s">
        <v>1495</v>
      </c>
      <c r="D1108" t="s">
        <v>470</v>
      </c>
      <c r="E1108">
        <v>1000000000</v>
      </c>
      <c r="L1108" t="s">
        <v>58</v>
      </c>
      <c r="O1108">
        <v>840</v>
      </c>
      <c r="P1108" t="s">
        <v>277</v>
      </c>
      <c r="T1108">
        <v>80</v>
      </c>
      <c r="V1108">
        <v>50</v>
      </c>
      <c r="W1108" t="s">
        <v>1147</v>
      </c>
      <c r="X1108" t="s">
        <v>280</v>
      </c>
      <c r="Y1108">
        <v>0.2</v>
      </c>
      <c r="AB1108">
        <v>6</v>
      </c>
      <c r="AC1108" t="s">
        <v>85</v>
      </c>
      <c r="AI1108">
        <v>6</v>
      </c>
    </row>
    <row r="1109" spans="1:35" x14ac:dyDescent="0.3">
      <c r="A1109" t="s">
        <v>1560</v>
      </c>
      <c r="C1109" t="s">
        <v>1495</v>
      </c>
      <c r="D1109" t="s">
        <v>470</v>
      </c>
      <c r="E1109">
        <v>1000000000</v>
      </c>
      <c r="L1109" t="s">
        <v>58</v>
      </c>
      <c r="O1109">
        <v>1260</v>
      </c>
      <c r="P1109" t="s">
        <v>277</v>
      </c>
      <c r="T1109">
        <v>80</v>
      </c>
      <c r="V1109">
        <v>50</v>
      </c>
      <c r="W1109" t="s">
        <v>1147</v>
      </c>
      <c r="X1109" t="s">
        <v>280</v>
      </c>
      <c r="Y1109">
        <v>0.2</v>
      </c>
      <c r="AB1109">
        <v>6</v>
      </c>
      <c r="AC1109" t="s">
        <v>85</v>
      </c>
      <c r="AI1109">
        <v>6</v>
      </c>
    </row>
    <row r="1110" spans="1:35" x14ac:dyDescent="0.3">
      <c r="A1110" t="s">
        <v>1560</v>
      </c>
      <c r="C1110" t="s">
        <v>1495</v>
      </c>
      <c r="D1110" t="s">
        <v>470</v>
      </c>
      <c r="E1110">
        <v>1000000000</v>
      </c>
      <c r="L1110" t="s">
        <v>58</v>
      </c>
      <c r="O1110">
        <v>1260</v>
      </c>
      <c r="P1110" t="s">
        <v>277</v>
      </c>
      <c r="T1110">
        <v>80</v>
      </c>
      <c r="V1110">
        <v>50</v>
      </c>
      <c r="W1110" t="s">
        <v>1147</v>
      </c>
      <c r="X1110" t="s">
        <v>280</v>
      </c>
      <c r="Y1110">
        <v>0.1</v>
      </c>
      <c r="AB1110">
        <v>6</v>
      </c>
      <c r="AC1110" t="s">
        <v>85</v>
      </c>
      <c r="AI1110">
        <v>6</v>
      </c>
    </row>
    <row r="1111" spans="1:35" x14ac:dyDescent="0.3">
      <c r="A1111" t="s">
        <v>1560</v>
      </c>
      <c r="C1111" t="s">
        <v>1495</v>
      </c>
      <c r="D1111" t="s">
        <v>470</v>
      </c>
      <c r="E1111">
        <v>1000000000</v>
      </c>
      <c r="L1111" t="s">
        <v>58</v>
      </c>
      <c r="O1111">
        <v>0</v>
      </c>
      <c r="P1111" t="s">
        <v>277</v>
      </c>
      <c r="T1111">
        <v>72</v>
      </c>
      <c r="V1111">
        <v>50</v>
      </c>
      <c r="W1111" t="s">
        <v>1147</v>
      </c>
      <c r="X1111" t="s">
        <v>280</v>
      </c>
      <c r="Y1111">
        <v>1224</v>
      </c>
      <c r="AB1111">
        <v>6</v>
      </c>
      <c r="AC1111" t="s">
        <v>85</v>
      </c>
      <c r="AI1111">
        <v>6</v>
      </c>
    </row>
    <row r="1112" spans="1:35" x14ac:dyDescent="0.3">
      <c r="A1112" t="s">
        <v>1560</v>
      </c>
      <c r="C1112" t="s">
        <v>1495</v>
      </c>
      <c r="D1112" t="s">
        <v>470</v>
      </c>
      <c r="E1112">
        <v>1000000000</v>
      </c>
      <c r="L1112" t="s">
        <v>58</v>
      </c>
      <c r="O1112">
        <v>250</v>
      </c>
      <c r="P1112" t="s">
        <v>277</v>
      </c>
      <c r="T1112">
        <v>72</v>
      </c>
      <c r="V1112">
        <v>50</v>
      </c>
      <c r="W1112" t="s">
        <v>1147</v>
      </c>
      <c r="X1112" t="s">
        <v>280</v>
      </c>
      <c r="Y1112">
        <v>0.6</v>
      </c>
      <c r="AB1112">
        <v>6</v>
      </c>
      <c r="AC1112" t="s">
        <v>85</v>
      </c>
      <c r="AI1112">
        <v>6</v>
      </c>
    </row>
    <row r="1113" spans="1:35" x14ac:dyDescent="0.3">
      <c r="A1113" t="s">
        <v>1560</v>
      </c>
      <c r="C1113" t="s">
        <v>1495</v>
      </c>
      <c r="D1113" t="s">
        <v>470</v>
      </c>
      <c r="E1113">
        <v>1000000000</v>
      </c>
      <c r="L1113" t="s">
        <v>58</v>
      </c>
      <c r="O1113">
        <v>250</v>
      </c>
      <c r="P1113" t="s">
        <v>277</v>
      </c>
      <c r="T1113">
        <v>72</v>
      </c>
      <c r="V1113">
        <v>50</v>
      </c>
      <c r="W1113" t="s">
        <v>1147</v>
      </c>
      <c r="X1113" t="s">
        <v>280</v>
      </c>
      <c r="Y1113">
        <v>0.4</v>
      </c>
      <c r="AB1113">
        <v>6</v>
      </c>
      <c r="AC1113" t="s">
        <v>85</v>
      </c>
      <c r="AI1113">
        <v>6</v>
      </c>
    </row>
    <row r="1114" spans="1:35" x14ac:dyDescent="0.3">
      <c r="A1114" t="s">
        <v>1560</v>
      </c>
      <c r="C1114" t="s">
        <v>1495</v>
      </c>
      <c r="D1114" t="s">
        <v>470</v>
      </c>
      <c r="E1114">
        <v>1000000000</v>
      </c>
      <c r="L1114" t="s">
        <v>58</v>
      </c>
      <c r="O1114">
        <v>420</v>
      </c>
      <c r="P1114" t="s">
        <v>277</v>
      </c>
      <c r="T1114">
        <v>72</v>
      </c>
      <c r="V1114">
        <v>50</v>
      </c>
      <c r="W1114" t="s">
        <v>1147</v>
      </c>
      <c r="X1114" t="s">
        <v>280</v>
      </c>
      <c r="Y1114">
        <v>1</v>
      </c>
      <c r="AB1114">
        <v>6</v>
      </c>
      <c r="AC1114" t="s">
        <v>85</v>
      </c>
      <c r="AI1114">
        <v>6</v>
      </c>
    </row>
    <row r="1115" spans="1:35" x14ac:dyDescent="0.3">
      <c r="A1115" t="s">
        <v>1560</v>
      </c>
      <c r="C1115" t="s">
        <v>1495</v>
      </c>
      <c r="D1115" t="s">
        <v>470</v>
      </c>
      <c r="E1115">
        <v>1000000000</v>
      </c>
      <c r="L1115" t="s">
        <v>58</v>
      </c>
      <c r="O1115">
        <v>420</v>
      </c>
      <c r="P1115" t="s">
        <v>277</v>
      </c>
      <c r="T1115">
        <v>72</v>
      </c>
      <c r="V1115">
        <v>50</v>
      </c>
      <c r="W1115" t="s">
        <v>1147</v>
      </c>
      <c r="X1115" t="s">
        <v>280</v>
      </c>
      <c r="Y1115">
        <v>0.5</v>
      </c>
      <c r="AB1115">
        <v>6</v>
      </c>
      <c r="AC1115" t="s">
        <v>85</v>
      </c>
      <c r="AI1115">
        <v>6</v>
      </c>
    </row>
    <row r="1116" spans="1:35" x14ac:dyDescent="0.3">
      <c r="A1116" t="s">
        <v>1560</v>
      </c>
      <c r="C1116" t="s">
        <v>1495</v>
      </c>
      <c r="D1116" t="s">
        <v>470</v>
      </c>
      <c r="E1116">
        <v>1000000000</v>
      </c>
      <c r="L1116" t="s">
        <v>58</v>
      </c>
      <c r="O1116">
        <v>420</v>
      </c>
      <c r="P1116" t="s">
        <v>277</v>
      </c>
      <c r="T1116">
        <v>72</v>
      </c>
      <c r="V1116">
        <v>50</v>
      </c>
      <c r="W1116" t="s">
        <v>1147</v>
      </c>
      <c r="X1116" t="s">
        <v>280</v>
      </c>
      <c r="Y1116">
        <v>0.7</v>
      </c>
      <c r="AB1116">
        <v>6</v>
      </c>
      <c r="AC1116" t="s">
        <v>85</v>
      </c>
      <c r="AI1116">
        <v>6</v>
      </c>
    </row>
    <row r="1117" spans="1:35" x14ac:dyDescent="0.3">
      <c r="A1117" t="s">
        <v>1560</v>
      </c>
      <c r="C1117" t="s">
        <v>1495</v>
      </c>
      <c r="D1117" t="s">
        <v>470</v>
      </c>
      <c r="E1117">
        <v>1000000000</v>
      </c>
      <c r="L1117" t="s">
        <v>58</v>
      </c>
      <c r="O1117">
        <v>420</v>
      </c>
      <c r="P1117" t="s">
        <v>277</v>
      </c>
      <c r="T1117">
        <v>72</v>
      </c>
      <c r="V1117">
        <v>50</v>
      </c>
      <c r="W1117" t="s">
        <v>1147</v>
      </c>
      <c r="X1117" t="s">
        <v>280</v>
      </c>
      <c r="Y1117">
        <v>0.4</v>
      </c>
      <c r="AB1117">
        <v>6</v>
      </c>
      <c r="AC1117" t="s">
        <v>85</v>
      </c>
      <c r="AI1117">
        <v>6</v>
      </c>
    </row>
    <row r="1118" spans="1:35" x14ac:dyDescent="0.3">
      <c r="A1118" t="s">
        <v>1560</v>
      </c>
      <c r="C1118" t="s">
        <v>1495</v>
      </c>
      <c r="D1118" t="s">
        <v>470</v>
      </c>
      <c r="E1118">
        <v>1000000000</v>
      </c>
      <c r="L1118" t="s">
        <v>58</v>
      </c>
      <c r="O1118">
        <v>0</v>
      </c>
      <c r="P1118" t="s">
        <v>277</v>
      </c>
      <c r="T1118">
        <v>80</v>
      </c>
      <c r="V1118">
        <v>50</v>
      </c>
      <c r="W1118" t="s">
        <v>1147</v>
      </c>
      <c r="X1118" t="s">
        <v>280</v>
      </c>
      <c r="Y1118">
        <v>324</v>
      </c>
      <c r="AB1118">
        <v>6</v>
      </c>
      <c r="AC1118" t="s">
        <v>85</v>
      </c>
      <c r="AI1118">
        <v>6</v>
      </c>
    </row>
    <row r="1119" spans="1:35" x14ac:dyDescent="0.3">
      <c r="A1119" t="s">
        <v>1560</v>
      </c>
      <c r="C1119" t="s">
        <v>1495</v>
      </c>
      <c r="D1119" t="s">
        <v>470</v>
      </c>
      <c r="E1119">
        <v>1000000000</v>
      </c>
      <c r="L1119" t="s">
        <v>58</v>
      </c>
      <c r="O1119">
        <v>250</v>
      </c>
      <c r="P1119" t="s">
        <v>277</v>
      </c>
      <c r="T1119">
        <v>80</v>
      </c>
      <c r="V1119">
        <v>50</v>
      </c>
      <c r="W1119" t="s">
        <v>1147</v>
      </c>
      <c r="X1119" t="s">
        <v>280</v>
      </c>
      <c r="Y1119">
        <v>0.4</v>
      </c>
      <c r="AB1119">
        <v>6</v>
      </c>
      <c r="AC1119" t="s">
        <v>85</v>
      </c>
      <c r="AI1119">
        <v>6</v>
      </c>
    </row>
    <row r="1120" spans="1:35" x14ac:dyDescent="0.3">
      <c r="A1120" t="s">
        <v>1560</v>
      </c>
      <c r="C1120" t="s">
        <v>1495</v>
      </c>
      <c r="D1120" t="s">
        <v>470</v>
      </c>
      <c r="E1120">
        <v>1000000000</v>
      </c>
      <c r="L1120" t="s">
        <v>58</v>
      </c>
      <c r="O1120">
        <v>250</v>
      </c>
      <c r="P1120" t="s">
        <v>277</v>
      </c>
      <c r="T1120">
        <v>80</v>
      </c>
      <c r="V1120">
        <v>50</v>
      </c>
      <c r="W1120" t="s">
        <v>1147</v>
      </c>
      <c r="X1120" t="s">
        <v>280</v>
      </c>
      <c r="Y1120">
        <v>0.2</v>
      </c>
      <c r="AB1120">
        <v>6</v>
      </c>
      <c r="AC1120" t="s">
        <v>85</v>
      </c>
      <c r="AI1120">
        <v>6</v>
      </c>
    </row>
    <row r="1121" spans="1:35" x14ac:dyDescent="0.3">
      <c r="A1121" t="s">
        <v>1560</v>
      </c>
      <c r="C1121" t="s">
        <v>1495</v>
      </c>
      <c r="D1121" t="s">
        <v>470</v>
      </c>
      <c r="E1121">
        <v>1000000000</v>
      </c>
      <c r="L1121" t="s">
        <v>58</v>
      </c>
      <c r="O1121">
        <v>420</v>
      </c>
      <c r="P1121" t="s">
        <v>277</v>
      </c>
      <c r="T1121">
        <v>80</v>
      </c>
      <c r="V1121">
        <v>50</v>
      </c>
      <c r="W1121" t="s">
        <v>1147</v>
      </c>
      <c r="X1121" t="s">
        <v>280</v>
      </c>
      <c r="Y1121">
        <v>0.6</v>
      </c>
      <c r="AB1121">
        <v>6</v>
      </c>
      <c r="AC1121" t="s">
        <v>85</v>
      </c>
      <c r="AI1121">
        <v>6</v>
      </c>
    </row>
    <row r="1122" spans="1:35" x14ac:dyDescent="0.3">
      <c r="A1122" t="s">
        <v>1560</v>
      </c>
      <c r="C1122" t="s">
        <v>1495</v>
      </c>
      <c r="D1122" t="s">
        <v>470</v>
      </c>
      <c r="E1122">
        <v>1000000000</v>
      </c>
      <c r="L1122" t="s">
        <v>58</v>
      </c>
      <c r="O1122">
        <v>420</v>
      </c>
      <c r="P1122" t="s">
        <v>277</v>
      </c>
      <c r="T1122">
        <v>80</v>
      </c>
      <c r="V1122">
        <v>50</v>
      </c>
      <c r="W1122" t="s">
        <v>1147</v>
      </c>
      <c r="X1122" t="s">
        <v>280</v>
      </c>
      <c r="Y1122">
        <v>0.2</v>
      </c>
      <c r="AB1122">
        <v>6</v>
      </c>
      <c r="AC1122" t="s">
        <v>85</v>
      </c>
      <c r="AI1122">
        <v>6</v>
      </c>
    </row>
    <row r="1123" spans="1:35" x14ac:dyDescent="0.3">
      <c r="A1123" t="s">
        <v>1560</v>
      </c>
      <c r="C1123" t="s">
        <v>1495</v>
      </c>
      <c r="D1123" t="s">
        <v>470</v>
      </c>
      <c r="E1123">
        <v>1000000000</v>
      </c>
      <c r="L1123" t="s">
        <v>58</v>
      </c>
      <c r="O1123">
        <v>420</v>
      </c>
      <c r="P1123" t="s">
        <v>277</v>
      </c>
      <c r="T1123">
        <v>80</v>
      </c>
      <c r="V1123">
        <v>50</v>
      </c>
      <c r="W1123" t="s">
        <v>1147</v>
      </c>
      <c r="X1123" t="s">
        <v>280</v>
      </c>
      <c r="Y1123">
        <v>0.4</v>
      </c>
      <c r="AB1123">
        <v>6</v>
      </c>
      <c r="AC1123" t="s">
        <v>85</v>
      </c>
      <c r="AI1123">
        <v>6</v>
      </c>
    </row>
    <row r="1124" spans="1:35" x14ac:dyDescent="0.3">
      <c r="A1124" t="s">
        <v>1560</v>
      </c>
      <c r="C1124" t="s">
        <v>1495</v>
      </c>
      <c r="D1124" t="s">
        <v>470</v>
      </c>
      <c r="E1124">
        <v>1000000000</v>
      </c>
      <c r="L1124" t="s">
        <v>58</v>
      </c>
      <c r="O1124">
        <v>420</v>
      </c>
      <c r="P1124" t="s">
        <v>277</v>
      </c>
      <c r="T1124">
        <v>80</v>
      </c>
      <c r="V1124">
        <v>50</v>
      </c>
      <c r="W1124" t="s">
        <v>1147</v>
      </c>
      <c r="X1124" t="s">
        <v>280</v>
      </c>
      <c r="Y1124">
        <v>0.2</v>
      </c>
      <c r="AB1124">
        <v>6</v>
      </c>
      <c r="AC1124" t="s">
        <v>85</v>
      </c>
      <c r="AI1124">
        <v>6</v>
      </c>
    </row>
    <row r="1125" spans="1:35" x14ac:dyDescent="0.3">
      <c r="A1125" t="s">
        <v>1560</v>
      </c>
      <c r="C1125" t="s">
        <v>1495</v>
      </c>
      <c r="D1125" t="s">
        <v>470</v>
      </c>
      <c r="E1125">
        <v>1000000000</v>
      </c>
      <c r="L1125" t="s">
        <v>58</v>
      </c>
      <c r="O1125">
        <v>0</v>
      </c>
      <c r="P1125" t="s">
        <v>277</v>
      </c>
      <c r="T1125">
        <v>72</v>
      </c>
      <c r="V1125">
        <v>50</v>
      </c>
      <c r="W1125" t="s">
        <v>1147</v>
      </c>
      <c r="X1125" t="s">
        <v>280</v>
      </c>
      <c r="Y1125">
        <v>5112</v>
      </c>
      <c r="AB1125">
        <v>6</v>
      </c>
      <c r="AC1125" t="s">
        <v>85</v>
      </c>
      <c r="AI1125">
        <v>6</v>
      </c>
    </row>
    <row r="1126" spans="1:35" x14ac:dyDescent="0.3">
      <c r="A1126" t="s">
        <v>1560</v>
      </c>
      <c r="C1126" t="s">
        <v>1495</v>
      </c>
      <c r="D1126" t="s">
        <v>470</v>
      </c>
      <c r="E1126">
        <v>1000000000</v>
      </c>
      <c r="L1126" t="s">
        <v>58</v>
      </c>
      <c r="O1126">
        <v>250</v>
      </c>
      <c r="P1126" t="s">
        <v>277</v>
      </c>
      <c r="T1126">
        <v>72</v>
      </c>
      <c r="V1126">
        <v>50</v>
      </c>
      <c r="W1126" t="s">
        <v>1147</v>
      </c>
      <c r="X1126" t="s">
        <v>280</v>
      </c>
      <c r="Y1126">
        <v>1.4</v>
      </c>
      <c r="AB1126">
        <v>6</v>
      </c>
      <c r="AC1126" t="s">
        <v>85</v>
      </c>
      <c r="AI1126">
        <v>6</v>
      </c>
    </row>
    <row r="1127" spans="1:35" x14ac:dyDescent="0.3">
      <c r="A1127" t="s">
        <v>1560</v>
      </c>
      <c r="C1127" t="s">
        <v>1495</v>
      </c>
      <c r="D1127" t="s">
        <v>470</v>
      </c>
      <c r="E1127">
        <v>1000000000</v>
      </c>
      <c r="L1127" t="s">
        <v>58</v>
      </c>
      <c r="O1127">
        <v>250</v>
      </c>
      <c r="P1127" t="s">
        <v>277</v>
      </c>
      <c r="T1127">
        <v>72</v>
      </c>
      <c r="V1127">
        <v>50</v>
      </c>
      <c r="W1127" t="s">
        <v>1147</v>
      </c>
      <c r="X1127" t="s">
        <v>280</v>
      </c>
      <c r="Y1127">
        <v>0.8</v>
      </c>
      <c r="AB1127">
        <v>6</v>
      </c>
      <c r="AC1127" t="s">
        <v>85</v>
      </c>
      <c r="AI1127">
        <v>6</v>
      </c>
    </row>
    <row r="1128" spans="1:35" x14ac:dyDescent="0.3">
      <c r="A1128" t="s">
        <v>1560</v>
      </c>
      <c r="C1128" t="s">
        <v>1495</v>
      </c>
      <c r="D1128" t="s">
        <v>470</v>
      </c>
      <c r="E1128">
        <v>1000000000</v>
      </c>
      <c r="L1128" t="s">
        <v>58</v>
      </c>
      <c r="O1128">
        <v>420</v>
      </c>
      <c r="P1128" t="s">
        <v>277</v>
      </c>
      <c r="T1128">
        <v>72</v>
      </c>
      <c r="V1128">
        <v>50</v>
      </c>
      <c r="W1128" t="s">
        <v>1147</v>
      </c>
      <c r="X1128" t="s">
        <v>280</v>
      </c>
      <c r="Y1128">
        <v>1.5</v>
      </c>
      <c r="AB1128">
        <v>6</v>
      </c>
      <c r="AC1128" t="s">
        <v>85</v>
      </c>
      <c r="AI1128">
        <v>6</v>
      </c>
    </row>
    <row r="1129" spans="1:35" x14ac:dyDescent="0.3">
      <c r="A1129" t="s">
        <v>1560</v>
      </c>
      <c r="C1129" t="s">
        <v>1495</v>
      </c>
      <c r="D1129" t="s">
        <v>470</v>
      </c>
      <c r="E1129">
        <v>1000000000</v>
      </c>
      <c r="L1129" t="s">
        <v>58</v>
      </c>
      <c r="O1129">
        <v>420</v>
      </c>
      <c r="P1129" t="s">
        <v>277</v>
      </c>
      <c r="T1129">
        <v>72</v>
      </c>
      <c r="V1129">
        <v>50</v>
      </c>
      <c r="W1129" t="s">
        <v>1147</v>
      </c>
      <c r="X1129" t="s">
        <v>280</v>
      </c>
      <c r="Y1129">
        <v>1</v>
      </c>
      <c r="AB1129">
        <v>6</v>
      </c>
      <c r="AC1129" t="s">
        <v>85</v>
      </c>
      <c r="AI1129">
        <v>6</v>
      </c>
    </row>
    <row r="1130" spans="1:35" x14ac:dyDescent="0.3">
      <c r="A1130" t="s">
        <v>1560</v>
      </c>
      <c r="C1130" t="s">
        <v>1495</v>
      </c>
      <c r="D1130" t="s">
        <v>470</v>
      </c>
      <c r="E1130">
        <v>1000000000</v>
      </c>
      <c r="L1130" t="s">
        <v>58</v>
      </c>
      <c r="O1130">
        <v>420</v>
      </c>
      <c r="P1130" t="s">
        <v>277</v>
      </c>
      <c r="T1130">
        <v>72</v>
      </c>
      <c r="V1130">
        <v>50</v>
      </c>
      <c r="W1130" t="s">
        <v>1147</v>
      </c>
      <c r="X1130" t="s">
        <v>280</v>
      </c>
      <c r="Y1130">
        <v>1.3</v>
      </c>
      <c r="AB1130">
        <v>6</v>
      </c>
      <c r="AC1130" t="s">
        <v>85</v>
      </c>
      <c r="AI1130">
        <v>6</v>
      </c>
    </row>
    <row r="1131" spans="1:35" x14ac:dyDescent="0.3">
      <c r="A1131" t="s">
        <v>1560</v>
      </c>
      <c r="C1131" t="s">
        <v>1495</v>
      </c>
      <c r="D1131" t="s">
        <v>470</v>
      </c>
      <c r="E1131">
        <v>1000000000</v>
      </c>
      <c r="L1131" t="s">
        <v>58</v>
      </c>
      <c r="O1131">
        <v>420</v>
      </c>
      <c r="P1131" t="s">
        <v>277</v>
      </c>
      <c r="T1131">
        <v>72</v>
      </c>
      <c r="V1131">
        <v>50</v>
      </c>
      <c r="W1131" t="s">
        <v>1147</v>
      </c>
      <c r="X1131" t="s">
        <v>280</v>
      </c>
      <c r="Y1131">
        <v>0.6</v>
      </c>
      <c r="AB1131">
        <v>6</v>
      </c>
      <c r="AC1131" t="s">
        <v>85</v>
      </c>
      <c r="AI1131">
        <v>6</v>
      </c>
    </row>
    <row r="1132" spans="1:35" x14ac:dyDescent="0.3">
      <c r="A1132" t="s">
        <v>1560</v>
      </c>
      <c r="C1132" t="s">
        <v>1495</v>
      </c>
      <c r="D1132" t="s">
        <v>470</v>
      </c>
      <c r="E1132">
        <v>1000000000</v>
      </c>
      <c r="L1132" t="s">
        <v>58</v>
      </c>
      <c r="O1132">
        <v>0</v>
      </c>
      <c r="P1132" t="s">
        <v>277</v>
      </c>
      <c r="T1132">
        <v>80</v>
      </c>
      <c r="V1132">
        <v>50</v>
      </c>
      <c r="W1132" t="s">
        <v>1147</v>
      </c>
      <c r="X1132" t="s">
        <v>280</v>
      </c>
      <c r="Y1132">
        <v>432</v>
      </c>
      <c r="AB1132">
        <v>6</v>
      </c>
      <c r="AC1132" t="s">
        <v>85</v>
      </c>
      <c r="AI1132">
        <v>6</v>
      </c>
    </row>
    <row r="1133" spans="1:35" x14ac:dyDescent="0.3">
      <c r="A1133" t="s">
        <v>1560</v>
      </c>
      <c r="C1133" t="s">
        <v>1495</v>
      </c>
      <c r="D1133" t="s">
        <v>470</v>
      </c>
      <c r="E1133">
        <v>1000000000</v>
      </c>
      <c r="L1133" t="s">
        <v>58</v>
      </c>
      <c r="O1133">
        <v>250</v>
      </c>
      <c r="P1133" t="s">
        <v>277</v>
      </c>
      <c r="T1133">
        <v>80</v>
      </c>
      <c r="V1133">
        <v>50</v>
      </c>
      <c r="W1133" t="s">
        <v>1147</v>
      </c>
      <c r="X1133" t="s">
        <v>280</v>
      </c>
      <c r="Y1133">
        <v>0.6</v>
      </c>
      <c r="AB1133">
        <v>6</v>
      </c>
      <c r="AC1133" t="s">
        <v>85</v>
      </c>
      <c r="AI1133">
        <v>6</v>
      </c>
    </row>
    <row r="1134" spans="1:35" x14ac:dyDescent="0.3">
      <c r="A1134" t="s">
        <v>1560</v>
      </c>
      <c r="C1134" t="s">
        <v>1495</v>
      </c>
      <c r="D1134" t="s">
        <v>470</v>
      </c>
      <c r="E1134">
        <v>1000000000</v>
      </c>
      <c r="L1134" t="s">
        <v>58</v>
      </c>
      <c r="O1134">
        <v>250</v>
      </c>
      <c r="P1134" t="s">
        <v>277</v>
      </c>
      <c r="T1134">
        <v>80</v>
      </c>
      <c r="V1134">
        <v>50</v>
      </c>
      <c r="W1134" t="s">
        <v>1147</v>
      </c>
      <c r="X1134" t="s">
        <v>280</v>
      </c>
      <c r="Y1134">
        <v>0.3</v>
      </c>
      <c r="AB1134">
        <v>6</v>
      </c>
      <c r="AC1134" t="s">
        <v>85</v>
      </c>
      <c r="AI1134">
        <v>6</v>
      </c>
    </row>
    <row r="1135" spans="1:35" x14ac:dyDescent="0.3">
      <c r="A1135" t="s">
        <v>1560</v>
      </c>
      <c r="C1135" t="s">
        <v>1495</v>
      </c>
      <c r="D1135" t="s">
        <v>470</v>
      </c>
      <c r="E1135">
        <v>1000000000</v>
      </c>
      <c r="L1135" t="s">
        <v>58</v>
      </c>
      <c r="O1135">
        <v>420</v>
      </c>
      <c r="P1135" t="s">
        <v>277</v>
      </c>
      <c r="T1135">
        <v>80</v>
      </c>
      <c r="V1135">
        <v>50</v>
      </c>
      <c r="W1135" t="s">
        <v>1147</v>
      </c>
      <c r="X1135" t="s">
        <v>280</v>
      </c>
      <c r="Y1135">
        <v>0.8</v>
      </c>
      <c r="AB1135">
        <v>6</v>
      </c>
      <c r="AC1135" t="s">
        <v>85</v>
      </c>
      <c r="AI1135">
        <v>6</v>
      </c>
    </row>
    <row r="1136" spans="1:35" x14ac:dyDescent="0.3">
      <c r="A1136" t="s">
        <v>1560</v>
      </c>
      <c r="C1136" t="s">
        <v>1495</v>
      </c>
      <c r="D1136" t="s">
        <v>470</v>
      </c>
      <c r="E1136">
        <v>1000000000</v>
      </c>
      <c r="L1136" t="s">
        <v>58</v>
      </c>
      <c r="O1136">
        <v>420</v>
      </c>
      <c r="P1136" t="s">
        <v>277</v>
      </c>
      <c r="T1136">
        <v>80</v>
      </c>
      <c r="V1136">
        <v>50</v>
      </c>
      <c r="W1136" t="s">
        <v>1147</v>
      </c>
      <c r="X1136" t="s">
        <v>280</v>
      </c>
      <c r="Y1136">
        <v>0.6</v>
      </c>
      <c r="AB1136">
        <v>6</v>
      </c>
      <c r="AC1136" t="s">
        <v>85</v>
      </c>
      <c r="AI1136">
        <v>6</v>
      </c>
    </row>
    <row r="1137" spans="1:48" x14ac:dyDescent="0.3">
      <c r="A1137" t="s">
        <v>1560</v>
      </c>
      <c r="C1137" t="s">
        <v>1495</v>
      </c>
      <c r="D1137" t="s">
        <v>470</v>
      </c>
      <c r="E1137">
        <v>1000000000</v>
      </c>
      <c r="L1137" t="s">
        <v>58</v>
      </c>
      <c r="O1137">
        <v>420</v>
      </c>
      <c r="P1137" t="s">
        <v>277</v>
      </c>
      <c r="T1137">
        <v>80</v>
      </c>
      <c r="V1137">
        <v>50</v>
      </c>
      <c r="W1137" t="s">
        <v>1147</v>
      </c>
      <c r="X1137" t="s">
        <v>280</v>
      </c>
      <c r="Y1137">
        <v>0.6</v>
      </c>
      <c r="AB1137">
        <v>6</v>
      </c>
      <c r="AC1137" t="s">
        <v>85</v>
      </c>
      <c r="AI1137">
        <v>6</v>
      </c>
    </row>
    <row r="1138" spans="1:48" x14ac:dyDescent="0.3">
      <c r="A1138" t="s">
        <v>1560</v>
      </c>
      <c r="C1138" t="s">
        <v>1495</v>
      </c>
      <c r="D1138" t="s">
        <v>470</v>
      </c>
      <c r="E1138">
        <v>1000000000</v>
      </c>
      <c r="L1138" t="s">
        <v>58</v>
      </c>
      <c r="O1138">
        <v>420</v>
      </c>
      <c r="P1138" t="s">
        <v>277</v>
      </c>
      <c r="T1138">
        <v>80</v>
      </c>
      <c r="V1138">
        <v>50</v>
      </c>
      <c r="W1138" t="s">
        <v>1147</v>
      </c>
      <c r="X1138" t="s">
        <v>280</v>
      </c>
      <c r="Y1138">
        <v>0.3</v>
      </c>
      <c r="AB1138">
        <v>6</v>
      </c>
      <c r="AC1138" t="s">
        <v>85</v>
      </c>
      <c r="AI1138">
        <v>6</v>
      </c>
    </row>
    <row r="1139" spans="1:48" x14ac:dyDescent="0.3">
      <c r="A1139" t="s">
        <v>1561</v>
      </c>
      <c r="C1139" t="s">
        <v>1495</v>
      </c>
      <c r="H1139">
        <v>1</v>
      </c>
      <c r="I1139" t="s">
        <v>82</v>
      </c>
      <c r="J1139">
        <v>9.9999999999999995E-7</v>
      </c>
      <c r="K1139" t="s">
        <v>252</v>
      </c>
      <c r="L1139" t="s">
        <v>58</v>
      </c>
      <c r="O1139">
        <v>400</v>
      </c>
      <c r="P1139" t="s">
        <v>121</v>
      </c>
      <c r="T1139">
        <v>25</v>
      </c>
      <c r="V1139">
        <v>50</v>
      </c>
      <c r="W1139" t="s">
        <v>1562</v>
      </c>
      <c r="X1139" t="s">
        <v>280</v>
      </c>
      <c r="Y1139">
        <v>30</v>
      </c>
      <c r="AB1139">
        <v>7.5</v>
      </c>
      <c r="AC1139" t="s">
        <v>85</v>
      </c>
      <c r="AD1139">
        <v>0.01</v>
      </c>
      <c r="AE1139" t="s">
        <v>63</v>
      </c>
      <c r="AI1139">
        <v>3</v>
      </c>
      <c r="AV1139" t="s">
        <v>256</v>
      </c>
    </row>
    <row r="1140" spans="1:48" x14ac:dyDescent="0.3">
      <c r="A1140" t="s">
        <v>1561</v>
      </c>
      <c r="C1140" t="s">
        <v>1495</v>
      </c>
      <c r="H1140">
        <v>1</v>
      </c>
      <c r="I1140" t="s">
        <v>82</v>
      </c>
      <c r="J1140">
        <v>9.9999999999999995E-7</v>
      </c>
      <c r="K1140" t="s">
        <v>252</v>
      </c>
      <c r="L1140" t="s">
        <v>58</v>
      </c>
      <c r="O1140">
        <v>377</v>
      </c>
      <c r="P1140" t="s">
        <v>121</v>
      </c>
      <c r="T1140">
        <v>25</v>
      </c>
      <c r="V1140">
        <v>50</v>
      </c>
      <c r="W1140" t="s">
        <v>1563</v>
      </c>
      <c r="X1140" t="s">
        <v>280</v>
      </c>
      <c r="Y1140">
        <v>30</v>
      </c>
      <c r="AB1140">
        <v>7.4</v>
      </c>
      <c r="AC1140" t="s">
        <v>85</v>
      </c>
      <c r="AD1140">
        <v>1.93</v>
      </c>
      <c r="AE1140" t="s">
        <v>63</v>
      </c>
      <c r="AI1140">
        <v>3</v>
      </c>
      <c r="AV1140" t="s">
        <v>256</v>
      </c>
    </row>
    <row r="1141" spans="1:48" x14ac:dyDescent="0.3">
      <c r="A1141" t="s">
        <v>1561</v>
      </c>
      <c r="C1141" t="s">
        <v>1495</v>
      </c>
      <c r="H1141">
        <v>1</v>
      </c>
      <c r="I1141" t="s">
        <v>82</v>
      </c>
      <c r="J1141">
        <v>9.9999999999999995E-7</v>
      </c>
      <c r="K1141" t="s">
        <v>252</v>
      </c>
      <c r="L1141" t="s">
        <v>58</v>
      </c>
      <c r="O1141">
        <v>412</v>
      </c>
      <c r="P1141" t="s">
        <v>121</v>
      </c>
      <c r="T1141">
        <v>25</v>
      </c>
      <c r="V1141">
        <v>50</v>
      </c>
      <c r="W1141" t="s">
        <v>1564</v>
      </c>
      <c r="X1141" t="s">
        <v>280</v>
      </c>
      <c r="Y1141">
        <v>30</v>
      </c>
      <c r="AB1141">
        <v>7.9</v>
      </c>
      <c r="AC1141" t="s">
        <v>85</v>
      </c>
      <c r="AD1141">
        <v>0.38</v>
      </c>
      <c r="AE1141" t="s">
        <v>63</v>
      </c>
      <c r="AI1141">
        <v>3</v>
      </c>
      <c r="AV1141" t="s">
        <v>256</v>
      </c>
    </row>
    <row r="1142" spans="1:48" x14ac:dyDescent="0.3">
      <c r="A1142" t="s">
        <v>1561</v>
      </c>
      <c r="C1142" t="s">
        <v>1495</v>
      </c>
      <c r="H1142">
        <v>1</v>
      </c>
      <c r="I1142" t="s">
        <v>82</v>
      </c>
      <c r="J1142">
        <v>9.9999999999999995E-7</v>
      </c>
      <c r="K1142" t="s">
        <v>252</v>
      </c>
      <c r="L1142" t="s">
        <v>58</v>
      </c>
      <c r="O1142">
        <v>303</v>
      </c>
      <c r="P1142" t="s">
        <v>121</v>
      </c>
      <c r="T1142">
        <v>25</v>
      </c>
      <c r="V1142">
        <v>50</v>
      </c>
      <c r="W1142" t="s">
        <v>1565</v>
      </c>
      <c r="X1142" t="s">
        <v>280</v>
      </c>
      <c r="Y1142">
        <v>30</v>
      </c>
      <c r="AB1142">
        <v>7.9</v>
      </c>
      <c r="AC1142" t="s">
        <v>85</v>
      </c>
      <c r="AD1142">
        <v>0.21</v>
      </c>
      <c r="AE1142" t="s">
        <v>63</v>
      </c>
      <c r="AI1142">
        <v>3</v>
      </c>
      <c r="AV1142" t="s">
        <v>256</v>
      </c>
    </row>
    <row r="1143" spans="1:48" x14ac:dyDescent="0.3">
      <c r="A1143" t="s">
        <v>1561</v>
      </c>
      <c r="C1143" t="s">
        <v>1495</v>
      </c>
      <c r="H1143">
        <v>1</v>
      </c>
      <c r="I1143" t="s">
        <v>82</v>
      </c>
      <c r="J1143">
        <v>9.9999999999999995E-7</v>
      </c>
      <c r="K1143" t="s">
        <v>252</v>
      </c>
      <c r="L1143" t="s">
        <v>58</v>
      </c>
      <c r="O1143">
        <v>466</v>
      </c>
      <c r="P1143" t="s">
        <v>121</v>
      </c>
      <c r="T1143">
        <v>25</v>
      </c>
      <c r="V1143">
        <v>50</v>
      </c>
      <c r="W1143" t="s">
        <v>1566</v>
      </c>
      <c r="X1143" t="s">
        <v>280</v>
      </c>
      <c r="Y1143">
        <v>30</v>
      </c>
      <c r="AB1143">
        <v>7.98</v>
      </c>
      <c r="AC1143" t="s">
        <v>85</v>
      </c>
      <c r="AD1143">
        <v>0.02</v>
      </c>
      <c r="AE1143" t="s">
        <v>63</v>
      </c>
      <c r="AI1143">
        <v>3</v>
      </c>
      <c r="AV1143" t="s">
        <v>256</v>
      </c>
    </row>
    <row r="1144" spans="1:48" x14ac:dyDescent="0.3">
      <c r="A1144" t="s">
        <v>1561</v>
      </c>
      <c r="C1144" t="s">
        <v>1495</v>
      </c>
      <c r="H1144">
        <v>1</v>
      </c>
      <c r="I1144" t="s">
        <v>82</v>
      </c>
      <c r="J1144">
        <v>9.9999999999999995E-7</v>
      </c>
      <c r="K1144" t="s">
        <v>252</v>
      </c>
      <c r="L1144" t="s">
        <v>58</v>
      </c>
      <c r="O1144">
        <v>400</v>
      </c>
      <c r="P1144" t="s">
        <v>121</v>
      </c>
      <c r="T1144">
        <v>25</v>
      </c>
      <c r="V1144">
        <v>50</v>
      </c>
      <c r="W1144" t="s">
        <v>1562</v>
      </c>
      <c r="X1144" t="s">
        <v>280</v>
      </c>
      <c r="Y1144">
        <v>30</v>
      </c>
      <c r="AB1144">
        <v>7.75</v>
      </c>
      <c r="AC1144" t="s">
        <v>85</v>
      </c>
      <c r="AD1144">
        <v>0.25</v>
      </c>
      <c r="AE1144" t="s">
        <v>63</v>
      </c>
      <c r="AI1144">
        <v>3</v>
      </c>
      <c r="AV1144" t="s">
        <v>256</v>
      </c>
    </row>
    <row r="1145" spans="1:48" x14ac:dyDescent="0.3">
      <c r="A1145" t="s">
        <v>1561</v>
      </c>
      <c r="C1145" t="s">
        <v>1495</v>
      </c>
      <c r="H1145">
        <v>1</v>
      </c>
      <c r="I1145" t="s">
        <v>82</v>
      </c>
      <c r="J1145">
        <v>9.9999999999999995E-7</v>
      </c>
      <c r="K1145" t="s">
        <v>252</v>
      </c>
      <c r="L1145" t="s">
        <v>58</v>
      </c>
      <c r="O1145">
        <v>377</v>
      </c>
      <c r="P1145" t="s">
        <v>121</v>
      </c>
      <c r="T1145">
        <v>25</v>
      </c>
      <c r="V1145">
        <v>50</v>
      </c>
      <c r="W1145" t="s">
        <v>1563</v>
      </c>
      <c r="X1145" t="s">
        <v>280</v>
      </c>
      <c r="Y1145">
        <v>30</v>
      </c>
      <c r="AB1145">
        <v>7.98</v>
      </c>
      <c r="AC1145" t="s">
        <v>85</v>
      </c>
      <c r="AD1145">
        <v>0.15</v>
      </c>
      <c r="AE1145" t="s">
        <v>63</v>
      </c>
      <c r="AI1145">
        <v>3</v>
      </c>
      <c r="AV1145" t="s">
        <v>256</v>
      </c>
    </row>
    <row r="1146" spans="1:48" x14ac:dyDescent="0.3">
      <c r="A1146" t="s">
        <v>1561</v>
      </c>
      <c r="C1146" t="s">
        <v>1495</v>
      </c>
      <c r="H1146">
        <v>1</v>
      </c>
      <c r="I1146" t="s">
        <v>82</v>
      </c>
      <c r="J1146">
        <v>9.9999999999999995E-7</v>
      </c>
      <c r="K1146" t="s">
        <v>252</v>
      </c>
      <c r="L1146" t="s">
        <v>58</v>
      </c>
      <c r="O1146">
        <v>412</v>
      </c>
      <c r="P1146" t="s">
        <v>121</v>
      </c>
      <c r="T1146">
        <v>25</v>
      </c>
      <c r="V1146">
        <v>50</v>
      </c>
      <c r="W1146" t="s">
        <v>1564</v>
      </c>
      <c r="X1146" t="s">
        <v>280</v>
      </c>
      <c r="Y1146">
        <v>30</v>
      </c>
      <c r="AB1146">
        <v>7.79</v>
      </c>
      <c r="AC1146" t="s">
        <v>85</v>
      </c>
      <c r="AD1146">
        <v>0.51500000000000001</v>
      </c>
      <c r="AE1146" t="s">
        <v>63</v>
      </c>
      <c r="AI1146">
        <v>3</v>
      </c>
      <c r="AV1146" t="s">
        <v>256</v>
      </c>
    </row>
    <row r="1147" spans="1:48" x14ac:dyDescent="0.3">
      <c r="A1147" t="s">
        <v>1561</v>
      </c>
      <c r="C1147" t="s">
        <v>1495</v>
      </c>
      <c r="H1147">
        <v>1</v>
      </c>
      <c r="I1147" t="s">
        <v>82</v>
      </c>
      <c r="J1147">
        <v>9.9999999999999995E-7</v>
      </c>
      <c r="K1147" t="s">
        <v>252</v>
      </c>
      <c r="L1147" t="s">
        <v>58</v>
      </c>
      <c r="O1147">
        <v>303</v>
      </c>
      <c r="P1147" t="s">
        <v>121</v>
      </c>
      <c r="T1147">
        <v>25</v>
      </c>
      <c r="V1147">
        <v>50</v>
      </c>
      <c r="W1147" t="s">
        <v>1565</v>
      </c>
      <c r="X1147" t="s">
        <v>280</v>
      </c>
      <c r="Y1147">
        <v>30</v>
      </c>
      <c r="AB1147">
        <v>7.33</v>
      </c>
      <c r="AC1147" t="s">
        <v>85</v>
      </c>
      <c r="AD1147">
        <v>0.59</v>
      </c>
      <c r="AE1147" t="s">
        <v>63</v>
      </c>
      <c r="AI1147">
        <v>3</v>
      </c>
      <c r="AV1147" t="s">
        <v>256</v>
      </c>
    </row>
    <row r="1148" spans="1:48" x14ac:dyDescent="0.3">
      <c r="A1148" t="s">
        <v>1561</v>
      </c>
      <c r="C1148" t="s">
        <v>1495</v>
      </c>
      <c r="H1148">
        <v>1</v>
      </c>
      <c r="I1148" t="s">
        <v>82</v>
      </c>
      <c r="J1148">
        <v>9.9999999999999995E-7</v>
      </c>
      <c r="K1148" t="s">
        <v>252</v>
      </c>
      <c r="L1148" t="s">
        <v>58</v>
      </c>
      <c r="O1148">
        <v>466</v>
      </c>
      <c r="P1148" t="s">
        <v>121</v>
      </c>
      <c r="T1148">
        <v>25</v>
      </c>
      <c r="V1148">
        <v>50</v>
      </c>
      <c r="W1148" t="s">
        <v>1566</v>
      </c>
      <c r="X1148" t="s">
        <v>280</v>
      </c>
      <c r="Y1148">
        <v>30</v>
      </c>
      <c r="AB1148">
        <v>7.79</v>
      </c>
      <c r="AC1148" t="s">
        <v>85</v>
      </c>
      <c r="AD1148">
        <v>0.02</v>
      </c>
      <c r="AE1148" t="s">
        <v>63</v>
      </c>
      <c r="AI1148">
        <v>3</v>
      </c>
      <c r="AV1148" t="s">
        <v>256</v>
      </c>
    </row>
    <row r="1149" spans="1:48" x14ac:dyDescent="0.3">
      <c r="A1149" t="s">
        <v>1567</v>
      </c>
      <c r="C1149" t="s">
        <v>1495</v>
      </c>
      <c r="D1149" t="s">
        <v>470</v>
      </c>
      <c r="E1149">
        <v>10000000</v>
      </c>
      <c r="H1149">
        <v>10</v>
      </c>
      <c r="I1149" t="s">
        <v>82</v>
      </c>
      <c r="J1149">
        <v>9.9999999999999991E-6</v>
      </c>
      <c r="K1149" t="s">
        <v>252</v>
      </c>
      <c r="O1149">
        <v>10</v>
      </c>
      <c r="P1149" t="s">
        <v>1568</v>
      </c>
      <c r="T1149">
        <v>22</v>
      </c>
      <c r="V1149">
        <v>50</v>
      </c>
      <c r="W1149" t="s">
        <v>1057</v>
      </c>
      <c r="X1149" t="s">
        <v>957</v>
      </c>
      <c r="Y1149">
        <v>1.1630687786964029E-2</v>
      </c>
      <c r="AB1149">
        <v>3.91252756168746</v>
      </c>
      <c r="AC1149" t="s">
        <v>85</v>
      </c>
      <c r="AE1149" t="s">
        <v>63</v>
      </c>
      <c r="AI1149">
        <v>3</v>
      </c>
      <c r="AV1149" t="s">
        <v>256</v>
      </c>
    </row>
    <row r="1150" spans="1:48" x14ac:dyDescent="0.3">
      <c r="A1150" t="s">
        <v>1567</v>
      </c>
      <c r="C1150" t="s">
        <v>1495</v>
      </c>
      <c r="D1150" t="s">
        <v>470</v>
      </c>
      <c r="E1150">
        <v>10000000</v>
      </c>
      <c r="H1150">
        <v>10</v>
      </c>
      <c r="I1150" t="s">
        <v>82</v>
      </c>
      <c r="J1150">
        <v>9.9999999999999991E-6</v>
      </c>
      <c r="K1150" t="s">
        <v>252</v>
      </c>
      <c r="O1150">
        <v>10</v>
      </c>
      <c r="P1150" t="s">
        <v>1568</v>
      </c>
      <c r="T1150">
        <v>22</v>
      </c>
      <c r="V1150">
        <v>50</v>
      </c>
      <c r="W1150" t="s">
        <v>1057</v>
      </c>
      <c r="X1150" t="s">
        <v>957</v>
      </c>
      <c r="Y1150">
        <v>8.4201972546618334E-2</v>
      </c>
      <c r="AB1150">
        <v>5.3602195168675602</v>
      </c>
      <c r="AC1150" t="s">
        <v>85</v>
      </c>
      <c r="AE1150" t="s">
        <v>63</v>
      </c>
      <c r="AI1150">
        <v>3</v>
      </c>
      <c r="AV1150" t="s">
        <v>256</v>
      </c>
    </row>
    <row r="1151" spans="1:48" x14ac:dyDescent="0.3">
      <c r="A1151" t="s">
        <v>1567</v>
      </c>
      <c r="C1151" t="s">
        <v>1495</v>
      </c>
      <c r="D1151" t="s">
        <v>470</v>
      </c>
      <c r="E1151">
        <v>10000000</v>
      </c>
      <c r="H1151">
        <v>10</v>
      </c>
      <c r="I1151" t="s">
        <v>82</v>
      </c>
      <c r="J1151">
        <v>9.9999999999999991E-6</v>
      </c>
      <c r="K1151" t="s">
        <v>252</v>
      </c>
      <c r="O1151">
        <v>10</v>
      </c>
      <c r="P1151" t="s">
        <v>1568</v>
      </c>
      <c r="T1151">
        <v>22</v>
      </c>
      <c r="V1151">
        <v>50</v>
      </c>
      <c r="W1151" t="s">
        <v>1057</v>
      </c>
      <c r="X1151" t="s">
        <v>957</v>
      </c>
      <c r="Y1151">
        <v>0.166870131707615</v>
      </c>
      <c r="AB1151">
        <v>7.4354164397248699</v>
      </c>
      <c r="AC1151" t="s">
        <v>85</v>
      </c>
      <c r="AE1151" t="s">
        <v>63</v>
      </c>
      <c r="AI1151">
        <v>3</v>
      </c>
      <c r="AV1151" t="s">
        <v>256</v>
      </c>
    </row>
    <row r="1152" spans="1:48" x14ac:dyDescent="0.3">
      <c r="A1152" t="s">
        <v>1567</v>
      </c>
      <c r="C1152" t="s">
        <v>1495</v>
      </c>
      <c r="D1152" t="s">
        <v>470</v>
      </c>
      <c r="E1152">
        <v>10000000</v>
      </c>
      <c r="H1152">
        <v>10</v>
      </c>
      <c r="I1152" t="s">
        <v>82</v>
      </c>
      <c r="J1152">
        <v>9.9999999999999991E-6</v>
      </c>
      <c r="K1152" t="s">
        <v>252</v>
      </c>
      <c r="O1152">
        <v>10</v>
      </c>
      <c r="P1152" t="s">
        <v>1568</v>
      </c>
      <c r="T1152">
        <v>22</v>
      </c>
      <c r="V1152">
        <v>50</v>
      </c>
      <c r="W1152" t="s">
        <v>1057</v>
      </c>
      <c r="X1152" t="s">
        <v>957</v>
      </c>
      <c r="Y1152">
        <v>0.50347017452917997</v>
      </c>
      <c r="AB1152">
        <v>7.4327081635182601</v>
      </c>
      <c r="AC1152" t="s">
        <v>85</v>
      </c>
      <c r="AE1152" t="s">
        <v>63</v>
      </c>
      <c r="AI1152">
        <v>3</v>
      </c>
      <c r="AV1152" t="s">
        <v>256</v>
      </c>
    </row>
    <row r="1153" spans="1:48" x14ac:dyDescent="0.3">
      <c r="A1153" t="s">
        <v>1567</v>
      </c>
      <c r="C1153" t="s">
        <v>1495</v>
      </c>
      <c r="D1153" t="s">
        <v>470</v>
      </c>
      <c r="E1153">
        <v>10000000</v>
      </c>
      <c r="H1153">
        <v>10</v>
      </c>
      <c r="I1153" t="s">
        <v>82</v>
      </c>
      <c r="J1153">
        <v>9.9999999999999991E-6</v>
      </c>
      <c r="K1153" t="s">
        <v>252</v>
      </c>
      <c r="O1153">
        <v>10</v>
      </c>
      <c r="P1153" t="s">
        <v>1568</v>
      </c>
      <c r="T1153">
        <v>22</v>
      </c>
      <c r="V1153">
        <v>50</v>
      </c>
      <c r="W1153" t="s">
        <v>1057</v>
      </c>
      <c r="X1153" t="s">
        <v>957</v>
      </c>
      <c r="Y1153">
        <v>1.000192822254192</v>
      </c>
      <c r="AB1153">
        <v>7.41261959049059</v>
      </c>
      <c r="AC1153" t="s">
        <v>85</v>
      </c>
      <c r="AE1153" t="s">
        <v>63</v>
      </c>
      <c r="AI1153">
        <v>3</v>
      </c>
      <c r="AV1153" t="s">
        <v>256</v>
      </c>
    </row>
    <row r="1154" spans="1:48" x14ac:dyDescent="0.3">
      <c r="A1154" t="s">
        <v>1567</v>
      </c>
      <c r="C1154" t="s">
        <v>1495</v>
      </c>
      <c r="D1154" t="s">
        <v>470</v>
      </c>
      <c r="E1154">
        <v>10000000</v>
      </c>
      <c r="H1154">
        <v>10</v>
      </c>
      <c r="I1154" t="s">
        <v>82</v>
      </c>
      <c r="J1154">
        <v>9.9999999999999991E-6</v>
      </c>
      <c r="K1154" t="s">
        <v>252</v>
      </c>
      <c r="O1154">
        <v>10</v>
      </c>
      <c r="P1154" t="s">
        <v>1568</v>
      </c>
      <c r="T1154">
        <v>22</v>
      </c>
      <c r="V1154">
        <v>50</v>
      </c>
      <c r="W1154" t="s">
        <v>1057</v>
      </c>
      <c r="X1154" t="s">
        <v>957</v>
      </c>
      <c r="Y1154">
        <v>2.5132440090501169</v>
      </c>
      <c r="AB1154">
        <v>7.3682617073784504</v>
      </c>
      <c r="AC1154" t="s">
        <v>85</v>
      </c>
      <c r="AE1154" t="s">
        <v>63</v>
      </c>
      <c r="AI1154">
        <v>3</v>
      </c>
      <c r="AV1154" t="s">
        <v>256</v>
      </c>
    </row>
    <row r="1155" spans="1:48" x14ac:dyDescent="0.3">
      <c r="A1155" t="s">
        <v>1567</v>
      </c>
      <c r="C1155" t="s">
        <v>1495</v>
      </c>
      <c r="D1155" t="s">
        <v>470</v>
      </c>
      <c r="E1155">
        <v>10000000</v>
      </c>
      <c r="H1155">
        <v>10</v>
      </c>
      <c r="I1155" t="s">
        <v>82</v>
      </c>
      <c r="J1155">
        <v>9.9999999999999991E-6</v>
      </c>
      <c r="K1155" t="s">
        <v>252</v>
      </c>
      <c r="O1155">
        <v>10</v>
      </c>
      <c r="P1155" t="s">
        <v>1568</v>
      </c>
      <c r="T1155">
        <v>22</v>
      </c>
      <c r="V1155">
        <v>50</v>
      </c>
      <c r="W1155" t="s">
        <v>1057</v>
      </c>
      <c r="X1155" t="s">
        <v>957</v>
      </c>
      <c r="Y1155">
        <v>9.8201619456517505E-3</v>
      </c>
      <c r="AB1155">
        <v>3.4381209596539002E-2</v>
      </c>
      <c r="AC1155" t="s">
        <v>85</v>
      </c>
      <c r="AE1155" t="s">
        <v>63</v>
      </c>
      <c r="AI1155">
        <v>3</v>
      </c>
      <c r="AV1155" t="s">
        <v>256</v>
      </c>
    </row>
    <row r="1156" spans="1:48" x14ac:dyDescent="0.3">
      <c r="A1156" t="s">
        <v>1567</v>
      </c>
      <c r="C1156" t="s">
        <v>1495</v>
      </c>
      <c r="D1156" t="s">
        <v>470</v>
      </c>
      <c r="E1156">
        <v>10000000</v>
      </c>
      <c r="H1156">
        <v>10</v>
      </c>
      <c r="I1156" t="s">
        <v>82</v>
      </c>
      <c r="J1156">
        <v>9.9999999999999991E-6</v>
      </c>
      <c r="K1156" t="s">
        <v>252</v>
      </c>
      <c r="O1156">
        <v>10</v>
      </c>
      <c r="P1156" t="s">
        <v>1568</v>
      </c>
      <c r="T1156">
        <v>22</v>
      </c>
      <c r="V1156">
        <v>50</v>
      </c>
      <c r="W1156" t="s">
        <v>1057</v>
      </c>
      <c r="X1156" t="s">
        <v>957</v>
      </c>
      <c r="Y1156">
        <v>0.15371564727550921</v>
      </c>
      <c r="AB1156">
        <v>0.25851078615135498</v>
      </c>
      <c r="AC1156" t="s">
        <v>85</v>
      </c>
      <c r="AE1156" t="s">
        <v>63</v>
      </c>
      <c r="AI1156">
        <v>3</v>
      </c>
      <c r="AV1156" t="s">
        <v>256</v>
      </c>
    </row>
    <row r="1157" spans="1:48" x14ac:dyDescent="0.3">
      <c r="A1157" t="s">
        <v>1567</v>
      </c>
      <c r="C1157" t="s">
        <v>1495</v>
      </c>
      <c r="D1157" t="s">
        <v>470</v>
      </c>
      <c r="E1157">
        <v>10000000</v>
      </c>
      <c r="H1157">
        <v>10</v>
      </c>
      <c r="I1157" t="s">
        <v>82</v>
      </c>
      <c r="J1157">
        <v>9.9999999999999991E-6</v>
      </c>
      <c r="K1157" t="s">
        <v>252</v>
      </c>
      <c r="O1157">
        <v>10</v>
      </c>
      <c r="P1157" t="s">
        <v>1568</v>
      </c>
      <c r="T1157">
        <v>22</v>
      </c>
      <c r="V1157">
        <v>50</v>
      </c>
      <c r="W1157" t="s">
        <v>1057</v>
      </c>
      <c r="X1157" t="s">
        <v>957</v>
      </c>
      <c r="Y1157">
        <v>0.50016465017159839</v>
      </c>
      <c r="AB1157">
        <v>0.35227498957632902</v>
      </c>
      <c r="AC1157" t="s">
        <v>85</v>
      </c>
      <c r="AE1157" t="s">
        <v>63</v>
      </c>
      <c r="AI1157">
        <v>3</v>
      </c>
      <c r="AV1157" t="s">
        <v>256</v>
      </c>
    </row>
    <row r="1158" spans="1:48" x14ac:dyDescent="0.3">
      <c r="A1158" t="s">
        <v>1567</v>
      </c>
      <c r="C1158" t="s">
        <v>1495</v>
      </c>
      <c r="D1158" t="s">
        <v>470</v>
      </c>
      <c r="E1158">
        <v>10000000</v>
      </c>
      <c r="H1158">
        <v>10</v>
      </c>
      <c r="I1158" t="s">
        <v>82</v>
      </c>
      <c r="J1158">
        <v>9.9999999999999991E-6</v>
      </c>
      <c r="K1158" t="s">
        <v>252</v>
      </c>
      <c r="O1158">
        <v>10</v>
      </c>
      <c r="P1158" t="s">
        <v>1568</v>
      </c>
      <c r="T1158">
        <v>22</v>
      </c>
      <c r="V1158">
        <v>50</v>
      </c>
      <c r="W1158" t="s">
        <v>1057</v>
      </c>
      <c r="X1158" t="s">
        <v>957</v>
      </c>
      <c r="Y1158">
        <v>0.99020863618321997</v>
      </c>
      <c r="AB1158">
        <v>2.64930264704883E-2</v>
      </c>
      <c r="AC1158" t="s">
        <v>85</v>
      </c>
      <c r="AE1158" t="s">
        <v>63</v>
      </c>
      <c r="AI1158">
        <v>3</v>
      </c>
      <c r="AV1158" t="s">
        <v>256</v>
      </c>
    </row>
    <row r="1159" spans="1:48" x14ac:dyDescent="0.3">
      <c r="A1159" t="s">
        <v>1567</v>
      </c>
      <c r="C1159" t="s">
        <v>1495</v>
      </c>
      <c r="D1159" t="s">
        <v>470</v>
      </c>
      <c r="E1159">
        <v>10000000</v>
      </c>
      <c r="H1159">
        <v>10</v>
      </c>
      <c r="I1159" t="s">
        <v>82</v>
      </c>
      <c r="J1159">
        <v>9.9999999999999991E-6</v>
      </c>
      <c r="K1159" t="s">
        <v>252</v>
      </c>
      <c r="O1159">
        <v>10</v>
      </c>
      <c r="P1159" t="s">
        <v>1568</v>
      </c>
      <c r="T1159">
        <v>22</v>
      </c>
      <c r="V1159">
        <v>50</v>
      </c>
      <c r="W1159" t="s">
        <v>1057</v>
      </c>
      <c r="X1159" t="s">
        <v>957</v>
      </c>
      <c r="Y1159">
        <v>2.4935911642332171</v>
      </c>
      <c r="AB1159">
        <v>0.27186810957813101</v>
      </c>
      <c r="AC1159" t="s">
        <v>85</v>
      </c>
      <c r="AE1159" t="s">
        <v>63</v>
      </c>
      <c r="AI1159">
        <v>3</v>
      </c>
      <c r="AV1159" t="s">
        <v>256</v>
      </c>
    </row>
    <row r="1160" spans="1:48" x14ac:dyDescent="0.3">
      <c r="A1160" t="s">
        <v>1567</v>
      </c>
      <c r="C1160" t="s">
        <v>1495</v>
      </c>
      <c r="D1160" t="s">
        <v>470</v>
      </c>
      <c r="E1160">
        <v>100000</v>
      </c>
      <c r="H1160">
        <v>10</v>
      </c>
      <c r="I1160" t="s">
        <v>82</v>
      </c>
      <c r="J1160">
        <v>9.9999999999999991E-6</v>
      </c>
      <c r="K1160" t="s">
        <v>252</v>
      </c>
      <c r="O1160">
        <v>10</v>
      </c>
      <c r="P1160" t="s">
        <v>1568</v>
      </c>
      <c r="T1160">
        <v>22</v>
      </c>
      <c r="V1160">
        <v>50</v>
      </c>
      <c r="W1160" t="s">
        <v>1057</v>
      </c>
      <c r="X1160" t="s">
        <v>957</v>
      </c>
      <c r="Y1160">
        <v>2.186186138884183E-2</v>
      </c>
      <c r="AB1160">
        <v>2.8640600449707101</v>
      </c>
      <c r="AC1160" t="s">
        <v>85</v>
      </c>
      <c r="AE1160" t="s">
        <v>63</v>
      </c>
      <c r="AI1160">
        <v>3</v>
      </c>
      <c r="AV1160" t="s">
        <v>256</v>
      </c>
    </row>
    <row r="1161" spans="1:48" x14ac:dyDescent="0.3">
      <c r="A1161" t="s">
        <v>1567</v>
      </c>
      <c r="C1161" t="s">
        <v>1495</v>
      </c>
      <c r="D1161" t="s">
        <v>470</v>
      </c>
      <c r="E1161">
        <v>100000</v>
      </c>
      <c r="H1161">
        <v>10</v>
      </c>
      <c r="I1161" t="s">
        <v>82</v>
      </c>
      <c r="J1161">
        <v>9.9999999999999991E-6</v>
      </c>
      <c r="K1161" t="s">
        <v>252</v>
      </c>
      <c r="O1161">
        <v>10</v>
      </c>
      <c r="P1161" t="s">
        <v>1568</v>
      </c>
      <c r="T1161">
        <v>22</v>
      </c>
      <c r="V1161">
        <v>50</v>
      </c>
      <c r="W1161" t="s">
        <v>1057</v>
      </c>
      <c r="X1161" t="s">
        <v>957</v>
      </c>
      <c r="Y1161">
        <v>9.6256509006614005E-2</v>
      </c>
      <c r="AB1161">
        <v>4.5174625801852999</v>
      </c>
      <c r="AC1161" t="s">
        <v>85</v>
      </c>
      <c r="AE1161" t="s">
        <v>63</v>
      </c>
      <c r="AI1161">
        <v>3</v>
      </c>
      <c r="AV1161" t="s">
        <v>256</v>
      </c>
    </row>
    <row r="1162" spans="1:48" x14ac:dyDescent="0.3">
      <c r="A1162" t="s">
        <v>1567</v>
      </c>
      <c r="C1162" t="s">
        <v>1495</v>
      </c>
      <c r="D1162" t="s">
        <v>470</v>
      </c>
      <c r="E1162">
        <v>100000</v>
      </c>
      <c r="H1162">
        <v>10</v>
      </c>
      <c r="I1162" t="s">
        <v>82</v>
      </c>
      <c r="J1162">
        <v>9.9999999999999991E-6</v>
      </c>
      <c r="K1162" t="s">
        <v>252</v>
      </c>
      <c r="O1162">
        <v>10</v>
      </c>
      <c r="P1162" t="s">
        <v>1568</v>
      </c>
      <c r="T1162">
        <v>22</v>
      </c>
      <c r="V1162">
        <v>50</v>
      </c>
      <c r="W1162" t="s">
        <v>1057</v>
      </c>
      <c r="X1162" t="s">
        <v>957</v>
      </c>
      <c r="Y1162">
        <v>0.18398485749426671</v>
      </c>
      <c r="AB1162">
        <v>5.1460091437842301</v>
      </c>
      <c r="AC1162" t="s">
        <v>85</v>
      </c>
      <c r="AE1162" t="s">
        <v>63</v>
      </c>
      <c r="AI1162">
        <v>3</v>
      </c>
      <c r="AV1162" t="s">
        <v>256</v>
      </c>
    </row>
    <row r="1163" spans="1:48" x14ac:dyDescent="0.3">
      <c r="A1163" t="s">
        <v>1567</v>
      </c>
      <c r="C1163" t="s">
        <v>1495</v>
      </c>
      <c r="D1163" t="s">
        <v>470</v>
      </c>
      <c r="E1163">
        <v>100000</v>
      </c>
      <c r="H1163">
        <v>10</v>
      </c>
      <c r="I1163" t="s">
        <v>82</v>
      </c>
      <c r="J1163">
        <v>9.9999999999999991E-6</v>
      </c>
      <c r="K1163" t="s">
        <v>252</v>
      </c>
      <c r="O1163">
        <v>10</v>
      </c>
      <c r="P1163" t="s">
        <v>1568</v>
      </c>
      <c r="T1163">
        <v>22</v>
      </c>
      <c r="V1163">
        <v>50</v>
      </c>
      <c r="W1163" t="s">
        <v>1057</v>
      </c>
      <c r="X1163" t="s">
        <v>957</v>
      </c>
      <c r="Y1163">
        <v>0.49833886607099331</v>
      </c>
      <c r="AB1163">
        <v>5.8334862547894604</v>
      </c>
      <c r="AC1163" t="s">
        <v>85</v>
      </c>
      <c r="AE1163" t="s">
        <v>63</v>
      </c>
      <c r="AI1163">
        <v>3</v>
      </c>
      <c r="AV1163" t="s">
        <v>256</v>
      </c>
    </row>
    <row r="1164" spans="1:48" x14ac:dyDescent="0.3">
      <c r="A1164" t="s">
        <v>1567</v>
      </c>
      <c r="C1164" t="s">
        <v>1495</v>
      </c>
      <c r="D1164" t="s">
        <v>470</v>
      </c>
      <c r="E1164">
        <v>100000</v>
      </c>
      <c r="H1164">
        <v>10</v>
      </c>
      <c r="I1164" t="s">
        <v>82</v>
      </c>
      <c r="J1164">
        <v>9.9999999999999991E-6</v>
      </c>
      <c r="K1164" t="s">
        <v>252</v>
      </c>
      <c r="O1164">
        <v>10</v>
      </c>
      <c r="P1164" t="s">
        <v>1568</v>
      </c>
      <c r="T1164">
        <v>22</v>
      </c>
      <c r="V1164">
        <v>50</v>
      </c>
      <c r="W1164" t="s">
        <v>1057</v>
      </c>
      <c r="X1164" t="s">
        <v>957</v>
      </c>
      <c r="Y1164">
        <v>1.0213853765083769</v>
      </c>
      <c r="AB1164">
        <v>5.8023375324383801</v>
      </c>
      <c r="AC1164" t="s">
        <v>85</v>
      </c>
      <c r="AE1164" t="s">
        <v>63</v>
      </c>
      <c r="AI1164">
        <v>3</v>
      </c>
      <c r="AV1164" t="s">
        <v>256</v>
      </c>
    </row>
    <row r="1165" spans="1:48" x14ac:dyDescent="0.3">
      <c r="A1165" t="s">
        <v>1567</v>
      </c>
      <c r="C1165" t="s">
        <v>1495</v>
      </c>
      <c r="D1165" t="s">
        <v>470</v>
      </c>
      <c r="E1165">
        <v>100000</v>
      </c>
      <c r="H1165">
        <v>10</v>
      </c>
      <c r="I1165" t="s">
        <v>82</v>
      </c>
      <c r="J1165">
        <v>9.9999999999999991E-6</v>
      </c>
      <c r="K1165" t="s">
        <v>252</v>
      </c>
      <c r="O1165">
        <v>10</v>
      </c>
      <c r="P1165" t="s">
        <v>1568</v>
      </c>
      <c r="T1165">
        <v>22</v>
      </c>
      <c r="V1165">
        <v>50</v>
      </c>
      <c r="W1165" t="s">
        <v>1057</v>
      </c>
      <c r="X1165" t="s">
        <v>957</v>
      </c>
      <c r="Y1165">
        <v>2.5141613144156998</v>
      </c>
      <c r="AB1165">
        <v>5.78390819987162</v>
      </c>
      <c r="AC1165" t="s">
        <v>85</v>
      </c>
      <c r="AE1165" t="s">
        <v>63</v>
      </c>
      <c r="AI1165">
        <v>3</v>
      </c>
      <c r="AV1165" t="s">
        <v>256</v>
      </c>
    </row>
    <row r="1166" spans="1:48" x14ac:dyDescent="0.3">
      <c r="A1166" t="s">
        <v>1567</v>
      </c>
      <c r="C1166" t="s">
        <v>1495</v>
      </c>
      <c r="D1166" t="s">
        <v>470</v>
      </c>
      <c r="E1166">
        <v>100000</v>
      </c>
      <c r="H1166">
        <v>10</v>
      </c>
      <c r="I1166" t="s">
        <v>82</v>
      </c>
      <c r="J1166">
        <v>9.9999999999999991E-6</v>
      </c>
      <c r="K1166" t="s">
        <v>252</v>
      </c>
      <c r="O1166">
        <v>10</v>
      </c>
      <c r="P1166" t="s">
        <v>1568</v>
      </c>
      <c r="T1166">
        <v>22</v>
      </c>
      <c r="V1166">
        <v>50</v>
      </c>
      <c r="W1166" t="s">
        <v>1057</v>
      </c>
      <c r="X1166" t="s">
        <v>957</v>
      </c>
      <c r="Y1166">
        <v>5.2675862956122503E-3</v>
      </c>
      <c r="AB1166">
        <v>0.111178492811378</v>
      </c>
      <c r="AC1166" t="s">
        <v>85</v>
      </c>
      <c r="AE1166" t="s">
        <v>63</v>
      </c>
      <c r="AI1166">
        <v>3</v>
      </c>
      <c r="AV1166" t="s">
        <v>256</v>
      </c>
    </row>
    <row r="1167" spans="1:48" x14ac:dyDescent="0.3">
      <c r="A1167" t="s">
        <v>1567</v>
      </c>
      <c r="C1167" t="s">
        <v>1495</v>
      </c>
      <c r="D1167" t="s">
        <v>470</v>
      </c>
      <c r="E1167">
        <v>100000</v>
      </c>
      <c r="H1167">
        <v>10</v>
      </c>
      <c r="I1167" t="s">
        <v>82</v>
      </c>
      <c r="J1167">
        <v>9.9999999999999991E-6</v>
      </c>
      <c r="K1167" t="s">
        <v>252</v>
      </c>
      <c r="O1167">
        <v>10</v>
      </c>
      <c r="P1167" t="s">
        <v>1568</v>
      </c>
      <c r="T1167">
        <v>22</v>
      </c>
      <c r="V1167">
        <v>50</v>
      </c>
      <c r="W1167" t="s">
        <v>1057</v>
      </c>
      <c r="X1167" t="s">
        <v>957</v>
      </c>
      <c r="Y1167">
        <v>7.875651885134316E-2</v>
      </c>
      <c r="AB1167">
        <v>0.15965393808846801</v>
      </c>
      <c r="AC1167" t="s">
        <v>85</v>
      </c>
      <c r="AE1167" t="s">
        <v>63</v>
      </c>
      <c r="AI1167">
        <v>3</v>
      </c>
      <c r="AV1167" t="s">
        <v>256</v>
      </c>
    </row>
    <row r="1168" spans="1:48" x14ac:dyDescent="0.3">
      <c r="A1168" t="s">
        <v>1567</v>
      </c>
      <c r="C1168" t="s">
        <v>1495</v>
      </c>
      <c r="D1168" t="s">
        <v>470</v>
      </c>
      <c r="E1168">
        <v>100000</v>
      </c>
      <c r="H1168">
        <v>10</v>
      </c>
      <c r="I1168" t="s">
        <v>82</v>
      </c>
      <c r="J1168">
        <v>9.9999999999999991E-6</v>
      </c>
      <c r="K1168" t="s">
        <v>252</v>
      </c>
      <c r="O1168">
        <v>10</v>
      </c>
      <c r="P1168" t="s">
        <v>1568</v>
      </c>
      <c r="T1168">
        <v>22</v>
      </c>
      <c r="V1168">
        <v>50</v>
      </c>
      <c r="W1168" t="s">
        <v>1057</v>
      </c>
      <c r="X1168" t="s">
        <v>957</v>
      </c>
      <c r="Y1168">
        <v>0.1551831185213477</v>
      </c>
      <c r="AB1168">
        <v>0.109327683771554</v>
      </c>
      <c r="AC1168" t="s">
        <v>85</v>
      </c>
      <c r="AE1168" t="s">
        <v>63</v>
      </c>
      <c r="AI1168">
        <v>3</v>
      </c>
      <c r="AV1168" t="s">
        <v>256</v>
      </c>
    </row>
    <row r="1169" spans="1:48" x14ac:dyDescent="0.3">
      <c r="A1169" t="s">
        <v>1567</v>
      </c>
      <c r="C1169" t="s">
        <v>1495</v>
      </c>
      <c r="D1169" t="s">
        <v>470</v>
      </c>
      <c r="E1169">
        <v>100000</v>
      </c>
      <c r="H1169">
        <v>10</v>
      </c>
      <c r="I1169" t="s">
        <v>82</v>
      </c>
      <c r="J1169">
        <v>9.9999999999999991E-6</v>
      </c>
      <c r="K1169" t="s">
        <v>252</v>
      </c>
      <c r="O1169">
        <v>10</v>
      </c>
      <c r="P1169" t="s">
        <v>1568</v>
      </c>
      <c r="T1169">
        <v>22</v>
      </c>
      <c r="V1169">
        <v>50</v>
      </c>
      <c r="W1169" t="s">
        <v>1057</v>
      </c>
      <c r="X1169" t="s">
        <v>957</v>
      </c>
      <c r="Y1169">
        <v>0.49025831256095498</v>
      </c>
      <c r="AB1169">
        <v>0.166919348042671</v>
      </c>
      <c r="AC1169" t="s">
        <v>85</v>
      </c>
      <c r="AE1169" t="s">
        <v>63</v>
      </c>
      <c r="AI1169">
        <v>3</v>
      </c>
      <c r="AV1169" t="s">
        <v>256</v>
      </c>
    </row>
    <row r="1170" spans="1:48" x14ac:dyDescent="0.3">
      <c r="A1170" t="s">
        <v>1567</v>
      </c>
      <c r="C1170" t="s">
        <v>1495</v>
      </c>
      <c r="D1170" t="s">
        <v>470</v>
      </c>
      <c r="E1170">
        <v>100000</v>
      </c>
      <c r="H1170">
        <v>10</v>
      </c>
      <c r="I1170" t="s">
        <v>82</v>
      </c>
      <c r="J1170">
        <v>9.9999999999999991E-6</v>
      </c>
      <c r="K1170" t="s">
        <v>252</v>
      </c>
      <c r="O1170">
        <v>10</v>
      </c>
      <c r="P1170" t="s">
        <v>1568</v>
      </c>
      <c r="T1170">
        <v>22</v>
      </c>
      <c r="V1170">
        <v>50</v>
      </c>
      <c r="W1170" t="s">
        <v>1057</v>
      </c>
      <c r="X1170" t="s">
        <v>957</v>
      </c>
      <c r="Y1170">
        <v>0.9979549216425202</v>
      </c>
      <c r="AB1170">
        <v>0.37052803188116901</v>
      </c>
      <c r="AC1170" t="s">
        <v>85</v>
      </c>
      <c r="AE1170" t="s">
        <v>63</v>
      </c>
      <c r="AI1170">
        <v>3</v>
      </c>
      <c r="AV1170" t="s">
        <v>256</v>
      </c>
    </row>
    <row r="1171" spans="1:48" x14ac:dyDescent="0.3">
      <c r="A1171" t="s">
        <v>1567</v>
      </c>
      <c r="C1171" t="s">
        <v>1495</v>
      </c>
      <c r="D1171" t="s">
        <v>470</v>
      </c>
      <c r="E1171">
        <v>100000</v>
      </c>
      <c r="H1171">
        <v>10</v>
      </c>
      <c r="I1171" t="s">
        <v>82</v>
      </c>
      <c r="J1171">
        <v>9.9999999999999991E-6</v>
      </c>
      <c r="K1171" t="s">
        <v>252</v>
      </c>
      <c r="O1171">
        <v>10</v>
      </c>
      <c r="P1171" t="s">
        <v>1568</v>
      </c>
      <c r="T1171">
        <v>22</v>
      </c>
      <c r="V1171">
        <v>50</v>
      </c>
      <c r="W1171" t="s">
        <v>1057</v>
      </c>
      <c r="X1171" t="s">
        <v>957</v>
      </c>
      <c r="Y1171">
        <v>2.4972362564302339</v>
      </c>
      <c r="AB1171">
        <v>0.40140110182206201</v>
      </c>
      <c r="AC1171" t="s">
        <v>85</v>
      </c>
      <c r="AE1171" t="s">
        <v>63</v>
      </c>
      <c r="AI1171">
        <v>3</v>
      </c>
      <c r="AV1171" t="s">
        <v>256</v>
      </c>
    </row>
    <row r="1172" spans="1:48" x14ac:dyDescent="0.3">
      <c r="A1172" t="s">
        <v>1567</v>
      </c>
      <c r="C1172" t="s">
        <v>1495</v>
      </c>
      <c r="D1172" t="s">
        <v>470</v>
      </c>
      <c r="E1172">
        <v>100000</v>
      </c>
      <c r="H1172">
        <v>10</v>
      </c>
      <c r="I1172" t="s">
        <v>82</v>
      </c>
      <c r="J1172">
        <v>9.9999999999999991E-6</v>
      </c>
      <c r="K1172" t="s">
        <v>252</v>
      </c>
      <c r="O1172">
        <v>10</v>
      </c>
      <c r="P1172" t="s">
        <v>1568</v>
      </c>
      <c r="T1172">
        <v>-5</v>
      </c>
      <c r="V1172">
        <v>50</v>
      </c>
      <c r="W1172" t="s">
        <v>1057</v>
      </c>
      <c r="X1172" t="s">
        <v>957</v>
      </c>
      <c r="Y1172">
        <v>10</v>
      </c>
      <c r="AB1172">
        <v>5.5108213603521303</v>
      </c>
      <c r="AC1172" t="s">
        <v>85</v>
      </c>
      <c r="AE1172" t="s">
        <v>63</v>
      </c>
      <c r="AI1172">
        <v>3</v>
      </c>
      <c r="AV1172" t="s">
        <v>256</v>
      </c>
    </row>
    <row r="1173" spans="1:48" x14ac:dyDescent="0.3">
      <c r="A1173" t="s">
        <v>1567</v>
      </c>
      <c r="C1173" t="s">
        <v>1495</v>
      </c>
      <c r="D1173" t="s">
        <v>470</v>
      </c>
      <c r="E1173">
        <v>100000</v>
      </c>
      <c r="H1173">
        <v>10</v>
      </c>
      <c r="I1173" t="s">
        <v>82</v>
      </c>
      <c r="J1173">
        <v>9.9999999999999991E-6</v>
      </c>
      <c r="K1173" t="s">
        <v>252</v>
      </c>
      <c r="O1173">
        <v>10</v>
      </c>
      <c r="P1173" t="s">
        <v>1568</v>
      </c>
      <c r="T1173">
        <v>10</v>
      </c>
      <c r="V1173">
        <v>50</v>
      </c>
      <c r="W1173" t="s">
        <v>1057</v>
      </c>
      <c r="X1173" t="s">
        <v>957</v>
      </c>
      <c r="Y1173">
        <v>10</v>
      </c>
      <c r="AB1173">
        <v>6.07426293497217</v>
      </c>
      <c r="AC1173" t="s">
        <v>85</v>
      </c>
      <c r="AE1173" t="s">
        <v>63</v>
      </c>
      <c r="AI1173">
        <v>3</v>
      </c>
      <c r="AV1173" t="s">
        <v>256</v>
      </c>
    </row>
    <row r="1174" spans="1:48" x14ac:dyDescent="0.3">
      <c r="A1174" t="s">
        <v>1567</v>
      </c>
      <c r="C1174" t="s">
        <v>1495</v>
      </c>
      <c r="D1174" t="s">
        <v>470</v>
      </c>
      <c r="E1174">
        <v>100000</v>
      </c>
      <c r="H1174">
        <v>10</v>
      </c>
      <c r="I1174" t="s">
        <v>82</v>
      </c>
      <c r="J1174">
        <v>9.9999999999999991E-6</v>
      </c>
      <c r="K1174" t="s">
        <v>252</v>
      </c>
      <c r="O1174">
        <v>10</v>
      </c>
      <c r="P1174" t="s">
        <v>1568</v>
      </c>
      <c r="T1174">
        <v>22</v>
      </c>
      <c r="V1174">
        <v>50</v>
      </c>
      <c r="W1174" t="s">
        <v>1057</v>
      </c>
      <c r="X1174" t="s">
        <v>957</v>
      </c>
      <c r="Y1174">
        <v>10</v>
      </c>
      <c r="AB1174">
        <v>6.1533261357029998</v>
      </c>
      <c r="AC1174" t="s">
        <v>85</v>
      </c>
      <c r="AE1174" t="s">
        <v>63</v>
      </c>
      <c r="AI1174">
        <v>3</v>
      </c>
      <c r="AV1174" t="s">
        <v>256</v>
      </c>
    </row>
    <row r="1175" spans="1:48" x14ac:dyDescent="0.3">
      <c r="A1175" t="s">
        <v>1567</v>
      </c>
      <c r="C1175" t="s">
        <v>1495</v>
      </c>
      <c r="D1175" t="s">
        <v>470</v>
      </c>
      <c r="E1175">
        <v>100000</v>
      </c>
      <c r="H1175">
        <v>10</v>
      </c>
      <c r="I1175" t="s">
        <v>82</v>
      </c>
      <c r="J1175">
        <v>9.9999999999999991E-6</v>
      </c>
      <c r="K1175" t="s">
        <v>252</v>
      </c>
      <c r="O1175">
        <v>10</v>
      </c>
      <c r="P1175" t="s">
        <v>1568</v>
      </c>
      <c r="T1175">
        <v>55</v>
      </c>
      <c r="V1175">
        <v>50</v>
      </c>
      <c r="W1175" t="s">
        <v>1057</v>
      </c>
      <c r="X1175" t="s">
        <v>957</v>
      </c>
      <c r="Y1175">
        <v>10</v>
      </c>
      <c r="AB1175">
        <v>5.4862303795365701</v>
      </c>
      <c r="AC1175" t="s">
        <v>85</v>
      </c>
      <c r="AE1175" t="s">
        <v>63</v>
      </c>
      <c r="AI1175">
        <v>3</v>
      </c>
      <c r="AV1175" t="s">
        <v>256</v>
      </c>
    </row>
    <row r="1176" spans="1:48" x14ac:dyDescent="0.3">
      <c r="A1176" t="s">
        <v>1567</v>
      </c>
      <c r="C1176" t="s">
        <v>1495</v>
      </c>
      <c r="D1176" t="s">
        <v>470</v>
      </c>
      <c r="E1176">
        <v>100000</v>
      </c>
      <c r="H1176">
        <v>10</v>
      </c>
      <c r="I1176" t="s">
        <v>82</v>
      </c>
      <c r="J1176">
        <v>9.9999999999999991E-6</v>
      </c>
      <c r="K1176" t="s">
        <v>252</v>
      </c>
      <c r="O1176">
        <v>10</v>
      </c>
      <c r="P1176" t="s">
        <v>1568</v>
      </c>
      <c r="T1176">
        <v>-5</v>
      </c>
      <c r="V1176">
        <v>50</v>
      </c>
      <c r="W1176" t="s">
        <v>1057</v>
      </c>
      <c r="X1176" t="s">
        <v>957</v>
      </c>
      <c r="Y1176">
        <v>10</v>
      </c>
      <c r="AB1176">
        <v>5.2338094842620899</v>
      </c>
      <c r="AC1176" t="s">
        <v>85</v>
      </c>
      <c r="AE1176" t="s">
        <v>63</v>
      </c>
      <c r="AI1176">
        <v>3</v>
      </c>
      <c r="AV1176" t="s">
        <v>256</v>
      </c>
    </row>
    <row r="1177" spans="1:48" x14ac:dyDescent="0.3">
      <c r="A1177" t="s">
        <v>1567</v>
      </c>
      <c r="C1177" t="s">
        <v>1495</v>
      </c>
      <c r="D1177" t="s">
        <v>470</v>
      </c>
      <c r="E1177">
        <v>100000</v>
      </c>
      <c r="H1177">
        <v>10</v>
      </c>
      <c r="I1177" t="s">
        <v>82</v>
      </c>
      <c r="J1177">
        <v>9.9999999999999991E-6</v>
      </c>
      <c r="K1177" t="s">
        <v>252</v>
      </c>
      <c r="O1177">
        <v>10</v>
      </c>
      <c r="P1177" t="s">
        <v>1568</v>
      </c>
      <c r="T1177">
        <v>10</v>
      </c>
      <c r="V1177">
        <v>50</v>
      </c>
      <c r="W1177" t="s">
        <v>1057</v>
      </c>
      <c r="X1177" t="s">
        <v>957</v>
      </c>
      <c r="Y1177">
        <v>10</v>
      </c>
      <c r="AB1177">
        <v>6.0998422057968602</v>
      </c>
      <c r="AC1177" t="s">
        <v>85</v>
      </c>
      <c r="AE1177" t="s">
        <v>63</v>
      </c>
      <c r="AI1177">
        <v>3</v>
      </c>
      <c r="AV1177" t="s">
        <v>256</v>
      </c>
    </row>
    <row r="1178" spans="1:48" x14ac:dyDescent="0.3">
      <c r="A1178" t="s">
        <v>1567</v>
      </c>
      <c r="C1178" t="s">
        <v>1495</v>
      </c>
      <c r="D1178" t="s">
        <v>470</v>
      </c>
      <c r="E1178">
        <v>100000</v>
      </c>
      <c r="H1178">
        <v>10</v>
      </c>
      <c r="I1178" t="s">
        <v>82</v>
      </c>
      <c r="J1178">
        <v>9.9999999999999991E-6</v>
      </c>
      <c r="K1178" t="s">
        <v>252</v>
      </c>
      <c r="O1178">
        <v>10</v>
      </c>
      <c r="P1178" t="s">
        <v>1568</v>
      </c>
      <c r="T1178">
        <v>22</v>
      </c>
      <c r="V1178">
        <v>50</v>
      </c>
      <c r="W1178" t="s">
        <v>1057</v>
      </c>
      <c r="X1178" t="s">
        <v>957</v>
      </c>
      <c r="Y1178">
        <v>10</v>
      </c>
      <c r="AB1178">
        <v>6.0984469728427699</v>
      </c>
      <c r="AC1178" t="s">
        <v>85</v>
      </c>
      <c r="AE1178" t="s">
        <v>63</v>
      </c>
      <c r="AI1178">
        <v>3</v>
      </c>
      <c r="AV1178" t="s">
        <v>256</v>
      </c>
    </row>
    <row r="1179" spans="1:48" x14ac:dyDescent="0.3">
      <c r="A1179" t="s">
        <v>1567</v>
      </c>
      <c r="C1179" t="s">
        <v>1495</v>
      </c>
      <c r="D1179" t="s">
        <v>470</v>
      </c>
      <c r="E1179">
        <v>100000</v>
      </c>
      <c r="H1179">
        <v>10</v>
      </c>
      <c r="I1179" t="s">
        <v>82</v>
      </c>
      <c r="J1179">
        <v>9.9999999999999991E-6</v>
      </c>
      <c r="K1179" t="s">
        <v>252</v>
      </c>
      <c r="O1179">
        <v>10</v>
      </c>
      <c r="P1179" t="s">
        <v>1568</v>
      </c>
      <c r="T1179">
        <v>55</v>
      </c>
      <c r="V1179">
        <v>50</v>
      </c>
      <c r="W1179" t="s">
        <v>1057</v>
      </c>
      <c r="X1179" t="s">
        <v>957</v>
      </c>
      <c r="Y1179">
        <v>10</v>
      </c>
      <c r="AB1179">
        <v>5.4511751515654803</v>
      </c>
      <c r="AC1179" t="s">
        <v>85</v>
      </c>
      <c r="AE1179" t="s">
        <v>63</v>
      </c>
      <c r="AI1179">
        <v>3</v>
      </c>
      <c r="AV1179" t="s">
        <v>256</v>
      </c>
    </row>
    <row r="1180" spans="1:48" x14ac:dyDescent="0.3">
      <c r="A1180" t="s">
        <v>1567</v>
      </c>
      <c r="C1180" t="s">
        <v>1495</v>
      </c>
      <c r="D1180" t="s">
        <v>470</v>
      </c>
      <c r="E1180">
        <v>100000</v>
      </c>
      <c r="H1180">
        <v>10</v>
      </c>
      <c r="I1180" t="s">
        <v>82</v>
      </c>
      <c r="J1180">
        <v>9.9999999999999991E-6</v>
      </c>
      <c r="K1180" t="s">
        <v>252</v>
      </c>
      <c r="O1180">
        <v>6</v>
      </c>
      <c r="P1180" t="s">
        <v>59</v>
      </c>
      <c r="T1180">
        <v>-5</v>
      </c>
      <c r="V1180">
        <v>50</v>
      </c>
      <c r="W1180" t="s">
        <v>1057</v>
      </c>
      <c r="X1180" t="s">
        <v>957</v>
      </c>
      <c r="Y1180">
        <v>10</v>
      </c>
      <c r="AB1180">
        <v>0.32439166182210599</v>
      </c>
      <c r="AC1180" t="s">
        <v>85</v>
      </c>
      <c r="AE1180" t="s">
        <v>63</v>
      </c>
      <c r="AI1180">
        <v>3</v>
      </c>
      <c r="AV1180" t="s">
        <v>256</v>
      </c>
    </row>
    <row r="1181" spans="1:48" x14ac:dyDescent="0.3">
      <c r="A1181" t="s">
        <v>1567</v>
      </c>
      <c r="C1181" t="s">
        <v>1495</v>
      </c>
      <c r="D1181" t="s">
        <v>470</v>
      </c>
      <c r="E1181">
        <v>100000</v>
      </c>
      <c r="H1181">
        <v>10</v>
      </c>
      <c r="I1181" t="s">
        <v>82</v>
      </c>
      <c r="J1181">
        <v>9.9999999999999991E-6</v>
      </c>
      <c r="K1181" t="s">
        <v>252</v>
      </c>
      <c r="O1181">
        <v>6</v>
      </c>
      <c r="P1181" t="s">
        <v>59</v>
      </c>
      <c r="T1181">
        <v>10</v>
      </c>
      <c r="V1181">
        <v>50</v>
      </c>
      <c r="W1181" t="s">
        <v>1057</v>
      </c>
      <c r="X1181" t="s">
        <v>957</v>
      </c>
      <c r="Y1181">
        <v>10</v>
      </c>
      <c r="AB1181">
        <v>2.0980815546881302</v>
      </c>
      <c r="AC1181" t="s">
        <v>85</v>
      </c>
      <c r="AE1181" t="s">
        <v>63</v>
      </c>
      <c r="AI1181">
        <v>3</v>
      </c>
      <c r="AV1181" t="s">
        <v>256</v>
      </c>
    </row>
    <row r="1182" spans="1:48" x14ac:dyDescent="0.3">
      <c r="A1182" t="s">
        <v>1567</v>
      </c>
      <c r="C1182" t="s">
        <v>1495</v>
      </c>
      <c r="D1182" t="s">
        <v>470</v>
      </c>
      <c r="E1182">
        <v>100000</v>
      </c>
      <c r="H1182">
        <v>10</v>
      </c>
      <c r="I1182" t="s">
        <v>82</v>
      </c>
      <c r="J1182">
        <v>9.9999999999999991E-6</v>
      </c>
      <c r="K1182" t="s">
        <v>252</v>
      </c>
      <c r="O1182">
        <v>6</v>
      </c>
      <c r="P1182" t="s">
        <v>59</v>
      </c>
      <c r="T1182">
        <v>22</v>
      </c>
      <c r="V1182">
        <v>50</v>
      </c>
      <c r="W1182" t="s">
        <v>1057</v>
      </c>
      <c r="X1182" t="s">
        <v>957</v>
      </c>
      <c r="Y1182">
        <v>10</v>
      </c>
      <c r="AB1182">
        <v>5.0015613321152701</v>
      </c>
      <c r="AC1182" t="s">
        <v>85</v>
      </c>
      <c r="AE1182" t="s">
        <v>63</v>
      </c>
      <c r="AI1182">
        <v>3</v>
      </c>
      <c r="AV1182" t="s">
        <v>256</v>
      </c>
    </row>
    <row r="1183" spans="1:48" x14ac:dyDescent="0.3">
      <c r="A1183" t="s">
        <v>1567</v>
      </c>
      <c r="C1183" t="s">
        <v>1495</v>
      </c>
      <c r="D1183" t="s">
        <v>470</v>
      </c>
      <c r="E1183">
        <v>100000</v>
      </c>
      <c r="H1183">
        <v>10</v>
      </c>
      <c r="I1183" t="s">
        <v>82</v>
      </c>
      <c r="J1183">
        <v>9.9999999999999991E-6</v>
      </c>
      <c r="K1183" t="s">
        <v>252</v>
      </c>
      <c r="O1183">
        <v>6</v>
      </c>
      <c r="P1183" t="s">
        <v>59</v>
      </c>
      <c r="T1183">
        <v>55</v>
      </c>
      <c r="V1183">
        <v>50</v>
      </c>
      <c r="W1183" t="s">
        <v>1057</v>
      </c>
      <c r="X1183" t="s">
        <v>957</v>
      </c>
      <c r="Y1183">
        <v>10</v>
      </c>
      <c r="AB1183">
        <v>5.4035628270077201</v>
      </c>
      <c r="AC1183" t="s">
        <v>85</v>
      </c>
      <c r="AE1183" t="s">
        <v>63</v>
      </c>
      <c r="AI1183">
        <v>3</v>
      </c>
      <c r="AV1183" t="s">
        <v>256</v>
      </c>
    </row>
    <row r="1184" spans="1:48" x14ac:dyDescent="0.3">
      <c r="A1184" t="s">
        <v>1567</v>
      </c>
      <c r="C1184" t="s">
        <v>1495</v>
      </c>
      <c r="D1184" t="s">
        <v>470</v>
      </c>
      <c r="E1184">
        <v>100000</v>
      </c>
      <c r="H1184">
        <v>10</v>
      </c>
      <c r="I1184" t="s">
        <v>82</v>
      </c>
      <c r="J1184">
        <v>9.9999999999999991E-6</v>
      </c>
      <c r="K1184" t="s">
        <v>252</v>
      </c>
      <c r="O1184">
        <v>0.6</v>
      </c>
      <c r="P1184" t="s">
        <v>59</v>
      </c>
      <c r="T1184">
        <v>-5</v>
      </c>
      <c r="V1184">
        <v>50</v>
      </c>
      <c r="W1184" t="s">
        <v>1057</v>
      </c>
      <c r="X1184" t="s">
        <v>957</v>
      </c>
      <c r="Y1184">
        <v>10</v>
      </c>
      <c r="AB1184">
        <v>0.27666306785150802</v>
      </c>
      <c r="AC1184" t="s">
        <v>85</v>
      </c>
      <c r="AE1184" t="s">
        <v>63</v>
      </c>
      <c r="AI1184">
        <v>3</v>
      </c>
      <c r="AV1184" t="s">
        <v>256</v>
      </c>
    </row>
    <row r="1185" spans="1:48" x14ac:dyDescent="0.3">
      <c r="A1185" t="s">
        <v>1567</v>
      </c>
      <c r="C1185" t="s">
        <v>1495</v>
      </c>
      <c r="D1185" t="s">
        <v>470</v>
      </c>
      <c r="E1185">
        <v>100000</v>
      </c>
      <c r="H1185">
        <v>10</v>
      </c>
      <c r="I1185" t="s">
        <v>82</v>
      </c>
      <c r="J1185">
        <v>9.9999999999999991E-6</v>
      </c>
      <c r="K1185" t="s">
        <v>252</v>
      </c>
      <c r="O1185">
        <v>0.6</v>
      </c>
      <c r="P1185" t="s">
        <v>59</v>
      </c>
      <c r="T1185">
        <v>10</v>
      </c>
      <c r="V1185">
        <v>50</v>
      </c>
      <c r="W1185" t="s">
        <v>1057</v>
      </c>
      <c r="X1185" t="s">
        <v>957</v>
      </c>
      <c r="Y1185">
        <v>10</v>
      </c>
      <c r="AB1185">
        <v>0.57797525122498095</v>
      </c>
      <c r="AC1185" t="s">
        <v>85</v>
      </c>
      <c r="AE1185" t="s">
        <v>63</v>
      </c>
      <c r="AI1185">
        <v>3</v>
      </c>
      <c r="AV1185" t="s">
        <v>256</v>
      </c>
    </row>
    <row r="1186" spans="1:48" x14ac:dyDescent="0.3">
      <c r="A1186" t="s">
        <v>1567</v>
      </c>
      <c r="C1186" t="s">
        <v>1495</v>
      </c>
      <c r="D1186" t="s">
        <v>470</v>
      </c>
      <c r="E1186">
        <v>100000</v>
      </c>
      <c r="H1186">
        <v>10</v>
      </c>
      <c r="I1186" t="s">
        <v>82</v>
      </c>
      <c r="J1186">
        <v>9.9999999999999991E-6</v>
      </c>
      <c r="K1186" t="s">
        <v>252</v>
      </c>
      <c r="O1186">
        <v>0.6</v>
      </c>
      <c r="P1186" t="s">
        <v>59</v>
      </c>
      <c r="T1186">
        <v>22</v>
      </c>
      <c r="V1186">
        <v>50</v>
      </c>
      <c r="W1186" t="s">
        <v>1057</v>
      </c>
      <c r="X1186" t="s">
        <v>957</v>
      </c>
      <c r="Y1186">
        <v>10</v>
      </c>
      <c r="AB1186">
        <v>0.27387260194335999</v>
      </c>
      <c r="AC1186" t="s">
        <v>85</v>
      </c>
      <c r="AE1186" t="s">
        <v>63</v>
      </c>
      <c r="AI1186">
        <v>3</v>
      </c>
      <c r="AV1186" t="s">
        <v>256</v>
      </c>
    </row>
    <row r="1187" spans="1:48" x14ac:dyDescent="0.3">
      <c r="A1187" t="s">
        <v>1567</v>
      </c>
      <c r="C1187" t="s">
        <v>1495</v>
      </c>
      <c r="D1187" t="s">
        <v>470</v>
      </c>
      <c r="E1187">
        <v>100000</v>
      </c>
      <c r="H1187">
        <v>10</v>
      </c>
      <c r="I1187" t="s">
        <v>82</v>
      </c>
      <c r="J1187">
        <v>9.9999999999999991E-6</v>
      </c>
      <c r="K1187" t="s">
        <v>252</v>
      </c>
      <c r="O1187">
        <v>0.6</v>
      </c>
      <c r="P1187" t="s">
        <v>59</v>
      </c>
      <c r="T1187">
        <v>55</v>
      </c>
      <c r="V1187">
        <v>50</v>
      </c>
      <c r="W1187" t="s">
        <v>1057</v>
      </c>
      <c r="X1187" t="s">
        <v>957</v>
      </c>
      <c r="Y1187">
        <v>10</v>
      </c>
      <c r="AB1187">
        <v>5.4768125570965802</v>
      </c>
      <c r="AC1187" t="s">
        <v>85</v>
      </c>
      <c r="AE1187" t="s">
        <v>63</v>
      </c>
      <c r="AI1187">
        <v>3</v>
      </c>
      <c r="AV1187" t="s">
        <v>256</v>
      </c>
    </row>
    <row r="1188" spans="1:48" x14ac:dyDescent="0.3">
      <c r="A1188" t="s">
        <v>1567</v>
      </c>
      <c r="C1188" t="s">
        <v>1495</v>
      </c>
      <c r="D1188" t="s">
        <v>470</v>
      </c>
      <c r="E1188">
        <v>10000000</v>
      </c>
      <c r="H1188">
        <v>10</v>
      </c>
      <c r="I1188" t="s">
        <v>82</v>
      </c>
      <c r="J1188">
        <v>9.9999999999999991E-6</v>
      </c>
      <c r="K1188" t="s">
        <v>252</v>
      </c>
      <c r="O1188">
        <v>10</v>
      </c>
      <c r="P1188" t="s">
        <v>1568</v>
      </c>
      <c r="T1188">
        <v>-5</v>
      </c>
      <c r="V1188">
        <v>50</v>
      </c>
      <c r="W1188" t="s">
        <v>1057</v>
      </c>
      <c r="X1188" t="s">
        <v>957</v>
      </c>
      <c r="Y1188">
        <v>10</v>
      </c>
      <c r="AB1188">
        <v>8.2346041055718402</v>
      </c>
      <c r="AC1188" t="s">
        <v>85</v>
      </c>
      <c r="AE1188" t="s">
        <v>63</v>
      </c>
      <c r="AI1188">
        <v>3</v>
      </c>
      <c r="AV1188" t="s">
        <v>256</v>
      </c>
    </row>
    <row r="1189" spans="1:48" x14ac:dyDescent="0.3">
      <c r="A1189" t="s">
        <v>1567</v>
      </c>
      <c r="C1189" t="s">
        <v>1495</v>
      </c>
      <c r="D1189" t="s">
        <v>470</v>
      </c>
      <c r="E1189">
        <v>10000000</v>
      </c>
      <c r="H1189">
        <v>10</v>
      </c>
      <c r="I1189" t="s">
        <v>82</v>
      </c>
      <c r="J1189">
        <v>9.9999999999999991E-6</v>
      </c>
      <c r="K1189" t="s">
        <v>252</v>
      </c>
      <c r="O1189">
        <v>10</v>
      </c>
      <c r="P1189" t="s">
        <v>1568</v>
      </c>
      <c r="T1189">
        <v>10</v>
      </c>
      <c r="V1189">
        <v>50</v>
      </c>
      <c r="W1189" t="s">
        <v>1057</v>
      </c>
      <c r="X1189" t="s">
        <v>957</v>
      </c>
      <c r="Y1189">
        <v>10</v>
      </c>
      <c r="AB1189">
        <v>8.2873900293255005</v>
      </c>
      <c r="AC1189" t="s">
        <v>85</v>
      </c>
      <c r="AE1189" t="s">
        <v>63</v>
      </c>
      <c r="AI1189">
        <v>3</v>
      </c>
      <c r="AV1189" t="s">
        <v>256</v>
      </c>
    </row>
    <row r="1190" spans="1:48" x14ac:dyDescent="0.3">
      <c r="A1190" t="s">
        <v>1567</v>
      </c>
      <c r="C1190" t="s">
        <v>1495</v>
      </c>
      <c r="D1190" t="s">
        <v>470</v>
      </c>
      <c r="E1190">
        <v>10000000</v>
      </c>
      <c r="H1190">
        <v>10</v>
      </c>
      <c r="I1190" t="s">
        <v>82</v>
      </c>
      <c r="J1190">
        <v>9.9999999999999991E-6</v>
      </c>
      <c r="K1190" t="s">
        <v>252</v>
      </c>
      <c r="O1190">
        <v>10</v>
      </c>
      <c r="P1190" t="s">
        <v>1568</v>
      </c>
      <c r="T1190">
        <v>22</v>
      </c>
      <c r="V1190">
        <v>50</v>
      </c>
      <c r="W1190" t="s">
        <v>1057</v>
      </c>
      <c r="X1190" t="s">
        <v>957</v>
      </c>
      <c r="Y1190">
        <v>10</v>
      </c>
      <c r="AB1190">
        <v>7.8387096774193399</v>
      </c>
      <c r="AC1190" t="s">
        <v>85</v>
      </c>
      <c r="AE1190" t="s">
        <v>63</v>
      </c>
      <c r="AI1190">
        <v>3</v>
      </c>
      <c r="AV1190" t="s">
        <v>256</v>
      </c>
    </row>
    <row r="1191" spans="1:48" x14ac:dyDescent="0.3">
      <c r="A1191" t="s">
        <v>1567</v>
      </c>
      <c r="C1191" t="s">
        <v>1495</v>
      </c>
      <c r="D1191" t="s">
        <v>470</v>
      </c>
      <c r="E1191">
        <v>10000000</v>
      </c>
      <c r="H1191">
        <v>10</v>
      </c>
      <c r="I1191" t="s">
        <v>82</v>
      </c>
      <c r="J1191">
        <v>9.9999999999999991E-6</v>
      </c>
      <c r="K1191" t="s">
        <v>252</v>
      </c>
      <c r="O1191">
        <v>10</v>
      </c>
      <c r="P1191" t="s">
        <v>1568</v>
      </c>
      <c r="T1191">
        <v>55</v>
      </c>
      <c r="V1191">
        <v>50</v>
      </c>
      <c r="W1191" t="s">
        <v>1057</v>
      </c>
      <c r="X1191" t="s">
        <v>957</v>
      </c>
      <c r="Y1191">
        <v>10</v>
      </c>
      <c r="AB1191">
        <v>8.0498533724340007</v>
      </c>
      <c r="AC1191" t="s">
        <v>85</v>
      </c>
      <c r="AE1191" t="s">
        <v>63</v>
      </c>
      <c r="AI1191">
        <v>3</v>
      </c>
      <c r="AV1191" t="s">
        <v>256</v>
      </c>
    </row>
    <row r="1192" spans="1:48" x14ac:dyDescent="0.3">
      <c r="A1192" t="s">
        <v>1567</v>
      </c>
      <c r="C1192" t="s">
        <v>1495</v>
      </c>
      <c r="D1192" t="s">
        <v>470</v>
      </c>
      <c r="E1192">
        <v>10000000</v>
      </c>
      <c r="H1192">
        <v>10</v>
      </c>
      <c r="I1192" t="s">
        <v>82</v>
      </c>
      <c r="J1192">
        <v>9.9999999999999991E-6</v>
      </c>
      <c r="K1192" t="s">
        <v>252</v>
      </c>
      <c r="O1192">
        <v>10</v>
      </c>
      <c r="P1192" t="s">
        <v>1568</v>
      </c>
      <c r="T1192">
        <v>-5</v>
      </c>
      <c r="V1192">
        <v>50</v>
      </c>
      <c r="W1192" t="s">
        <v>1057</v>
      </c>
      <c r="X1192" t="s">
        <v>957</v>
      </c>
      <c r="Y1192">
        <v>10</v>
      </c>
      <c r="AB1192">
        <v>7.17888563049853</v>
      </c>
      <c r="AC1192" t="s">
        <v>85</v>
      </c>
      <c r="AE1192" t="s">
        <v>63</v>
      </c>
      <c r="AI1192">
        <v>3</v>
      </c>
      <c r="AV1192" t="s">
        <v>256</v>
      </c>
    </row>
    <row r="1193" spans="1:48" x14ac:dyDescent="0.3">
      <c r="A1193" t="s">
        <v>1567</v>
      </c>
      <c r="C1193" t="s">
        <v>1495</v>
      </c>
      <c r="D1193" t="s">
        <v>470</v>
      </c>
      <c r="E1193">
        <v>10000000</v>
      </c>
      <c r="H1193">
        <v>10</v>
      </c>
      <c r="I1193" t="s">
        <v>82</v>
      </c>
      <c r="J1193">
        <v>9.9999999999999991E-6</v>
      </c>
      <c r="K1193" t="s">
        <v>252</v>
      </c>
      <c r="O1193">
        <v>10</v>
      </c>
      <c r="P1193" t="s">
        <v>1568</v>
      </c>
      <c r="T1193">
        <v>10</v>
      </c>
      <c r="V1193">
        <v>50</v>
      </c>
      <c r="W1193" t="s">
        <v>1057</v>
      </c>
      <c r="X1193" t="s">
        <v>957</v>
      </c>
      <c r="Y1193">
        <v>10</v>
      </c>
      <c r="AB1193">
        <v>7.3108504398826799</v>
      </c>
      <c r="AC1193" t="s">
        <v>85</v>
      </c>
      <c r="AE1193" t="s">
        <v>63</v>
      </c>
      <c r="AI1193">
        <v>3</v>
      </c>
      <c r="AV1193" t="s">
        <v>256</v>
      </c>
    </row>
    <row r="1194" spans="1:48" x14ac:dyDescent="0.3">
      <c r="A1194" t="s">
        <v>1567</v>
      </c>
      <c r="C1194" t="s">
        <v>1495</v>
      </c>
      <c r="D1194" t="s">
        <v>470</v>
      </c>
      <c r="E1194">
        <v>10000000</v>
      </c>
      <c r="H1194">
        <v>10</v>
      </c>
      <c r="I1194" t="s">
        <v>82</v>
      </c>
      <c r="J1194">
        <v>9.9999999999999991E-6</v>
      </c>
      <c r="K1194" t="s">
        <v>252</v>
      </c>
      <c r="O1194">
        <v>10</v>
      </c>
      <c r="P1194" t="s">
        <v>1568</v>
      </c>
      <c r="T1194">
        <v>22</v>
      </c>
      <c r="V1194">
        <v>50</v>
      </c>
      <c r="W1194" t="s">
        <v>1057</v>
      </c>
      <c r="X1194" t="s">
        <v>957</v>
      </c>
      <c r="Y1194">
        <v>10</v>
      </c>
      <c r="AB1194">
        <v>5.80645161290321</v>
      </c>
      <c r="AC1194" t="s">
        <v>85</v>
      </c>
      <c r="AE1194" t="s">
        <v>63</v>
      </c>
      <c r="AI1194">
        <v>3</v>
      </c>
      <c r="AV1194" t="s">
        <v>256</v>
      </c>
    </row>
    <row r="1195" spans="1:48" x14ac:dyDescent="0.3">
      <c r="A1195" t="s">
        <v>1567</v>
      </c>
      <c r="C1195" t="s">
        <v>1495</v>
      </c>
      <c r="D1195" t="s">
        <v>470</v>
      </c>
      <c r="E1195">
        <v>10000000</v>
      </c>
      <c r="H1195">
        <v>10</v>
      </c>
      <c r="I1195" t="s">
        <v>82</v>
      </c>
      <c r="J1195">
        <v>9.9999999999999991E-6</v>
      </c>
      <c r="K1195" t="s">
        <v>252</v>
      </c>
      <c r="O1195">
        <v>10</v>
      </c>
      <c r="P1195" t="s">
        <v>1568</v>
      </c>
      <c r="T1195">
        <v>55</v>
      </c>
      <c r="V1195">
        <v>50</v>
      </c>
      <c r="W1195" t="s">
        <v>1057</v>
      </c>
      <c r="X1195" t="s">
        <v>957</v>
      </c>
      <c r="Y1195">
        <v>10</v>
      </c>
      <c r="AB1195">
        <v>8.4985337243401702</v>
      </c>
      <c r="AC1195" t="s">
        <v>85</v>
      </c>
      <c r="AE1195" t="s">
        <v>63</v>
      </c>
      <c r="AI1195">
        <v>3</v>
      </c>
      <c r="AV1195" t="s">
        <v>256</v>
      </c>
    </row>
    <row r="1196" spans="1:48" x14ac:dyDescent="0.3">
      <c r="A1196" t="s">
        <v>1567</v>
      </c>
      <c r="C1196" t="s">
        <v>1495</v>
      </c>
      <c r="D1196" t="s">
        <v>470</v>
      </c>
      <c r="E1196">
        <v>10000000</v>
      </c>
      <c r="H1196">
        <v>10</v>
      </c>
      <c r="I1196" t="s">
        <v>82</v>
      </c>
      <c r="J1196">
        <v>9.9999999999999991E-6</v>
      </c>
      <c r="K1196" t="s">
        <v>252</v>
      </c>
      <c r="O1196">
        <v>6</v>
      </c>
      <c r="P1196" t="s">
        <v>59</v>
      </c>
      <c r="T1196">
        <v>-5</v>
      </c>
      <c r="V1196">
        <v>50</v>
      </c>
      <c r="W1196" t="s">
        <v>1057</v>
      </c>
      <c r="X1196" t="s">
        <v>957</v>
      </c>
      <c r="Y1196">
        <v>10</v>
      </c>
      <c r="AB1196">
        <v>3.3255131964809301</v>
      </c>
      <c r="AC1196" t="s">
        <v>85</v>
      </c>
      <c r="AE1196" t="s">
        <v>63</v>
      </c>
      <c r="AI1196">
        <v>3</v>
      </c>
      <c r="AV1196" t="s">
        <v>256</v>
      </c>
    </row>
    <row r="1197" spans="1:48" x14ac:dyDescent="0.3">
      <c r="A1197" t="s">
        <v>1567</v>
      </c>
      <c r="C1197" t="s">
        <v>1495</v>
      </c>
      <c r="D1197" t="s">
        <v>470</v>
      </c>
      <c r="E1197">
        <v>10000000</v>
      </c>
      <c r="H1197">
        <v>10</v>
      </c>
      <c r="I1197" t="s">
        <v>82</v>
      </c>
      <c r="J1197">
        <v>9.9999999999999991E-6</v>
      </c>
      <c r="K1197" t="s">
        <v>252</v>
      </c>
      <c r="O1197">
        <v>6</v>
      </c>
      <c r="P1197" t="s">
        <v>59</v>
      </c>
      <c r="T1197">
        <v>10</v>
      </c>
      <c r="V1197">
        <v>50</v>
      </c>
      <c r="W1197" t="s">
        <v>1057</v>
      </c>
      <c r="X1197" t="s">
        <v>957</v>
      </c>
      <c r="Y1197">
        <v>10</v>
      </c>
      <c r="AB1197">
        <v>8.0498533724340007</v>
      </c>
      <c r="AC1197" t="s">
        <v>85</v>
      </c>
      <c r="AE1197" t="s">
        <v>63</v>
      </c>
      <c r="AI1197">
        <v>3</v>
      </c>
      <c r="AV1197" t="s">
        <v>256</v>
      </c>
    </row>
    <row r="1198" spans="1:48" x14ac:dyDescent="0.3">
      <c r="A1198" t="s">
        <v>1567</v>
      </c>
      <c r="C1198" t="s">
        <v>1495</v>
      </c>
      <c r="D1198" t="s">
        <v>470</v>
      </c>
      <c r="E1198">
        <v>10000000</v>
      </c>
      <c r="H1198">
        <v>10</v>
      </c>
      <c r="I1198" t="s">
        <v>82</v>
      </c>
      <c r="J1198">
        <v>9.9999999999999991E-6</v>
      </c>
      <c r="K1198" t="s">
        <v>252</v>
      </c>
      <c r="O1198">
        <v>6</v>
      </c>
      <c r="P1198" t="s">
        <v>59</v>
      </c>
      <c r="T1198">
        <v>22</v>
      </c>
      <c r="V1198">
        <v>50</v>
      </c>
      <c r="W1198" t="s">
        <v>1057</v>
      </c>
      <c r="X1198" t="s">
        <v>957</v>
      </c>
      <c r="Y1198">
        <v>10</v>
      </c>
      <c r="AB1198">
        <v>7.86510263929617</v>
      </c>
      <c r="AC1198" t="s">
        <v>85</v>
      </c>
      <c r="AE1198" t="s">
        <v>63</v>
      </c>
      <c r="AI1198">
        <v>3</v>
      </c>
      <c r="AV1198" t="s">
        <v>256</v>
      </c>
    </row>
    <row r="1199" spans="1:48" x14ac:dyDescent="0.3">
      <c r="A1199" t="s">
        <v>1567</v>
      </c>
      <c r="C1199" t="s">
        <v>1495</v>
      </c>
      <c r="D1199" t="s">
        <v>470</v>
      </c>
      <c r="E1199">
        <v>10000000</v>
      </c>
      <c r="H1199">
        <v>10</v>
      </c>
      <c r="I1199" t="s">
        <v>82</v>
      </c>
      <c r="J1199">
        <v>9.9999999999999991E-6</v>
      </c>
      <c r="K1199" t="s">
        <v>252</v>
      </c>
      <c r="O1199">
        <v>6</v>
      </c>
      <c r="P1199" t="s">
        <v>59</v>
      </c>
      <c r="T1199">
        <v>55</v>
      </c>
      <c r="V1199">
        <v>50</v>
      </c>
      <c r="W1199" t="s">
        <v>1057</v>
      </c>
      <c r="X1199" t="s">
        <v>957</v>
      </c>
      <c r="Y1199">
        <v>10</v>
      </c>
      <c r="AB1199">
        <v>8.4985337243401702</v>
      </c>
      <c r="AC1199" t="s">
        <v>85</v>
      </c>
      <c r="AE1199" t="s">
        <v>63</v>
      </c>
      <c r="AI1199">
        <v>3</v>
      </c>
      <c r="AV1199" t="s">
        <v>256</v>
      </c>
    </row>
    <row r="1200" spans="1:48" x14ac:dyDescent="0.3">
      <c r="A1200" t="s">
        <v>1567</v>
      </c>
      <c r="C1200" t="s">
        <v>1495</v>
      </c>
      <c r="D1200" t="s">
        <v>470</v>
      </c>
      <c r="E1200">
        <v>10000000</v>
      </c>
      <c r="H1200">
        <v>10</v>
      </c>
      <c r="I1200" t="s">
        <v>82</v>
      </c>
      <c r="J1200">
        <v>9.9999999999999991E-6</v>
      </c>
      <c r="K1200" t="s">
        <v>252</v>
      </c>
      <c r="O1200">
        <v>0.6</v>
      </c>
      <c r="P1200" t="s">
        <v>59</v>
      </c>
      <c r="T1200">
        <v>-5</v>
      </c>
      <c r="V1200">
        <v>50</v>
      </c>
      <c r="W1200" t="s">
        <v>1057</v>
      </c>
      <c r="X1200" t="s">
        <v>957</v>
      </c>
      <c r="Y1200">
        <v>10</v>
      </c>
      <c r="AB1200">
        <v>7.9178885630498602E-2</v>
      </c>
      <c r="AC1200" t="s">
        <v>85</v>
      </c>
      <c r="AE1200" t="s">
        <v>63</v>
      </c>
      <c r="AI1200">
        <v>3</v>
      </c>
      <c r="AV1200" t="s">
        <v>256</v>
      </c>
    </row>
    <row r="1201" spans="1:52" x14ac:dyDescent="0.3">
      <c r="A1201" t="s">
        <v>1567</v>
      </c>
      <c r="C1201" t="s">
        <v>1495</v>
      </c>
      <c r="D1201" t="s">
        <v>470</v>
      </c>
      <c r="E1201">
        <v>10000000</v>
      </c>
      <c r="H1201">
        <v>10</v>
      </c>
      <c r="I1201" t="s">
        <v>82</v>
      </c>
      <c r="J1201">
        <v>9.9999999999999991E-6</v>
      </c>
      <c r="K1201" t="s">
        <v>252</v>
      </c>
      <c r="O1201">
        <v>0.6</v>
      </c>
      <c r="P1201" t="s">
        <v>59</v>
      </c>
      <c r="T1201">
        <v>10</v>
      </c>
      <c r="V1201">
        <v>50</v>
      </c>
      <c r="W1201" t="s">
        <v>1057</v>
      </c>
      <c r="X1201" t="s">
        <v>957</v>
      </c>
      <c r="Y1201">
        <v>10</v>
      </c>
      <c r="AB1201">
        <v>0.21114369501466301</v>
      </c>
      <c r="AC1201" t="s">
        <v>85</v>
      </c>
      <c r="AE1201" t="s">
        <v>63</v>
      </c>
      <c r="AI1201">
        <v>3</v>
      </c>
      <c r="AV1201" t="s">
        <v>256</v>
      </c>
    </row>
    <row r="1202" spans="1:52" x14ac:dyDescent="0.3">
      <c r="A1202" t="s">
        <v>1567</v>
      </c>
      <c r="C1202" t="s">
        <v>1495</v>
      </c>
      <c r="D1202" t="s">
        <v>470</v>
      </c>
      <c r="E1202">
        <v>10000000</v>
      </c>
      <c r="H1202">
        <v>10</v>
      </c>
      <c r="I1202" t="s">
        <v>82</v>
      </c>
      <c r="J1202">
        <v>9.9999999999999991E-6</v>
      </c>
      <c r="K1202" t="s">
        <v>252</v>
      </c>
      <c r="O1202">
        <v>0.6</v>
      </c>
      <c r="P1202" t="s">
        <v>59</v>
      </c>
      <c r="T1202">
        <v>22</v>
      </c>
      <c r="V1202">
        <v>50</v>
      </c>
      <c r="W1202" t="s">
        <v>1057</v>
      </c>
      <c r="X1202" t="s">
        <v>957</v>
      </c>
      <c r="Y1202">
        <v>10</v>
      </c>
      <c r="AB1202">
        <v>0.237536656891496</v>
      </c>
      <c r="AC1202" t="s">
        <v>85</v>
      </c>
      <c r="AE1202" t="s">
        <v>63</v>
      </c>
      <c r="AI1202">
        <v>3</v>
      </c>
      <c r="AV1202" t="s">
        <v>256</v>
      </c>
    </row>
    <row r="1203" spans="1:52" x14ac:dyDescent="0.3">
      <c r="A1203" t="s">
        <v>1567</v>
      </c>
      <c r="C1203" t="s">
        <v>1495</v>
      </c>
      <c r="D1203" t="s">
        <v>470</v>
      </c>
      <c r="E1203">
        <v>10000000</v>
      </c>
      <c r="H1203">
        <v>10</v>
      </c>
      <c r="I1203" t="s">
        <v>82</v>
      </c>
      <c r="J1203">
        <v>9.9999999999999991E-6</v>
      </c>
      <c r="K1203" t="s">
        <v>252</v>
      </c>
      <c r="O1203">
        <v>0.6</v>
      </c>
      <c r="P1203" t="s">
        <v>59</v>
      </c>
      <c r="T1203">
        <v>55</v>
      </c>
      <c r="V1203">
        <v>50</v>
      </c>
      <c r="W1203" t="s">
        <v>1057</v>
      </c>
      <c r="X1203" t="s">
        <v>957</v>
      </c>
      <c r="Y1203">
        <v>10</v>
      </c>
      <c r="AB1203">
        <v>8.5249266862170003</v>
      </c>
      <c r="AC1203" t="s">
        <v>85</v>
      </c>
      <c r="AE1203" t="s">
        <v>63</v>
      </c>
      <c r="AI1203">
        <v>3</v>
      </c>
      <c r="AV1203" t="s">
        <v>256</v>
      </c>
    </row>
    <row r="1204" spans="1:52" x14ac:dyDescent="0.3">
      <c r="A1204" t="s">
        <v>1567</v>
      </c>
      <c r="C1204" t="s">
        <v>1495</v>
      </c>
      <c r="D1204" t="s">
        <v>470</v>
      </c>
      <c r="E1204">
        <v>10000000</v>
      </c>
      <c r="H1204">
        <v>10</v>
      </c>
      <c r="I1204" t="s">
        <v>82</v>
      </c>
      <c r="J1204">
        <v>9.9999999999999991E-6</v>
      </c>
      <c r="K1204" t="s">
        <v>252</v>
      </c>
      <c r="O1204">
        <v>10</v>
      </c>
      <c r="P1204" t="s">
        <v>1568</v>
      </c>
      <c r="T1204">
        <v>22</v>
      </c>
      <c r="V1204">
        <v>50</v>
      </c>
      <c r="W1204" t="s">
        <v>1057</v>
      </c>
      <c r="X1204" t="s">
        <v>957</v>
      </c>
      <c r="Y1204">
        <v>0.16666666666666671</v>
      </c>
      <c r="AB1204">
        <v>7.93</v>
      </c>
      <c r="AC1204" t="s">
        <v>85</v>
      </c>
      <c r="AE1204" t="s">
        <v>63</v>
      </c>
      <c r="AI1204">
        <v>3</v>
      </c>
      <c r="AV1204" t="s">
        <v>256</v>
      </c>
    </row>
    <row r="1205" spans="1:52" x14ac:dyDescent="0.3">
      <c r="A1205" t="s">
        <v>1567</v>
      </c>
      <c r="C1205" t="s">
        <v>1495</v>
      </c>
      <c r="D1205" t="s">
        <v>470</v>
      </c>
      <c r="E1205">
        <v>10000000</v>
      </c>
      <c r="H1205">
        <v>10</v>
      </c>
      <c r="I1205" t="s">
        <v>82</v>
      </c>
      <c r="J1205">
        <v>9.9999999999999991E-6</v>
      </c>
      <c r="K1205" t="s">
        <v>252</v>
      </c>
      <c r="O1205">
        <v>10</v>
      </c>
      <c r="P1205" t="s">
        <v>1568</v>
      </c>
      <c r="T1205">
        <v>22</v>
      </c>
      <c r="V1205">
        <v>50</v>
      </c>
      <c r="W1205" t="s">
        <v>1057</v>
      </c>
      <c r="X1205" t="s">
        <v>957</v>
      </c>
      <c r="Y1205">
        <v>0.16666666666666671</v>
      </c>
      <c r="AB1205">
        <v>7.93</v>
      </c>
      <c r="AC1205" t="s">
        <v>85</v>
      </c>
      <c r="AE1205" t="s">
        <v>63</v>
      </c>
      <c r="AI1205">
        <v>3</v>
      </c>
      <c r="AV1205" t="s">
        <v>256</v>
      </c>
    </row>
    <row r="1206" spans="1:52" x14ac:dyDescent="0.3">
      <c r="A1206" t="s">
        <v>1567</v>
      </c>
      <c r="C1206" t="s">
        <v>1495</v>
      </c>
      <c r="D1206" t="s">
        <v>470</v>
      </c>
      <c r="E1206">
        <v>10000000</v>
      </c>
      <c r="H1206">
        <v>10</v>
      </c>
      <c r="I1206" t="s">
        <v>82</v>
      </c>
      <c r="J1206">
        <v>9.9999999999999991E-6</v>
      </c>
      <c r="K1206" t="s">
        <v>252</v>
      </c>
      <c r="O1206">
        <v>10</v>
      </c>
      <c r="P1206" t="s">
        <v>1568</v>
      </c>
      <c r="T1206">
        <v>22</v>
      </c>
      <c r="V1206">
        <v>50</v>
      </c>
      <c r="W1206" t="s">
        <v>1057</v>
      </c>
      <c r="X1206" t="s">
        <v>957</v>
      </c>
      <c r="Y1206">
        <v>0.16666666666666671</v>
      </c>
      <c r="AB1206">
        <v>7.47</v>
      </c>
      <c r="AC1206" t="s">
        <v>85</v>
      </c>
      <c r="AE1206" t="s">
        <v>63</v>
      </c>
      <c r="AI1206">
        <v>3</v>
      </c>
      <c r="AV1206" t="s">
        <v>256</v>
      </c>
    </row>
    <row r="1207" spans="1:52" x14ac:dyDescent="0.3">
      <c r="A1207" t="s">
        <v>1567</v>
      </c>
      <c r="C1207" t="s">
        <v>1495</v>
      </c>
      <c r="D1207" t="s">
        <v>470</v>
      </c>
      <c r="E1207">
        <v>10000000</v>
      </c>
      <c r="H1207">
        <v>10</v>
      </c>
      <c r="I1207" t="s">
        <v>82</v>
      </c>
      <c r="J1207">
        <v>9.9999999999999991E-6</v>
      </c>
      <c r="K1207" t="s">
        <v>252</v>
      </c>
      <c r="O1207">
        <v>10</v>
      </c>
      <c r="P1207" t="s">
        <v>1568</v>
      </c>
      <c r="T1207">
        <v>22</v>
      </c>
      <c r="V1207">
        <v>50</v>
      </c>
      <c r="W1207" t="s">
        <v>1057</v>
      </c>
      <c r="X1207" t="s">
        <v>957</v>
      </c>
      <c r="Y1207">
        <v>0.16666666666666671</v>
      </c>
      <c r="Z1207">
        <v>4</v>
      </c>
      <c r="AB1207">
        <v>0.95</v>
      </c>
      <c r="AC1207" t="s">
        <v>85</v>
      </c>
      <c r="AE1207" t="s">
        <v>63</v>
      </c>
      <c r="AI1207">
        <v>3</v>
      </c>
      <c r="AV1207" t="s">
        <v>256</v>
      </c>
    </row>
    <row r="1208" spans="1:52" x14ac:dyDescent="0.3">
      <c r="A1208" t="s">
        <v>1567</v>
      </c>
      <c r="C1208" t="s">
        <v>1495</v>
      </c>
      <c r="D1208" t="s">
        <v>470</v>
      </c>
      <c r="E1208">
        <v>10000000</v>
      </c>
      <c r="H1208">
        <v>10</v>
      </c>
      <c r="I1208" t="s">
        <v>82</v>
      </c>
      <c r="J1208">
        <v>9.9999999999999991E-6</v>
      </c>
      <c r="K1208" t="s">
        <v>252</v>
      </c>
      <c r="O1208">
        <v>0.6</v>
      </c>
      <c r="P1208" t="s">
        <v>59</v>
      </c>
      <c r="T1208">
        <v>22</v>
      </c>
      <c r="V1208">
        <v>50</v>
      </c>
      <c r="W1208" t="s">
        <v>1057</v>
      </c>
      <c r="X1208" t="s">
        <v>957</v>
      </c>
      <c r="Y1208">
        <v>0.16666666666666671</v>
      </c>
      <c r="Z1208">
        <v>4</v>
      </c>
      <c r="AB1208">
        <v>8.08</v>
      </c>
      <c r="AC1208" t="s">
        <v>85</v>
      </c>
      <c r="AE1208" t="s">
        <v>63</v>
      </c>
      <c r="AI1208">
        <v>3</v>
      </c>
      <c r="AV1208" t="s">
        <v>256</v>
      </c>
    </row>
    <row r="1209" spans="1:52" x14ac:dyDescent="0.3">
      <c r="A1209" t="s">
        <v>1567</v>
      </c>
      <c r="C1209" t="s">
        <v>1495</v>
      </c>
      <c r="D1209" t="s">
        <v>470</v>
      </c>
      <c r="E1209">
        <v>100000000</v>
      </c>
      <c r="H1209">
        <v>10</v>
      </c>
      <c r="I1209" t="s">
        <v>82</v>
      </c>
      <c r="J1209">
        <v>9.9999999999999991E-6</v>
      </c>
      <c r="K1209" t="s">
        <v>252</v>
      </c>
      <c r="O1209">
        <v>10</v>
      </c>
      <c r="P1209" t="s">
        <v>1568</v>
      </c>
      <c r="T1209">
        <v>22</v>
      </c>
      <c r="V1209">
        <v>50</v>
      </c>
      <c r="W1209" t="s">
        <v>1057</v>
      </c>
      <c r="X1209" t="s">
        <v>957</v>
      </c>
      <c r="Y1209">
        <v>10</v>
      </c>
      <c r="Z1209">
        <v>4</v>
      </c>
      <c r="AB1209">
        <v>8.6999999999999904</v>
      </c>
      <c r="AC1209" t="s">
        <v>85</v>
      </c>
      <c r="AE1209" t="s">
        <v>63</v>
      </c>
      <c r="AI1209">
        <v>1</v>
      </c>
      <c r="AV1209" t="s">
        <v>256</v>
      </c>
    </row>
    <row r="1210" spans="1:52" x14ac:dyDescent="0.3">
      <c r="A1210" t="s">
        <v>1569</v>
      </c>
      <c r="C1210" t="s">
        <v>1495</v>
      </c>
      <c r="H1210">
        <v>50</v>
      </c>
      <c r="I1210" t="s">
        <v>82</v>
      </c>
      <c r="J1210">
        <v>5.0000000000000002E-5</v>
      </c>
      <c r="K1210" t="s">
        <v>252</v>
      </c>
      <c r="L1210" t="s">
        <v>58</v>
      </c>
      <c r="N1210" t="s">
        <v>1570</v>
      </c>
      <c r="O1210">
        <v>0.63</v>
      </c>
      <c r="P1210" t="s">
        <v>927</v>
      </c>
      <c r="T1210">
        <v>25</v>
      </c>
      <c r="V1210">
        <v>50</v>
      </c>
      <c r="W1210" t="s">
        <v>1057</v>
      </c>
      <c r="X1210" t="s">
        <v>932</v>
      </c>
      <c r="Y1210">
        <v>600</v>
      </c>
      <c r="Z1210">
        <v>4</v>
      </c>
      <c r="AB1210">
        <v>0</v>
      </c>
      <c r="AC1210" t="s">
        <v>297</v>
      </c>
      <c r="AI1210">
        <v>3</v>
      </c>
      <c r="AV1210" t="s">
        <v>256</v>
      </c>
      <c r="AZ1210">
        <v>0</v>
      </c>
    </row>
    <row r="1211" spans="1:52" x14ac:dyDescent="0.3">
      <c r="A1211" t="s">
        <v>1569</v>
      </c>
      <c r="C1211" t="s">
        <v>1495</v>
      </c>
      <c r="H1211">
        <v>50</v>
      </c>
      <c r="I1211" t="s">
        <v>82</v>
      </c>
      <c r="J1211">
        <v>5.0000000000000002E-5</v>
      </c>
      <c r="K1211" t="s">
        <v>252</v>
      </c>
      <c r="L1211" t="s">
        <v>58</v>
      </c>
      <c r="N1211" t="s">
        <v>1570</v>
      </c>
      <c r="O1211">
        <v>2.5</v>
      </c>
      <c r="P1211" t="s">
        <v>927</v>
      </c>
      <c r="T1211">
        <v>25</v>
      </c>
      <c r="V1211">
        <v>50</v>
      </c>
      <c r="W1211" t="s">
        <v>1057</v>
      </c>
      <c r="X1211" t="s">
        <v>932</v>
      </c>
      <c r="Y1211">
        <v>600</v>
      </c>
      <c r="Z1211">
        <v>4</v>
      </c>
      <c r="AB1211">
        <v>0</v>
      </c>
      <c r="AC1211" t="s">
        <v>297</v>
      </c>
      <c r="AI1211">
        <v>3</v>
      </c>
      <c r="AV1211" t="s">
        <v>256</v>
      </c>
      <c r="AZ1211">
        <v>0</v>
      </c>
    </row>
    <row r="1212" spans="1:52" x14ac:dyDescent="0.3">
      <c r="A1212" t="s">
        <v>1569</v>
      </c>
      <c r="C1212" t="s">
        <v>1495</v>
      </c>
      <c r="H1212">
        <v>50</v>
      </c>
      <c r="I1212" t="s">
        <v>82</v>
      </c>
      <c r="J1212">
        <v>5.0000000000000002E-5</v>
      </c>
      <c r="K1212" t="s">
        <v>252</v>
      </c>
      <c r="L1212" t="s">
        <v>58</v>
      </c>
      <c r="N1212" t="s">
        <v>1570</v>
      </c>
      <c r="O1212">
        <v>2</v>
      </c>
      <c r="P1212" t="s">
        <v>927</v>
      </c>
      <c r="T1212">
        <v>25</v>
      </c>
      <c r="V1212">
        <v>50</v>
      </c>
      <c r="W1212" t="s">
        <v>1057</v>
      </c>
      <c r="X1212" t="s">
        <v>932</v>
      </c>
      <c r="Y1212">
        <v>600</v>
      </c>
      <c r="Z1212">
        <v>4</v>
      </c>
      <c r="AB1212">
        <v>0</v>
      </c>
      <c r="AC1212" t="s">
        <v>297</v>
      </c>
      <c r="AI1212">
        <v>3</v>
      </c>
      <c r="AV1212" t="s">
        <v>256</v>
      </c>
      <c r="AZ1212">
        <v>0</v>
      </c>
    </row>
    <row r="1213" spans="1:52" x14ac:dyDescent="0.3">
      <c r="A1213" t="s">
        <v>1569</v>
      </c>
      <c r="C1213" t="s">
        <v>1495</v>
      </c>
      <c r="H1213">
        <v>50</v>
      </c>
      <c r="I1213" t="s">
        <v>82</v>
      </c>
      <c r="J1213">
        <v>5.0000000000000002E-5</v>
      </c>
      <c r="K1213" t="s">
        <v>252</v>
      </c>
      <c r="L1213" t="s">
        <v>58</v>
      </c>
      <c r="N1213" t="s">
        <v>1570</v>
      </c>
      <c r="O1213">
        <v>2</v>
      </c>
      <c r="P1213" t="s">
        <v>927</v>
      </c>
      <c r="T1213">
        <v>25</v>
      </c>
      <c r="V1213">
        <v>50</v>
      </c>
      <c r="W1213" t="s">
        <v>1057</v>
      </c>
      <c r="X1213" t="s">
        <v>932</v>
      </c>
      <c r="Y1213">
        <v>600</v>
      </c>
      <c r="Z1213">
        <v>4</v>
      </c>
      <c r="AB1213">
        <v>0</v>
      </c>
      <c r="AC1213" t="s">
        <v>297</v>
      </c>
      <c r="AI1213">
        <v>3</v>
      </c>
      <c r="AV1213" t="s">
        <v>256</v>
      </c>
      <c r="AZ1213">
        <v>0</v>
      </c>
    </row>
    <row r="1214" spans="1:52" x14ac:dyDescent="0.3">
      <c r="A1214" t="s">
        <v>1569</v>
      </c>
      <c r="C1214" t="s">
        <v>1495</v>
      </c>
      <c r="H1214">
        <v>50</v>
      </c>
      <c r="I1214" t="s">
        <v>82</v>
      </c>
      <c r="J1214">
        <v>5.0000000000000002E-5</v>
      </c>
      <c r="K1214" t="s">
        <v>252</v>
      </c>
      <c r="L1214" t="s">
        <v>58</v>
      </c>
      <c r="N1214" t="s">
        <v>1570</v>
      </c>
      <c r="O1214">
        <v>80</v>
      </c>
      <c r="P1214" t="s">
        <v>121</v>
      </c>
      <c r="T1214">
        <v>25</v>
      </c>
      <c r="V1214">
        <v>50</v>
      </c>
      <c r="W1214" t="s">
        <v>1057</v>
      </c>
      <c r="X1214" t="s">
        <v>932</v>
      </c>
      <c r="Y1214">
        <v>600</v>
      </c>
      <c r="Z1214">
        <v>4</v>
      </c>
      <c r="AB1214">
        <v>0</v>
      </c>
      <c r="AC1214" t="s">
        <v>297</v>
      </c>
      <c r="AI1214">
        <v>3</v>
      </c>
      <c r="AV1214" t="s">
        <v>256</v>
      </c>
      <c r="AZ1214">
        <v>0</v>
      </c>
    </row>
    <row r="1215" spans="1:52" x14ac:dyDescent="0.3">
      <c r="A1215" t="s">
        <v>1569</v>
      </c>
      <c r="C1215" t="s">
        <v>1495</v>
      </c>
      <c r="H1215">
        <v>50</v>
      </c>
      <c r="I1215" t="s">
        <v>82</v>
      </c>
      <c r="J1215">
        <v>5.0000000000000002E-5</v>
      </c>
      <c r="K1215" t="s">
        <v>252</v>
      </c>
      <c r="L1215" t="s">
        <v>58</v>
      </c>
      <c r="N1215" t="s">
        <v>1570</v>
      </c>
      <c r="O1215">
        <v>7.5</v>
      </c>
      <c r="P1215" t="s">
        <v>927</v>
      </c>
      <c r="T1215">
        <v>25</v>
      </c>
      <c r="V1215">
        <v>50</v>
      </c>
      <c r="W1215" t="s">
        <v>1057</v>
      </c>
      <c r="X1215" t="s">
        <v>932</v>
      </c>
      <c r="Y1215">
        <v>360</v>
      </c>
      <c r="Z1215">
        <v>4</v>
      </c>
      <c r="AB1215">
        <v>0</v>
      </c>
      <c r="AC1215" t="s">
        <v>297</v>
      </c>
      <c r="AI1215">
        <v>3</v>
      </c>
      <c r="AV1215" t="s">
        <v>256</v>
      </c>
      <c r="AZ1215">
        <v>0</v>
      </c>
    </row>
    <row r="1216" spans="1:52" x14ac:dyDescent="0.3">
      <c r="A1216" t="s">
        <v>1569</v>
      </c>
      <c r="C1216" t="s">
        <v>1495</v>
      </c>
      <c r="H1216">
        <v>50</v>
      </c>
      <c r="I1216" t="s">
        <v>82</v>
      </c>
      <c r="J1216">
        <v>5.0000000000000002E-5</v>
      </c>
      <c r="K1216" t="s">
        <v>252</v>
      </c>
      <c r="L1216" t="s">
        <v>58</v>
      </c>
      <c r="N1216" t="s">
        <v>1570</v>
      </c>
      <c r="O1216">
        <v>4.8000000000000001E-2</v>
      </c>
      <c r="P1216" t="s">
        <v>927</v>
      </c>
      <c r="T1216">
        <v>25</v>
      </c>
      <c r="V1216">
        <v>50</v>
      </c>
      <c r="W1216" t="s">
        <v>1057</v>
      </c>
      <c r="X1216" t="s">
        <v>932</v>
      </c>
      <c r="Y1216">
        <v>600</v>
      </c>
      <c r="Z1216">
        <v>4</v>
      </c>
      <c r="AB1216">
        <v>0</v>
      </c>
      <c r="AC1216" t="s">
        <v>297</v>
      </c>
      <c r="AI1216">
        <v>3</v>
      </c>
      <c r="AV1216" t="s">
        <v>256</v>
      </c>
      <c r="AZ1216">
        <v>0</v>
      </c>
    </row>
    <row r="1217" spans="1:48" x14ac:dyDescent="0.3">
      <c r="A1217" t="s">
        <v>1569</v>
      </c>
      <c r="C1217" t="s">
        <v>1495</v>
      </c>
      <c r="H1217">
        <v>50</v>
      </c>
      <c r="I1217" t="s">
        <v>82</v>
      </c>
      <c r="J1217">
        <v>5.0000000000000002E-5</v>
      </c>
      <c r="K1217" t="s">
        <v>252</v>
      </c>
      <c r="L1217" t="s">
        <v>58</v>
      </c>
      <c r="N1217" t="s">
        <v>1570</v>
      </c>
      <c r="O1217">
        <v>0.55000000000000004</v>
      </c>
      <c r="P1217" t="s">
        <v>927</v>
      </c>
      <c r="T1217">
        <v>25</v>
      </c>
      <c r="V1217">
        <v>50</v>
      </c>
      <c r="W1217" t="s">
        <v>1057</v>
      </c>
      <c r="X1217" t="s">
        <v>932</v>
      </c>
      <c r="Y1217">
        <v>600</v>
      </c>
      <c r="Z1217">
        <v>1</v>
      </c>
      <c r="AI1217">
        <v>3</v>
      </c>
      <c r="AV1217" t="s">
        <v>256</v>
      </c>
    </row>
    <row r="1218" spans="1:48" x14ac:dyDescent="0.3">
      <c r="A1218" t="s">
        <v>1571</v>
      </c>
      <c r="C1218" t="s">
        <v>1495</v>
      </c>
      <c r="O1218">
        <v>24</v>
      </c>
      <c r="P1218" t="s">
        <v>121</v>
      </c>
      <c r="T1218">
        <v>25</v>
      </c>
      <c r="V1218">
        <v>50</v>
      </c>
      <c r="W1218" t="s">
        <v>1544</v>
      </c>
      <c r="X1218" t="s">
        <v>932</v>
      </c>
      <c r="Z1218">
        <v>1</v>
      </c>
      <c r="AB1218">
        <v>101.33388969871601</v>
      </c>
      <c r="AC1218" t="s">
        <v>1197</v>
      </c>
      <c r="AI1218" t="s">
        <v>1572</v>
      </c>
    </row>
    <row r="1219" spans="1:48" x14ac:dyDescent="0.3">
      <c r="A1219" t="s">
        <v>1571</v>
      </c>
      <c r="C1219" t="s">
        <v>1495</v>
      </c>
      <c r="O1219">
        <v>24</v>
      </c>
      <c r="P1219" t="s">
        <v>121</v>
      </c>
      <c r="T1219">
        <v>25</v>
      </c>
      <c r="V1219">
        <v>50</v>
      </c>
      <c r="W1219" t="s">
        <v>1544</v>
      </c>
      <c r="X1219" t="s">
        <v>932</v>
      </c>
      <c r="Y1219">
        <v>1.9955654101995499</v>
      </c>
      <c r="Z1219">
        <v>2</v>
      </c>
      <c r="AB1219">
        <v>89.412645847906902</v>
      </c>
      <c r="AC1219" t="s">
        <v>1197</v>
      </c>
      <c r="AI1219" t="s">
        <v>1572</v>
      </c>
    </row>
    <row r="1220" spans="1:48" x14ac:dyDescent="0.3">
      <c r="A1220" t="s">
        <v>1571</v>
      </c>
      <c r="C1220" t="s">
        <v>1495</v>
      </c>
      <c r="O1220">
        <v>24</v>
      </c>
      <c r="P1220" t="s">
        <v>121</v>
      </c>
      <c r="T1220">
        <v>25</v>
      </c>
      <c r="V1220">
        <v>50</v>
      </c>
      <c r="W1220" t="s">
        <v>1544</v>
      </c>
      <c r="X1220" t="s">
        <v>932</v>
      </c>
      <c r="Y1220">
        <v>4.9667405764966697</v>
      </c>
      <c r="Z1220">
        <v>1</v>
      </c>
      <c r="AB1220">
        <v>66.190617367456696</v>
      </c>
      <c r="AC1220" t="s">
        <v>1197</v>
      </c>
      <c r="AI1220" t="s">
        <v>1572</v>
      </c>
    </row>
    <row r="1221" spans="1:48" x14ac:dyDescent="0.3">
      <c r="A1221" t="s">
        <v>1571</v>
      </c>
      <c r="C1221" t="s">
        <v>1495</v>
      </c>
      <c r="O1221">
        <v>24</v>
      </c>
      <c r="P1221" t="s">
        <v>121</v>
      </c>
      <c r="T1221">
        <v>25</v>
      </c>
      <c r="V1221">
        <v>50</v>
      </c>
      <c r="W1221" t="s">
        <v>1544</v>
      </c>
      <c r="X1221" t="s">
        <v>932</v>
      </c>
      <c r="Y1221">
        <v>7.982261640798221</v>
      </c>
      <c r="Z1221">
        <v>2</v>
      </c>
      <c r="AB1221">
        <v>20.353530863383401</v>
      </c>
      <c r="AC1221" t="s">
        <v>1197</v>
      </c>
      <c r="AI1221" t="s">
        <v>1572</v>
      </c>
    </row>
    <row r="1222" spans="1:48" x14ac:dyDescent="0.3">
      <c r="A1222" t="s">
        <v>1571</v>
      </c>
      <c r="C1222" t="s">
        <v>1495</v>
      </c>
      <c r="O1222">
        <v>24</v>
      </c>
      <c r="P1222" t="s">
        <v>121</v>
      </c>
      <c r="T1222">
        <v>25</v>
      </c>
      <c r="V1222">
        <v>50</v>
      </c>
      <c r="W1222" t="s">
        <v>1544</v>
      </c>
      <c r="X1222" t="s">
        <v>932</v>
      </c>
      <c r="Y1222">
        <v>10.9312638580931</v>
      </c>
      <c r="Z1222">
        <v>2</v>
      </c>
      <c r="AB1222">
        <v>0.79543781144223291</v>
      </c>
      <c r="AC1222" t="s">
        <v>1197</v>
      </c>
      <c r="AI1222" t="s">
        <v>1572</v>
      </c>
    </row>
    <row r="1223" spans="1:48" x14ac:dyDescent="0.3">
      <c r="A1223" t="s">
        <v>1571</v>
      </c>
      <c r="C1223" t="s">
        <v>1495</v>
      </c>
      <c r="O1223">
        <v>24</v>
      </c>
      <c r="P1223" t="s">
        <v>121</v>
      </c>
      <c r="T1223">
        <v>25</v>
      </c>
      <c r="V1223">
        <v>50</v>
      </c>
      <c r="W1223" t="s">
        <v>1544</v>
      </c>
      <c r="X1223" t="s">
        <v>932</v>
      </c>
      <c r="Z1223">
        <v>2</v>
      </c>
      <c r="AB1223">
        <v>107.513002110439</v>
      </c>
      <c r="AC1223" t="s">
        <v>1197</v>
      </c>
      <c r="AI1223" t="s">
        <v>1572</v>
      </c>
    </row>
    <row r="1224" spans="1:48" x14ac:dyDescent="0.3">
      <c r="A1224" t="s">
        <v>1571</v>
      </c>
      <c r="C1224" t="s">
        <v>1495</v>
      </c>
      <c r="O1224">
        <v>24</v>
      </c>
      <c r="P1224" t="s">
        <v>121</v>
      </c>
      <c r="T1224">
        <v>25</v>
      </c>
      <c r="V1224">
        <v>50</v>
      </c>
      <c r="W1224" t="s">
        <v>1544</v>
      </c>
      <c r="X1224" t="s">
        <v>932</v>
      </c>
      <c r="Y1224">
        <v>0.96904328337302115</v>
      </c>
      <c r="Z1224">
        <v>1</v>
      </c>
      <c r="AB1224">
        <v>90.013433101450303</v>
      </c>
      <c r="AC1224" t="s">
        <v>1197</v>
      </c>
      <c r="AI1224" t="s">
        <v>1572</v>
      </c>
    </row>
    <row r="1225" spans="1:48" x14ac:dyDescent="0.3">
      <c r="A1225" t="s">
        <v>1571</v>
      </c>
      <c r="C1225" t="s">
        <v>1495</v>
      </c>
      <c r="O1225">
        <v>24</v>
      </c>
      <c r="P1225" t="s">
        <v>121</v>
      </c>
      <c r="T1225">
        <v>25</v>
      </c>
      <c r="V1225">
        <v>50</v>
      </c>
      <c r="W1225" t="s">
        <v>1544</v>
      </c>
      <c r="X1225" t="s">
        <v>932</v>
      </c>
      <c r="Y1225">
        <v>1.92075220619134</v>
      </c>
      <c r="Z1225">
        <v>2</v>
      </c>
      <c r="AB1225">
        <v>100.699110384446</v>
      </c>
      <c r="AC1225" t="s">
        <v>1197</v>
      </c>
      <c r="AI1225" t="s">
        <v>1572</v>
      </c>
    </row>
    <row r="1226" spans="1:48" x14ac:dyDescent="0.3">
      <c r="A1226" t="s">
        <v>1571</v>
      </c>
      <c r="C1226" t="s">
        <v>1495</v>
      </c>
      <c r="O1226">
        <v>24</v>
      </c>
      <c r="P1226" t="s">
        <v>121</v>
      </c>
      <c r="T1226">
        <v>25</v>
      </c>
      <c r="V1226">
        <v>50</v>
      </c>
      <c r="W1226" t="s">
        <v>1544</v>
      </c>
      <c r="X1226" t="s">
        <v>932</v>
      </c>
      <c r="Y1226">
        <v>4.95668160806835</v>
      </c>
      <c r="Z1226">
        <v>1</v>
      </c>
      <c r="AB1226">
        <v>3.1701410251614899</v>
      </c>
      <c r="AC1226" t="s">
        <v>1197</v>
      </c>
      <c r="AI1226" t="s">
        <v>1572</v>
      </c>
    </row>
    <row r="1227" spans="1:48" x14ac:dyDescent="0.3">
      <c r="A1227" t="s">
        <v>1571</v>
      </c>
      <c r="C1227" t="s">
        <v>1495</v>
      </c>
      <c r="O1227">
        <v>24</v>
      </c>
      <c r="P1227" t="s">
        <v>121</v>
      </c>
      <c r="T1227">
        <v>25</v>
      </c>
      <c r="V1227">
        <v>50</v>
      </c>
      <c r="W1227" t="s">
        <v>1544</v>
      </c>
      <c r="X1227" t="s">
        <v>932</v>
      </c>
      <c r="Y1227">
        <v>7.9725451743941704</v>
      </c>
      <c r="Z1227">
        <v>2</v>
      </c>
      <c r="AB1227">
        <v>0.25216273582633397</v>
      </c>
      <c r="AC1227" t="s">
        <v>1197</v>
      </c>
      <c r="AI1227" t="s">
        <v>1572</v>
      </c>
    </row>
    <row r="1228" spans="1:48" x14ac:dyDescent="0.3">
      <c r="A1228" t="s">
        <v>1571</v>
      </c>
      <c r="C1228" t="s">
        <v>1495</v>
      </c>
      <c r="O1228">
        <v>2.4</v>
      </c>
      <c r="P1228" t="s">
        <v>121</v>
      </c>
      <c r="T1228">
        <v>25</v>
      </c>
      <c r="V1228">
        <v>50</v>
      </c>
      <c r="W1228" t="s">
        <v>1544</v>
      </c>
      <c r="X1228" t="s">
        <v>932</v>
      </c>
      <c r="Z1228">
        <v>2</v>
      </c>
      <c r="AB1228">
        <v>93.561734820803196</v>
      </c>
      <c r="AC1228" t="s">
        <v>1197</v>
      </c>
      <c r="AI1228" t="s">
        <v>1572</v>
      </c>
    </row>
    <row r="1229" spans="1:48" x14ac:dyDescent="0.3">
      <c r="A1229" t="s">
        <v>1571</v>
      </c>
      <c r="C1229" t="s">
        <v>1495</v>
      </c>
      <c r="O1229">
        <v>2.4</v>
      </c>
      <c r="P1229" t="s">
        <v>121</v>
      </c>
      <c r="T1229">
        <v>25</v>
      </c>
      <c r="V1229">
        <v>50</v>
      </c>
      <c r="W1229" t="s">
        <v>1544</v>
      </c>
      <c r="X1229" t="s">
        <v>932</v>
      </c>
      <c r="Y1229">
        <v>0.49667743844158202</v>
      </c>
      <c r="Z1229">
        <v>2</v>
      </c>
      <c r="AB1229">
        <v>94.815341306927905</v>
      </c>
      <c r="AC1229" t="s">
        <v>1197</v>
      </c>
      <c r="AI1229" t="s">
        <v>1572</v>
      </c>
    </row>
    <row r="1230" spans="1:48" x14ac:dyDescent="0.3">
      <c r="A1230" t="s">
        <v>1571</v>
      </c>
      <c r="C1230" t="s">
        <v>1495</v>
      </c>
      <c r="O1230">
        <v>2.4</v>
      </c>
      <c r="P1230" t="s">
        <v>121</v>
      </c>
      <c r="T1230">
        <v>25</v>
      </c>
      <c r="V1230">
        <v>50</v>
      </c>
      <c r="W1230" t="s">
        <v>1544</v>
      </c>
      <c r="X1230" t="s">
        <v>932</v>
      </c>
      <c r="Y1230">
        <v>1.50054617450275</v>
      </c>
      <c r="Z1230">
        <v>2</v>
      </c>
      <c r="AB1230">
        <v>96.085744501932197</v>
      </c>
      <c r="AC1230" t="s">
        <v>1197</v>
      </c>
      <c r="AI1230" t="s">
        <v>1572</v>
      </c>
    </row>
    <row r="1231" spans="1:48" x14ac:dyDescent="0.3">
      <c r="A1231" t="s">
        <v>1571</v>
      </c>
      <c r="C1231" t="s">
        <v>1495</v>
      </c>
      <c r="O1231">
        <v>2.4</v>
      </c>
      <c r="P1231" t="s">
        <v>121</v>
      </c>
      <c r="T1231">
        <v>25</v>
      </c>
      <c r="V1231">
        <v>50</v>
      </c>
      <c r="W1231" t="s">
        <v>1544</v>
      </c>
      <c r="X1231" t="s">
        <v>932</v>
      </c>
      <c r="Y1231">
        <v>3.00054617450275</v>
      </c>
      <c r="Z1231">
        <v>2</v>
      </c>
      <c r="AB1231">
        <v>96.085744501932197</v>
      </c>
      <c r="AC1231" t="s">
        <v>1197</v>
      </c>
      <c r="AI1231" t="s">
        <v>1572</v>
      </c>
    </row>
    <row r="1232" spans="1:48" x14ac:dyDescent="0.3">
      <c r="A1232" t="s">
        <v>1571</v>
      </c>
      <c r="C1232" t="s">
        <v>1495</v>
      </c>
      <c r="O1232">
        <v>2.4</v>
      </c>
      <c r="P1232" t="s">
        <v>121</v>
      </c>
      <c r="T1232">
        <v>25</v>
      </c>
      <c r="V1232">
        <v>50</v>
      </c>
      <c r="W1232" t="s">
        <v>1544</v>
      </c>
      <c r="X1232" t="s">
        <v>932</v>
      </c>
      <c r="Y1232">
        <v>6.00054617450275</v>
      </c>
      <c r="Z1232">
        <v>2</v>
      </c>
      <c r="AB1232">
        <v>96.085744501932197</v>
      </c>
      <c r="AC1232" t="s">
        <v>1197</v>
      </c>
      <c r="AI1232" t="s">
        <v>1572</v>
      </c>
    </row>
    <row r="1233" spans="1:53" x14ac:dyDescent="0.3">
      <c r="A1233" t="s">
        <v>1571</v>
      </c>
      <c r="C1233" t="s">
        <v>1495</v>
      </c>
      <c r="O1233">
        <v>240</v>
      </c>
      <c r="P1233" t="s">
        <v>121</v>
      </c>
      <c r="T1233">
        <v>25</v>
      </c>
      <c r="V1233">
        <v>50</v>
      </c>
      <c r="W1233" t="s">
        <v>1544</v>
      </c>
      <c r="X1233" t="s">
        <v>932</v>
      </c>
      <c r="Y1233">
        <v>5</v>
      </c>
      <c r="Z1233">
        <v>2</v>
      </c>
      <c r="AA1233" t="s">
        <v>184</v>
      </c>
      <c r="AB1233">
        <v>5</v>
      </c>
      <c r="AC1233" t="s">
        <v>85</v>
      </c>
      <c r="AI1233" t="s">
        <v>1572</v>
      </c>
      <c r="AZ1233">
        <v>0</v>
      </c>
      <c r="BA1233">
        <v>5</v>
      </c>
    </row>
    <row r="1234" spans="1:53" x14ac:dyDescent="0.3">
      <c r="A1234" t="s">
        <v>1573</v>
      </c>
      <c r="C1234" t="s">
        <v>1495</v>
      </c>
      <c r="H1234">
        <v>1</v>
      </c>
      <c r="I1234" t="s">
        <v>82</v>
      </c>
      <c r="J1234">
        <v>9.9999999999999995E-7</v>
      </c>
      <c r="K1234" t="s">
        <v>252</v>
      </c>
      <c r="L1234" t="s">
        <v>58</v>
      </c>
      <c r="O1234">
        <v>8.2999999999999989E-7</v>
      </c>
      <c r="P1234" t="s">
        <v>1383</v>
      </c>
      <c r="S1234">
        <v>0</v>
      </c>
      <c r="T1234">
        <v>25</v>
      </c>
      <c r="V1234">
        <v>50</v>
      </c>
      <c r="W1234" t="s">
        <v>1093</v>
      </c>
      <c r="X1234" t="s">
        <v>280</v>
      </c>
      <c r="Y1234">
        <v>60</v>
      </c>
      <c r="Z1234">
        <v>2</v>
      </c>
      <c r="AB1234">
        <v>0.84</v>
      </c>
      <c r="AC1234" t="s">
        <v>1090</v>
      </c>
      <c r="AV1234" t="s">
        <v>256</v>
      </c>
    </row>
    <row r="1235" spans="1:53" x14ac:dyDescent="0.3">
      <c r="A1235" t="s">
        <v>1573</v>
      </c>
      <c r="C1235" t="s">
        <v>1495</v>
      </c>
      <c r="H1235">
        <v>1</v>
      </c>
      <c r="I1235" t="s">
        <v>82</v>
      </c>
      <c r="J1235">
        <v>9.9999999999999995E-7</v>
      </c>
      <c r="K1235" t="s">
        <v>252</v>
      </c>
      <c r="L1235" t="s">
        <v>58</v>
      </c>
      <c r="O1235">
        <v>8.2999999999999989E-7</v>
      </c>
      <c r="P1235" t="s">
        <v>1383</v>
      </c>
      <c r="S1235">
        <v>0</v>
      </c>
      <c r="T1235">
        <v>25</v>
      </c>
      <c r="V1235">
        <v>50</v>
      </c>
      <c r="W1235" t="s">
        <v>1093</v>
      </c>
      <c r="X1235" t="s">
        <v>280</v>
      </c>
      <c r="Y1235">
        <v>360</v>
      </c>
      <c r="Z1235">
        <v>2</v>
      </c>
      <c r="AB1235">
        <v>0.8</v>
      </c>
      <c r="AC1235" t="s">
        <v>1090</v>
      </c>
      <c r="AV1235" t="s">
        <v>256</v>
      </c>
    </row>
    <row r="1236" spans="1:53" x14ac:dyDescent="0.3">
      <c r="A1236" t="s">
        <v>1573</v>
      </c>
      <c r="C1236" t="s">
        <v>1495</v>
      </c>
      <c r="H1236">
        <v>1</v>
      </c>
      <c r="I1236" t="s">
        <v>82</v>
      </c>
      <c r="J1236">
        <v>9.9999999999999995E-7</v>
      </c>
      <c r="K1236" t="s">
        <v>252</v>
      </c>
      <c r="L1236" t="s">
        <v>58</v>
      </c>
      <c r="O1236">
        <v>8.2999999999999989E-7</v>
      </c>
      <c r="P1236" t="s">
        <v>1383</v>
      </c>
      <c r="S1236">
        <v>0</v>
      </c>
      <c r="T1236">
        <v>25</v>
      </c>
      <c r="V1236">
        <v>50</v>
      </c>
      <c r="W1236" t="s">
        <v>1093</v>
      </c>
      <c r="X1236" t="s">
        <v>280</v>
      </c>
      <c r="Y1236">
        <v>1440</v>
      </c>
      <c r="Z1236">
        <v>2</v>
      </c>
      <c r="AB1236">
        <v>0.82</v>
      </c>
      <c r="AC1236" t="s">
        <v>1090</v>
      </c>
      <c r="AV1236" t="s">
        <v>256</v>
      </c>
    </row>
    <row r="1237" spans="1:53" x14ac:dyDescent="0.3">
      <c r="A1237" t="s">
        <v>1573</v>
      </c>
      <c r="C1237" t="s">
        <v>1495</v>
      </c>
      <c r="H1237">
        <v>1</v>
      </c>
      <c r="I1237" t="s">
        <v>82</v>
      </c>
      <c r="J1237">
        <v>9.9999999999999995E-7</v>
      </c>
      <c r="K1237" t="s">
        <v>252</v>
      </c>
      <c r="L1237" t="s">
        <v>58</v>
      </c>
      <c r="O1237">
        <v>4.1500000000000001E-6</v>
      </c>
      <c r="P1237" t="s">
        <v>1383</v>
      </c>
      <c r="S1237">
        <v>0</v>
      </c>
      <c r="T1237">
        <v>25</v>
      </c>
      <c r="V1237">
        <v>50</v>
      </c>
      <c r="W1237" t="s">
        <v>1093</v>
      </c>
      <c r="X1237" t="s">
        <v>280</v>
      </c>
      <c r="Y1237">
        <v>60</v>
      </c>
      <c r="Z1237">
        <v>3</v>
      </c>
      <c r="AB1237">
        <v>0.83</v>
      </c>
      <c r="AC1237" t="s">
        <v>1090</v>
      </c>
      <c r="AV1237" t="s">
        <v>256</v>
      </c>
    </row>
    <row r="1238" spans="1:53" x14ac:dyDescent="0.3">
      <c r="A1238" t="s">
        <v>1573</v>
      </c>
      <c r="C1238" t="s">
        <v>1495</v>
      </c>
      <c r="H1238">
        <v>1</v>
      </c>
      <c r="I1238" t="s">
        <v>82</v>
      </c>
      <c r="J1238">
        <v>9.9999999999999995E-7</v>
      </c>
      <c r="K1238" t="s">
        <v>252</v>
      </c>
      <c r="L1238" t="s">
        <v>58</v>
      </c>
      <c r="O1238">
        <v>4.1500000000000001E-6</v>
      </c>
      <c r="P1238" t="s">
        <v>1383</v>
      </c>
      <c r="S1238">
        <v>0</v>
      </c>
      <c r="T1238">
        <v>25</v>
      </c>
      <c r="V1238">
        <v>50</v>
      </c>
      <c r="W1238" t="s">
        <v>1093</v>
      </c>
      <c r="X1238" t="s">
        <v>280</v>
      </c>
      <c r="Y1238">
        <v>360</v>
      </c>
      <c r="Z1238">
        <v>3</v>
      </c>
      <c r="AB1238">
        <v>0.77</v>
      </c>
      <c r="AC1238" t="s">
        <v>1090</v>
      </c>
      <c r="AV1238" t="s">
        <v>256</v>
      </c>
    </row>
    <row r="1239" spans="1:53" x14ac:dyDescent="0.3">
      <c r="A1239" t="s">
        <v>1573</v>
      </c>
      <c r="C1239" t="s">
        <v>1495</v>
      </c>
      <c r="H1239">
        <v>1</v>
      </c>
      <c r="I1239" t="s">
        <v>82</v>
      </c>
      <c r="J1239">
        <v>9.9999999999999995E-7</v>
      </c>
      <c r="K1239" t="s">
        <v>252</v>
      </c>
      <c r="L1239" t="s">
        <v>58</v>
      </c>
      <c r="O1239">
        <v>4.1500000000000001E-6</v>
      </c>
      <c r="P1239" t="s">
        <v>1383</v>
      </c>
      <c r="S1239">
        <v>0</v>
      </c>
      <c r="T1239">
        <v>25</v>
      </c>
      <c r="V1239">
        <v>50</v>
      </c>
      <c r="W1239" t="s">
        <v>1093</v>
      </c>
      <c r="X1239" t="s">
        <v>280</v>
      </c>
      <c r="Y1239">
        <v>1440</v>
      </c>
      <c r="Z1239">
        <v>3</v>
      </c>
      <c r="AB1239">
        <v>0.79</v>
      </c>
      <c r="AC1239" t="s">
        <v>1090</v>
      </c>
      <c r="AV1239" t="s">
        <v>256</v>
      </c>
    </row>
    <row r="1240" spans="1:53" x14ac:dyDescent="0.3">
      <c r="A1240" t="s">
        <v>1574</v>
      </c>
      <c r="B1240" t="s">
        <v>1575</v>
      </c>
      <c r="C1240" t="s">
        <v>1495</v>
      </c>
      <c r="O1240">
        <v>0</v>
      </c>
      <c r="T1240">
        <v>25</v>
      </c>
      <c r="V1240">
        <v>50</v>
      </c>
      <c r="W1240" t="s">
        <v>1576</v>
      </c>
      <c r="Y1240">
        <v>1</v>
      </c>
      <c r="Z1240">
        <v>3</v>
      </c>
      <c r="AB1240">
        <v>0.25</v>
      </c>
      <c r="AC1240" t="s">
        <v>85</v>
      </c>
    </row>
    <row r="1241" spans="1:53" x14ac:dyDescent="0.3">
      <c r="A1241" t="s">
        <v>1574</v>
      </c>
      <c r="B1241" t="s">
        <v>1575</v>
      </c>
      <c r="C1241" t="s">
        <v>1495</v>
      </c>
      <c r="O1241">
        <v>0</v>
      </c>
      <c r="T1241">
        <v>25</v>
      </c>
      <c r="V1241">
        <v>50</v>
      </c>
      <c r="W1241" t="s">
        <v>1576</v>
      </c>
      <c r="Y1241">
        <v>3</v>
      </c>
      <c r="Z1241">
        <v>3</v>
      </c>
      <c r="AB1241">
        <v>0.25</v>
      </c>
      <c r="AC1241" t="s">
        <v>85</v>
      </c>
    </row>
    <row r="1242" spans="1:53" x14ac:dyDescent="0.3">
      <c r="A1242" t="s">
        <v>1574</v>
      </c>
      <c r="B1242" t="s">
        <v>1575</v>
      </c>
      <c r="C1242" t="s">
        <v>1495</v>
      </c>
      <c r="O1242">
        <v>0</v>
      </c>
      <c r="T1242">
        <v>25</v>
      </c>
      <c r="V1242">
        <v>50</v>
      </c>
      <c r="W1242" t="s">
        <v>1576</v>
      </c>
      <c r="Y1242">
        <v>5</v>
      </c>
      <c r="Z1242">
        <v>6</v>
      </c>
      <c r="AB1242">
        <v>0.25</v>
      </c>
      <c r="AC1242" t="s">
        <v>85</v>
      </c>
    </row>
    <row r="1243" spans="1:53" x14ac:dyDescent="0.3">
      <c r="A1243" t="s">
        <v>1574</v>
      </c>
      <c r="B1243" t="s">
        <v>1575</v>
      </c>
      <c r="C1243" t="s">
        <v>1495</v>
      </c>
      <c r="O1243">
        <v>30</v>
      </c>
      <c r="P1243" t="s">
        <v>262</v>
      </c>
      <c r="T1243">
        <v>25</v>
      </c>
      <c r="V1243">
        <v>50</v>
      </c>
      <c r="W1243" t="s">
        <v>1576</v>
      </c>
      <c r="Y1243">
        <v>1</v>
      </c>
      <c r="Z1243">
        <v>3</v>
      </c>
      <c r="AB1243">
        <v>2.25</v>
      </c>
      <c r="AC1243" t="s">
        <v>85</v>
      </c>
    </row>
    <row r="1244" spans="1:53" x14ac:dyDescent="0.3">
      <c r="A1244" t="s">
        <v>1574</v>
      </c>
      <c r="B1244" t="s">
        <v>1575</v>
      </c>
      <c r="C1244" t="s">
        <v>1495</v>
      </c>
      <c r="O1244">
        <v>30</v>
      </c>
      <c r="P1244" t="s">
        <v>262</v>
      </c>
      <c r="T1244">
        <v>25</v>
      </c>
      <c r="V1244">
        <v>50</v>
      </c>
      <c r="W1244" t="s">
        <v>1576</v>
      </c>
      <c r="Y1244">
        <v>3</v>
      </c>
      <c r="Z1244">
        <v>6</v>
      </c>
      <c r="AB1244">
        <v>2.25</v>
      </c>
      <c r="AC1244" t="s">
        <v>85</v>
      </c>
    </row>
    <row r="1245" spans="1:53" x14ac:dyDescent="0.3">
      <c r="A1245" t="s">
        <v>1574</v>
      </c>
      <c r="B1245" t="s">
        <v>1575</v>
      </c>
      <c r="C1245" t="s">
        <v>1495</v>
      </c>
      <c r="O1245">
        <v>30</v>
      </c>
      <c r="P1245" t="s">
        <v>262</v>
      </c>
      <c r="T1245">
        <v>25</v>
      </c>
      <c r="V1245">
        <v>50</v>
      </c>
      <c r="W1245" t="s">
        <v>1576</v>
      </c>
      <c r="Y1245">
        <v>5</v>
      </c>
      <c r="Z1245">
        <v>3</v>
      </c>
      <c r="AB1245">
        <v>2.25</v>
      </c>
      <c r="AC1245" t="s">
        <v>85</v>
      </c>
    </row>
    <row r="1246" spans="1:53" x14ac:dyDescent="0.3">
      <c r="A1246" t="s">
        <v>1574</v>
      </c>
      <c r="B1246" t="s">
        <v>1575</v>
      </c>
      <c r="C1246" t="s">
        <v>1495</v>
      </c>
      <c r="O1246">
        <v>7</v>
      </c>
      <c r="P1246" t="s">
        <v>262</v>
      </c>
      <c r="T1246">
        <v>25</v>
      </c>
      <c r="V1246">
        <v>50</v>
      </c>
      <c r="W1246" t="s">
        <v>1576</v>
      </c>
      <c r="Y1246">
        <v>1</v>
      </c>
      <c r="Z1246">
        <v>3</v>
      </c>
      <c r="AB1246">
        <v>4.9000000000000004</v>
      </c>
      <c r="AC1246" t="s">
        <v>85</v>
      </c>
    </row>
    <row r="1247" spans="1:53" x14ac:dyDescent="0.3">
      <c r="A1247" t="s">
        <v>1574</v>
      </c>
      <c r="B1247" t="s">
        <v>1575</v>
      </c>
      <c r="C1247" t="s">
        <v>1495</v>
      </c>
      <c r="O1247">
        <v>7</v>
      </c>
      <c r="P1247" t="s">
        <v>262</v>
      </c>
      <c r="T1247">
        <v>25</v>
      </c>
      <c r="V1247">
        <v>50</v>
      </c>
      <c r="W1247" t="s">
        <v>1576</v>
      </c>
      <c r="Y1247">
        <v>3</v>
      </c>
      <c r="Z1247">
        <v>6</v>
      </c>
      <c r="AB1247">
        <v>5.25</v>
      </c>
      <c r="AC1247" t="s">
        <v>85</v>
      </c>
    </row>
    <row r="1248" spans="1:53" x14ac:dyDescent="0.3">
      <c r="A1248" t="s">
        <v>1574</v>
      </c>
      <c r="B1248" t="s">
        <v>1575</v>
      </c>
      <c r="C1248" t="s">
        <v>1495</v>
      </c>
      <c r="O1248">
        <v>7</v>
      </c>
      <c r="P1248" t="s">
        <v>262</v>
      </c>
      <c r="T1248">
        <v>25</v>
      </c>
      <c r="V1248">
        <v>50</v>
      </c>
      <c r="W1248" t="s">
        <v>1576</v>
      </c>
      <c r="Y1248">
        <v>5</v>
      </c>
      <c r="Z1248">
        <v>6</v>
      </c>
      <c r="AB1248">
        <v>5.25</v>
      </c>
      <c r="AC1248" t="s">
        <v>85</v>
      </c>
    </row>
    <row r="1249" spans="1:52" x14ac:dyDescent="0.3">
      <c r="A1249" t="s">
        <v>1577</v>
      </c>
      <c r="C1249" t="s">
        <v>1495</v>
      </c>
      <c r="H1249">
        <v>0.9</v>
      </c>
      <c r="I1249" t="s">
        <v>82</v>
      </c>
      <c r="J1249">
        <v>8.9999999999999996E-7</v>
      </c>
      <c r="K1249" t="s">
        <v>252</v>
      </c>
      <c r="O1249">
        <v>0</v>
      </c>
      <c r="P1249" t="s">
        <v>1520</v>
      </c>
      <c r="T1249">
        <v>25</v>
      </c>
      <c r="V1249">
        <v>50</v>
      </c>
      <c r="W1249" t="s">
        <v>1544</v>
      </c>
      <c r="X1249" t="s">
        <v>932</v>
      </c>
      <c r="Y1249">
        <v>1440</v>
      </c>
      <c r="Z1249">
        <v>6</v>
      </c>
      <c r="AB1249">
        <v>4.2</v>
      </c>
      <c r="AC1249" t="s">
        <v>210</v>
      </c>
      <c r="AD1249" t="s">
        <v>511</v>
      </c>
      <c r="AI1249">
        <v>3</v>
      </c>
      <c r="AV1249" t="s">
        <v>256</v>
      </c>
    </row>
    <row r="1250" spans="1:52" x14ac:dyDescent="0.3">
      <c r="A1250" t="s">
        <v>1577</v>
      </c>
      <c r="C1250" t="s">
        <v>1495</v>
      </c>
      <c r="H1250">
        <v>0.9</v>
      </c>
      <c r="I1250" t="s">
        <v>82</v>
      </c>
      <c r="J1250">
        <v>8.9999999999999996E-7</v>
      </c>
      <c r="K1250" t="s">
        <v>252</v>
      </c>
      <c r="O1250">
        <v>5</v>
      </c>
      <c r="P1250" t="s">
        <v>1520</v>
      </c>
      <c r="T1250">
        <v>25</v>
      </c>
      <c r="V1250">
        <v>50</v>
      </c>
      <c r="W1250" t="s">
        <v>1544</v>
      </c>
      <c r="X1250" t="s">
        <v>932</v>
      </c>
      <c r="Y1250">
        <v>1440</v>
      </c>
      <c r="Z1250">
        <v>3</v>
      </c>
      <c r="AB1250">
        <v>2.1</v>
      </c>
      <c r="AC1250" t="s">
        <v>210</v>
      </c>
      <c r="AD1250" t="s">
        <v>248</v>
      </c>
      <c r="AI1250">
        <v>3</v>
      </c>
      <c r="AV1250" t="s">
        <v>256</v>
      </c>
    </row>
    <row r="1251" spans="1:52" x14ac:dyDescent="0.3">
      <c r="A1251" t="s">
        <v>1577</v>
      </c>
      <c r="C1251" t="s">
        <v>1495</v>
      </c>
      <c r="H1251">
        <v>0.9</v>
      </c>
      <c r="I1251" t="s">
        <v>82</v>
      </c>
      <c r="J1251">
        <v>8.9999999999999996E-7</v>
      </c>
      <c r="K1251" t="s">
        <v>252</v>
      </c>
      <c r="O1251">
        <v>10</v>
      </c>
      <c r="P1251" t="s">
        <v>1520</v>
      </c>
      <c r="T1251">
        <v>25</v>
      </c>
      <c r="V1251">
        <v>50</v>
      </c>
      <c r="W1251" t="s">
        <v>1544</v>
      </c>
      <c r="X1251" t="s">
        <v>932</v>
      </c>
      <c r="Y1251">
        <v>1440</v>
      </c>
      <c r="Z1251">
        <v>3</v>
      </c>
      <c r="AA1251" t="s">
        <v>128</v>
      </c>
      <c r="AB1251">
        <v>2.0499999999999901</v>
      </c>
      <c r="AC1251" t="s">
        <v>210</v>
      </c>
      <c r="AI1251">
        <v>3</v>
      </c>
      <c r="AV1251" t="s">
        <v>256</v>
      </c>
      <c r="AZ1251">
        <v>0</v>
      </c>
    </row>
    <row r="1252" spans="1:52" x14ac:dyDescent="0.3">
      <c r="A1252" t="s">
        <v>1577</v>
      </c>
      <c r="C1252" t="s">
        <v>1495</v>
      </c>
      <c r="H1252">
        <v>0.9</v>
      </c>
      <c r="I1252" t="s">
        <v>82</v>
      </c>
      <c r="J1252">
        <v>8.9999999999999996E-7</v>
      </c>
      <c r="K1252" t="s">
        <v>252</v>
      </c>
      <c r="O1252">
        <v>20</v>
      </c>
      <c r="P1252" t="s">
        <v>1520</v>
      </c>
      <c r="T1252">
        <v>25</v>
      </c>
      <c r="V1252">
        <v>50</v>
      </c>
      <c r="W1252" t="s">
        <v>1544</v>
      </c>
      <c r="X1252" t="s">
        <v>932</v>
      </c>
      <c r="Y1252">
        <v>1440</v>
      </c>
      <c r="Z1252">
        <v>3</v>
      </c>
      <c r="AA1252" t="s">
        <v>128</v>
      </c>
      <c r="AB1252">
        <v>2.0499999999999901</v>
      </c>
      <c r="AC1252" t="s">
        <v>210</v>
      </c>
      <c r="AI1252">
        <v>3</v>
      </c>
      <c r="AV1252" t="s">
        <v>256</v>
      </c>
      <c r="AZ1252">
        <v>0</v>
      </c>
    </row>
    <row r="1253" spans="1:52" x14ac:dyDescent="0.3">
      <c r="A1253" t="s">
        <v>1577</v>
      </c>
      <c r="C1253" t="s">
        <v>1495</v>
      </c>
      <c r="H1253">
        <v>0.9</v>
      </c>
      <c r="I1253" t="s">
        <v>82</v>
      </c>
      <c r="J1253">
        <v>8.9999999999999996E-7</v>
      </c>
      <c r="K1253" t="s">
        <v>252</v>
      </c>
      <c r="O1253">
        <v>50</v>
      </c>
      <c r="P1253" t="s">
        <v>1520</v>
      </c>
      <c r="T1253">
        <v>25</v>
      </c>
      <c r="V1253">
        <v>50</v>
      </c>
      <c r="W1253" t="s">
        <v>1544</v>
      </c>
      <c r="X1253" t="s">
        <v>932</v>
      </c>
      <c r="Y1253">
        <v>1440</v>
      </c>
      <c r="Z1253">
        <v>3</v>
      </c>
      <c r="AA1253" t="s">
        <v>128</v>
      </c>
      <c r="AB1253">
        <v>2.0499999999999901</v>
      </c>
      <c r="AC1253" t="s">
        <v>210</v>
      </c>
      <c r="AI1253">
        <v>3</v>
      </c>
      <c r="AV1253" t="s">
        <v>256</v>
      </c>
      <c r="AZ1253">
        <v>0</v>
      </c>
    </row>
    <row r="1254" spans="1:52" x14ac:dyDescent="0.3">
      <c r="A1254" t="s">
        <v>1577</v>
      </c>
      <c r="C1254" t="s">
        <v>1495</v>
      </c>
      <c r="H1254">
        <v>0.9</v>
      </c>
      <c r="I1254" t="s">
        <v>82</v>
      </c>
      <c r="J1254">
        <v>8.9999999999999996E-7</v>
      </c>
      <c r="K1254" t="s">
        <v>252</v>
      </c>
      <c r="O1254">
        <v>100</v>
      </c>
      <c r="P1254" t="s">
        <v>1520</v>
      </c>
      <c r="T1254">
        <v>25</v>
      </c>
      <c r="V1254">
        <v>50</v>
      </c>
      <c r="W1254" t="s">
        <v>1544</v>
      </c>
      <c r="X1254" t="s">
        <v>932</v>
      </c>
      <c r="Y1254">
        <v>1440</v>
      </c>
      <c r="Z1254">
        <v>3</v>
      </c>
      <c r="AA1254" t="s">
        <v>128</v>
      </c>
      <c r="AB1254">
        <v>2.0499999999999901</v>
      </c>
      <c r="AC1254" t="s">
        <v>210</v>
      </c>
      <c r="AI1254">
        <v>3</v>
      </c>
      <c r="AV1254" t="s">
        <v>256</v>
      </c>
      <c r="AZ1254">
        <v>0</v>
      </c>
    </row>
    <row r="1255" spans="1:52" x14ac:dyDescent="0.3">
      <c r="A1255" t="s">
        <v>1577</v>
      </c>
      <c r="C1255" t="s">
        <v>1495</v>
      </c>
      <c r="H1255">
        <v>0.9</v>
      </c>
      <c r="I1255" t="s">
        <v>82</v>
      </c>
      <c r="J1255">
        <v>8.9999999999999996E-7</v>
      </c>
      <c r="K1255" t="s">
        <v>252</v>
      </c>
      <c r="O1255">
        <v>0</v>
      </c>
      <c r="P1255" t="s">
        <v>1520</v>
      </c>
      <c r="T1255">
        <v>25</v>
      </c>
      <c r="V1255">
        <v>50</v>
      </c>
      <c r="W1255" t="s">
        <v>1544</v>
      </c>
      <c r="X1255" t="s">
        <v>932</v>
      </c>
      <c r="Y1255">
        <v>10080</v>
      </c>
      <c r="Z1255">
        <v>6</v>
      </c>
      <c r="AB1255">
        <v>4.8</v>
      </c>
      <c r="AC1255" t="s">
        <v>210</v>
      </c>
      <c r="AD1255" t="s">
        <v>248</v>
      </c>
      <c r="AI1255">
        <v>3</v>
      </c>
      <c r="AV1255" t="s">
        <v>256</v>
      </c>
    </row>
    <row r="1256" spans="1:52" x14ac:dyDescent="0.3">
      <c r="A1256" t="s">
        <v>1577</v>
      </c>
      <c r="C1256" t="s">
        <v>1495</v>
      </c>
      <c r="H1256">
        <v>0.9</v>
      </c>
      <c r="I1256" t="s">
        <v>82</v>
      </c>
      <c r="J1256">
        <v>8.9999999999999996E-7</v>
      </c>
      <c r="K1256" t="s">
        <v>252</v>
      </c>
      <c r="O1256">
        <v>5</v>
      </c>
      <c r="P1256" t="s">
        <v>1520</v>
      </c>
      <c r="T1256">
        <v>25</v>
      </c>
      <c r="V1256">
        <v>50</v>
      </c>
      <c r="W1256" t="s">
        <v>1544</v>
      </c>
      <c r="X1256" t="s">
        <v>932</v>
      </c>
      <c r="Y1256">
        <v>10080</v>
      </c>
      <c r="Z1256">
        <v>6</v>
      </c>
      <c r="AB1256">
        <v>3.3</v>
      </c>
      <c r="AC1256" t="s">
        <v>210</v>
      </c>
      <c r="AD1256" t="s">
        <v>103</v>
      </c>
      <c r="AI1256">
        <v>3</v>
      </c>
      <c r="AV1256" t="s">
        <v>256</v>
      </c>
    </row>
    <row r="1257" spans="1:52" x14ac:dyDescent="0.3">
      <c r="A1257" t="s">
        <v>1577</v>
      </c>
      <c r="C1257" t="s">
        <v>1495</v>
      </c>
      <c r="H1257">
        <v>0.9</v>
      </c>
      <c r="I1257" t="s">
        <v>82</v>
      </c>
      <c r="J1257">
        <v>8.9999999999999996E-7</v>
      </c>
      <c r="K1257" t="s">
        <v>252</v>
      </c>
      <c r="O1257">
        <v>10</v>
      </c>
      <c r="P1257" t="s">
        <v>1520</v>
      </c>
      <c r="T1257">
        <v>25</v>
      </c>
      <c r="V1257">
        <v>50</v>
      </c>
      <c r="W1257" t="s">
        <v>1544</v>
      </c>
      <c r="X1257" t="s">
        <v>932</v>
      </c>
      <c r="Y1257">
        <v>10080</v>
      </c>
      <c r="Z1257">
        <v>2</v>
      </c>
      <c r="AA1257" t="s">
        <v>128</v>
      </c>
      <c r="AB1257">
        <v>2.0499999999999901</v>
      </c>
      <c r="AC1257" t="s">
        <v>210</v>
      </c>
      <c r="AI1257">
        <v>3</v>
      </c>
      <c r="AV1257" t="s">
        <v>256</v>
      </c>
      <c r="AZ1257">
        <v>0</v>
      </c>
    </row>
    <row r="1258" spans="1:52" x14ac:dyDescent="0.3">
      <c r="A1258" t="s">
        <v>1577</v>
      </c>
      <c r="C1258" t="s">
        <v>1495</v>
      </c>
      <c r="H1258">
        <v>0.9</v>
      </c>
      <c r="I1258" t="s">
        <v>82</v>
      </c>
      <c r="J1258">
        <v>8.9999999999999996E-7</v>
      </c>
      <c r="K1258" t="s">
        <v>252</v>
      </c>
      <c r="O1258">
        <v>20</v>
      </c>
      <c r="P1258" t="s">
        <v>1520</v>
      </c>
      <c r="T1258">
        <v>25</v>
      </c>
      <c r="V1258">
        <v>50</v>
      </c>
      <c r="W1258" t="s">
        <v>1544</v>
      </c>
      <c r="X1258" t="s">
        <v>932</v>
      </c>
      <c r="Y1258">
        <v>10080</v>
      </c>
      <c r="Z1258">
        <v>5</v>
      </c>
      <c r="AA1258" t="s">
        <v>128</v>
      </c>
      <c r="AB1258">
        <v>2.0499999999999901</v>
      </c>
      <c r="AC1258" t="s">
        <v>210</v>
      </c>
      <c r="AI1258">
        <v>3</v>
      </c>
      <c r="AV1258" t="s">
        <v>256</v>
      </c>
      <c r="AZ1258">
        <v>0</v>
      </c>
    </row>
    <row r="1259" spans="1:52" x14ac:dyDescent="0.3">
      <c r="A1259" t="s">
        <v>1577</v>
      </c>
      <c r="C1259" t="s">
        <v>1495</v>
      </c>
      <c r="H1259">
        <v>0.9</v>
      </c>
      <c r="I1259" t="s">
        <v>82</v>
      </c>
      <c r="J1259">
        <v>8.9999999999999996E-7</v>
      </c>
      <c r="K1259" t="s">
        <v>252</v>
      </c>
      <c r="O1259">
        <v>50</v>
      </c>
      <c r="P1259" t="s">
        <v>1520</v>
      </c>
      <c r="T1259">
        <v>25</v>
      </c>
      <c r="V1259">
        <v>50</v>
      </c>
      <c r="W1259" t="s">
        <v>1544</v>
      </c>
      <c r="X1259" t="s">
        <v>932</v>
      </c>
      <c r="Y1259">
        <v>10080</v>
      </c>
      <c r="Z1259">
        <v>2</v>
      </c>
      <c r="AA1259" t="s">
        <v>128</v>
      </c>
      <c r="AB1259">
        <v>2.0499999999999901</v>
      </c>
      <c r="AC1259" t="s">
        <v>210</v>
      </c>
      <c r="AI1259">
        <v>3</v>
      </c>
      <c r="AV1259" t="s">
        <v>256</v>
      </c>
      <c r="AZ1259">
        <v>0</v>
      </c>
    </row>
    <row r="1260" spans="1:52" x14ac:dyDescent="0.3">
      <c r="A1260" t="s">
        <v>1577</v>
      </c>
      <c r="C1260" t="s">
        <v>1495</v>
      </c>
      <c r="H1260">
        <v>0.9</v>
      </c>
      <c r="I1260" t="s">
        <v>82</v>
      </c>
      <c r="J1260">
        <v>8.9999999999999996E-7</v>
      </c>
      <c r="K1260" t="s">
        <v>252</v>
      </c>
      <c r="O1260">
        <v>100</v>
      </c>
      <c r="P1260" t="s">
        <v>1520</v>
      </c>
      <c r="T1260">
        <v>25</v>
      </c>
      <c r="V1260">
        <v>50</v>
      </c>
      <c r="W1260" t="s">
        <v>1544</v>
      </c>
      <c r="X1260" t="s">
        <v>932</v>
      </c>
      <c r="Y1260">
        <v>10080</v>
      </c>
      <c r="Z1260">
        <v>2</v>
      </c>
      <c r="AA1260" t="s">
        <v>128</v>
      </c>
      <c r="AB1260">
        <v>2.0499999999999901</v>
      </c>
      <c r="AC1260" t="s">
        <v>210</v>
      </c>
      <c r="AI1260">
        <v>3</v>
      </c>
      <c r="AV1260" t="s">
        <v>256</v>
      </c>
      <c r="AZ1260">
        <v>0</v>
      </c>
    </row>
    <row r="1261" spans="1:52" x14ac:dyDescent="0.3">
      <c r="A1261" t="s">
        <v>1577</v>
      </c>
      <c r="C1261" t="s">
        <v>1495</v>
      </c>
      <c r="H1261">
        <v>0.9</v>
      </c>
      <c r="I1261" t="s">
        <v>82</v>
      </c>
      <c r="J1261">
        <v>8.9999999999999996E-7</v>
      </c>
      <c r="K1261" t="s">
        <v>252</v>
      </c>
      <c r="O1261">
        <v>0</v>
      </c>
      <c r="P1261" t="s">
        <v>1520</v>
      </c>
      <c r="T1261">
        <v>25</v>
      </c>
      <c r="V1261">
        <v>50</v>
      </c>
      <c r="W1261" t="s">
        <v>1544</v>
      </c>
      <c r="X1261" t="s">
        <v>932</v>
      </c>
      <c r="Y1261">
        <v>20160</v>
      </c>
      <c r="Z1261">
        <v>5</v>
      </c>
      <c r="AB1261">
        <v>5.0999999999999899</v>
      </c>
      <c r="AC1261" t="s">
        <v>210</v>
      </c>
      <c r="AD1261" t="s">
        <v>321</v>
      </c>
      <c r="AI1261">
        <v>3</v>
      </c>
      <c r="AV1261" t="s">
        <v>256</v>
      </c>
    </row>
    <row r="1262" spans="1:52" x14ac:dyDescent="0.3">
      <c r="A1262" t="s">
        <v>1577</v>
      </c>
      <c r="C1262" t="s">
        <v>1495</v>
      </c>
      <c r="H1262">
        <v>0.9</v>
      </c>
      <c r="I1262" t="s">
        <v>82</v>
      </c>
      <c r="J1262">
        <v>8.9999999999999996E-7</v>
      </c>
      <c r="K1262" t="s">
        <v>252</v>
      </c>
      <c r="O1262">
        <v>5</v>
      </c>
      <c r="P1262" t="s">
        <v>1520</v>
      </c>
      <c r="T1262">
        <v>25</v>
      </c>
      <c r="V1262">
        <v>50</v>
      </c>
      <c r="W1262" t="s">
        <v>1544</v>
      </c>
      <c r="X1262" t="s">
        <v>932</v>
      </c>
      <c r="Y1262">
        <v>20160</v>
      </c>
      <c r="Z1262">
        <v>5</v>
      </c>
      <c r="AB1262">
        <v>3.2</v>
      </c>
      <c r="AC1262" t="s">
        <v>210</v>
      </c>
      <c r="AD1262" t="s">
        <v>106</v>
      </c>
      <c r="AI1262">
        <v>3</v>
      </c>
      <c r="AV1262" t="s">
        <v>256</v>
      </c>
    </row>
    <row r="1263" spans="1:52" x14ac:dyDescent="0.3">
      <c r="A1263" t="s">
        <v>1577</v>
      </c>
      <c r="C1263" t="s">
        <v>1495</v>
      </c>
      <c r="H1263">
        <v>0.9</v>
      </c>
      <c r="I1263" t="s">
        <v>82</v>
      </c>
      <c r="J1263">
        <v>8.9999999999999996E-7</v>
      </c>
      <c r="K1263" t="s">
        <v>252</v>
      </c>
      <c r="O1263">
        <v>10</v>
      </c>
      <c r="P1263" t="s">
        <v>1520</v>
      </c>
      <c r="T1263">
        <v>25</v>
      </c>
      <c r="V1263">
        <v>50</v>
      </c>
      <c r="W1263" t="s">
        <v>1544</v>
      </c>
      <c r="X1263" t="s">
        <v>932</v>
      </c>
      <c r="Y1263">
        <v>20160</v>
      </c>
      <c r="Z1263">
        <v>5</v>
      </c>
      <c r="AA1263" t="s">
        <v>128</v>
      </c>
      <c r="AB1263">
        <v>2.0499999999999901</v>
      </c>
      <c r="AC1263" t="s">
        <v>210</v>
      </c>
      <c r="AI1263">
        <v>3</v>
      </c>
      <c r="AV1263" t="s">
        <v>256</v>
      </c>
      <c r="AZ1263">
        <v>0</v>
      </c>
    </row>
    <row r="1264" spans="1:52" x14ac:dyDescent="0.3">
      <c r="A1264" t="s">
        <v>1577</v>
      </c>
      <c r="C1264" t="s">
        <v>1495</v>
      </c>
      <c r="H1264">
        <v>0.9</v>
      </c>
      <c r="I1264" t="s">
        <v>82</v>
      </c>
      <c r="J1264">
        <v>8.9999999999999996E-7</v>
      </c>
      <c r="K1264" t="s">
        <v>252</v>
      </c>
      <c r="O1264">
        <v>20</v>
      </c>
      <c r="P1264" t="s">
        <v>1520</v>
      </c>
      <c r="T1264">
        <v>25</v>
      </c>
      <c r="V1264">
        <v>50</v>
      </c>
      <c r="W1264" t="s">
        <v>1544</v>
      </c>
      <c r="X1264" t="s">
        <v>932</v>
      </c>
      <c r="Y1264">
        <v>20160</v>
      </c>
      <c r="Z1264">
        <v>5</v>
      </c>
      <c r="AA1264" t="s">
        <v>128</v>
      </c>
      <c r="AB1264">
        <v>2.0499999999999901</v>
      </c>
      <c r="AC1264" t="s">
        <v>210</v>
      </c>
      <c r="AI1264">
        <v>3</v>
      </c>
      <c r="AV1264" t="s">
        <v>256</v>
      </c>
      <c r="AZ1264">
        <v>0</v>
      </c>
    </row>
    <row r="1265" spans="1:52" x14ac:dyDescent="0.3">
      <c r="A1265" t="s">
        <v>1577</v>
      </c>
      <c r="C1265" t="s">
        <v>1495</v>
      </c>
      <c r="H1265">
        <v>0.9</v>
      </c>
      <c r="I1265" t="s">
        <v>82</v>
      </c>
      <c r="J1265">
        <v>8.9999999999999996E-7</v>
      </c>
      <c r="K1265" t="s">
        <v>252</v>
      </c>
      <c r="O1265">
        <v>50</v>
      </c>
      <c r="P1265" t="s">
        <v>1520</v>
      </c>
      <c r="T1265">
        <v>25</v>
      </c>
      <c r="V1265">
        <v>50</v>
      </c>
      <c r="W1265" t="s">
        <v>1544</v>
      </c>
      <c r="X1265" t="s">
        <v>932</v>
      </c>
      <c r="Y1265">
        <v>20160</v>
      </c>
      <c r="Z1265">
        <v>2</v>
      </c>
      <c r="AA1265" t="s">
        <v>128</v>
      </c>
      <c r="AB1265">
        <v>2.0499999999999901</v>
      </c>
      <c r="AC1265" t="s">
        <v>210</v>
      </c>
      <c r="AI1265">
        <v>3</v>
      </c>
      <c r="AV1265" t="s">
        <v>256</v>
      </c>
      <c r="AZ1265">
        <v>0</v>
      </c>
    </row>
    <row r="1266" spans="1:52" x14ac:dyDescent="0.3">
      <c r="A1266" t="s">
        <v>1577</v>
      </c>
      <c r="C1266" t="s">
        <v>1495</v>
      </c>
      <c r="H1266">
        <v>0.9</v>
      </c>
      <c r="I1266" t="s">
        <v>82</v>
      </c>
      <c r="J1266">
        <v>8.9999999999999996E-7</v>
      </c>
      <c r="K1266" t="s">
        <v>252</v>
      </c>
      <c r="O1266">
        <v>100</v>
      </c>
      <c r="P1266" t="s">
        <v>1520</v>
      </c>
      <c r="T1266">
        <v>25</v>
      </c>
      <c r="V1266">
        <v>50</v>
      </c>
      <c r="W1266" t="s">
        <v>1544</v>
      </c>
      <c r="X1266" t="s">
        <v>932</v>
      </c>
      <c r="Y1266">
        <v>20160</v>
      </c>
      <c r="Z1266">
        <v>2</v>
      </c>
      <c r="AA1266" t="s">
        <v>128</v>
      </c>
      <c r="AB1266">
        <v>2.0499999999999901</v>
      </c>
      <c r="AC1266" t="s">
        <v>210</v>
      </c>
      <c r="AI1266">
        <v>3</v>
      </c>
      <c r="AV1266" t="s">
        <v>256</v>
      </c>
      <c r="AZ1266">
        <v>0</v>
      </c>
    </row>
    <row r="1267" spans="1:52" x14ac:dyDescent="0.3">
      <c r="A1267" t="s">
        <v>467</v>
      </c>
      <c r="C1267" t="s">
        <v>1495</v>
      </c>
      <c r="H1267">
        <v>0.8</v>
      </c>
      <c r="I1267" t="s">
        <v>82</v>
      </c>
      <c r="J1267">
        <v>7.9999999999999996E-7</v>
      </c>
      <c r="K1267" t="s">
        <v>252</v>
      </c>
      <c r="O1267">
        <v>0.5</v>
      </c>
      <c r="P1267" t="s">
        <v>59</v>
      </c>
      <c r="S1267">
        <v>1</v>
      </c>
      <c r="T1267">
        <v>20</v>
      </c>
      <c r="V1267">
        <v>50</v>
      </c>
      <c r="W1267" t="s">
        <v>1057</v>
      </c>
      <c r="X1267" t="s">
        <v>957</v>
      </c>
      <c r="Y1267">
        <v>30</v>
      </c>
      <c r="AB1267">
        <v>-0.14000000000000001</v>
      </c>
      <c r="AC1267" t="s">
        <v>85</v>
      </c>
      <c r="AE1267" t="s">
        <v>63</v>
      </c>
      <c r="AI1267">
        <v>3</v>
      </c>
      <c r="AV1267" t="s">
        <v>256</v>
      </c>
    </row>
    <row r="1268" spans="1:52" x14ac:dyDescent="0.3">
      <c r="A1268" t="s">
        <v>467</v>
      </c>
      <c r="C1268" t="s">
        <v>1495</v>
      </c>
      <c r="H1268">
        <v>0.8</v>
      </c>
      <c r="I1268" t="s">
        <v>82</v>
      </c>
      <c r="J1268">
        <v>7.9999999999999996E-7</v>
      </c>
      <c r="K1268" t="s">
        <v>252</v>
      </c>
      <c r="O1268">
        <v>0.5</v>
      </c>
      <c r="P1268" t="s">
        <v>59</v>
      </c>
      <c r="S1268">
        <v>1</v>
      </c>
      <c r="T1268">
        <v>20</v>
      </c>
      <c r="V1268">
        <v>50</v>
      </c>
      <c r="W1268" t="s">
        <v>1057</v>
      </c>
      <c r="X1268" t="s">
        <v>957</v>
      </c>
      <c r="Y1268">
        <v>60</v>
      </c>
      <c r="AB1268">
        <v>0.27</v>
      </c>
      <c r="AC1268" t="s">
        <v>85</v>
      </c>
      <c r="AE1268" t="s">
        <v>63</v>
      </c>
      <c r="AI1268">
        <v>3</v>
      </c>
      <c r="AV1268" t="s">
        <v>256</v>
      </c>
    </row>
    <row r="1269" spans="1:52" x14ac:dyDescent="0.3">
      <c r="A1269" t="s">
        <v>1380</v>
      </c>
      <c r="C1269" t="s">
        <v>1495</v>
      </c>
      <c r="H1269">
        <v>5</v>
      </c>
      <c r="I1269" t="s">
        <v>82</v>
      </c>
      <c r="J1269">
        <v>5.0000000000000004E-6</v>
      </c>
      <c r="K1269" t="s">
        <v>252</v>
      </c>
      <c r="O1269">
        <v>1E-3</v>
      </c>
      <c r="P1269" t="s">
        <v>59</v>
      </c>
      <c r="S1269">
        <v>1</v>
      </c>
      <c r="T1269">
        <v>25</v>
      </c>
      <c r="V1269">
        <v>50</v>
      </c>
      <c r="W1269" t="s">
        <v>1057</v>
      </c>
      <c r="X1269" t="s">
        <v>114</v>
      </c>
      <c r="Y1269">
        <v>2</v>
      </c>
      <c r="AB1269">
        <v>0.37</v>
      </c>
      <c r="AC1269" t="s">
        <v>85</v>
      </c>
      <c r="AD1269" t="s">
        <v>365</v>
      </c>
      <c r="AE1269" t="s">
        <v>63</v>
      </c>
      <c r="AI1269">
        <v>5</v>
      </c>
      <c r="AO1269">
        <v>0</v>
      </c>
      <c r="AV1269" t="s">
        <v>256</v>
      </c>
    </row>
    <row r="1270" spans="1:52" x14ac:dyDescent="0.3">
      <c r="A1270" t="s">
        <v>1380</v>
      </c>
      <c r="C1270" t="s">
        <v>1495</v>
      </c>
      <c r="H1270">
        <v>5</v>
      </c>
      <c r="I1270" t="s">
        <v>82</v>
      </c>
      <c r="J1270">
        <v>5.0000000000000004E-6</v>
      </c>
      <c r="K1270" t="s">
        <v>252</v>
      </c>
      <c r="O1270">
        <v>1E-3</v>
      </c>
      <c r="P1270" t="s">
        <v>59</v>
      </c>
      <c r="S1270">
        <v>1</v>
      </c>
      <c r="T1270">
        <v>25</v>
      </c>
      <c r="V1270">
        <v>50</v>
      </c>
      <c r="W1270" t="s">
        <v>1057</v>
      </c>
      <c r="X1270" t="s">
        <v>114</v>
      </c>
      <c r="Y1270">
        <v>4</v>
      </c>
      <c r="AB1270">
        <v>0.38</v>
      </c>
      <c r="AC1270" t="s">
        <v>85</v>
      </c>
      <c r="AD1270" t="s">
        <v>232</v>
      </c>
      <c r="AE1270" t="s">
        <v>63</v>
      </c>
      <c r="AI1270">
        <v>5</v>
      </c>
      <c r="AO1270">
        <v>0</v>
      </c>
      <c r="AV1270" t="s">
        <v>256</v>
      </c>
    </row>
    <row r="1271" spans="1:52" x14ac:dyDescent="0.3">
      <c r="A1271" t="s">
        <v>1380</v>
      </c>
      <c r="C1271" t="s">
        <v>1495</v>
      </c>
      <c r="H1271">
        <v>5</v>
      </c>
      <c r="I1271" t="s">
        <v>82</v>
      </c>
      <c r="J1271">
        <v>5.0000000000000004E-6</v>
      </c>
      <c r="K1271" t="s">
        <v>252</v>
      </c>
      <c r="O1271">
        <v>1E-3</v>
      </c>
      <c r="P1271" t="s">
        <v>59</v>
      </c>
      <c r="S1271">
        <v>1</v>
      </c>
      <c r="T1271">
        <v>25</v>
      </c>
      <c r="V1271">
        <v>50</v>
      </c>
      <c r="W1271" t="s">
        <v>1057</v>
      </c>
      <c r="X1271" t="s">
        <v>114</v>
      </c>
      <c r="Y1271">
        <v>6</v>
      </c>
      <c r="AB1271">
        <v>0.37</v>
      </c>
      <c r="AC1271" t="s">
        <v>85</v>
      </c>
      <c r="AD1271" t="s">
        <v>237</v>
      </c>
      <c r="AE1271" t="s">
        <v>63</v>
      </c>
      <c r="AI1271">
        <v>5</v>
      </c>
      <c r="AO1271">
        <v>0</v>
      </c>
      <c r="AV1271" t="s">
        <v>256</v>
      </c>
    </row>
    <row r="1272" spans="1:52" x14ac:dyDescent="0.3">
      <c r="A1272" t="s">
        <v>1380</v>
      </c>
      <c r="C1272" t="s">
        <v>1495</v>
      </c>
      <c r="H1272">
        <v>5</v>
      </c>
      <c r="I1272" t="s">
        <v>82</v>
      </c>
      <c r="J1272">
        <v>5.0000000000000004E-6</v>
      </c>
      <c r="K1272" t="s">
        <v>252</v>
      </c>
      <c r="O1272">
        <v>1E-3</v>
      </c>
      <c r="P1272" t="s">
        <v>59</v>
      </c>
      <c r="S1272">
        <v>1</v>
      </c>
      <c r="T1272">
        <v>25</v>
      </c>
      <c r="V1272">
        <v>50</v>
      </c>
      <c r="W1272" t="s">
        <v>1057</v>
      </c>
      <c r="X1272" t="s">
        <v>114</v>
      </c>
      <c r="Y1272">
        <v>8</v>
      </c>
      <c r="AB1272">
        <v>0.43</v>
      </c>
      <c r="AC1272" t="s">
        <v>85</v>
      </c>
      <c r="AD1272" t="s">
        <v>365</v>
      </c>
      <c r="AE1272" t="s">
        <v>63</v>
      </c>
      <c r="AI1272">
        <v>5</v>
      </c>
      <c r="AO1272">
        <v>0</v>
      </c>
      <c r="AV1272" t="s">
        <v>256</v>
      </c>
    </row>
    <row r="1273" spans="1:52" x14ac:dyDescent="0.3">
      <c r="A1273" t="s">
        <v>1380</v>
      </c>
      <c r="C1273" t="s">
        <v>1495</v>
      </c>
      <c r="H1273">
        <v>5</v>
      </c>
      <c r="I1273" t="s">
        <v>82</v>
      </c>
      <c r="J1273">
        <v>5.0000000000000004E-6</v>
      </c>
      <c r="K1273" t="s">
        <v>252</v>
      </c>
      <c r="O1273">
        <v>0.01</v>
      </c>
      <c r="P1273" t="s">
        <v>59</v>
      </c>
      <c r="S1273">
        <v>1</v>
      </c>
      <c r="T1273">
        <v>25</v>
      </c>
      <c r="V1273">
        <v>50</v>
      </c>
      <c r="W1273" t="s">
        <v>1057</v>
      </c>
      <c r="X1273" t="s">
        <v>114</v>
      </c>
      <c r="Y1273">
        <v>2</v>
      </c>
      <c r="AB1273">
        <v>0.14000000000000001</v>
      </c>
      <c r="AC1273" t="s">
        <v>85</v>
      </c>
      <c r="AD1273" t="s">
        <v>494</v>
      </c>
      <c r="AE1273" t="s">
        <v>63</v>
      </c>
      <c r="AI1273">
        <v>5</v>
      </c>
      <c r="AO1273">
        <v>0</v>
      </c>
      <c r="AV1273" t="s">
        <v>256</v>
      </c>
    </row>
    <row r="1274" spans="1:52" x14ac:dyDescent="0.3">
      <c r="A1274" t="s">
        <v>1380</v>
      </c>
      <c r="C1274" t="s">
        <v>1495</v>
      </c>
      <c r="H1274">
        <v>5</v>
      </c>
      <c r="I1274" t="s">
        <v>82</v>
      </c>
      <c r="J1274">
        <v>5.0000000000000004E-6</v>
      </c>
      <c r="K1274" t="s">
        <v>252</v>
      </c>
      <c r="O1274">
        <v>0.01</v>
      </c>
      <c r="P1274" t="s">
        <v>59</v>
      </c>
      <c r="S1274">
        <v>1</v>
      </c>
      <c r="T1274">
        <v>25</v>
      </c>
      <c r="V1274">
        <v>50</v>
      </c>
      <c r="W1274" t="s">
        <v>1057</v>
      </c>
      <c r="X1274" t="s">
        <v>114</v>
      </c>
      <c r="Y1274">
        <v>4</v>
      </c>
      <c r="AB1274">
        <v>0.23</v>
      </c>
      <c r="AC1274" t="s">
        <v>85</v>
      </c>
      <c r="AD1274" t="s">
        <v>227</v>
      </c>
      <c r="AE1274" t="s">
        <v>63</v>
      </c>
      <c r="AI1274">
        <v>5</v>
      </c>
      <c r="AO1274">
        <v>0</v>
      </c>
      <c r="AV1274" t="s">
        <v>256</v>
      </c>
    </row>
    <row r="1275" spans="1:52" x14ac:dyDescent="0.3">
      <c r="A1275" t="s">
        <v>1380</v>
      </c>
      <c r="C1275" t="s">
        <v>1495</v>
      </c>
      <c r="H1275">
        <v>5</v>
      </c>
      <c r="I1275" t="s">
        <v>82</v>
      </c>
      <c r="J1275">
        <v>5.0000000000000004E-6</v>
      </c>
      <c r="K1275" t="s">
        <v>252</v>
      </c>
      <c r="O1275">
        <v>0.01</v>
      </c>
      <c r="P1275" t="s">
        <v>59</v>
      </c>
      <c r="S1275">
        <v>1</v>
      </c>
      <c r="T1275">
        <v>25</v>
      </c>
      <c r="V1275">
        <v>50</v>
      </c>
      <c r="W1275" t="s">
        <v>1057</v>
      </c>
      <c r="X1275" t="s">
        <v>114</v>
      </c>
      <c r="Y1275">
        <v>6</v>
      </c>
      <c r="AB1275">
        <v>0.28000000000000003</v>
      </c>
      <c r="AC1275" t="s">
        <v>85</v>
      </c>
      <c r="AD1275" t="s">
        <v>236</v>
      </c>
      <c r="AE1275" t="s">
        <v>63</v>
      </c>
      <c r="AI1275">
        <v>5</v>
      </c>
      <c r="AO1275">
        <v>0</v>
      </c>
      <c r="AV1275" t="s">
        <v>256</v>
      </c>
    </row>
    <row r="1276" spans="1:52" x14ac:dyDescent="0.3">
      <c r="A1276" t="s">
        <v>1380</v>
      </c>
      <c r="C1276" t="s">
        <v>1495</v>
      </c>
      <c r="H1276">
        <v>5</v>
      </c>
      <c r="I1276" t="s">
        <v>82</v>
      </c>
      <c r="J1276">
        <v>5.0000000000000004E-6</v>
      </c>
      <c r="K1276" t="s">
        <v>252</v>
      </c>
      <c r="O1276">
        <v>0.01</v>
      </c>
      <c r="P1276" t="s">
        <v>59</v>
      </c>
      <c r="S1276">
        <v>1</v>
      </c>
      <c r="T1276">
        <v>25</v>
      </c>
      <c r="V1276">
        <v>50</v>
      </c>
      <c r="W1276" t="s">
        <v>1057</v>
      </c>
      <c r="X1276" t="s">
        <v>114</v>
      </c>
      <c r="Y1276">
        <v>8</v>
      </c>
      <c r="AB1276">
        <v>0.3</v>
      </c>
      <c r="AC1276" t="s">
        <v>85</v>
      </c>
      <c r="AD1276" t="s">
        <v>235</v>
      </c>
      <c r="AE1276" t="s">
        <v>63</v>
      </c>
      <c r="AI1276">
        <v>5</v>
      </c>
      <c r="AO1276">
        <v>0</v>
      </c>
      <c r="AV1276" t="s">
        <v>256</v>
      </c>
    </row>
    <row r="1277" spans="1:52" x14ac:dyDescent="0.3">
      <c r="A1277" t="s">
        <v>1380</v>
      </c>
      <c r="C1277" t="s">
        <v>1495</v>
      </c>
      <c r="H1277">
        <v>5</v>
      </c>
      <c r="I1277" t="s">
        <v>82</v>
      </c>
      <c r="J1277">
        <v>5.0000000000000004E-6</v>
      </c>
      <c r="K1277" t="s">
        <v>252</v>
      </c>
      <c r="O1277">
        <v>0.1</v>
      </c>
      <c r="P1277" t="s">
        <v>59</v>
      </c>
      <c r="S1277">
        <v>1</v>
      </c>
      <c r="T1277">
        <v>25</v>
      </c>
      <c r="V1277">
        <v>50</v>
      </c>
      <c r="W1277" t="s">
        <v>1057</v>
      </c>
      <c r="X1277" t="s">
        <v>114</v>
      </c>
      <c r="Y1277">
        <v>2</v>
      </c>
      <c r="AB1277">
        <v>0.9</v>
      </c>
      <c r="AC1277" t="s">
        <v>85</v>
      </c>
      <c r="AD1277" t="s">
        <v>227</v>
      </c>
      <c r="AE1277" t="s">
        <v>63</v>
      </c>
      <c r="AI1277">
        <v>5</v>
      </c>
      <c r="AO1277">
        <v>0</v>
      </c>
      <c r="AV1277" t="s">
        <v>256</v>
      </c>
    </row>
    <row r="1278" spans="1:52" x14ac:dyDescent="0.3">
      <c r="A1278" t="s">
        <v>1380</v>
      </c>
      <c r="C1278" t="s">
        <v>1495</v>
      </c>
      <c r="H1278">
        <v>5</v>
      </c>
      <c r="I1278" t="s">
        <v>82</v>
      </c>
      <c r="J1278">
        <v>5.0000000000000004E-6</v>
      </c>
      <c r="K1278" t="s">
        <v>252</v>
      </c>
      <c r="O1278">
        <v>0.1</v>
      </c>
      <c r="P1278" t="s">
        <v>59</v>
      </c>
      <c r="S1278">
        <v>1</v>
      </c>
      <c r="T1278">
        <v>25</v>
      </c>
      <c r="V1278">
        <v>50</v>
      </c>
      <c r="W1278" t="s">
        <v>1057</v>
      </c>
      <c r="X1278" t="s">
        <v>114</v>
      </c>
      <c r="Y1278">
        <v>4</v>
      </c>
      <c r="AB1278">
        <v>2.2999999999999901</v>
      </c>
      <c r="AC1278" t="s">
        <v>85</v>
      </c>
      <c r="AD1278" t="s">
        <v>103</v>
      </c>
      <c r="AE1278" t="s">
        <v>63</v>
      </c>
      <c r="AI1278">
        <v>5</v>
      </c>
      <c r="AO1278">
        <v>0</v>
      </c>
      <c r="AV1278" t="s">
        <v>256</v>
      </c>
    </row>
    <row r="1279" spans="1:52" x14ac:dyDescent="0.3">
      <c r="A1279" t="s">
        <v>1380</v>
      </c>
      <c r="C1279" t="s">
        <v>1495</v>
      </c>
      <c r="H1279">
        <v>5</v>
      </c>
      <c r="I1279" t="s">
        <v>82</v>
      </c>
      <c r="J1279">
        <v>5.0000000000000004E-6</v>
      </c>
      <c r="K1279" t="s">
        <v>252</v>
      </c>
      <c r="O1279">
        <v>0.1</v>
      </c>
      <c r="P1279" t="s">
        <v>59</v>
      </c>
      <c r="S1279">
        <v>1</v>
      </c>
      <c r="T1279">
        <v>25</v>
      </c>
      <c r="V1279">
        <v>50</v>
      </c>
      <c r="W1279" t="s">
        <v>1057</v>
      </c>
      <c r="X1279" t="s">
        <v>114</v>
      </c>
      <c r="Y1279">
        <v>6</v>
      </c>
      <c r="AB1279">
        <v>5.7</v>
      </c>
      <c r="AC1279" t="s">
        <v>85</v>
      </c>
      <c r="AD1279" t="s">
        <v>108</v>
      </c>
      <c r="AE1279" t="s">
        <v>63</v>
      </c>
      <c r="AI1279">
        <v>5</v>
      </c>
      <c r="AO1279">
        <v>0</v>
      </c>
      <c r="AV1279" t="s">
        <v>256</v>
      </c>
    </row>
    <row r="1280" spans="1:52" x14ac:dyDescent="0.3">
      <c r="A1280" t="s">
        <v>1380</v>
      </c>
      <c r="C1280" t="s">
        <v>1495</v>
      </c>
      <c r="H1280">
        <v>5</v>
      </c>
      <c r="I1280" t="s">
        <v>82</v>
      </c>
      <c r="J1280">
        <v>5.0000000000000004E-6</v>
      </c>
      <c r="K1280" t="s">
        <v>252</v>
      </c>
      <c r="O1280">
        <v>0.1</v>
      </c>
      <c r="P1280" t="s">
        <v>59</v>
      </c>
      <c r="S1280">
        <v>1</v>
      </c>
      <c r="T1280">
        <v>25</v>
      </c>
      <c r="V1280">
        <v>50</v>
      </c>
      <c r="W1280" t="s">
        <v>1057</v>
      </c>
      <c r="X1280" t="s">
        <v>114</v>
      </c>
      <c r="Y1280">
        <v>8</v>
      </c>
      <c r="AB1280">
        <v>6.4</v>
      </c>
      <c r="AC1280" t="s">
        <v>85</v>
      </c>
      <c r="AD1280" t="s">
        <v>333</v>
      </c>
      <c r="AE1280" t="s">
        <v>63</v>
      </c>
      <c r="AI1280">
        <v>5</v>
      </c>
      <c r="AO1280">
        <v>0</v>
      </c>
      <c r="AV1280" t="s">
        <v>256</v>
      </c>
    </row>
    <row r="1281" spans="1:48" x14ac:dyDescent="0.3">
      <c r="A1281" t="s">
        <v>1380</v>
      </c>
      <c r="C1281" t="s">
        <v>1495</v>
      </c>
      <c r="H1281">
        <v>5</v>
      </c>
      <c r="I1281" t="s">
        <v>82</v>
      </c>
      <c r="J1281">
        <v>5.0000000000000004E-6</v>
      </c>
      <c r="K1281" t="s">
        <v>252</v>
      </c>
      <c r="O1281">
        <v>0.1</v>
      </c>
      <c r="P1281" t="s">
        <v>59</v>
      </c>
      <c r="S1281">
        <v>1</v>
      </c>
      <c r="T1281">
        <v>25</v>
      </c>
      <c r="V1281">
        <v>50</v>
      </c>
      <c r="W1281" t="s">
        <v>1057</v>
      </c>
      <c r="X1281" t="s">
        <v>114</v>
      </c>
      <c r="Y1281">
        <v>16</v>
      </c>
      <c r="AB1281">
        <v>7.7</v>
      </c>
      <c r="AC1281" t="s">
        <v>85</v>
      </c>
      <c r="AD1281" t="s">
        <v>524</v>
      </c>
      <c r="AE1281" t="s">
        <v>63</v>
      </c>
      <c r="AI1281">
        <v>5</v>
      </c>
      <c r="AO1281">
        <v>0</v>
      </c>
      <c r="AV1281" t="s">
        <v>256</v>
      </c>
    </row>
    <row r="1282" spans="1:48" x14ac:dyDescent="0.3">
      <c r="A1282" t="s">
        <v>1380</v>
      </c>
      <c r="C1282" t="s">
        <v>1495</v>
      </c>
      <c r="H1282">
        <v>5</v>
      </c>
      <c r="I1282" t="s">
        <v>82</v>
      </c>
      <c r="J1282">
        <v>5.0000000000000004E-6</v>
      </c>
      <c r="K1282" t="s">
        <v>252</v>
      </c>
      <c r="O1282">
        <v>0.1</v>
      </c>
      <c r="P1282" t="s">
        <v>59</v>
      </c>
      <c r="S1282">
        <v>1</v>
      </c>
      <c r="T1282">
        <v>25</v>
      </c>
      <c r="V1282">
        <v>50</v>
      </c>
      <c r="W1282" t="s">
        <v>1057</v>
      </c>
      <c r="X1282" t="s">
        <v>114</v>
      </c>
      <c r="Y1282">
        <v>20</v>
      </c>
      <c r="AB1282">
        <v>7.8</v>
      </c>
      <c r="AC1282" t="s">
        <v>85</v>
      </c>
      <c r="AD1282" t="s">
        <v>511</v>
      </c>
      <c r="AE1282" t="s">
        <v>63</v>
      </c>
      <c r="AI1282">
        <v>5</v>
      </c>
      <c r="AO1282">
        <v>0</v>
      </c>
      <c r="AV1282" t="s">
        <v>256</v>
      </c>
    </row>
    <row r="1283" spans="1:48" x14ac:dyDescent="0.3">
      <c r="A1283" t="s">
        <v>1380</v>
      </c>
      <c r="C1283" t="s">
        <v>1495</v>
      </c>
      <c r="H1283">
        <v>5</v>
      </c>
      <c r="I1283" t="s">
        <v>82</v>
      </c>
      <c r="J1283">
        <v>5.0000000000000004E-6</v>
      </c>
      <c r="K1283" t="s">
        <v>252</v>
      </c>
      <c r="O1283">
        <v>1</v>
      </c>
      <c r="P1283" t="s">
        <v>59</v>
      </c>
      <c r="S1283">
        <v>1</v>
      </c>
      <c r="T1283">
        <v>25</v>
      </c>
      <c r="V1283">
        <v>50</v>
      </c>
      <c r="W1283" t="s">
        <v>1057</v>
      </c>
      <c r="X1283" t="s">
        <v>114</v>
      </c>
      <c r="Y1283">
        <v>2</v>
      </c>
      <c r="AB1283">
        <v>7.7</v>
      </c>
      <c r="AC1283" t="s">
        <v>85</v>
      </c>
      <c r="AD1283" t="s">
        <v>241</v>
      </c>
      <c r="AE1283" t="s">
        <v>63</v>
      </c>
      <c r="AI1283">
        <v>5</v>
      </c>
      <c r="AO1283">
        <v>0</v>
      </c>
      <c r="AV1283" t="s">
        <v>256</v>
      </c>
    </row>
    <row r="1284" spans="1:48" x14ac:dyDescent="0.3">
      <c r="A1284" t="s">
        <v>1380</v>
      </c>
      <c r="C1284" t="s">
        <v>1495</v>
      </c>
      <c r="H1284">
        <v>5</v>
      </c>
      <c r="I1284" t="s">
        <v>82</v>
      </c>
      <c r="J1284">
        <v>5.0000000000000004E-6</v>
      </c>
      <c r="K1284" t="s">
        <v>252</v>
      </c>
      <c r="O1284">
        <v>1</v>
      </c>
      <c r="P1284" t="s">
        <v>59</v>
      </c>
      <c r="S1284">
        <v>1</v>
      </c>
      <c r="T1284">
        <v>25</v>
      </c>
      <c r="V1284">
        <v>50</v>
      </c>
      <c r="W1284" t="s">
        <v>1057</v>
      </c>
      <c r="X1284" t="s">
        <v>114</v>
      </c>
      <c r="Y1284">
        <v>4</v>
      </c>
      <c r="AB1284">
        <v>7.9</v>
      </c>
      <c r="AC1284" t="s">
        <v>85</v>
      </c>
      <c r="AD1284" t="s">
        <v>511</v>
      </c>
      <c r="AE1284" t="s">
        <v>63</v>
      </c>
      <c r="AI1284">
        <v>5</v>
      </c>
      <c r="AO1284">
        <v>0</v>
      </c>
      <c r="AV1284" t="s">
        <v>256</v>
      </c>
    </row>
    <row r="1285" spans="1:48" x14ac:dyDescent="0.3">
      <c r="A1285" t="s">
        <v>1380</v>
      </c>
      <c r="C1285" t="s">
        <v>1495</v>
      </c>
      <c r="H1285">
        <v>5</v>
      </c>
      <c r="I1285" t="s">
        <v>82</v>
      </c>
      <c r="J1285">
        <v>5.0000000000000004E-6</v>
      </c>
      <c r="K1285" t="s">
        <v>252</v>
      </c>
      <c r="O1285">
        <v>1</v>
      </c>
      <c r="P1285" t="s">
        <v>59</v>
      </c>
      <c r="S1285">
        <v>1</v>
      </c>
      <c r="T1285">
        <v>25</v>
      </c>
      <c r="V1285">
        <v>50</v>
      </c>
      <c r="W1285" t="s">
        <v>1057</v>
      </c>
      <c r="X1285" t="s">
        <v>114</v>
      </c>
      <c r="Y1285">
        <v>6</v>
      </c>
      <c r="AB1285">
        <v>7.4</v>
      </c>
      <c r="AC1285" t="s">
        <v>85</v>
      </c>
      <c r="AD1285" t="s">
        <v>525</v>
      </c>
      <c r="AE1285" t="s">
        <v>63</v>
      </c>
      <c r="AI1285">
        <v>5</v>
      </c>
      <c r="AO1285">
        <v>0</v>
      </c>
      <c r="AV1285" t="s">
        <v>256</v>
      </c>
    </row>
    <row r="1286" spans="1:48" x14ac:dyDescent="0.3">
      <c r="A1286" t="s">
        <v>1380</v>
      </c>
      <c r="C1286" t="s">
        <v>1495</v>
      </c>
      <c r="H1286">
        <v>5</v>
      </c>
      <c r="I1286" t="s">
        <v>82</v>
      </c>
      <c r="J1286">
        <v>5.0000000000000004E-6</v>
      </c>
      <c r="K1286" t="s">
        <v>252</v>
      </c>
      <c r="O1286">
        <v>1</v>
      </c>
      <c r="P1286" t="s">
        <v>59</v>
      </c>
      <c r="S1286">
        <v>1</v>
      </c>
      <c r="T1286">
        <v>25</v>
      </c>
      <c r="V1286">
        <v>50</v>
      </c>
      <c r="W1286" t="s">
        <v>1057</v>
      </c>
      <c r="X1286" t="s">
        <v>114</v>
      </c>
      <c r="Y1286">
        <v>8</v>
      </c>
      <c r="AB1286">
        <v>7.6</v>
      </c>
      <c r="AC1286" t="s">
        <v>85</v>
      </c>
      <c r="AD1286" t="s">
        <v>488</v>
      </c>
      <c r="AE1286" t="s">
        <v>63</v>
      </c>
      <c r="AI1286">
        <v>5</v>
      </c>
      <c r="AO1286">
        <v>0</v>
      </c>
      <c r="AV1286" t="s">
        <v>256</v>
      </c>
    </row>
    <row r="1287" spans="1:48" x14ac:dyDescent="0.3">
      <c r="A1287" t="s">
        <v>1380</v>
      </c>
      <c r="C1287" t="s">
        <v>1495</v>
      </c>
      <c r="H1287">
        <v>5</v>
      </c>
      <c r="I1287" t="s">
        <v>82</v>
      </c>
      <c r="J1287">
        <v>5.0000000000000004E-6</v>
      </c>
      <c r="K1287" t="s">
        <v>252</v>
      </c>
      <c r="O1287">
        <v>0.01</v>
      </c>
      <c r="P1287" t="s">
        <v>59</v>
      </c>
      <c r="S1287">
        <v>1</v>
      </c>
      <c r="T1287">
        <v>25</v>
      </c>
      <c r="V1287">
        <v>50</v>
      </c>
      <c r="W1287" t="s">
        <v>1057</v>
      </c>
      <c r="X1287" t="s">
        <v>114</v>
      </c>
      <c r="Y1287">
        <v>2</v>
      </c>
      <c r="AB1287">
        <v>0.86</v>
      </c>
      <c r="AC1287" t="s">
        <v>85</v>
      </c>
      <c r="AD1287" t="s">
        <v>236</v>
      </c>
      <c r="AE1287" t="s">
        <v>63</v>
      </c>
      <c r="AI1287">
        <v>5</v>
      </c>
      <c r="AO1287">
        <v>0</v>
      </c>
      <c r="AV1287" t="s">
        <v>256</v>
      </c>
    </row>
    <row r="1288" spans="1:48" x14ac:dyDescent="0.3">
      <c r="A1288" t="s">
        <v>1380</v>
      </c>
      <c r="C1288" t="s">
        <v>1495</v>
      </c>
      <c r="H1288">
        <v>5</v>
      </c>
      <c r="I1288" t="s">
        <v>82</v>
      </c>
      <c r="J1288">
        <v>5.0000000000000004E-6</v>
      </c>
      <c r="K1288" t="s">
        <v>252</v>
      </c>
      <c r="O1288">
        <v>0.01</v>
      </c>
      <c r="P1288" t="s">
        <v>59</v>
      </c>
      <c r="S1288">
        <v>1</v>
      </c>
      <c r="T1288">
        <v>25</v>
      </c>
      <c r="V1288">
        <v>50</v>
      </c>
      <c r="W1288" t="s">
        <v>1057</v>
      </c>
      <c r="X1288" t="s">
        <v>114</v>
      </c>
      <c r="Y1288">
        <v>4</v>
      </c>
      <c r="AB1288">
        <v>0.82</v>
      </c>
      <c r="AC1288" t="s">
        <v>85</v>
      </c>
      <c r="AD1288" t="s">
        <v>227</v>
      </c>
      <c r="AE1288" t="s">
        <v>63</v>
      </c>
      <c r="AI1288">
        <v>5</v>
      </c>
      <c r="AO1288">
        <v>0</v>
      </c>
      <c r="AV1288" t="s">
        <v>256</v>
      </c>
    </row>
    <row r="1289" spans="1:48" x14ac:dyDescent="0.3">
      <c r="A1289" t="s">
        <v>1380</v>
      </c>
      <c r="C1289" t="s">
        <v>1495</v>
      </c>
      <c r="H1289">
        <v>5</v>
      </c>
      <c r="I1289" t="s">
        <v>82</v>
      </c>
      <c r="J1289">
        <v>5.0000000000000004E-6</v>
      </c>
      <c r="K1289" t="s">
        <v>252</v>
      </c>
      <c r="O1289">
        <v>0.01</v>
      </c>
      <c r="P1289" t="s">
        <v>59</v>
      </c>
      <c r="S1289">
        <v>1</v>
      </c>
      <c r="T1289">
        <v>25</v>
      </c>
      <c r="V1289">
        <v>50</v>
      </c>
      <c r="W1289" t="s">
        <v>1057</v>
      </c>
      <c r="X1289" t="s">
        <v>114</v>
      </c>
      <c r="Y1289">
        <v>6</v>
      </c>
      <c r="AB1289">
        <v>0.92</v>
      </c>
      <c r="AC1289" t="s">
        <v>85</v>
      </c>
      <c r="AD1289" t="s">
        <v>236</v>
      </c>
      <c r="AE1289" t="s">
        <v>63</v>
      </c>
      <c r="AI1289">
        <v>5</v>
      </c>
      <c r="AO1289">
        <v>0</v>
      </c>
      <c r="AV1289" t="s">
        <v>256</v>
      </c>
    </row>
    <row r="1290" spans="1:48" x14ac:dyDescent="0.3">
      <c r="A1290" t="s">
        <v>1380</v>
      </c>
      <c r="C1290" t="s">
        <v>1495</v>
      </c>
      <c r="H1290">
        <v>5</v>
      </c>
      <c r="I1290" t="s">
        <v>82</v>
      </c>
      <c r="J1290">
        <v>5.0000000000000004E-6</v>
      </c>
      <c r="K1290" t="s">
        <v>252</v>
      </c>
      <c r="O1290">
        <v>0.01</v>
      </c>
      <c r="P1290" t="s">
        <v>59</v>
      </c>
      <c r="S1290">
        <v>1</v>
      </c>
      <c r="T1290">
        <v>25</v>
      </c>
      <c r="V1290">
        <v>50</v>
      </c>
      <c r="W1290" t="s">
        <v>1057</v>
      </c>
      <c r="X1290" t="s">
        <v>114</v>
      </c>
      <c r="Y1290">
        <v>8</v>
      </c>
      <c r="AB1290">
        <v>0.97</v>
      </c>
      <c r="AC1290" t="s">
        <v>85</v>
      </c>
      <c r="AD1290" t="s">
        <v>236</v>
      </c>
      <c r="AE1290" t="s">
        <v>63</v>
      </c>
      <c r="AI1290">
        <v>5</v>
      </c>
      <c r="AO1290">
        <v>0</v>
      </c>
      <c r="AV1290" t="s">
        <v>256</v>
      </c>
    </row>
    <row r="1291" spans="1:48" x14ac:dyDescent="0.3">
      <c r="A1291" t="s">
        <v>1380</v>
      </c>
      <c r="C1291" t="s">
        <v>1495</v>
      </c>
      <c r="H1291">
        <v>5</v>
      </c>
      <c r="I1291" t="s">
        <v>82</v>
      </c>
      <c r="J1291">
        <v>5.0000000000000004E-6</v>
      </c>
      <c r="K1291" t="s">
        <v>252</v>
      </c>
      <c r="O1291">
        <v>0.01</v>
      </c>
      <c r="P1291" t="s">
        <v>59</v>
      </c>
      <c r="S1291">
        <v>1</v>
      </c>
      <c r="T1291">
        <v>25</v>
      </c>
      <c r="V1291">
        <v>50</v>
      </c>
      <c r="W1291" t="s">
        <v>1057</v>
      </c>
      <c r="X1291" t="s">
        <v>114</v>
      </c>
      <c r="Y1291">
        <v>16</v>
      </c>
      <c r="AB1291">
        <v>0.98</v>
      </c>
      <c r="AC1291" t="s">
        <v>85</v>
      </c>
      <c r="AD1291" t="s">
        <v>227</v>
      </c>
      <c r="AE1291" t="s">
        <v>63</v>
      </c>
      <c r="AI1291">
        <v>5</v>
      </c>
      <c r="AO1291">
        <v>0</v>
      </c>
      <c r="AV1291" t="s">
        <v>256</v>
      </c>
    </row>
    <row r="1292" spans="1:48" x14ac:dyDescent="0.3">
      <c r="A1292" t="s">
        <v>1380</v>
      </c>
      <c r="C1292" t="s">
        <v>1495</v>
      </c>
      <c r="H1292">
        <v>5</v>
      </c>
      <c r="I1292" t="s">
        <v>82</v>
      </c>
      <c r="J1292">
        <v>5.0000000000000004E-6</v>
      </c>
      <c r="K1292" t="s">
        <v>252</v>
      </c>
      <c r="O1292">
        <v>0.01</v>
      </c>
      <c r="P1292" t="s">
        <v>59</v>
      </c>
      <c r="S1292">
        <v>1</v>
      </c>
      <c r="T1292">
        <v>25</v>
      </c>
      <c r="V1292">
        <v>50</v>
      </c>
      <c r="W1292" t="s">
        <v>1057</v>
      </c>
      <c r="X1292" t="s">
        <v>114</v>
      </c>
      <c r="Y1292">
        <v>20</v>
      </c>
      <c r="AB1292">
        <v>0.99</v>
      </c>
      <c r="AC1292" t="s">
        <v>85</v>
      </c>
      <c r="AD1292" t="s">
        <v>237</v>
      </c>
      <c r="AE1292" t="s">
        <v>63</v>
      </c>
      <c r="AI1292">
        <v>5</v>
      </c>
      <c r="AO1292">
        <v>0</v>
      </c>
      <c r="AV1292" t="s">
        <v>256</v>
      </c>
    </row>
    <row r="1293" spans="1:48" x14ac:dyDescent="0.3">
      <c r="A1293" t="s">
        <v>1380</v>
      </c>
      <c r="C1293" t="s">
        <v>1495</v>
      </c>
      <c r="H1293">
        <v>5</v>
      </c>
      <c r="I1293" t="s">
        <v>82</v>
      </c>
      <c r="J1293">
        <v>5.0000000000000004E-6</v>
      </c>
      <c r="K1293" t="s">
        <v>252</v>
      </c>
      <c r="O1293">
        <v>0.1</v>
      </c>
      <c r="P1293" t="s">
        <v>59</v>
      </c>
      <c r="S1293">
        <v>1</v>
      </c>
      <c r="T1293">
        <v>25</v>
      </c>
      <c r="V1293">
        <v>50</v>
      </c>
      <c r="W1293" t="s">
        <v>1057</v>
      </c>
      <c r="X1293" t="s">
        <v>114</v>
      </c>
      <c r="Y1293">
        <v>2</v>
      </c>
      <c r="AB1293">
        <v>1.7</v>
      </c>
      <c r="AC1293" t="s">
        <v>85</v>
      </c>
      <c r="AD1293" t="s">
        <v>418</v>
      </c>
      <c r="AE1293" t="s">
        <v>63</v>
      </c>
      <c r="AI1293">
        <v>5</v>
      </c>
      <c r="AO1293">
        <v>0</v>
      </c>
      <c r="AV1293" t="s">
        <v>256</v>
      </c>
    </row>
    <row r="1294" spans="1:48" x14ac:dyDescent="0.3">
      <c r="A1294" t="s">
        <v>1380</v>
      </c>
      <c r="C1294" t="s">
        <v>1495</v>
      </c>
      <c r="H1294">
        <v>5</v>
      </c>
      <c r="I1294" t="s">
        <v>82</v>
      </c>
      <c r="J1294">
        <v>5.0000000000000004E-6</v>
      </c>
      <c r="K1294" t="s">
        <v>252</v>
      </c>
      <c r="O1294">
        <v>0.1</v>
      </c>
      <c r="P1294" t="s">
        <v>59</v>
      </c>
      <c r="S1294">
        <v>1</v>
      </c>
      <c r="T1294">
        <v>25</v>
      </c>
      <c r="V1294">
        <v>50</v>
      </c>
      <c r="W1294" t="s">
        <v>1057</v>
      </c>
      <c r="X1294" t="s">
        <v>114</v>
      </c>
      <c r="Y1294">
        <v>4</v>
      </c>
      <c r="AB1294">
        <v>6.7</v>
      </c>
      <c r="AC1294" t="s">
        <v>85</v>
      </c>
      <c r="AD1294" t="s">
        <v>992</v>
      </c>
      <c r="AE1294" t="s">
        <v>63</v>
      </c>
      <c r="AI1294">
        <v>5</v>
      </c>
      <c r="AO1294">
        <v>0</v>
      </c>
      <c r="AV1294" t="s">
        <v>256</v>
      </c>
    </row>
    <row r="1295" spans="1:48" x14ac:dyDescent="0.3">
      <c r="A1295" t="s">
        <v>1380</v>
      </c>
      <c r="C1295" t="s">
        <v>1495</v>
      </c>
      <c r="H1295">
        <v>5</v>
      </c>
      <c r="I1295" t="s">
        <v>82</v>
      </c>
      <c r="J1295">
        <v>5.0000000000000004E-6</v>
      </c>
      <c r="K1295" t="s">
        <v>252</v>
      </c>
      <c r="O1295">
        <v>0.1</v>
      </c>
      <c r="P1295" t="s">
        <v>59</v>
      </c>
      <c r="S1295">
        <v>1</v>
      </c>
      <c r="T1295">
        <v>25</v>
      </c>
      <c r="V1295">
        <v>50</v>
      </c>
      <c r="W1295" t="s">
        <v>1057</v>
      </c>
      <c r="X1295" t="s">
        <v>114</v>
      </c>
      <c r="Y1295">
        <v>6</v>
      </c>
      <c r="AB1295">
        <v>6.4</v>
      </c>
      <c r="AC1295" t="s">
        <v>85</v>
      </c>
      <c r="AD1295" t="s">
        <v>194</v>
      </c>
      <c r="AE1295" t="s">
        <v>63</v>
      </c>
      <c r="AI1295">
        <v>5</v>
      </c>
      <c r="AO1295">
        <v>0</v>
      </c>
      <c r="AV1295" t="s">
        <v>256</v>
      </c>
    </row>
    <row r="1296" spans="1:48" x14ac:dyDescent="0.3">
      <c r="A1296" t="s">
        <v>1380</v>
      </c>
      <c r="C1296" t="s">
        <v>1495</v>
      </c>
      <c r="H1296">
        <v>5</v>
      </c>
      <c r="I1296" t="s">
        <v>82</v>
      </c>
      <c r="J1296">
        <v>5.0000000000000004E-6</v>
      </c>
      <c r="K1296" t="s">
        <v>252</v>
      </c>
      <c r="O1296">
        <v>0.1</v>
      </c>
      <c r="P1296" t="s">
        <v>59</v>
      </c>
      <c r="S1296">
        <v>1</v>
      </c>
      <c r="T1296">
        <v>25</v>
      </c>
      <c r="V1296">
        <v>50</v>
      </c>
      <c r="W1296" t="s">
        <v>1057</v>
      </c>
      <c r="X1296" t="s">
        <v>114</v>
      </c>
      <c r="Y1296">
        <v>8</v>
      </c>
      <c r="AB1296">
        <v>6.2</v>
      </c>
      <c r="AC1296" t="s">
        <v>85</v>
      </c>
      <c r="AD1296" t="s">
        <v>325</v>
      </c>
      <c r="AE1296" t="s">
        <v>63</v>
      </c>
      <c r="AI1296">
        <v>5</v>
      </c>
      <c r="AO1296">
        <v>0</v>
      </c>
      <c r="AV1296" t="s">
        <v>256</v>
      </c>
    </row>
    <row r="1297" spans="1:48" x14ac:dyDescent="0.3">
      <c r="A1297" t="s">
        <v>1380</v>
      </c>
      <c r="C1297" t="s">
        <v>1495</v>
      </c>
      <c r="H1297">
        <v>5</v>
      </c>
      <c r="I1297" t="s">
        <v>82</v>
      </c>
      <c r="J1297">
        <v>5.0000000000000004E-6</v>
      </c>
      <c r="K1297" t="s">
        <v>252</v>
      </c>
      <c r="O1297">
        <v>0.1</v>
      </c>
      <c r="P1297" t="s">
        <v>59</v>
      </c>
      <c r="S1297">
        <v>1</v>
      </c>
      <c r="T1297">
        <v>25</v>
      </c>
      <c r="V1297">
        <v>50</v>
      </c>
      <c r="W1297" t="s">
        <v>1057</v>
      </c>
      <c r="X1297" t="s">
        <v>114</v>
      </c>
      <c r="Y1297">
        <v>16</v>
      </c>
      <c r="AB1297">
        <v>7.4</v>
      </c>
      <c r="AC1297" t="s">
        <v>85</v>
      </c>
      <c r="AD1297" t="s">
        <v>194</v>
      </c>
      <c r="AE1297" t="s">
        <v>63</v>
      </c>
      <c r="AI1297">
        <v>5</v>
      </c>
      <c r="AO1297">
        <v>0</v>
      </c>
      <c r="AV1297" t="s">
        <v>256</v>
      </c>
    </row>
    <row r="1298" spans="1:48" x14ac:dyDescent="0.3">
      <c r="A1298" t="s">
        <v>1380</v>
      </c>
      <c r="C1298" t="s">
        <v>1495</v>
      </c>
      <c r="H1298">
        <v>5</v>
      </c>
      <c r="I1298" t="s">
        <v>82</v>
      </c>
      <c r="J1298">
        <v>5.0000000000000004E-6</v>
      </c>
      <c r="K1298" t="s">
        <v>252</v>
      </c>
      <c r="O1298">
        <v>0.1</v>
      </c>
      <c r="P1298" t="s">
        <v>59</v>
      </c>
      <c r="S1298">
        <v>1</v>
      </c>
      <c r="T1298">
        <v>25</v>
      </c>
      <c r="V1298">
        <v>50</v>
      </c>
      <c r="W1298" t="s">
        <v>1057</v>
      </c>
      <c r="X1298" t="s">
        <v>114</v>
      </c>
      <c r="Y1298">
        <v>20</v>
      </c>
      <c r="AB1298">
        <v>7.1</v>
      </c>
      <c r="AC1298" t="s">
        <v>85</v>
      </c>
      <c r="AD1298" t="s">
        <v>482</v>
      </c>
      <c r="AE1298" t="s">
        <v>63</v>
      </c>
      <c r="AI1298">
        <v>5</v>
      </c>
      <c r="AO1298">
        <v>0</v>
      </c>
      <c r="AV1298" t="s">
        <v>256</v>
      </c>
    </row>
    <row r="1299" spans="1:48" x14ac:dyDescent="0.3">
      <c r="A1299" t="s">
        <v>1380</v>
      </c>
      <c r="C1299" t="s">
        <v>1495</v>
      </c>
      <c r="H1299">
        <v>5</v>
      </c>
      <c r="I1299" t="s">
        <v>82</v>
      </c>
      <c r="J1299">
        <v>5.0000000000000004E-6</v>
      </c>
      <c r="K1299" t="s">
        <v>252</v>
      </c>
      <c r="O1299">
        <v>1</v>
      </c>
      <c r="P1299" t="s">
        <v>59</v>
      </c>
      <c r="S1299">
        <v>1</v>
      </c>
      <c r="T1299">
        <v>25</v>
      </c>
      <c r="V1299">
        <v>50</v>
      </c>
      <c r="W1299" t="s">
        <v>1057</v>
      </c>
      <c r="X1299" t="s">
        <v>114</v>
      </c>
      <c r="Y1299">
        <v>2</v>
      </c>
      <c r="AB1299">
        <v>7.9</v>
      </c>
      <c r="AC1299" t="s">
        <v>85</v>
      </c>
      <c r="AD1299" t="s">
        <v>194</v>
      </c>
      <c r="AE1299" t="s">
        <v>63</v>
      </c>
      <c r="AI1299">
        <v>5</v>
      </c>
      <c r="AO1299">
        <v>0</v>
      </c>
      <c r="AV1299" t="s">
        <v>256</v>
      </c>
    </row>
    <row r="1300" spans="1:48" x14ac:dyDescent="0.3">
      <c r="A1300" t="s">
        <v>1380</v>
      </c>
      <c r="C1300" t="s">
        <v>1495</v>
      </c>
      <c r="H1300">
        <v>5</v>
      </c>
      <c r="I1300" t="s">
        <v>82</v>
      </c>
      <c r="J1300">
        <v>5.0000000000000004E-6</v>
      </c>
      <c r="K1300" t="s">
        <v>252</v>
      </c>
      <c r="O1300">
        <v>1</v>
      </c>
      <c r="P1300" t="s">
        <v>59</v>
      </c>
      <c r="S1300">
        <v>1</v>
      </c>
      <c r="T1300">
        <v>25</v>
      </c>
      <c r="V1300">
        <v>50</v>
      </c>
      <c r="W1300" t="s">
        <v>1057</v>
      </c>
      <c r="X1300" t="s">
        <v>114</v>
      </c>
      <c r="Y1300">
        <v>4</v>
      </c>
      <c r="AB1300">
        <v>7.9</v>
      </c>
      <c r="AC1300" t="s">
        <v>85</v>
      </c>
      <c r="AD1300" t="s">
        <v>194</v>
      </c>
      <c r="AE1300" t="s">
        <v>63</v>
      </c>
      <c r="AI1300">
        <v>5</v>
      </c>
      <c r="AO1300">
        <v>0</v>
      </c>
      <c r="AV1300" t="s">
        <v>256</v>
      </c>
    </row>
    <row r="1301" spans="1:48" x14ac:dyDescent="0.3">
      <c r="A1301" t="s">
        <v>1380</v>
      </c>
      <c r="C1301" t="s">
        <v>1495</v>
      </c>
      <c r="H1301">
        <v>5</v>
      </c>
      <c r="I1301" t="s">
        <v>82</v>
      </c>
      <c r="J1301">
        <v>5.0000000000000004E-6</v>
      </c>
      <c r="K1301" t="s">
        <v>252</v>
      </c>
      <c r="O1301">
        <v>1</v>
      </c>
      <c r="P1301" t="s">
        <v>59</v>
      </c>
      <c r="S1301">
        <v>1</v>
      </c>
      <c r="T1301">
        <v>25</v>
      </c>
      <c r="V1301">
        <v>50</v>
      </c>
      <c r="W1301" t="s">
        <v>1057</v>
      </c>
      <c r="X1301" t="s">
        <v>114</v>
      </c>
      <c r="Y1301">
        <v>6</v>
      </c>
      <c r="AB1301">
        <v>7.9</v>
      </c>
      <c r="AC1301" t="s">
        <v>85</v>
      </c>
      <c r="AD1301" t="s">
        <v>194</v>
      </c>
      <c r="AE1301" t="s">
        <v>63</v>
      </c>
      <c r="AI1301">
        <v>5</v>
      </c>
      <c r="AO1301">
        <v>0</v>
      </c>
      <c r="AV1301" t="s">
        <v>256</v>
      </c>
    </row>
    <row r="1302" spans="1:48" x14ac:dyDescent="0.3">
      <c r="A1302" t="s">
        <v>1380</v>
      </c>
      <c r="C1302" t="s">
        <v>1495</v>
      </c>
      <c r="H1302">
        <v>5</v>
      </c>
      <c r="I1302" t="s">
        <v>82</v>
      </c>
      <c r="J1302">
        <v>5.0000000000000004E-6</v>
      </c>
      <c r="K1302" t="s">
        <v>252</v>
      </c>
      <c r="O1302">
        <v>1</v>
      </c>
      <c r="P1302" t="s">
        <v>59</v>
      </c>
      <c r="S1302">
        <v>1</v>
      </c>
      <c r="T1302">
        <v>25</v>
      </c>
      <c r="V1302">
        <v>50</v>
      </c>
      <c r="W1302" t="s">
        <v>1057</v>
      </c>
      <c r="X1302" t="s">
        <v>114</v>
      </c>
      <c r="Y1302">
        <v>8</v>
      </c>
      <c r="AB1302">
        <v>7.9</v>
      </c>
      <c r="AC1302" t="s">
        <v>85</v>
      </c>
      <c r="AD1302" t="s">
        <v>194</v>
      </c>
      <c r="AE1302" t="s">
        <v>63</v>
      </c>
      <c r="AI1302">
        <v>5</v>
      </c>
      <c r="AO1302">
        <v>0</v>
      </c>
      <c r="AV1302" t="s">
        <v>256</v>
      </c>
    </row>
    <row r="1303" spans="1:48" x14ac:dyDescent="0.3">
      <c r="A1303" t="s">
        <v>1380</v>
      </c>
      <c r="C1303" t="s">
        <v>1495</v>
      </c>
      <c r="H1303">
        <v>5</v>
      </c>
      <c r="I1303" t="s">
        <v>82</v>
      </c>
      <c r="J1303">
        <v>5.0000000000000004E-6</v>
      </c>
      <c r="K1303" t="s">
        <v>252</v>
      </c>
      <c r="O1303">
        <v>0.1</v>
      </c>
      <c r="P1303" t="s">
        <v>59</v>
      </c>
      <c r="S1303">
        <v>1</v>
      </c>
      <c r="T1303">
        <v>25</v>
      </c>
      <c r="V1303">
        <v>50</v>
      </c>
      <c r="W1303" t="s">
        <v>1057</v>
      </c>
      <c r="X1303" t="s">
        <v>114</v>
      </c>
      <c r="Y1303">
        <v>2</v>
      </c>
      <c r="AB1303">
        <v>-0.13</v>
      </c>
      <c r="AC1303" t="s">
        <v>85</v>
      </c>
      <c r="AD1303" t="s">
        <v>511</v>
      </c>
      <c r="AE1303" t="s">
        <v>63</v>
      </c>
      <c r="AI1303">
        <v>5</v>
      </c>
      <c r="AO1303">
        <v>0</v>
      </c>
      <c r="AV1303" t="s">
        <v>256</v>
      </c>
    </row>
    <row r="1304" spans="1:48" x14ac:dyDescent="0.3">
      <c r="A1304" t="s">
        <v>1380</v>
      </c>
      <c r="C1304" t="s">
        <v>1495</v>
      </c>
      <c r="H1304">
        <v>5</v>
      </c>
      <c r="I1304" t="s">
        <v>82</v>
      </c>
      <c r="J1304">
        <v>5.0000000000000004E-6</v>
      </c>
      <c r="K1304" t="s">
        <v>252</v>
      </c>
      <c r="O1304">
        <v>0.1</v>
      </c>
      <c r="P1304" t="s">
        <v>59</v>
      </c>
      <c r="S1304">
        <v>1</v>
      </c>
      <c r="T1304">
        <v>25</v>
      </c>
      <c r="V1304">
        <v>50</v>
      </c>
      <c r="W1304" t="s">
        <v>1057</v>
      </c>
      <c r="X1304" t="s">
        <v>114</v>
      </c>
      <c r="Y1304">
        <v>4</v>
      </c>
      <c r="AB1304">
        <v>-0.05</v>
      </c>
      <c r="AC1304" t="s">
        <v>85</v>
      </c>
      <c r="AD1304" t="s">
        <v>418</v>
      </c>
      <c r="AE1304" t="s">
        <v>63</v>
      </c>
      <c r="AI1304">
        <v>5</v>
      </c>
      <c r="AO1304">
        <v>0</v>
      </c>
      <c r="AV1304" t="s">
        <v>256</v>
      </c>
    </row>
    <row r="1305" spans="1:48" x14ac:dyDescent="0.3">
      <c r="A1305" t="s">
        <v>1380</v>
      </c>
      <c r="C1305" t="s">
        <v>1495</v>
      </c>
      <c r="H1305">
        <v>5</v>
      </c>
      <c r="I1305" t="s">
        <v>82</v>
      </c>
      <c r="J1305">
        <v>5.0000000000000004E-6</v>
      </c>
      <c r="K1305" t="s">
        <v>252</v>
      </c>
      <c r="O1305">
        <v>0.1</v>
      </c>
      <c r="P1305" t="s">
        <v>59</v>
      </c>
      <c r="S1305">
        <v>1</v>
      </c>
      <c r="T1305">
        <v>25</v>
      </c>
      <c r="V1305">
        <v>50</v>
      </c>
      <c r="W1305" t="s">
        <v>1057</v>
      </c>
      <c r="X1305" t="s">
        <v>114</v>
      </c>
      <c r="Y1305">
        <v>6</v>
      </c>
      <c r="AB1305">
        <v>-0.01</v>
      </c>
      <c r="AC1305" t="s">
        <v>85</v>
      </c>
      <c r="AD1305" t="s">
        <v>232</v>
      </c>
      <c r="AE1305" t="s">
        <v>63</v>
      </c>
      <c r="AI1305">
        <v>5</v>
      </c>
      <c r="AO1305">
        <v>0</v>
      </c>
      <c r="AV1305" t="s">
        <v>256</v>
      </c>
    </row>
    <row r="1306" spans="1:48" x14ac:dyDescent="0.3">
      <c r="A1306" t="s">
        <v>1380</v>
      </c>
      <c r="C1306" t="s">
        <v>1495</v>
      </c>
      <c r="H1306">
        <v>5</v>
      </c>
      <c r="I1306" t="s">
        <v>82</v>
      </c>
      <c r="J1306">
        <v>5.0000000000000004E-6</v>
      </c>
      <c r="K1306" t="s">
        <v>252</v>
      </c>
      <c r="O1306">
        <v>0.1</v>
      </c>
      <c r="P1306" t="s">
        <v>59</v>
      </c>
      <c r="S1306">
        <v>1</v>
      </c>
      <c r="T1306">
        <v>25</v>
      </c>
      <c r="V1306">
        <v>50</v>
      </c>
      <c r="W1306" t="s">
        <v>1057</v>
      </c>
      <c r="X1306" t="s">
        <v>114</v>
      </c>
      <c r="Y1306">
        <v>8</v>
      </c>
      <c r="AB1306">
        <v>0.03</v>
      </c>
      <c r="AC1306" t="s">
        <v>85</v>
      </c>
      <c r="AD1306" t="s">
        <v>232</v>
      </c>
      <c r="AE1306" t="s">
        <v>63</v>
      </c>
      <c r="AI1306">
        <v>5</v>
      </c>
      <c r="AO1306">
        <v>0</v>
      </c>
      <c r="AV1306" t="s">
        <v>256</v>
      </c>
    </row>
    <row r="1307" spans="1:48" x14ac:dyDescent="0.3">
      <c r="A1307" t="s">
        <v>1380</v>
      </c>
      <c r="C1307" t="s">
        <v>1495</v>
      </c>
      <c r="H1307">
        <v>5</v>
      </c>
      <c r="I1307" t="s">
        <v>82</v>
      </c>
      <c r="J1307">
        <v>5.0000000000000004E-6</v>
      </c>
      <c r="K1307" t="s">
        <v>252</v>
      </c>
      <c r="O1307">
        <v>0.1</v>
      </c>
      <c r="P1307" t="s">
        <v>59</v>
      </c>
      <c r="S1307">
        <v>1</v>
      </c>
      <c r="T1307">
        <v>25</v>
      </c>
      <c r="V1307">
        <v>50</v>
      </c>
      <c r="W1307" t="s">
        <v>1057</v>
      </c>
      <c r="X1307" t="s">
        <v>114</v>
      </c>
      <c r="Y1307">
        <v>16</v>
      </c>
      <c r="AB1307">
        <v>0.01</v>
      </c>
      <c r="AC1307" t="s">
        <v>85</v>
      </c>
      <c r="AD1307" t="s">
        <v>232</v>
      </c>
      <c r="AE1307" t="s">
        <v>63</v>
      </c>
      <c r="AI1307">
        <v>5</v>
      </c>
      <c r="AO1307">
        <v>0</v>
      </c>
      <c r="AV1307" t="s">
        <v>256</v>
      </c>
    </row>
    <row r="1308" spans="1:48" x14ac:dyDescent="0.3">
      <c r="A1308" t="s">
        <v>1380</v>
      </c>
      <c r="C1308" t="s">
        <v>1495</v>
      </c>
      <c r="H1308">
        <v>5</v>
      </c>
      <c r="I1308" t="s">
        <v>82</v>
      </c>
      <c r="J1308">
        <v>5.0000000000000004E-6</v>
      </c>
      <c r="K1308" t="s">
        <v>252</v>
      </c>
      <c r="O1308">
        <v>0.1</v>
      </c>
      <c r="P1308" t="s">
        <v>59</v>
      </c>
      <c r="S1308">
        <v>1</v>
      </c>
      <c r="T1308">
        <v>25</v>
      </c>
      <c r="V1308">
        <v>50</v>
      </c>
      <c r="W1308" t="s">
        <v>1057</v>
      </c>
      <c r="X1308" t="s">
        <v>114</v>
      </c>
      <c r="Y1308">
        <v>20</v>
      </c>
      <c r="AB1308">
        <v>0.02</v>
      </c>
      <c r="AC1308" t="s">
        <v>85</v>
      </c>
      <c r="AD1308" t="s">
        <v>418</v>
      </c>
      <c r="AE1308" t="s">
        <v>63</v>
      </c>
      <c r="AI1308">
        <v>5</v>
      </c>
      <c r="AO1308">
        <v>0</v>
      </c>
      <c r="AV1308" t="s">
        <v>256</v>
      </c>
    </row>
    <row r="1309" spans="1:48" x14ac:dyDescent="0.3">
      <c r="A1309" t="s">
        <v>1380</v>
      </c>
      <c r="C1309" t="s">
        <v>1495</v>
      </c>
      <c r="H1309">
        <v>5</v>
      </c>
      <c r="I1309" t="s">
        <v>82</v>
      </c>
      <c r="J1309">
        <v>5.0000000000000004E-6</v>
      </c>
      <c r="K1309" t="s">
        <v>252</v>
      </c>
      <c r="O1309">
        <v>1</v>
      </c>
      <c r="P1309" t="s">
        <v>59</v>
      </c>
      <c r="S1309">
        <v>1</v>
      </c>
      <c r="T1309">
        <v>21.3</v>
      </c>
      <c r="V1309">
        <v>50</v>
      </c>
      <c r="W1309" t="s">
        <v>1057</v>
      </c>
      <c r="X1309" t="s">
        <v>114</v>
      </c>
      <c r="Y1309">
        <v>2</v>
      </c>
      <c r="AB1309">
        <v>6.9</v>
      </c>
      <c r="AC1309" t="s">
        <v>85</v>
      </c>
      <c r="AD1309" t="s">
        <v>636</v>
      </c>
      <c r="AE1309" t="s">
        <v>63</v>
      </c>
      <c r="AI1309">
        <v>5</v>
      </c>
      <c r="AO1309">
        <v>0</v>
      </c>
      <c r="AV1309" t="s">
        <v>256</v>
      </c>
    </row>
    <row r="1310" spans="1:48" x14ac:dyDescent="0.3">
      <c r="A1310" t="s">
        <v>1380</v>
      </c>
      <c r="C1310" t="s">
        <v>1495</v>
      </c>
      <c r="H1310">
        <v>5</v>
      </c>
      <c r="I1310" t="s">
        <v>82</v>
      </c>
      <c r="J1310">
        <v>5.0000000000000004E-6</v>
      </c>
      <c r="K1310" t="s">
        <v>252</v>
      </c>
      <c r="O1310">
        <v>1</v>
      </c>
      <c r="P1310" t="s">
        <v>59</v>
      </c>
      <c r="S1310">
        <v>1</v>
      </c>
      <c r="T1310">
        <v>21.3</v>
      </c>
      <c r="V1310">
        <v>50</v>
      </c>
      <c r="W1310" t="s">
        <v>1057</v>
      </c>
      <c r="X1310" t="s">
        <v>114</v>
      </c>
      <c r="Y1310">
        <v>4</v>
      </c>
      <c r="AB1310">
        <v>7.5</v>
      </c>
      <c r="AC1310" t="s">
        <v>85</v>
      </c>
      <c r="AD1310" t="s">
        <v>515</v>
      </c>
      <c r="AE1310" t="s">
        <v>63</v>
      </c>
      <c r="AI1310">
        <v>5</v>
      </c>
      <c r="AO1310">
        <v>0</v>
      </c>
      <c r="AV1310" t="s">
        <v>256</v>
      </c>
    </row>
    <row r="1311" spans="1:48" x14ac:dyDescent="0.3">
      <c r="A1311" t="s">
        <v>1380</v>
      </c>
      <c r="C1311" t="s">
        <v>1495</v>
      </c>
      <c r="H1311">
        <v>5</v>
      </c>
      <c r="I1311" t="s">
        <v>82</v>
      </c>
      <c r="J1311">
        <v>5.0000000000000004E-6</v>
      </c>
      <c r="K1311" t="s">
        <v>252</v>
      </c>
      <c r="O1311">
        <v>1</v>
      </c>
      <c r="P1311" t="s">
        <v>59</v>
      </c>
      <c r="S1311">
        <v>1</v>
      </c>
      <c r="T1311">
        <v>21.3</v>
      </c>
      <c r="V1311">
        <v>50</v>
      </c>
      <c r="W1311" t="s">
        <v>1057</v>
      </c>
      <c r="X1311" t="s">
        <v>114</v>
      </c>
      <c r="Y1311">
        <v>6</v>
      </c>
      <c r="AB1311">
        <v>7.6</v>
      </c>
      <c r="AC1311" t="s">
        <v>85</v>
      </c>
      <c r="AD1311" t="s">
        <v>521</v>
      </c>
      <c r="AE1311" t="s">
        <v>63</v>
      </c>
      <c r="AI1311">
        <v>5</v>
      </c>
      <c r="AO1311">
        <v>0</v>
      </c>
      <c r="AV1311" t="s">
        <v>256</v>
      </c>
    </row>
    <row r="1312" spans="1:48" x14ac:dyDescent="0.3">
      <c r="A1312" t="s">
        <v>1380</v>
      </c>
      <c r="C1312" t="s">
        <v>1495</v>
      </c>
      <c r="H1312">
        <v>5</v>
      </c>
      <c r="I1312" t="s">
        <v>82</v>
      </c>
      <c r="J1312">
        <v>5.0000000000000004E-6</v>
      </c>
      <c r="K1312" t="s">
        <v>252</v>
      </c>
      <c r="O1312">
        <v>1</v>
      </c>
      <c r="P1312" t="s">
        <v>59</v>
      </c>
      <c r="S1312">
        <v>1</v>
      </c>
      <c r="T1312">
        <v>21.3</v>
      </c>
      <c r="V1312">
        <v>50</v>
      </c>
      <c r="W1312" t="s">
        <v>1057</v>
      </c>
      <c r="X1312" t="s">
        <v>114</v>
      </c>
      <c r="Y1312">
        <v>8</v>
      </c>
      <c r="AB1312">
        <v>6.7</v>
      </c>
      <c r="AC1312" t="s">
        <v>85</v>
      </c>
      <c r="AD1312" t="s">
        <v>629</v>
      </c>
      <c r="AE1312" t="s">
        <v>63</v>
      </c>
      <c r="AI1312">
        <v>5</v>
      </c>
      <c r="AO1312">
        <v>0</v>
      </c>
      <c r="AV1312" t="s">
        <v>256</v>
      </c>
    </row>
    <row r="1313" spans="1:48" x14ac:dyDescent="0.3">
      <c r="A1313" t="s">
        <v>1380</v>
      </c>
      <c r="C1313" t="s">
        <v>1495</v>
      </c>
      <c r="H1313">
        <v>5</v>
      </c>
      <c r="I1313" t="s">
        <v>82</v>
      </c>
      <c r="J1313">
        <v>5.0000000000000004E-6</v>
      </c>
      <c r="K1313" t="s">
        <v>252</v>
      </c>
      <c r="O1313">
        <v>4.51</v>
      </c>
      <c r="P1313" t="s">
        <v>59</v>
      </c>
      <c r="S1313">
        <v>1</v>
      </c>
      <c r="T1313">
        <v>25</v>
      </c>
      <c r="V1313">
        <v>50</v>
      </c>
      <c r="W1313" t="s">
        <v>1057</v>
      </c>
      <c r="X1313" t="s">
        <v>114</v>
      </c>
      <c r="Y1313">
        <v>2</v>
      </c>
      <c r="AB1313">
        <v>0.06</v>
      </c>
      <c r="AC1313" t="s">
        <v>85</v>
      </c>
      <c r="AD1313" t="s">
        <v>236</v>
      </c>
      <c r="AE1313" t="s">
        <v>63</v>
      </c>
      <c r="AI1313">
        <v>5</v>
      </c>
      <c r="AO1313">
        <v>0</v>
      </c>
      <c r="AV1313" t="s">
        <v>256</v>
      </c>
    </row>
    <row r="1314" spans="1:48" x14ac:dyDescent="0.3">
      <c r="A1314" t="s">
        <v>1380</v>
      </c>
      <c r="C1314" t="s">
        <v>1495</v>
      </c>
      <c r="H1314">
        <v>5</v>
      </c>
      <c r="I1314" t="s">
        <v>82</v>
      </c>
      <c r="J1314">
        <v>5.0000000000000004E-6</v>
      </c>
      <c r="K1314" t="s">
        <v>252</v>
      </c>
      <c r="O1314">
        <v>4.51</v>
      </c>
      <c r="P1314" t="s">
        <v>59</v>
      </c>
      <c r="S1314">
        <v>1</v>
      </c>
      <c r="T1314">
        <v>25</v>
      </c>
      <c r="V1314">
        <v>50</v>
      </c>
      <c r="W1314" t="s">
        <v>1057</v>
      </c>
      <c r="X1314" t="s">
        <v>114</v>
      </c>
      <c r="Y1314">
        <v>4</v>
      </c>
      <c r="AB1314">
        <v>0.33</v>
      </c>
      <c r="AC1314" t="s">
        <v>85</v>
      </c>
      <c r="AD1314" t="s">
        <v>236</v>
      </c>
      <c r="AE1314" t="s">
        <v>63</v>
      </c>
      <c r="AI1314">
        <v>5</v>
      </c>
      <c r="AO1314">
        <v>0</v>
      </c>
      <c r="AV1314" t="s">
        <v>256</v>
      </c>
    </row>
    <row r="1315" spans="1:48" x14ac:dyDescent="0.3">
      <c r="A1315" t="s">
        <v>1380</v>
      </c>
      <c r="C1315" t="s">
        <v>1495</v>
      </c>
      <c r="H1315">
        <v>5</v>
      </c>
      <c r="I1315" t="s">
        <v>82</v>
      </c>
      <c r="J1315">
        <v>5.0000000000000004E-6</v>
      </c>
      <c r="K1315" t="s">
        <v>252</v>
      </c>
      <c r="O1315">
        <v>4.51</v>
      </c>
      <c r="P1315" t="s">
        <v>59</v>
      </c>
      <c r="S1315">
        <v>1</v>
      </c>
      <c r="T1315">
        <v>25</v>
      </c>
      <c r="V1315">
        <v>50</v>
      </c>
      <c r="W1315" t="s">
        <v>1057</v>
      </c>
      <c r="X1315" t="s">
        <v>114</v>
      </c>
      <c r="Y1315">
        <v>6</v>
      </c>
      <c r="AB1315">
        <v>0.41</v>
      </c>
      <c r="AC1315" t="s">
        <v>85</v>
      </c>
      <c r="AD1315" t="s">
        <v>418</v>
      </c>
      <c r="AE1315" t="s">
        <v>63</v>
      </c>
      <c r="AI1315">
        <v>5</v>
      </c>
      <c r="AO1315">
        <v>0</v>
      </c>
      <c r="AV1315" t="s">
        <v>256</v>
      </c>
    </row>
    <row r="1316" spans="1:48" x14ac:dyDescent="0.3">
      <c r="A1316" t="s">
        <v>1380</v>
      </c>
      <c r="C1316" t="s">
        <v>1495</v>
      </c>
      <c r="H1316">
        <v>5</v>
      </c>
      <c r="I1316" t="s">
        <v>82</v>
      </c>
      <c r="J1316">
        <v>5.0000000000000004E-6</v>
      </c>
      <c r="K1316" t="s">
        <v>252</v>
      </c>
      <c r="O1316">
        <v>4.51</v>
      </c>
      <c r="P1316" t="s">
        <v>59</v>
      </c>
      <c r="S1316">
        <v>1</v>
      </c>
      <c r="T1316">
        <v>25</v>
      </c>
      <c r="V1316">
        <v>50</v>
      </c>
      <c r="W1316" t="s">
        <v>1057</v>
      </c>
      <c r="X1316" t="s">
        <v>114</v>
      </c>
      <c r="Y1316">
        <v>8</v>
      </c>
      <c r="AB1316">
        <v>0.43</v>
      </c>
      <c r="AC1316" t="s">
        <v>85</v>
      </c>
      <c r="AD1316" t="s">
        <v>235</v>
      </c>
      <c r="AE1316" t="s">
        <v>63</v>
      </c>
      <c r="AI1316">
        <v>5</v>
      </c>
      <c r="AO1316">
        <v>0</v>
      </c>
      <c r="AV1316" t="s">
        <v>256</v>
      </c>
    </row>
    <row r="1317" spans="1:48" x14ac:dyDescent="0.3">
      <c r="A1317" t="s">
        <v>1380</v>
      </c>
      <c r="C1317" t="s">
        <v>1495</v>
      </c>
      <c r="H1317">
        <v>5</v>
      </c>
      <c r="I1317" t="s">
        <v>82</v>
      </c>
      <c r="J1317">
        <v>5.0000000000000004E-6</v>
      </c>
      <c r="K1317" t="s">
        <v>252</v>
      </c>
      <c r="O1317">
        <v>0.1</v>
      </c>
      <c r="P1317" t="s">
        <v>59</v>
      </c>
      <c r="S1317">
        <v>1</v>
      </c>
      <c r="T1317">
        <v>25</v>
      </c>
      <c r="V1317">
        <v>50</v>
      </c>
      <c r="W1317" t="s">
        <v>1057</v>
      </c>
      <c r="X1317" t="s">
        <v>114</v>
      </c>
      <c r="Y1317">
        <v>2</v>
      </c>
      <c r="AB1317">
        <v>0.18</v>
      </c>
      <c r="AC1317" t="s">
        <v>85</v>
      </c>
      <c r="AD1317" t="s">
        <v>1578</v>
      </c>
      <c r="AE1317" t="s">
        <v>63</v>
      </c>
      <c r="AI1317">
        <v>5</v>
      </c>
      <c r="AV1317" t="s">
        <v>256</v>
      </c>
    </row>
    <row r="1318" spans="1:48" x14ac:dyDescent="0.3">
      <c r="A1318" t="s">
        <v>1380</v>
      </c>
      <c r="C1318" t="s">
        <v>1495</v>
      </c>
      <c r="H1318">
        <v>5</v>
      </c>
      <c r="I1318" t="s">
        <v>82</v>
      </c>
      <c r="J1318">
        <v>5.0000000000000004E-6</v>
      </c>
      <c r="K1318" t="s">
        <v>252</v>
      </c>
      <c r="O1318">
        <v>0.1</v>
      </c>
      <c r="P1318" t="s">
        <v>59</v>
      </c>
      <c r="S1318">
        <v>1</v>
      </c>
      <c r="T1318">
        <v>25</v>
      </c>
      <c r="V1318">
        <v>50</v>
      </c>
      <c r="W1318" t="s">
        <v>1057</v>
      </c>
      <c r="X1318" t="s">
        <v>114</v>
      </c>
      <c r="Y1318">
        <v>4</v>
      </c>
      <c r="AB1318">
        <v>3.5</v>
      </c>
      <c r="AC1318" t="s">
        <v>85</v>
      </c>
      <c r="AD1318" t="s">
        <v>219</v>
      </c>
      <c r="AE1318" t="s">
        <v>63</v>
      </c>
      <c r="AI1318">
        <v>5</v>
      </c>
      <c r="AV1318" t="s">
        <v>256</v>
      </c>
    </row>
    <row r="1319" spans="1:48" x14ac:dyDescent="0.3">
      <c r="A1319" t="s">
        <v>1380</v>
      </c>
      <c r="C1319" t="s">
        <v>1495</v>
      </c>
      <c r="H1319">
        <v>5</v>
      </c>
      <c r="I1319" t="s">
        <v>82</v>
      </c>
      <c r="J1319">
        <v>5.0000000000000004E-6</v>
      </c>
      <c r="K1319" t="s">
        <v>252</v>
      </c>
      <c r="O1319">
        <v>0.1</v>
      </c>
      <c r="P1319" t="s">
        <v>59</v>
      </c>
      <c r="S1319">
        <v>1</v>
      </c>
      <c r="T1319">
        <v>25</v>
      </c>
      <c r="V1319">
        <v>50</v>
      </c>
      <c r="W1319" t="s">
        <v>1057</v>
      </c>
      <c r="X1319" t="s">
        <v>114</v>
      </c>
      <c r="Y1319">
        <v>8</v>
      </c>
      <c r="AB1319">
        <v>8</v>
      </c>
      <c r="AC1319" t="s">
        <v>85</v>
      </c>
      <c r="AD1319" t="s">
        <v>194</v>
      </c>
      <c r="AE1319" t="s">
        <v>63</v>
      </c>
      <c r="AI1319">
        <v>5</v>
      </c>
      <c r="AV1319" t="s">
        <v>256</v>
      </c>
    </row>
    <row r="1320" spans="1:48" x14ac:dyDescent="0.3">
      <c r="A1320" t="s">
        <v>1380</v>
      </c>
      <c r="C1320" t="s">
        <v>1495</v>
      </c>
      <c r="H1320">
        <v>5</v>
      </c>
      <c r="I1320" t="s">
        <v>82</v>
      </c>
      <c r="J1320">
        <v>5.0000000000000004E-6</v>
      </c>
      <c r="K1320" t="s">
        <v>252</v>
      </c>
      <c r="O1320">
        <v>0.1</v>
      </c>
      <c r="P1320" t="s">
        <v>59</v>
      </c>
      <c r="S1320">
        <v>1</v>
      </c>
      <c r="T1320">
        <v>25</v>
      </c>
      <c r="V1320">
        <v>50</v>
      </c>
      <c r="W1320" t="s">
        <v>1057</v>
      </c>
      <c r="X1320" t="s">
        <v>114</v>
      </c>
      <c r="Y1320">
        <v>16</v>
      </c>
      <c r="AB1320">
        <v>8</v>
      </c>
      <c r="AC1320" t="s">
        <v>85</v>
      </c>
      <c r="AD1320" t="s">
        <v>194</v>
      </c>
      <c r="AE1320" t="s">
        <v>63</v>
      </c>
      <c r="AI1320">
        <v>5</v>
      </c>
      <c r="AV1320" t="s">
        <v>256</v>
      </c>
    </row>
    <row r="1321" spans="1:48" x14ac:dyDescent="0.3">
      <c r="A1321" t="s">
        <v>1380</v>
      </c>
      <c r="C1321" t="s">
        <v>1495</v>
      </c>
      <c r="H1321">
        <v>5</v>
      </c>
      <c r="I1321" t="s">
        <v>82</v>
      </c>
      <c r="J1321">
        <v>5.0000000000000004E-6</v>
      </c>
      <c r="K1321" t="s">
        <v>252</v>
      </c>
      <c r="O1321">
        <v>0.1</v>
      </c>
      <c r="P1321" t="s">
        <v>59</v>
      </c>
      <c r="S1321">
        <v>1</v>
      </c>
      <c r="T1321">
        <v>25</v>
      </c>
      <c r="V1321">
        <v>50</v>
      </c>
      <c r="W1321" t="s">
        <v>1057</v>
      </c>
      <c r="X1321" t="s">
        <v>114</v>
      </c>
      <c r="Y1321">
        <v>20</v>
      </c>
      <c r="AB1321">
        <v>8</v>
      </c>
      <c r="AC1321" t="s">
        <v>85</v>
      </c>
      <c r="AD1321" t="s">
        <v>194</v>
      </c>
      <c r="AE1321" t="s">
        <v>63</v>
      </c>
      <c r="AI1321">
        <v>5</v>
      </c>
      <c r="AV1321" t="s">
        <v>256</v>
      </c>
    </row>
    <row r="1322" spans="1:48" x14ac:dyDescent="0.3">
      <c r="A1322" t="s">
        <v>1579</v>
      </c>
      <c r="C1322" t="s">
        <v>1495</v>
      </c>
      <c r="H1322">
        <v>10</v>
      </c>
      <c r="I1322" t="s">
        <v>82</v>
      </c>
      <c r="J1322">
        <v>9.9999999999999991E-6</v>
      </c>
      <c r="K1322" t="s">
        <v>252</v>
      </c>
      <c r="O1322">
        <v>3.7499999999999901E-2</v>
      </c>
      <c r="P1322" t="s">
        <v>59</v>
      </c>
      <c r="S1322">
        <v>1</v>
      </c>
      <c r="T1322">
        <v>20</v>
      </c>
      <c r="V1322">
        <v>50</v>
      </c>
      <c r="W1322" t="s">
        <v>1057</v>
      </c>
      <c r="X1322" t="s">
        <v>957</v>
      </c>
      <c r="Y1322">
        <v>5</v>
      </c>
      <c r="AB1322">
        <v>-7.49999999999999E-2</v>
      </c>
      <c r="AC1322" t="s">
        <v>85</v>
      </c>
      <c r="AI1322">
        <v>2</v>
      </c>
      <c r="AV1322" t="s">
        <v>256</v>
      </c>
    </row>
    <row r="1323" spans="1:48" x14ac:dyDescent="0.3">
      <c r="A1323" t="s">
        <v>1579</v>
      </c>
      <c r="C1323" t="s">
        <v>1495</v>
      </c>
      <c r="H1323">
        <v>10</v>
      </c>
      <c r="I1323" t="s">
        <v>82</v>
      </c>
      <c r="J1323">
        <v>9.9999999999999991E-6</v>
      </c>
      <c r="K1323" t="s">
        <v>252</v>
      </c>
      <c r="O1323">
        <v>0.15</v>
      </c>
      <c r="P1323" t="s">
        <v>59</v>
      </c>
      <c r="S1323">
        <v>1</v>
      </c>
      <c r="T1323">
        <v>10</v>
      </c>
      <c r="V1323">
        <v>50</v>
      </c>
      <c r="W1323" t="s">
        <v>1057</v>
      </c>
      <c r="X1323" t="s">
        <v>957</v>
      </c>
      <c r="Y1323">
        <v>5</v>
      </c>
      <c r="AB1323">
        <v>-4.9999999999999899E-2</v>
      </c>
      <c r="AC1323" t="s">
        <v>85</v>
      </c>
      <c r="AI1323">
        <v>2</v>
      </c>
      <c r="AV1323" t="s">
        <v>256</v>
      </c>
    </row>
    <row r="1324" spans="1:48" x14ac:dyDescent="0.3">
      <c r="A1324" t="s">
        <v>1579</v>
      </c>
      <c r="B1324" t="s">
        <v>1548</v>
      </c>
      <c r="C1324" t="s">
        <v>1495</v>
      </c>
      <c r="H1324">
        <v>10</v>
      </c>
      <c r="I1324" t="s">
        <v>82</v>
      </c>
      <c r="J1324">
        <v>9.9999999999999991E-6</v>
      </c>
      <c r="K1324" t="s">
        <v>252</v>
      </c>
      <c r="O1324">
        <v>3.7499999999999901E-2</v>
      </c>
      <c r="P1324" t="s">
        <v>59</v>
      </c>
      <c r="S1324">
        <v>1</v>
      </c>
      <c r="T1324">
        <v>10</v>
      </c>
      <c r="V1324">
        <v>50</v>
      </c>
      <c r="W1324" t="s">
        <v>1549</v>
      </c>
      <c r="X1324" t="s">
        <v>957</v>
      </c>
      <c r="Y1324">
        <v>5</v>
      </c>
      <c r="AB1324">
        <v>-0.04</v>
      </c>
      <c r="AC1324" t="s">
        <v>85</v>
      </c>
      <c r="AI1324">
        <v>2</v>
      </c>
      <c r="AV1324" t="s">
        <v>256</v>
      </c>
    </row>
    <row r="1325" spans="1:48" x14ac:dyDescent="0.3">
      <c r="A1325" t="s">
        <v>1579</v>
      </c>
      <c r="C1325" t="s">
        <v>1495</v>
      </c>
      <c r="H1325">
        <v>10</v>
      </c>
      <c r="I1325" t="s">
        <v>82</v>
      </c>
      <c r="J1325">
        <v>9.9999999999999991E-6</v>
      </c>
      <c r="K1325" t="s">
        <v>252</v>
      </c>
      <c r="O1325">
        <v>0.22499999999999901</v>
      </c>
      <c r="P1325" t="s">
        <v>59</v>
      </c>
      <c r="S1325">
        <v>1</v>
      </c>
      <c r="T1325">
        <v>10</v>
      </c>
      <c r="V1325">
        <v>50</v>
      </c>
      <c r="W1325" t="s">
        <v>1057</v>
      </c>
      <c r="X1325" t="s">
        <v>957</v>
      </c>
      <c r="Y1325">
        <v>5</v>
      </c>
      <c r="AB1325">
        <v>-2.5000000000000001E-2</v>
      </c>
      <c r="AC1325" t="s">
        <v>85</v>
      </c>
      <c r="AI1325">
        <v>2</v>
      </c>
      <c r="AV1325" t="s">
        <v>256</v>
      </c>
    </row>
    <row r="1326" spans="1:48" x14ac:dyDescent="0.3">
      <c r="A1326" t="s">
        <v>1579</v>
      </c>
      <c r="B1326" t="s">
        <v>1548</v>
      </c>
      <c r="C1326" t="s">
        <v>1495</v>
      </c>
      <c r="H1326">
        <v>10</v>
      </c>
      <c r="I1326" t="s">
        <v>82</v>
      </c>
      <c r="J1326">
        <v>9.9999999999999991E-6</v>
      </c>
      <c r="K1326" t="s">
        <v>252</v>
      </c>
      <c r="O1326">
        <v>3.7499999999999901E-2</v>
      </c>
      <c r="P1326" t="s">
        <v>59</v>
      </c>
      <c r="S1326">
        <v>1</v>
      </c>
      <c r="T1326">
        <v>10</v>
      </c>
      <c r="V1326">
        <v>50</v>
      </c>
      <c r="W1326" t="s">
        <v>1549</v>
      </c>
      <c r="X1326" t="s">
        <v>957</v>
      </c>
      <c r="Y1326">
        <v>30</v>
      </c>
      <c r="AB1326">
        <v>-9.9999999999999898E-3</v>
      </c>
      <c r="AC1326" t="s">
        <v>85</v>
      </c>
      <c r="AI1326">
        <v>2</v>
      </c>
      <c r="AV1326" t="s">
        <v>256</v>
      </c>
    </row>
    <row r="1327" spans="1:48" x14ac:dyDescent="0.3">
      <c r="A1327" t="s">
        <v>1579</v>
      </c>
      <c r="C1327" t="s">
        <v>1495</v>
      </c>
      <c r="H1327">
        <v>10</v>
      </c>
      <c r="I1327" t="s">
        <v>82</v>
      </c>
      <c r="J1327">
        <v>9.9999999999999991E-6</v>
      </c>
      <c r="K1327" t="s">
        <v>252</v>
      </c>
      <c r="O1327">
        <v>0.15</v>
      </c>
      <c r="P1327" t="s">
        <v>59</v>
      </c>
      <c r="S1327">
        <v>1</v>
      </c>
      <c r="T1327">
        <v>10</v>
      </c>
      <c r="V1327">
        <v>50</v>
      </c>
      <c r="W1327" t="s">
        <v>1057</v>
      </c>
      <c r="X1327" t="s">
        <v>957</v>
      </c>
      <c r="Y1327">
        <v>30</v>
      </c>
      <c r="AB1327">
        <v>1.4999999999999901E-2</v>
      </c>
      <c r="AC1327" t="s">
        <v>85</v>
      </c>
      <c r="AI1327">
        <v>2</v>
      </c>
      <c r="AV1327" t="s">
        <v>256</v>
      </c>
    </row>
    <row r="1328" spans="1:48" x14ac:dyDescent="0.3">
      <c r="A1328" t="s">
        <v>1579</v>
      </c>
      <c r="C1328" t="s">
        <v>1495</v>
      </c>
      <c r="H1328">
        <v>10</v>
      </c>
      <c r="I1328" t="s">
        <v>82</v>
      </c>
      <c r="J1328">
        <v>9.9999999999999991E-6</v>
      </c>
      <c r="K1328" t="s">
        <v>252</v>
      </c>
      <c r="O1328">
        <v>3.7499999999999901E-2</v>
      </c>
      <c r="P1328" t="s">
        <v>59</v>
      </c>
      <c r="S1328">
        <v>1</v>
      </c>
      <c r="T1328">
        <v>10</v>
      </c>
      <c r="V1328">
        <v>50</v>
      </c>
      <c r="W1328" t="s">
        <v>1057</v>
      </c>
      <c r="X1328" t="s">
        <v>957</v>
      </c>
      <c r="Y1328">
        <v>30</v>
      </c>
      <c r="AB1328">
        <v>1.99999999999999E-2</v>
      </c>
      <c r="AC1328" t="s">
        <v>85</v>
      </c>
      <c r="AI1328">
        <v>2</v>
      </c>
      <c r="AV1328" t="s">
        <v>256</v>
      </c>
    </row>
    <row r="1329" spans="1:48" x14ac:dyDescent="0.3">
      <c r="A1329" t="s">
        <v>1579</v>
      </c>
      <c r="B1329" t="s">
        <v>1548</v>
      </c>
      <c r="C1329" t="s">
        <v>1495</v>
      </c>
      <c r="H1329">
        <v>10</v>
      </c>
      <c r="I1329" t="s">
        <v>82</v>
      </c>
      <c r="J1329">
        <v>9.9999999999999991E-6</v>
      </c>
      <c r="K1329" t="s">
        <v>252</v>
      </c>
      <c r="O1329">
        <v>7.49999999999999E-2</v>
      </c>
      <c r="P1329" t="s">
        <v>59</v>
      </c>
      <c r="S1329">
        <v>1</v>
      </c>
      <c r="T1329">
        <v>10</v>
      </c>
      <c r="V1329">
        <v>50</v>
      </c>
      <c r="W1329" t="s">
        <v>1549</v>
      </c>
      <c r="X1329" t="s">
        <v>957</v>
      </c>
      <c r="Y1329">
        <v>5</v>
      </c>
      <c r="AB1329">
        <v>0.02</v>
      </c>
      <c r="AC1329" t="s">
        <v>85</v>
      </c>
      <c r="AI1329">
        <v>2</v>
      </c>
      <c r="AV1329" t="s">
        <v>256</v>
      </c>
    </row>
    <row r="1330" spans="1:48" x14ac:dyDescent="0.3">
      <c r="A1330" t="s">
        <v>1579</v>
      </c>
      <c r="C1330" t="s">
        <v>1495</v>
      </c>
      <c r="H1330">
        <v>10</v>
      </c>
      <c r="I1330" t="s">
        <v>82</v>
      </c>
      <c r="J1330">
        <v>9.9999999999999991E-6</v>
      </c>
      <c r="K1330" t="s">
        <v>252</v>
      </c>
      <c r="O1330">
        <v>7.49999999999999E-2</v>
      </c>
      <c r="P1330" t="s">
        <v>59</v>
      </c>
      <c r="S1330">
        <v>1</v>
      </c>
      <c r="T1330">
        <v>20</v>
      </c>
      <c r="V1330">
        <v>50</v>
      </c>
      <c r="W1330" t="s">
        <v>1057</v>
      </c>
      <c r="X1330" t="s">
        <v>957</v>
      </c>
      <c r="Y1330">
        <v>5</v>
      </c>
      <c r="AB1330">
        <v>0.03</v>
      </c>
      <c r="AC1330" t="s">
        <v>85</v>
      </c>
      <c r="AI1330">
        <v>2</v>
      </c>
      <c r="AV1330" t="s">
        <v>256</v>
      </c>
    </row>
    <row r="1331" spans="1:48" x14ac:dyDescent="0.3">
      <c r="A1331" t="s">
        <v>1579</v>
      </c>
      <c r="C1331" t="s">
        <v>1495</v>
      </c>
      <c r="H1331">
        <v>10</v>
      </c>
      <c r="I1331" t="s">
        <v>82</v>
      </c>
      <c r="J1331">
        <v>9.9999999999999991E-6</v>
      </c>
      <c r="K1331" t="s">
        <v>252</v>
      </c>
      <c r="O1331">
        <v>0.3</v>
      </c>
      <c r="P1331" t="s">
        <v>59</v>
      </c>
      <c r="S1331">
        <v>1</v>
      </c>
      <c r="T1331">
        <v>10</v>
      </c>
      <c r="V1331">
        <v>50</v>
      </c>
      <c r="W1331" t="s">
        <v>1057</v>
      </c>
      <c r="X1331" t="s">
        <v>957</v>
      </c>
      <c r="Y1331">
        <v>5</v>
      </c>
      <c r="AB1331">
        <v>3.5000000000000003E-2</v>
      </c>
      <c r="AC1331" t="s">
        <v>85</v>
      </c>
      <c r="AI1331">
        <v>2</v>
      </c>
      <c r="AV1331" t="s">
        <v>256</v>
      </c>
    </row>
    <row r="1332" spans="1:48" x14ac:dyDescent="0.3">
      <c r="A1332" t="s">
        <v>1579</v>
      </c>
      <c r="B1332" t="s">
        <v>1548</v>
      </c>
      <c r="C1332" t="s">
        <v>1495</v>
      </c>
      <c r="H1332">
        <v>10</v>
      </c>
      <c r="I1332" t="s">
        <v>82</v>
      </c>
      <c r="J1332">
        <v>9.9999999999999991E-6</v>
      </c>
      <c r="K1332" t="s">
        <v>252</v>
      </c>
      <c r="O1332">
        <v>3.7499999999999901E-2</v>
      </c>
      <c r="P1332" t="s">
        <v>59</v>
      </c>
      <c r="S1332">
        <v>1</v>
      </c>
      <c r="T1332">
        <v>20</v>
      </c>
      <c r="V1332">
        <v>50</v>
      </c>
      <c r="W1332" t="s">
        <v>1549</v>
      </c>
      <c r="X1332" t="s">
        <v>957</v>
      </c>
      <c r="Y1332">
        <v>5</v>
      </c>
      <c r="AB1332">
        <v>4.4999999999999901E-2</v>
      </c>
      <c r="AC1332" t="s">
        <v>85</v>
      </c>
      <c r="AI1332">
        <v>2</v>
      </c>
      <c r="AV1332" t="s">
        <v>256</v>
      </c>
    </row>
    <row r="1333" spans="1:48" x14ac:dyDescent="0.3">
      <c r="A1333" t="s">
        <v>1579</v>
      </c>
      <c r="C1333" t="s">
        <v>1495</v>
      </c>
      <c r="H1333">
        <v>10</v>
      </c>
      <c r="I1333" t="s">
        <v>82</v>
      </c>
      <c r="J1333">
        <v>9.9999999999999991E-6</v>
      </c>
      <c r="K1333" t="s">
        <v>252</v>
      </c>
      <c r="O1333">
        <v>7.49999999999999E-2</v>
      </c>
      <c r="P1333" t="s">
        <v>59</v>
      </c>
      <c r="S1333">
        <v>1</v>
      </c>
      <c r="T1333">
        <v>10</v>
      </c>
      <c r="V1333">
        <v>50</v>
      </c>
      <c r="W1333" t="s">
        <v>1057</v>
      </c>
      <c r="X1333" t="s">
        <v>957</v>
      </c>
      <c r="Y1333">
        <v>5</v>
      </c>
      <c r="AB1333">
        <v>4.4999999999999998E-2</v>
      </c>
      <c r="AC1333" t="s">
        <v>85</v>
      </c>
      <c r="AI1333">
        <v>2</v>
      </c>
      <c r="AV1333" t="s">
        <v>256</v>
      </c>
    </row>
    <row r="1334" spans="1:48" x14ac:dyDescent="0.3">
      <c r="A1334" t="s">
        <v>1579</v>
      </c>
      <c r="C1334" t="s">
        <v>1495</v>
      </c>
      <c r="H1334">
        <v>10</v>
      </c>
      <c r="I1334" t="s">
        <v>82</v>
      </c>
      <c r="J1334">
        <v>9.9999999999999991E-6</v>
      </c>
      <c r="K1334" t="s">
        <v>252</v>
      </c>
      <c r="O1334">
        <v>0.22499999999999901</v>
      </c>
      <c r="P1334" t="s">
        <v>59</v>
      </c>
      <c r="S1334">
        <v>1</v>
      </c>
      <c r="T1334">
        <v>10</v>
      </c>
      <c r="V1334">
        <v>50</v>
      </c>
      <c r="W1334" t="s">
        <v>1057</v>
      </c>
      <c r="X1334" t="s">
        <v>957</v>
      </c>
      <c r="Y1334">
        <v>30</v>
      </c>
      <c r="AB1334">
        <v>5.5E-2</v>
      </c>
      <c r="AC1334" t="s">
        <v>85</v>
      </c>
      <c r="AI1334">
        <v>2</v>
      </c>
      <c r="AV1334" t="s">
        <v>256</v>
      </c>
    </row>
    <row r="1335" spans="1:48" x14ac:dyDescent="0.3">
      <c r="A1335" t="s">
        <v>1579</v>
      </c>
      <c r="C1335" t="s">
        <v>1495</v>
      </c>
      <c r="H1335">
        <v>10</v>
      </c>
      <c r="I1335" t="s">
        <v>82</v>
      </c>
      <c r="J1335">
        <v>9.9999999999999991E-6</v>
      </c>
      <c r="K1335" t="s">
        <v>252</v>
      </c>
      <c r="O1335">
        <v>0.22499999999999901</v>
      </c>
      <c r="P1335" t="s">
        <v>59</v>
      </c>
      <c r="S1335">
        <v>1</v>
      </c>
      <c r="T1335">
        <v>15</v>
      </c>
      <c r="V1335">
        <v>50</v>
      </c>
      <c r="W1335" t="s">
        <v>1057</v>
      </c>
      <c r="X1335" t="s">
        <v>957</v>
      </c>
      <c r="Y1335">
        <v>5</v>
      </c>
      <c r="AB1335">
        <v>0.06</v>
      </c>
      <c r="AC1335" t="s">
        <v>85</v>
      </c>
      <c r="AI1335">
        <v>2</v>
      </c>
      <c r="AV1335" t="s">
        <v>256</v>
      </c>
    </row>
    <row r="1336" spans="1:48" x14ac:dyDescent="0.3">
      <c r="A1336" t="s">
        <v>1579</v>
      </c>
      <c r="C1336" t="s">
        <v>1495</v>
      </c>
      <c r="H1336">
        <v>10</v>
      </c>
      <c r="I1336" t="s">
        <v>82</v>
      </c>
      <c r="J1336">
        <v>9.9999999999999991E-6</v>
      </c>
      <c r="K1336" t="s">
        <v>252</v>
      </c>
      <c r="O1336">
        <v>3.7499999999999901E-2</v>
      </c>
      <c r="P1336" t="s">
        <v>59</v>
      </c>
      <c r="S1336">
        <v>1</v>
      </c>
      <c r="T1336">
        <v>15</v>
      </c>
      <c r="V1336">
        <v>50</v>
      </c>
      <c r="W1336" t="s">
        <v>1057</v>
      </c>
      <c r="X1336" t="s">
        <v>957</v>
      </c>
      <c r="Y1336">
        <v>5</v>
      </c>
      <c r="AB1336">
        <v>6.5000000000000002E-2</v>
      </c>
      <c r="AC1336" t="s">
        <v>85</v>
      </c>
      <c r="AI1336">
        <v>2</v>
      </c>
      <c r="AV1336" t="s">
        <v>256</v>
      </c>
    </row>
    <row r="1337" spans="1:48" x14ac:dyDescent="0.3">
      <c r="A1337" t="s">
        <v>1579</v>
      </c>
      <c r="C1337" t="s">
        <v>1495</v>
      </c>
      <c r="H1337">
        <v>10</v>
      </c>
      <c r="I1337" t="s">
        <v>82</v>
      </c>
      <c r="J1337">
        <v>9.9999999999999991E-6</v>
      </c>
      <c r="K1337" t="s">
        <v>252</v>
      </c>
      <c r="O1337">
        <v>3.7499999999999901E-2</v>
      </c>
      <c r="P1337" t="s">
        <v>59</v>
      </c>
      <c r="S1337">
        <v>1</v>
      </c>
      <c r="T1337">
        <v>15</v>
      </c>
      <c r="V1337">
        <v>50</v>
      </c>
      <c r="W1337" t="s">
        <v>1057</v>
      </c>
      <c r="X1337" t="s">
        <v>957</v>
      </c>
      <c r="Y1337">
        <v>5</v>
      </c>
      <c r="AB1337">
        <v>7.49999999999999E-2</v>
      </c>
      <c r="AC1337" t="s">
        <v>85</v>
      </c>
      <c r="AI1337">
        <v>2</v>
      </c>
      <c r="AV1337" t="s">
        <v>256</v>
      </c>
    </row>
    <row r="1338" spans="1:48" x14ac:dyDescent="0.3">
      <c r="A1338" t="s">
        <v>1579</v>
      </c>
      <c r="C1338" t="s">
        <v>1495</v>
      </c>
      <c r="H1338">
        <v>10</v>
      </c>
      <c r="I1338" t="s">
        <v>82</v>
      </c>
      <c r="J1338">
        <v>9.9999999999999991E-6</v>
      </c>
      <c r="K1338" t="s">
        <v>252</v>
      </c>
      <c r="O1338">
        <v>7.49999999999999E-2</v>
      </c>
      <c r="P1338" t="s">
        <v>59</v>
      </c>
      <c r="S1338">
        <v>1</v>
      </c>
      <c r="T1338">
        <v>10</v>
      </c>
      <c r="V1338">
        <v>50</v>
      </c>
      <c r="W1338" t="s">
        <v>1057</v>
      </c>
      <c r="X1338" t="s">
        <v>957</v>
      </c>
      <c r="Y1338">
        <v>5</v>
      </c>
      <c r="AB1338">
        <v>8.4999999999999895E-2</v>
      </c>
      <c r="AC1338" t="s">
        <v>85</v>
      </c>
      <c r="AI1338">
        <v>2</v>
      </c>
      <c r="AV1338" t="s">
        <v>256</v>
      </c>
    </row>
    <row r="1339" spans="1:48" x14ac:dyDescent="0.3">
      <c r="A1339" t="s">
        <v>1579</v>
      </c>
      <c r="C1339" t="s">
        <v>1495</v>
      </c>
      <c r="H1339">
        <v>10</v>
      </c>
      <c r="I1339" t="s">
        <v>82</v>
      </c>
      <c r="J1339">
        <v>9.9999999999999991E-6</v>
      </c>
      <c r="K1339" t="s">
        <v>252</v>
      </c>
      <c r="O1339">
        <v>3.7499999999999901E-2</v>
      </c>
      <c r="P1339" t="s">
        <v>59</v>
      </c>
      <c r="S1339">
        <v>1</v>
      </c>
      <c r="T1339">
        <v>10</v>
      </c>
      <c r="V1339">
        <v>50</v>
      </c>
      <c r="W1339" t="s">
        <v>1057</v>
      </c>
      <c r="X1339" t="s">
        <v>957</v>
      </c>
      <c r="Y1339">
        <v>5</v>
      </c>
      <c r="AB1339">
        <v>8.4999999999999895E-2</v>
      </c>
      <c r="AC1339" t="s">
        <v>85</v>
      </c>
      <c r="AI1339">
        <v>2</v>
      </c>
      <c r="AV1339" t="s">
        <v>256</v>
      </c>
    </row>
    <row r="1340" spans="1:48" x14ac:dyDescent="0.3">
      <c r="A1340" t="s">
        <v>1579</v>
      </c>
      <c r="C1340" t="s">
        <v>1495</v>
      </c>
      <c r="H1340">
        <v>10</v>
      </c>
      <c r="I1340" t="s">
        <v>82</v>
      </c>
      <c r="J1340">
        <v>9.9999999999999991E-6</v>
      </c>
      <c r="K1340" t="s">
        <v>252</v>
      </c>
      <c r="O1340">
        <v>3.7499999999999901E-2</v>
      </c>
      <c r="P1340" t="s">
        <v>59</v>
      </c>
      <c r="S1340">
        <v>1</v>
      </c>
      <c r="T1340">
        <v>10</v>
      </c>
      <c r="V1340">
        <v>50</v>
      </c>
      <c r="W1340" t="s">
        <v>1057</v>
      </c>
      <c r="X1340" t="s">
        <v>957</v>
      </c>
      <c r="Y1340">
        <v>5</v>
      </c>
      <c r="AB1340">
        <v>8.5000000000000006E-2</v>
      </c>
      <c r="AC1340" t="s">
        <v>85</v>
      </c>
      <c r="AI1340">
        <v>2</v>
      </c>
      <c r="AV1340" t="s">
        <v>256</v>
      </c>
    </row>
    <row r="1341" spans="1:48" x14ac:dyDescent="0.3">
      <c r="A1341" t="s">
        <v>1579</v>
      </c>
      <c r="C1341" t="s">
        <v>1495</v>
      </c>
      <c r="H1341">
        <v>10</v>
      </c>
      <c r="I1341" t="s">
        <v>82</v>
      </c>
      <c r="J1341">
        <v>9.9999999999999991E-6</v>
      </c>
      <c r="K1341" t="s">
        <v>252</v>
      </c>
      <c r="O1341">
        <v>0.15</v>
      </c>
      <c r="P1341" t="s">
        <v>59</v>
      </c>
      <c r="S1341">
        <v>1</v>
      </c>
      <c r="T1341">
        <v>15</v>
      </c>
      <c r="V1341">
        <v>50</v>
      </c>
      <c r="W1341" t="s">
        <v>1057</v>
      </c>
      <c r="X1341" t="s">
        <v>957</v>
      </c>
      <c r="Y1341">
        <v>5</v>
      </c>
      <c r="AB1341">
        <v>8.5000000000000006E-2</v>
      </c>
      <c r="AC1341" t="s">
        <v>85</v>
      </c>
      <c r="AI1341">
        <v>2</v>
      </c>
      <c r="AV1341" t="s">
        <v>256</v>
      </c>
    </row>
    <row r="1342" spans="1:48" x14ac:dyDescent="0.3">
      <c r="A1342" t="s">
        <v>1579</v>
      </c>
      <c r="C1342" t="s">
        <v>1495</v>
      </c>
      <c r="H1342">
        <v>10</v>
      </c>
      <c r="I1342" t="s">
        <v>82</v>
      </c>
      <c r="J1342">
        <v>9.9999999999999991E-6</v>
      </c>
      <c r="K1342" t="s">
        <v>252</v>
      </c>
      <c r="O1342">
        <v>3.7499999999999901E-2</v>
      </c>
      <c r="P1342" t="s">
        <v>59</v>
      </c>
      <c r="S1342">
        <v>1</v>
      </c>
      <c r="T1342">
        <v>15</v>
      </c>
      <c r="V1342">
        <v>50</v>
      </c>
      <c r="W1342" t="s">
        <v>1057</v>
      </c>
      <c r="X1342" t="s">
        <v>957</v>
      </c>
      <c r="Y1342">
        <v>5</v>
      </c>
      <c r="AB1342">
        <v>0.09</v>
      </c>
      <c r="AC1342" t="s">
        <v>85</v>
      </c>
      <c r="AI1342">
        <v>2</v>
      </c>
      <c r="AV1342" t="s">
        <v>256</v>
      </c>
    </row>
    <row r="1343" spans="1:48" x14ac:dyDescent="0.3">
      <c r="A1343" t="s">
        <v>1579</v>
      </c>
      <c r="C1343" t="s">
        <v>1495</v>
      </c>
      <c r="H1343">
        <v>10</v>
      </c>
      <c r="I1343" t="s">
        <v>82</v>
      </c>
      <c r="J1343">
        <v>9.9999999999999991E-6</v>
      </c>
      <c r="K1343" t="s">
        <v>252</v>
      </c>
      <c r="O1343">
        <v>7.49999999999999E-2</v>
      </c>
      <c r="P1343" t="s">
        <v>59</v>
      </c>
      <c r="S1343">
        <v>1</v>
      </c>
      <c r="T1343">
        <v>15</v>
      </c>
      <c r="V1343">
        <v>50</v>
      </c>
      <c r="W1343" t="s">
        <v>1057</v>
      </c>
      <c r="X1343" t="s">
        <v>957</v>
      </c>
      <c r="Y1343">
        <v>5</v>
      </c>
      <c r="AB1343">
        <v>0.09</v>
      </c>
      <c r="AC1343" t="s">
        <v>85</v>
      </c>
      <c r="AI1343">
        <v>2</v>
      </c>
      <c r="AV1343" t="s">
        <v>256</v>
      </c>
    </row>
    <row r="1344" spans="1:48" x14ac:dyDescent="0.3">
      <c r="A1344" t="s">
        <v>1579</v>
      </c>
      <c r="B1344" t="s">
        <v>1548</v>
      </c>
      <c r="C1344" t="s">
        <v>1495</v>
      </c>
      <c r="H1344">
        <v>10</v>
      </c>
      <c r="I1344" t="s">
        <v>82</v>
      </c>
      <c r="J1344">
        <v>9.9999999999999991E-6</v>
      </c>
      <c r="K1344" t="s">
        <v>252</v>
      </c>
      <c r="O1344">
        <v>0.22499999999999901</v>
      </c>
      <c r="P1344" t="s">
        <v>59</v>
      </c>
      <c r="S1344">
        <v>1</v>
      </c>
      <c r="T1344">
        <v>10</v>
      </c>
      <c r="V1344">
        <v>50</v>
      </c>
      <c r="W1344" t="s">
        <v>1549</v>
      </c>
      <c r="X1344" t="s">
        <v>957</v>
      </c>
      <c r="Y1344">
        <v>5</v>
      </c>
      <c r="AB1344">
        <v>9.5000000000000001E-2</v>
      </c>
      <c r="AC1344" t="s">
        <v>85</v>
      </c>
      <c r="AI1344">
        <v>2</v>
      </c>
      <c r="AV1344" t="s">
        <v>256</v>
      </c>
    </row>
    <row r="1345" spans="1:48" x14ac:dyDescent="0.3">
      <c r="A1345" t="s">
        <v>1579</v>
      </c>
      <c r="C1345" t="s">
        <v>1495</v>
      </c>
      <c r="H1345">
        <v>10</v>
      </c>
      <c r="I1345" t="s">
        <v>82</v>
      </c>
      <c r="J1345">
        <v>9.9999999999999991E-6</v>
      </c>
      <c r="K1345" t="s">
        <v>252</v>
      </c>
      <c r="O1345">
        <v>3.7499999999999901E-2</v>
      </c>
      <c r="P1345" t="s">
        <v>59</v>
      </c>
      <c r="S1345">
        <v>1</v>
      </c>
      <c r="T1345">
        <v>10</v>
      </c>
      <c r="V1345">
        <v>50</v>
      </c>
      <c r="W1345" t="s">
        <v>1057</v>
      </c>
      <c r="X1345" t="s">
        <v>957</v>
      </c>
      <c r="Y1345">
        <v>60</v>
      </c>
      <c r="AB1345">
        <v>9.5000000000000001E-2</v>
      </c>
      <c r="AC1345" t="s">
        <v>85</v>
      </c>
      <c r="AI1345">
        <v>2</v>
      </c>
      <c r="AV1345" t="s">
        <v>256</v>
      </c>
    </row>
    <row r="1346" spans="1:48" x14ac:dyDescent="0.3">
      <c r="A1346" t="s">
        <v>1579</v>
      </c>
      <c r="C1346" t="s">
        <v>1495</v>
      </c>
      <c r="H1346">
        <v>10</v>
      </c>
      <c r="I1346" t="s">
        <v>82</v>
      </c>
      <c r="J1346">
        <v>9.9999999999999991E-6</v>
      </c>
      <c r="K1346" t="s">
        <v>252</v>
      </c>
      <c r="O1346">
        <v>7.49999999999999E-2</v>
      </c>
      <c r="P1346" t="s">
        <v>59</v>
      </c>
      <c r="S1346">
        <v>1</v>
      </c>
      <c r="T1346">
        <v>10</v>
      </c>
      <c r="V1346">
        <v>50</v>
      </c>
      <c r="W1346" t="s">
        <v>1057</v>
      </c>
      <c r="X1346" t="s">
        <v>957</v>
      </c>
      <c r="Y1346">
        <v>30</v>
      </c>
      <c r="AB1346">
        <v>9.9999999999999895E-2</v>
      </c>
      <c r="AC1346" t="s">
        <v>85</v>
      </c>
      <c r="AI1346">
        <v>2</v>
      </c>
      <c r="AV1346" t="s">
        <v>256</v>
      </c>
    </row>
    <row r="1347" spans="1:48" x14ac:dyDescent="0.3">
      <c r="A1347" t="s">
        <v>1579</v>
      </c>
      <c r="B1347" t="s">
        <v>1548</v>
      </c>
      <c r="C1347" t="s">
        <v>1495</v>
      </c>
      <c r="H1347">
        <v>10</v>
      </c>
      <c r="I1347" t="s">
        <v>82</v>
      </c>
      <c r="J1347">
        <v>9.9999999999999991E-6</v>
      </c>
      <c r="K1347" t="s">
        <v>252</v>
      </c>
      <c r="O1347">
        <v>3.7499999999999901E-2</v>
      </c>
      <c r="P1347" t="s">
        <v>59</v>
      </c>
      <c r="S1347">
        <v>1</v>
      </c>
      <c r="T1347">
        <v>10</v>
      </c>
      <c r="V1347">
        <v>50</v>
      </c>
      <c r="W1347" t="s">
        <v>1549</v>
      </c>
      <c r="X1347" t="s">
        <v>957</v>
      </c>
      <c r="Y1347">
        <v>60</v>
      </c>
      <c r="AB1347">
        <v>0.12</v>
      </c>
      <c r="AC1347" t="s">
        <v>85</v>
      </c>
      <c r="AI1347">
        <v>2</v>
      </c>
      <c r="AV1347" t="s">
        <v>256</v>
      </c>
    </row>
    <row r="1348" spans="1:48" x14ac:dyDescent="0.3">
      <c r="A1348" t="s">
        <v>1579</v>
      </c>
      <c r="B1348" t="s">
        <v>1548</v>
      </c>
      <c r="C1348" t="s">
        <v>1495</v>
      </c>
      <c r="H1348">
        <v>10</v>
      </c>
      <c r="I1348" t="s">
        <v>82</v>
      </c>
      <c r="J1348">
        <v>9.9999999999999991E-6</v>
      </c>
      <c r="K1348" t="s">
        <v>252</v>
      </c>
      <c r="O1348">
        <v>7.49999999999999E-2</v>
      </c>
      <c r="P1348" t="s">
        <v>59</v>
      </c>
      <c r="S1348">
        <v>1</v>
      </c>
      <c r="T1348">
        <v>15</v>
      </c>
      <c r="V1348">
        <v>50</v>
      </c>
      <c r="W1348" t="s">
        <v>1549</v>
      </c>
      <c r="X1348" t="s">
        <v>957</v>
      </c>
      <c r="Y1348">
        <v>5</v>
      </c>
      <c r="AB1348">
        <v>0.125</v>
      </c>
      <c r="AC1348" t="s">
        <v>85</v>
      </c>
      <c r="AI1348">
        <v>2</v>
      </c>
      <c r="AV1348" t="s">
        <v>256</v>
      </c>
    </row>
    <row r="1349" spans="1:48" x14ac:dyDescent="0.3">
      <c r="A1349" t="s">
        <v>1579</v>
      </c>
      <c r="B1349" t="s">
        <v>1548</v>
      </c>
      <c r="C1349" t="s">
        <v>1495</v>
      </c>
      <c r="H1349">
        <v>10</v>
      </c>
      <c r="I1349" t="s">
        <v>82</v>
      </c>
      <c r="J1349">
        <v>9.9999999999999991E-6</v>
      </c>
      <c r="K1349" t="s">
        <v>252</v>
      </c>
      <c r="O1349">
        <v>0.3</v>
      </c>
      <c r="P1349" t="s">
        <v>59</v>
      </c>
      <c r="S1349">
        <v>1</v>
      </c>
      <c r="T1349">
        <v>10</v>
      </c>
      <c r="V1349">
        <v>50</v>
      </c>
      <c r="W1349" t="s">
        <v>1549</v>
      </c>
      <c r="X1349" t="s">
        <v>957</v>
      </c>
      <c r="Y1349">
        <v>5</v>
      </c>
      <c r="AB1349">
        <v>0.13500000000000001</v>
      </c>
      <c r="AC1349" t="s">
        <v>85</v>
      </c>
      <c r="AI1349">
        <v>2</v>
      </c>
      <c r="AV1349" t="s">
        <v>256</v>
      </c>
    </row>
    <row r="1350" spans="1:48" x14ac:dyDescent="0.3">
      <c r="A1350" t="s">
        <v>1579</v>
      </c>
      <c r="C1350" t="s">
        <v>1495</v>
      </c>
      <c r="H1350">
        <v>10</v>
      </c>
      <c r="I1350" t="s">
        <v>82</v>
      </c>
      <c r="J1350">
        <v>9.9999999999999991E-6</v>
      </c>
      <c r="K1350" t="s">
        <v>252</v>
      </c>
      <c r="O1350">
        <v>7.49999999999999E-2</v>
      </c>
      <c r="P1350" t="s">
        <v>59</v>
      </c>
      <c r="S1350">
        <v>1</v>
      </c>
      <c r="T1350">
        <v>15</v>
      </c>
      <c r="V1350">
        <v>50</v>
      </c>
      <c r="W1350" t="s">
        <v>1057</v>
      </c>
      <c r="X1350" t="s">
        <v>957</v>
      </c>
      <c r="Y1350">
        <v>30</v>
      </c>
      <c r="AB1350">
        <v>0.13500000000000001</v>
      </c>
      <c r="AC1350" t="s">
        <v>85</v>
      </c>
      <c r="AI1350">
        <v>2</v>
      </c>
      <c r="AV1350" t="s">
        <v>256</v>
      </c>
    </row>
    <row r="1351" spans="1:48" x14ac:dyDescent="0.3">
      <c r="A1351" t="s">
        <v>1579</v>
      </c>
      <c r="C1351" t="s">
        <v>1495</v>
      </c>
      <c r="H1351">
        <v>10</v>
      </c>
      <c r="I1351" t="s">
        <v>82</v>
      </c>
      <c r="J1351">
        <v>9.9999999999999991E-6</v>
      </c>
      <c r="K1351" t="s">
        <v>252</v>
      </c>
      <c r="O1351">
        <v>7.49999999999999E-2</v>
      </c>
      <c r="P1351" t="s">
        <v>59</v>
      </c>
      <c r="S1351">
        <v>1</v>
      </c>
      <c r="T1351">
        <v>10</v>
      </c>
      <c r="V1351">
        <v>50</v>
      </c>
      <c r="W1351" t="s">
        <v>1057</v>
      </c>
      <c r="X1351" t="s">
        <v>957</v>
      </c>
      <c r="Y1351">
        <v>60</v>
      </c>
      <c r="AB1351">
        <v>0.13999999999999899</v>
      </c>
      <c r="AC1351" t="s">
        <v>85</v>
      </c>
      <c r="AI1351">
        <v>2</v>
      </c>
      <c r="AV1351" t="s">
        <v>256</v>
      </c>
    </row>
    <row r="1352" spans="1:48" x14ac:dyDescent="0.3">
      <c r="A1352" t="s">
        <v>1579</v>
      </c>
      <c r="C1352" t="s">
        <v>1495</v>
      </c>
      <c r="H1352">
        <v>10</v>
      </c>
      <c r="I1352" t="s">
        <v>82</v>
      </c>
      <c r="J1352">
        <v>9.9999999999999991E-6</v>
      </c>
      <c r="K1352" t="s">
        <v>252</v>
      </c>
      <c r="O1352">
        <v>0.15</v>
      </c>
      <c r="P1352" t="s">
        <v>59</v>
      </c>
      <c r="S1352">
        <v>1</v>
      </c>
      <c r="T1352">
        <v>10</v>
      </c>
      <c r="V1352">
        <v>50</v>
      </c>
      <c r="W1352" t="s">
        <v>1057</v>
      </c>
      <c r="X1352" t="s">
        <v>957</v>
      </c>
      <c r="Y1352">
        <v>5</v>
      </c>
      <c r="AB1352">
        <v>0.14499999999999999</v>
      </c>
      <c r="AC1352" t="s">
        <v>85</v>
      </c>
      <c r="AI1352">
        <v>2</v>
      </c>
      <c r="AV1352" t="s">
        <v>256</v>
      </c>
    </row>
    <row r="1353" spans="1:48" x14ac:dyDescent="0.3">
      <c r="A1353" t="s">
        <v>1579</v>
      </c>
      <c r="C1353" t="s">
        <v>1495</v>
      </c>
      <c r="H1353">
        <v>10</v>
      </c>
      <c r="I1353" t="s">
        <v>82</v>
      </c>
      <c r="J1353">
        <v>9.9999999999999991E-6</v>
      </c>
      <c r="K1353" t="s">
        <v>252</v>
      </c>
      <c r="O1353">
        <v>7.49999999999999E-2</v>
      </c>
      <c r="P1353" t="s">
        <v>59</v>
      </c>
      <c r="S1353">
        <v>1</v>
      </c>
      <c r="T1353">
        <v>10</v>
      </c>
      <c r="V1353">
        <v>50</v>
      </c>
      <c r="W1353" t="s">
        <v>1057</v>
      </c>
      <c r="X1353" t="s">
        <v>957</v>
      </c>
      <c r="Y1353">
        <v>5</v>
      </c>
      <c r="AB1353">
        <v>0.15</v>
      </c>
      <c r="AC1353" t="s">
        <v>85</v>
      </c>
      <c r="AI1353">
        <v>2</v>
      </c>
      <c r="AV1353" t="s">
        <v>256</v>
      </c>
    </row>
    <row r="1354" spans="1:48" x14ac:dyDescent="0.3">
      <c r="A1354" t="s">
        <v>1579</v>
      </c>
      <c r="B1354" t="s">
        <v>1548</v>
      </c>
      <c r="C1354" t="s">
        <v>1495</v>
      </c>
      <c r="H1354">
        <v>10</v>
      </c>
      <c r="I1354" t="s">
        <v>82</v>
      </c>
      <c r="J1354">
        <v>9.9999999999999991E-6</v>
      </c>
      <c r="K1354" t="s">
        <v>252</v>
      </c>
      <c r="O1354">
        <v>7.49999999999999E-2</v>
      </c>
      <c r="P1354" t="s">
        <v>59</v>
      </c>
      <c r="S1354">
        <v>1</v>
      </c>
      <c r="T1354">
        <v>10</v>
      </c>
      <c r="V1354">
        <v>50</v>
      </c>
      <c r="W1354" t="s">
        <v>1549</v>
      </c>
      <c r="X1354" t="s">
        <v>957</v>
      </c>
      <c r="Y1354">
        <v>30</v>
      </c>
      <c r="AB1354">
        <v>0.15</v>
      </c>
      <c r="AC1354" t="s">
        <v>85</v>
      </c>
      <c r="AI1354">
        <v>2</v>
      </c>
      <c r="AV1354" t="s">
        <v>256</v>
      </c>
    </row>
    <row r="1355" spans="1:48" x14ac:dyDescent="0.3">
      <c r="A1355" t="s">
        <v>1579</v>
      </c>
      <c r="B1355" t="s">
        <v>1548</v>
      </c>
      <c r="C1355" t="s">
        <v>1495</v>
      </c>
      <c r="H1355">
        <v>10</v>
      </c>
      <c r="I1355" t="s">
        <v>82</v>
      </c>
      <c r="J1355">
        <v>9.9999999999999991E-6</v>
      </c>
      <c r="K1355" t="s">
        <v>252</v>
      </c>
      <c r="O1355">
        <v>3.7499999999999901E-2</v>
      </c>
      <c r="P1355" t="s">
        <v>59</v>
      </c>
      <c r="S1355">
        <v>1</v>
      </c>
      <c r="T1355">
        <v>10</v>
      </c>
      <c r="V1355">
        <v>50</v>
      </c>
      <c r="W1355" t="s">
        <v>1549</v>
      </c>
      <c r="X1355" t="s">
        <v>957</v>
      </c>
      <c r="Y1355">
        <v>5</v>
      </c>
      <c r="AB1355">
        <v>0.155</v>
      </c>
      <c r="AC1355" t="s">
        <v>85</v>
      </c>
      <c r="AI1355">
        <v>2</v>
      </c>
      <c r="AV1355" t="s">
        <v>256</v>
      </c>
    </row>
    <row r="1356" spans="1:48" x14ac:dyDescent="0.3">
      <c r="A1356" t="s">
        <v>1579</v>
      </c>
      <c r="B1356" t="s">
        <v>1548</v>
      </c>
      <c r="C1356" t="s">
        <v>1495</v>
      </c>
      <c r="H1356">
        <v>10</v>
      </c>
      <c r="I1356" t="s">
        <v>82</v>
      </c>
      <c r="J1356">
        <v>9.9999999999999991E-6</v>
      </c>
      <c r="K1356" t="s">
        <v>252</v>
      </c>
      <c r="O1356">
        <v>7.49999999999999E-2</v>
      </c>
      <c r="P1356" t="s">
        <v>59</v>
      </c>
      <c r="S1356">
        <v>1</v>
      </c>
      <c r="T1356">
        <v>20</v>
      </c>
      <c r="V1356">
        <v>50</v>
      </c>
      <c r="W1356" t="s">
        <v>1549</v>
      </c>
      <c r="X1356" t="s">
        <v>957</v>
      </c>
      <c r="Y1356">
        <v>5</v>
      </c>
      <c r="AB1356">
        <v>0.155</v>
      </c>
      <c r="AC1356" t="s">
        <v>85</v>
      </c>
      <c r="AI1356">
        <v>2</v>
      </c>
      <c r="AV1356" t="s">
        <v>256</v>
      </c>
    </row>
    <row r="1357" spans="1:48" x14ac:dyDescent="0.3">
      <c r="A1357" t="s">
        <v>1579</v>
      </c>
      <c r="B1357" t="s">
        <v>1548</v>
      </c>
      <c r="C1357" t="s">
        <v>1495</v>
      </c>
      <c r="H1357">
        <v>10</v>
      </c>
      <c r="I1357" t="s">
        <v>82</v>
      </c>
      <c r="J1357">
        <v>9.9999999999999991E-6</v>
      </c>
      <c r="K1357" t="s">
        <v>252</v>
      </c>
      <c r="O1357">
        <v>0.15</v>
      </c>
      <c r="P1357" t="s">
        <v>59</v>
      </c>
      <c r="S1357">
        <v>1</v>
      </c>
      <c r="T1357">
        <v>15</v>
      </c>
      <c r="V1357">
        <v>50</v>
      </c>
      <c r="W1357" t="s">
        <v>1549</v>
      </c>
      <c r="X1357" t="s">
        <v>957</v>
      </c>
      <c r="Y1357">
        <v>5</v>
      </c>
      <c r="AB1357">
        <v>0.16</v>
      </c>
      <c r="AC1357" t="s">
        <v>85</v>
      </c>
      <c r="AI1357">
        <v>2</v>
      </c>
      <c r="AV1357" t="s">
        <v>256</v>
      </c>
    </row>
    <row r="1358" spans="1:48" x14ac:dyDescent="0.3">
      <c r="A1358" t="s">
        <v>1579</v>
      </c>
      <c r="B1358" t="s">
        <v>1548</v>
      </c>
      <c r="C1358" t="s">
        <v>1495</v>
      </c>
      <c r="H1358">
        <v>10</v>
      </c>
      <c r="I1358" t="s">
        <v>82</v>
      </c>
      <c r="J1358">
        <v>9.9999999999999991E-6</v>
      </c>
      <c r="K1358" t="s">
        <v>252</v>
      </c>
      <c r="O1358">
        <v>3.7499999999999901E-2</v>
      </c>
      <c r="P1358" t="s">
        <v>59</v>
      </c>
      <c r="S1358">
        <v>1</v>
      </c>
      <c r="T1358">
        <v>20</v>
      </c>
      <c r="V1358">
        <v>50</v>
      </c>
      <c r="W1358" t="s">
        <v>1549</v>
      </c>
      <c r="X1358" t="s">
        <v>957</v>
      </c>
      <c r="Y1358">
        <v>5</v>
      </c>
      <c r="AB1358">
        <v>0.16999999999999901</v>
      </c>
      <c r="AC1358" t="s">
        <v>85</v>
      </c>
      <c r="AI1358">
        <v>2</v>
      </c>
      <c r="AV1358" t="s">
        <v>256</v>
      </c>
    </row>
    <row r="1359" spans="1:48" x14ac:dyDescent="0.3">
      <c r="A1359" t="s">
        <v>1579</v>
      </c>
      <c r="B1359" t="s">
        <v>1548</v>
      </c>
      <c r="C1359" t="s">
        <v>1495</v>
      </c>
      <c r="H1359">
        <v>10</v>
      </c>
      <c r="I1359" t="s">
        <v>82</v>
      </c>
      <c r="J1359">
        <v>9.9999999999999991E-6</v>
      </c>
      <c r="K1359" t="s">
        <v>252</v>
      </c>
      <c r="O1359">
        <v>0.15</v>
      </c>
      <c r="P1359" t="s">
        <v>59</v>
      </c>
      <c r="S1359">
        <v>1</v>
      </c>
      <c r="T1359">
        <v>10</v>
      </c>
      <c r="V1359">
        <v>50</v>
      </c>
      <c r="W1359" t="s">
        <v>1549</v>
      </c>
      <c r="X1359" t="s">
        <v>957</v>
      </c>
      <c r="Y1359">
        <v>5</v>
      </c>
      <c r="AB1359">
        <v>0.17499999999999899</v>
      </c>
      <c r="AC1359" t="s">
        <v>85</v>
      </c>
      <c r="AI1359">
        <v>2</v>
      </c>
      <c r="AV1359" t="s">
        <v>256</v>
      </c>
    </row>
    <row r="1360" spans="1:48" x14ac:dyDescent="0.3">
      <c r="A1360" t="s">
        <v>1579</v>
      </c>
      <c r="C1360" t="s">
        <v>1495</v>
      </c>
      <c r="H1360">
        <v>10</v>
      </c>
      <c r="I1360" t="s">
        <v>82</v>
      </c>
      <c r="J1360">
        <v>9.9999999999999991E-6</v>
      </c>
      <c r="K1360" t="s">
        <v>252</v>
      </c>
      <c r="O1360">
        <v>3.7499999999999901E-2</v>
      </c>
      <c r="P1360" t="s">
        <v>59</v>
      </c>
      <c r="S1360">
        <v>1</v>
      </c>
      <c r="T1360">
        <v>15</v>
      </c>
      <c r="V1360">
        <v>50</v>
      </c>
      <c r="W1360" t="s">
        <v>1057</v>
      </c>
      <c r="X1360" t="s">
        <v>957</v>
      </c>
      <c r="Y1360">
        <v>30</v>
      </c>
      <c r="AB1360">
        <v>0.17499999999999899</v>
      </c>
      <c r="AC1360" t="s">
        <v>85</v>
      </c>
      <c r="AI1360">
        <v>2</v>
      </c>
      <c r="AV1360" t="s">
        <v>256</v>
      </c>
    </row>
    <row r="1361" spans="1:48" x14ac:dyDescent="0.3">
      <c r="A1361" t="s">
        <v>1579</v>
      </c>
      <c r="C1361" t="s">
        <v>1495</v>
      </c>
      <c r="H1361">
        <v>10</v>
      </c>
      <c r="I1361" t="s">
        <v>82</v>
      </c>
      <c r="J1361">
        <v>9.9999999999999991E-6</v>
      </c>
      <c r="K1361" t="s">
        <v>252</v>
      </c>
      <c r="O1361">
        <v>3.7499999999999901E-2</v>
      </c>
      <c r="P1361" t="s">
        <v>59</v>
      </c>
      <c r="S1361">
        <v>1</v>
      </c>
      <c r="T1361">
        <v>20</v>
      </c>
      <c r="V1361">
        <v>50</v>
      </c>
      <c r="W1361" t="s">
        <v>1057</v>
      </c>
      <c r="X1361" t="s">
        <v>957</v>
      </c>
      <c r="Y1361">
        <v>30</v>
      </c>
      <c r="AB1361">
        <v>0.17499999999999999</v>
      </c>
      <c r="AC1361" t="s">
        <v>85</v>
      </c>
      <c r="AI1361">
        <v>2</v>
      </c>
      <c r="AV1361" t="s">
        <v>256</v>
      </c>
    </row>
    <row r="1362" spans="1:48" x14ac:dyDescent="0.3">
      <c r="A1362" t="s">
        <v>1579</v>
      </c>
      <c r="B1362" t="s">
        <v>1548</v>
      </c>
      <c r="C1362" t="s">
        <v>1495</v>
      </c>
      <c r="H1362">
        <v>10</v>
      </c>
      <c r="I1362" t="s">
        <v>82</v>
      </c>
      <c r="J1362">
        <v>9.9999999999999991E-6</v>
      </c>
      <c r="K1362" t="s">
        <v>252</v>
      </c>
      <c r="O1362">
        <v>3.7499999999999901E-2</v>
      </c>
      <c r="P1362" t="s">
        <v>59</v>
      </c>
      <c r="S1362">
        <v>1</v>
      </c>
      <c r="T1362">
        <v>20</v>
      </c>
      <c r="V1362">
        <v>50</v>
      </c>
      <c r="W1362" t="s">
        <v>1549</v>
      </c>
      <c r="X1362" t="s">
        <v>957</v>
      </c>
      <c r="Y1362">
        <v>5</v>
      </c>
      <c r="AB1362">
        <v>0.2</v>
      </c>
      <c r="AC1362" t="s">
        <v>85</v>
      </c>
      <c r="AI1362">
        <v>2</v>
      </c>
      <c r="AV1362" t="s">
        <v>256</v>
      </c>
    </row>
    <row r="1363" spans="1:48" x14ac:dyDescent="0.3">
      <c r="A1363" t="s">
        <v>1579</v>
      </c>
      <c r="C1363" t="s">
        <v>1495</v>
      </c>
      <c r="H1363">
        <v>10</v>
      </c>
      <c r="I1363" t="s">
        <v>82</v>
      </c>
      <c r="J1363">
        <v>9.9999999999999991E-6</v>
      </c>
      <c r="K1363" t="s">
        <v>252</v>
      </c>
      <c r="O1363">
        <v>0.15</v>
      </c>
      <c r="P1363" t="s">
        <v>59</v>
      </c>
      <c r="S1363">
        <v>1</v>
      </c>
      <c r="T1363">
        <v>20</v>
      </c>
      <c r="V1363">
        <v>50</v>
      </c>
      <c r="W1363" t="s">
        <v>1057</v>
      </c>
      <c r="X1363" t="s">
        <v>957</v>
      </c>
      <c r="Y1363">
        <v>5</v>
      </c>
      <c r="AB1363">
        <v>0.2</v>
      </c>
      <c r="AC1363" t="s">
        <v>85</v>
      </c>
      <c r="AI1363">
        <v>2</v>
      </c>
      <c r="AV1363" t="s">
        <v>256</v>
      </c>
    </row>
    <row r="1364" spans="1:48" x14ac:dyDescent="0.3">
      <c r="A1364" t="s">
        <v>1579</v>
      </c>
      <c r="B1364" t="s">
        <v>1548</v>
      </c>
      <c r="C1364" t="s">
        <v>1495</v>
      </c>
      <c r="H1364">
        <v>10</v>
      </c>
      <c r="I1364" t="s">
        <v>82</v>
      </c>
      <c r="J1364">
        <v>9.9999999999999991E-6</v>
      </c>
      <c r="K1364" t="s">
        <v>252</v>
      </c>
      <c r="O1364">
        <v>3.7499999999999901E-2</v>
      </c>
      <c r="P1364" t="s">
        <v>59</v>
      </c>
      <c r="S1364">
        <v>1</v>
      </c>
      <c r="T1364">
        <v>15</v>
      </c>
      <c r="V1364">
        <v>50</v>
      </c>
      <c r="W1364" t="s">
        <v>1549</v>
      </c>
      <c r="X1364" t="s">
        <v>957</v>
      </c>
      <c r="Y1364">
        <v>5</v>
      </c>
      <c r="AB1364">
        <v>0.215</v>
      </c>
      <c r="AC1364" t="s">
        <v>85</v>
      </c>
      <c r="AI1364">
        <v>2</v>
      </c>
      <c r="AV1364" t="s">
        <v>256</v>
      </c>
    </row>
    <row r="1365" spans="1:48" x14ac:dyDescent="0.3">
      <c r="A1365" t="s">
        <v>1579</v>
      </c>
      <c r="B1365" t="s">
        <v>1548</v>
      </c>
      <c r="C1365" t="s">
        <v>1495</v>
      </c>
      <c r="H1365">
        <v>10</v>
      </c>
      <c r="I1365" t="s">
        <v>82</v>
      </c>
      <c r="J1365">
        <v>9.9999999999999991E-6</v>
      </c>
      <c r="K1365" t="s">
        <v>252</v>
      </c>
      <c r="O1365">
        <v>7.49999999999999E-2</v>
      </c>
      <c r="P1365" t="s">
        <v>59</v>
      </c>
      <c r="S1365">
        <v>1</v>
      </c>
      <c r="T1365">
        <v>10</v>
      </c>
      <c r="V1365">
        <v>50</v>
      </c>
      <c r="W1365" t="s">
        <v>1549</v>
      </c>
      <c r="X1365" t="s">
        <v>957</v>
      </c>
      <c r="Y1365">
        <v>5</v>
      </c>
      <c r="AB1365">
        <v>0.22999999999999901</v>
      </c>
      <c r="AC1365" t="s">
        <v>85</v>
      </c>
      <c r="AI1365">
        <v>2</v>
      </c>
      <c r="AV1365" t="s">
        <v>256</v>
      </c>
    </row>
    <row r="1366" spans="1:48" x14ac:dyDescent="0.3">
      <c r="A1366" t="s">
        <v>1579</v>
      </c>
      <c r="C1366" t="s">
        <v>1495</v>
      </c>
      <c r="H1366">
        <v>10</v>
      </c>
      <c r="I1366" t="s">
        <v>82</v>
      </c>
      <c r="J1366">
        <v>9.9999999999999991E-6</v>
      </c>
      <c r="K1366" t="s">
        <v>252</v>
      </c>
      <c r="O1366">
        <v>3.7499999999999901E-2</v>
      </c>
      <c r="P1366" t="s">
        <v>59</v>
      </c>
      <c r="S1366">
        <v>1</v>
      </c>
      <c r="T1366">
        <v>20</v>
      </c>
      <c r="V1366">
        <v>50</v>
      </c>
      <c r="W1366" t="s">
        <v>1057</v>
      </c>
      <c r="X1366" t="s">
        <v>957</v>
      </c>
      <c r="Y1366">
        <v>5</v>
      </c>
      <c r="AB1366">
        <v>0.23</v>
      </c>
      <c r="AC1366" t="s">
        <v>85</v>
      </c>
      <c r="AI1366">
        <v>2</v>
      </c>
      <c r="AV1366" t="s">
        <v>256</v>
      </c>
    </row>
    <row r="1367" spans="1:48" x14ac:dyDescent="0.3">
      <c r="A1367" t="s">
        <v>1579</v>
      </c>
      <c r="C1367" t="s">
        <v>1495</v>
      </c>
      <c r="H1367">
        <v>10</v>
      </c>
      <c r="I1367" t="s">
        <v>82</v>
      </c>
      <c r="J1367">
        <v>9.9999999999999991E-6</v>
      </c>
      <c r="K1367" t="s">
        <v>252</v>
      </c>
      <c r="O1367">
        <v>3.7499999999999901E-2</v>
      </c>
      <c r="P1367" t="s">
        <v>59</v>
      </c>
      <c r="S1367">
        <v>1</v>
      </c>
      <c r="T1367">
        <v>15</v>
      </c>
      <c r="V1367">
        <v>50</v>
      </c>
      <c r="W1367" t="s">
        <v>1057</v>
      </c>
      <c r="X1367" t="s">
        <v>957</v>
      </c>
      <c r="Y1367">
        <v>5</v>
      </c>
      <c r="AB1367">
        <v>0.23499999999999899</v>
      </c>
      <c r="AC1367" t="s">
        <v>85</v>
      </c>
      <c r="AI1367">
        <v>2</v>
      </c>
      <c r="AV1367" t="s">
        <v>256</v>
      </c>
    </row>
    <row r="1368" spans="1:48" x14ac:dyDescent="0.3">
      <c r="A1368" t="s">
        <v>1579</v>
      </c>
      <c r="B1368" t="s">
        <v>1548</v>
      </c>
      <c r="C1368" t="s">
        <v>1495</v>
      </c>
      <c r="H1368">
        <v>10</v>
      </c>
      <c r="I1368" t="s">
        <v>82</v>
      </c>
      <c r="J1368">
        <v>9.9999999999999991E-6</v>
      </c>
      <c r="K1368" t="s">
        <v>252</v>
      </c>
      <c r="O1368">
        <v>7.49999999999999E-2</v>
      </c>
      <c r="P1368" t="s">
        <v>59</v>
      </c>
      <c r="S1368">
        <v>1</v>
      </c>
      <c r="T1368">
        <v>20</v>
      </c>
      <c r="V1368">
        <v>50</v>
      </c>
      <c r="W1368" t="s">
        <v>1549</v>
      </c>
      <c r="X1368" t="s">
        <v>957</v>
      </c>
      <c r="Y1368">
        <v>5</v>
      </c>
      <c r="AB1368">
        <v>0.23499999999999899</v>
      </c>
      <c r="AC1368" t="s">
        <v>85</v>
      </c>
      <c r="AI1368">
        <v>2</v>
      </c>
      <c r="AV1368" t="s">
        <v>256</v>
      </c>
    </row>
    <row r="1369" spans="1:48" x14ac:dyDescent="0.3">
      <c r="A1369" t="s">
        <v>1579</v>
      </c>
      <c r="C1369" t="s">
        <v>1495</v>
      </c>
      <c r="H1369">
        <v>10</v>
      </c>
      <c r="I1369" t="s">
        <v>82</v>
      </c>
      <c r="J1369">
        <v>9.9999999999999991E-6</v>
      </c>
      <c r="K1369" t="s">
        <v>252</v>
      </c>
      <c r="O1369">
        <v>3.7499999999999901E-2</v>
      </c>
      <c r="P1369" t="s">
        <v>59</v>
      </c>
      <c r="S1369">
        <v>1</v>
      </c>
      <c r="T1369">
        <v>15</v>
      </c>
      <c r="V1369">
        <v>50</v>
      </c>
      <c r="W1369" t="s">
        <v>1057</v>
      </c>
      <c r="X1369" t="s">
        <v>957</v>
      </c>
      <c r="Y1369">
        <v>60</v>
      </c>
      <c r="AB1369">
        <v>0.23499999999999899</v>
      </c>
      <c r="AC1369" t="s">
        <v>85</v>
      </c>
      <c r="AI1369">
        <v>2</v>
      </c>
      <c r="AV1369" t="s">
        <v>256</v>
      </c>
    </row>
    <row r="1370" spans="1:48" x14ac:dyDescent="0.3">
      <c r="A1370" t="s">
        <v>1579</v>
      </c>
      <c r="C1370" t="s">
        <v>1495</v>
      </c>
      <c r="H1370">
        <v>10</v>
      </c>
      <c r="I1370" t="s">
        <v>82</v>
      </c>
      <c r="J1370">
        <v>9.9999999999999991E-6</v>
      </c>
      <c r="K1370" t="s">
        <v>252</v>
      </c>
      <c r="O1370">
        <v>3.7499999999999901E-2</v>
      </c>
      <c r="P1370" t="s">
        <v>59</v>
      </c>
      <c r="S1370">
        <v>1</v>
      </c>
      <c r="T1370">
        <v>10</v>
      </c>
      <c r="V1370">
        <v>50</v>
      </c>
      <c r="W1370" t="s">
        <v>1057</v>
      </c>
      <c r="X1370" t="s">
        <v>957</v>
      </c>
      <c r="Y1370">
        <v>5</v>
      </c>
      <c r="AB1370">
        <v>0.24</v>
      </c>
      <c r="AC1370" t="s">
        <v>85</v>
      </c>
      <c r="AI1370">
        <v>2</v>
      </c>
      <c r="AV1370" t="s">
        <v>256</v>
      </c>
    </row>
    <row r="1371" spans="1:48" x14ac:dyDescent="0.3">
      <c r="A1371" t="s">
        <v>1579</v>
      </c>
      <c r="B1371" t="s">
        <v>1548</v>
      </c>
      <c r="C1371" t="s">
        <v>1495</v>
      </c>
      <c r="H1371">
        <v>10</v>
      </c>
      <c r="I1371" t="s">
        <v>82</v>
      </c>
      <c r="J1371">
        <v>9.9999999999999991E-6</v>
      </c>
      <c r="K1371" t="s">
        <v>252</v>
      </c>
      <c r="O1371">
        <v>3.7499999999999901E-2</v>
      </c>
      <c r="P1371" t="s">
        <v>59</v>
      </c>
      <c r="S1371">
        <v>1</v>
      </c>
      <c r="T1371">
        <v>10</v>
      </c>
      <c r="V1371">
        <v>50</v>
      </c>
      <c r="W1371" t="s">
        <v>1549</v>
      </c>
      <c r="X1371" t="s">
        <v>957</v>
      </c>
      <c r="Y1371">
        <v>5</v>
      </c>
      <c r="AB1371">
        <v>0.24</v>
      </c>
      <c r="AC1371" t="s">
        <v>85</v>
      </c>
      <c r="AI1371">
        <v>2</v>
      </c>
      <c r="AV1371" t="s">
        <v>256</v>
      </c>
    </row>
    <row r="1372" spans="1:48" x14ac:dyDescent="0.3">
      <c r="A1372" t="s">
        <v>1579</v>
      </c>
      <c r="B1372" t="s">
        <v>1548</v>
      </c>
      <c r="C1372" t="s">
        <v>1495</v>
      </c>
      <c r="H1372">
        <v>10</v>
      </c>
      <c r="I1372" t="s">
        <v>82</v>
      </c>
      <c r="J1372">
        <v>9.9999999999999991E-6</v>
      </c>
      <c r="K1372" t="s">
        <v>252</v>
      </c>
      <c r="O1372">
        <v>3.7499999999999901E-2</v>
      </c>
      <c r="P1372" t="s">
        <v>59</v>
      </c>
      <c r="S1372">
        <v>1</v>
      </c>
      <c r="T1372">
        <v>15</v>
      </c>
      <c r="V1372">
        <v>50</v>
      </c>
      <c r="W1372" t="s">
        <v>1549</v>
      </c>
      <c r="X1372" t="s">
        <v>957</v>
      </c>
      <c r="Y1372">
        <v>60</v>
      </c>
      <c r="AB1372">
        <v>0.24</v>
      </c>
      <c r="AC1372" t="s">
        <v>85</v>
      </c>
      <c r="AI1372">
        <v>2</v>
      </c>
      <c r="AV1372" t="s">
        <v>256</v>
      </c>
    </row>
    <row r="1373" spans="1:48" x14ac:dyDescent="0.3">
      <c r="A1373" t="s">
        <v>1579</v>
      </c>
      <c r="B1373" t="s">
        <v>1548</v>
      </c>
      <c r="C1373" t="s">
        <v>1495</v>
      </c>
      <c r="H1373">
        <v>10</v>
      </c>
      <c r="I1373" t="s">
        <v>82</v>
      </c>
      <c r="J1373">
        <v>9.9999999999999991E-6</v>
      </c>
      <c r="K1373" t="s">
        <v>252</v>
      </c>
      <c r="O1373">
        <v>3.7499999999999901E-2</v>
      </c>
      <c r="P1373" t="s">
        <v>59</v>
      </c>
      <c r="S1373">
        <v>1</v>
      </c>
      <c r="T1373">
        <v>10</v>
      </c>
      <c r="V1373">
        <v>50</v>
      </c>
      <c r="W1373" t="s">
        <v>1549</v>
      </c>
      <c r="X1373" t="s">
        <v>957</v>
      </c>
      <c r="Y1373">
        <v>30</v>
      </c>
      <c r="AB1373">
        <v>0.25</v>
      </c>
      <c r="AC1373" t="s">
        <v>85</v>
      </c>
      <c r="AI1373">
        <v>2</v>
      </c>
      <c r="AV1373" t="s">
        <v>256</v>
      </c>
    </row>
    <row r="1374" spans="1:48" x14ac:dyDescent="0.3">
      <c r="A1374" t="s">
        <v>1579</v>
      </c>
      <c r="C1374" t="s">
        <v>1495</v>
      </c>
      <c r="H1374">
        <v>10</v>
      </c>
      <c r="I1374" t="s">
        <v>82</v>
      </c>
      <c r="J1374">
        <v>9.9999999999999991E-6</v>
      </c>
      <c r="K1374" t="s">
        <v>252</v>
      </c>
      <c r="O1374">
        <v>7.49999999999999E-2</v>
      </c>
      <c r="P1374" t="s">
        <v>59</v>
      </c>
      <c r="S1374">
        <v>1</v>
      </c>
      <c r="T1374">
        <v>15</v>
      </c>
      <c r="V1374">
        <v>50</v>
      </c>
      <c r="W1374" t="s">
        <v>1057</v>
      </c>
      <c r="X1374" t="s">
        <v>957</v>
      </c>
      <c r="Y1374">
        <v>5</v>
      </c>
      <c r="AB1374">
        <v>0.25</v>
      </c>
      <c r="AC1374" t="s">
        <v>85</v>
      </c>
      <c r="AI1374">
        <v>2</v>
      </c>
      <c r="AV1374" t="s">
        <v>256</v>
      </c>
    </row>
    <row r="1375" spans="1:48" x14ac:dyDescent="0.3">
      <c r="A1375" t="s">
        <v>1579</v>
      </c>
      <c r="B1375" t="s">
        <v>1548</v>
      </c>
      <c r="C1375" t="s">
        <v>1495</v>
      </c>
      <c r="H1375">
        <v>10</v>
      </c>
      <c r="I1375" t="s">
        <v>82</v>
      </c>
      <c r="J1375">
        <v>9.9999999999999991E-6</v>
      </c>
      <c r="K1375" t="s">
        <v>252</v>
      </c>
      <c r="O1375">
        <v>7.49999999999999E-2</v>
      </c>
      <c r="P1375" t="s">
        <v>59</v>
      </c>
      <c r="S1375">
        <v>1</v>
      </c>
      <c r="T1375">
        <v>10</v>
      </c>
      <c r="V1375">
        <v>50</v>
      </c>
      <c r="W1375" t="s">
        <v>1549</v>
      </c>
      <c r="X1375" t="s">
        <v>957</v>
      </c>
      <c r="Y1375">
        <v>60</v>
      </c>
      <c r="AB1375">
        <v>0.25</v>
      </c>
      <c r="AC1375" t="s">
        <v>85</v>
      </c>
      <c r="AI1375">
        <v>2</v>
      </c>
      <c r="AV1375" t="s">
        <v>256</v>
      </c>
    </row>
    <row r="1376" spans="1:48" x14ac:dyDescent="0.3">
      <c r="A1376" t="s">
        <v>1579</v>
      </c>
      <c r="B1376" t="s">
        <v>1548</v>
      </c>
      <c r="C1376" t="s">
        <v>1495</v>
      </c>
      <c r="H1376">
        <v>10</v>
      </c>
      <c r="I1376" t="s">
        <v>82</v>
      </c>
      <c r="J1376">
        <v>9.9999999999999991E-6</v>
      </c>
      <c r="K1376" t="s">
        <v>252</v>
      </c>
      <c r="O1376">
        <v>3.7499999999999901E-2</v>
      </c>
      <c r="P1376" t="s">
        <v>59</v>
      </c>
      <c r="S1376">
        <v>1</v>
      </c>
      <c r="T1376">
        <v>15</v>
      </c>
      <c r="V1376">
        <v>50</v>
      </c>
      <c r="W1376" t="s">
        <v>1549</v>
      </c>
      <c r="X1376" t="s">
        <v>957</v>
      </c>
      <c r="Y1376">
        <v>5</v>
      </c>
      <c r="AB1376">
        <v>0.255</v>
      </c>
      <c r="AC1376" t="s">
        <v>85</v>
      </c>
      <c r="AI1376">
        <v>2</v>
      </c>
      <c r="AV1376" t="s">
        <v>256</v>
      </c>
    </row>
    <row r="1377" spans="1:48" x14ac:dyDescent="0.3">
      <c r="A1377" t="s">
        <v>1579</v>
      </c>
      <c r="B1377" t="s">
        <v>1548</v>
      </c>
      <c r="C1377" t="s">
        <v>1495</v>
      </c>
      <c r="H1377">
        <v>10</v>
      </c>
      <c r="I1377" t="s">
        <v>82</v>
      </c>
      <c r="J1377">
        <v>9.9999999999999991E-6</v>
      </c>
      <c r="K1377" t="s">
        <v>252</v>
      </c>
      <c r="O1377">
        <v>7.49999999999999E-2</v>
      </c>
      <c r="P1377" t="s">
        <v>59</v>
      </c>
      <c r="S1377">
        <v>1</v>
      </c>
      <c r="T1377">
        <v>15</v>
      </c>
      <c r="V1377">
        <v>50</v>
      </c>
      <c r="W1377" t="s">
        <v>1549</v>
      </c>
      <c r="X1377" t="s">
        <v>957</v>
      </c>
      <c r="Y1377">
        <v>30</v>
      </c>
      <c r="AB1377">
        <v>0.255</v>
      </c>
      <c r="AC1377" t="s">
        <v>85</v>
      </c>
      <c r="AI1377">
        <v>2</v>
      </c>
      <c r="AV1377" t="s">
        <v>256</v>
      </c>
    </row>
    <row r="1378" spans="1:48" x14ac:dyDescent="0.3">
      <c r="A1378" t="s">
        <v>1579</v>
      </c>
      <c r="B1378" t="s">
        <v>1548</v>
      </c>
      <c r="C1378" t="s">
        <v>1495</v>
      </c>
      <c r="H1378">
        <v>10</v>
      </c>
      <c r="I1378" t="s">
        <v>82</v>
      </c>
      <c r="J1378">
        <v>9.9999999999999991E-6</v>
      </c>
      <c r="K1378" t="s">
        <v>252</v>
      </c>
      <c r="O1378">
        <v>7.49999999999999E-2</v>
      </c>
      <c r="P1378" t="s">
        <v>59</v>
      </c>
      <c r="S1378">
        <v>1</v>
      </c>
      <c r="T1378">
        <v>15</v>
      </c>
      <c r="V1378">
        <v>50</v>
      </c>
      <c r="W1378" t="s">
        <v>1549</v>
      </c>
      <c r="X1378" t="s">
        <v>957</v>
      </c>
      <c r="Y1378">
        <v>5</v>
      </c>
      <c r="AB1378">
        <v>0.26500000000000001</v>
      </c>
      <c r="AC1378" t="s">
        <v>85</v>
      </c>
      <c r="AI1378">
        <v>2</v>
      </c>
      <c r="AV1378" t="s">
        <v>256</v>
      </c>
    </row>
    <row r="1379" spans="1:48" x14ac:dyDescent="0.3">
      <c r="A1379" t="s">
        <v>1579</v>
      </c>
      <c r="B1379" t="s">
        <v>1548</v>
      </c>
      <c r="C1379" t="s">
        <v>1495</v>
      </c>
      <c r="H1379">
        <v>10</v>
      </c>
      <c r="I1379" t="s">
        <v>82</v>
      </c>
      <c r="J1379">
        <v>9.9999999999999991E-6</v>
      </c>
      <c r="K1379" t="s">
        <v>252</v>
      </c>
      <c r="O1379">
        <v>0.3</v>
      </c>
      <c r="P1379" t="s">
        <v>59</v>
      </c>
      <c r="S1379">
        <v>1</v>
      </c>
      <c r="T1379">
        <v>15</v>
      </c>
      <c r="V1379">
        <v>50</v>
      </c>
      <c r="W1379" t="s">
        <v>1549</v>
      </c>
      <c r="X1379" t="s">
        <v>957</v>
      </c>
      <c r="Y1379">
        <v>5</v>
      </c>
      <c r="AB1379">
        <v>0.27</v>
      </c>
      <c r="AC1379" t="s">
        <v>85</v>
      </c>
      <c r="AI1379">
        <v>2</v>
      </c>
      <c r="AV1379" t="s">
        <v>256</v>
      </c>
    </row>
    <row r="1380" spans="1:48" x14ac:dyDescent="0.3">
      <c r="A1380" t="s">
        <v>1579</v>
      </c>
      <c r="B1380" t="s">
        <v>1548</v>
      </c>
      <c r="C1380" t="s">
        <v>1495</v>
      </c>
      <c r="H1380">
        <v>10</v>
      </c>
      <c r="I1380" t="s">
        <v>82</v>
      </c>
      <c r="J1380">
        <v>9.9999999999999991E-6</v>
      </c>
      <c r="K1380" t="s">
        <v>252</v>
      </c>
      <c r="O1380">
        <v>3.7499999999999901E-2</v>
      </c>
      <c r="P1380" t="s">
        <v>59</v>
      </c>
      <c r="S1380">
        <v>1</v>
      </c>
      <c r="T1380">
        <v>15</v>
      </c>
      <c r="V1380">
        <v>50</v>
      </c>
      <c r="W1380" t="s">
        <v>1549</v>
      </c>
      <c r="X1380" t="s">
        <v>957</v>
      </c>
      <c r="Y1380">
        <v>30</v>
      </c>
      <c r="AB1380">
        <v>0.27500000000000002</v>
      </c>
      <c r="AC1380" t="s">
        <v>85</v>
      </c>
      <c r="AI1380">
        <v>2</v>
      </c>
      <c r="AV1380" t="s">
        <v>256</v>
      </c>
    </row>
    <row r="1381" spans="1:48" x14ac:dyDescent="0.3">
      <c r="A1381" t="s">
        <v>1579</v>
      </c>
      <c r="B1381" t="s">
        <v>1548</v>
      </c>
      <c r="C1381" t="s">
        <v>1495</v>
      </c>
      <c r="H1381">
        <v>10</v>
      </c>
      <c r="I1381" t="s">
        <v>82</v>
      </c>
      <c r="J1381">
        <v>9.9999999999999991E-6</v>
      </c>
      <c r="K1381" t="s">
        <v>252</v>
      </c>
      <c r="O1381">
        <v>3.7499999999999901E-2</v>
      </c>
      <c r="P1381" t="s">
        <v>59</v>
      </c>
      <c r="S1381">
        <v>1</v>
      </c>
      <c r="T1381">
        <v>15</v>
      </c>
      <c r="V1381">
        <v>50</v>
      </c>
      <c r="W1381" t="s">
        <v>1549</v>
      </c>
      <c r="X1381" t="s">
        <v>957</v>
      </c>
      <c r="Y1381">
        <v>5</v>
      </c>
      <c r="AB1381">
        <v>0.28000000000000003</v>
      </c>
      <c r="AC1381" t="s">
        <v>85</v>
      </c>
      <c r="AI1381">
        <v>2</v>
      </c>
      <c r="AV1381" t="s">
        <v>256</v>
      </c>
    </row>
    <row r="1382" spans="1:48" x14ac:dyDescent="0.3">
      <c r="A1382" t="s">
        <v>1579</v>
      </c>
      <c r="C1382" t="s">
        <v>1495</v>
      </c>
      <c r="H1382">
        <v>10</v>
      </c>
      <c r="I1382" t="s">
        <v>82</v>
      </c>
      <c r="J1382">
        <v>9.9999999999999991E-6</v>
      </c>
      <c r="K1382" t="s">
        <v>252</v>
      </c>
      <c r="O1382">
        <v>7.49999999999999E-2</v>
      </c>
      <c r="P1382" t="s">
        <v>59</v>
      </c>
      <c r="S1382">
        <v>1</v>
      </c>
      <c r="T1382">
        <v>15</v>
      </c>
      <c r="V1382">
        <v>50</v>
      </c>
      <c r="W1382" t="s">
        <v>1057</v>
      </c>
      <c r="X1382" t="s">
        <v>957</v>
      </c>
      <c r="Y1382">
        <v>5</v>
      </c>
      <c r="AB1382">
        <v>0.28000000000000003</v>
      </c>
      <c r="AC1382" t="s">
        <v>85</v>
      </c>
      <c r="AI1382">
        <v>2</v>
      </c>
      <c r="AV1382" t="s">
        <v>256</v>
      </c>
    </row>
    <row r="1383" spans="1:48" x14ac:dyDescent="0.3">
      <c r="A1383" t="s">
        <v>1579</v>
      </c>
      <c r="C1383" t="s">
        <v>1495</v>
      </c>
      <c r="H1383">
        <v>10</v>
      </c>
      <c r="I1383" t="s">
        <v>82</v>
      </c>
      <c r="J1383">
        <v>9.9999999999999991E-6</v>
      </c>
      <c r="K1383" t="s">
        <v>252</v>
      </c>
      <c r="O1383">
        <v>7.49999999999999E-2</v>
      </c>
      <c r="P1383" t="s">
        <v>59</v>
      </c>
      <c r="S1383">
        <v>1</v>
      </c>
      <c r="T1383">
        <v>15</v>
      </c>
      <c r="V1383">
        <v>50</v>
      </c>
      <c r="W1383" t="s">
        <v>1057</v>
      </c>
      <c r="X1383" t="s">
        <v>957</v>
      </c>
      <c r="Y1383">
        <v>60</v>
      </c>
      <c r="AB1383">
        <v>0.28000000000000003</v>
      </c>
      <c r="AC1383" t="s">
        <v>85</v>
      </c>
      <c r="AI1383">
        <v>2</v>
      </c>
      <c r="AV1383" t="s">
        <v>256</v>
      </c>
    </row>
    <row r="1384" spans="1:48" x14ac:dyDescent="0.3">
      <c r="A1384" t="s">
        <v>1579</v>
      </c>
      <c r="B1384" t="s">
        <v>1548</v>
      </c>
      <c r="C1384" t="s">
        <v>1495</v>
      </c>
      <c r="H1384">
        <v>10</v>
      </c>
      <c r="I1384" t="s">
        <v>82</v>
      </c>
      <c r="J1384">
        <v>9.9999999999999991E-6</v>
      </c>
      <c r="K1384" t="s">
        <v>252</v>
      </c>
      <c r="O1384">
        <v>0.15</v>
      </c>
      <c r="P1384" t="s">
        <v>59</v>
      </c>
      <c r="S1384">
        <v>1</v>
      </c>
      <c r="T1384">
        <v>10</v>
      </c>
      <c r="V1384">
        <v>50</v>
      </c>
      <c r="W1384" t="s">
        <v>1549</v>
      </c>
      <c r="X1384" t="s">
        <v>957</v>
      </c>
      <c r="Y1384">
        <v>5</v>
      </c>
      <c r="AB1384">
        <v>0.28999999999999998</v>
      </c>
      <c r="AC1384" t="s">
        <v>85</v>
      </c>
      <c r="AI1384">
        <v>2</v>
      </c>
      <c r="AV1384" t="s">
        <v>256</v>
      </c>
    </row>
    <row r="1385" spans="1:48" x14ac:dyDescent="0.3">
      <c r="A1385" t="s">
        <v>1579</v>
      </c>
      <c r="B1385" t="s">
        <v>1548</v>
      </c>
      <c r="C1385" t="s">
        <v>1495</v>
      </c>
      <c r="H1385">
        <v>10</v>
      </c>
      <c r="I1385" t="s">
        <v>82</v>
      </c>
      <c r="J1385">
        <v>9.9999999999999991E-6</v>
      </c>
      <c r="K1385" t="s">
        <v>252</v>
      </c>
      <c r="O1385">
        <v>7.49999999999999E-2</v>
      </c>
      <c r="P1385" t="s">
        <v>59</v>
      </c>
      <c r="S1385">
        <v>1</v>
      </c>
      <c r="T1385">
        <v>10</v>
      </c>
      <c r="V1385">
        <v>50</v>
      </c>
      <c r="W1385" t="s">
        <v>1549</v>
      </c>
      <c r="X1385" t="s">
        <v>957</v>
      </c>
      <c r="Y1385">
        <v>5</v>
      </c>
      <c r="AB1385">
        <v>0.3</v>
      </c>
      <c r="AC1385" t="s">
        <v>85</v>
      </c>
      <c r="AI1385">
        <v>2</v>
      </c>
      <c r="AV1385" t="s">
        <v>256</v>
      </c>
    </row>
    <row r="1386" spans="1:48" x14ac:dyDescent="0.3">
      <c r="A1386" t="s">
        <v>1579</v>
      </c>
      <c r="B1386" t="s">
        <v>1548</v>
      </c>
      <c r="C1386" t="s">
        <v>1495</v>
      </c>
      <c r="H1386">
        <v>10</v>
      </c>
      <c r="I1386" t="s">
        <v>82</v>
      </c>
      <c r="J1386">
        <v>9.9999999999999991E-6</v>
      </c>
      <c r="K1386" t="s">
        <v>252</v>
      </c>
      <c r="O1386">
        <v>3.7499999999999901E-2</v>
      </c>
      <c r="P1386" t="s">
        <v>59</v>
      </c>
      <c r="S1386">
        <v>1</v>
      </c>
      <c r="T1386">
        <v>10</v>
      </c>
      <c r="V1386">
        <v>50</v>
      </c>
      <c r="W1386" t="s">
        <v>1549</v>
      </c>
      <c r="X1386" t="s">
        <v>957</v>
      </c>
      <c r="Y1386">
        <v>30</v>
      </c>
      <c r="AB1386">
        <v>0.3</v>
      </c>
      <c r="AC1386" t="s">
        <v>85</v>
      </c>
      <c r="AI1386">
        <v>2</v>
      </c>
      <c r="AV1386" t="s">
        <v>256</v>
      </c>
    </row>
    <row r="1387" spans="1:48" x14ac:dyDescent="0.3">
      <c r="A1387" t="s">
        <v>1579</v>
      </c>
      <c r="B1387" t="s">
        <v>1548</v>
      </c>
      <c r="C1387" t="s">
        <v>1495</v>
      </c>
      <c r="H1387">
        <v>10</v>
      </c>
      <c r="I1387" t="s">
        <v>82</v>
      </c>
      <c r="J1387">
        <v>9.9999999999999991E-6</v>
      </c>
      <c r="K1387" t="s">
        <v>252</v>
      </c>
      <c r="O1387">
        <v>0.22499999999999901</v>
      </c>
      <c r="P1387" t="s">
        <v>59</v>
      </c>
      <c r="S1387">
        <v>1</v>
      </c>
      <c r="T1387">
        <v>15</v>
      </c>
      <c r="V1387">
        <v>50</v>
      </c>
      <c r="W1387" t="s">
        <v>1549</v>
      </c>
      <c r="X1387" t="s">
        <v>957</v>
      </c>
      <c r="Y1387">
        <v>5</v>
      </c>
      <c r="AB1387">
        <v>0.30499999999999899</v>
      </c>
      <c r="AC1387" t="s">
        <v>85</v>
      </c>
      <c r="AI1387">
        <v>2</v>
      </c>
      <c r="AV1387" t="s">
        <v>256</v>
      </c>
    </row>
    <row r="1388" spans="1:48" x14ac:dyDescent="0.3">
      <c r="A1388" t="s">
        <v>1579</v>
      </c>
      <c r="C1388" t="s">
        <v>1495</v>
      </c>
      <c r="H1388">
        <v>10</v>
      </c>
      <c r="I1388" t="s">
        <v>82</v>
      </c>
      <c r="J1388">
        <v>9.9999999999999991E-6</v>
      </c>
      <c r="K1388" t="s">
        <v>252</v>
      </c>
      <c r="O1388">
        <v>3.7499999999999901E-2</v>
      </c>
      <c r="P1388" t="s">
        <v>59</v>
      </c>
      <c r="S1388">
        <v>1</v>
      </c>
      <c r="T1388">
        <v>20</v>
      </c>
      <c r="V1388">
        <v>50</v>
      </c>
      <c r="W1388" t="s">
        <v>1057</v>
      </c>
      <c r="X1388" t="s">
        <v>957</v>
      </c>
      <c r="Y1388">
        <v>60</v>
      </c>
      <c r="AB1388">
        <v>0.30499999999999899</v>
      </c>
      <c r="AC1388" t="s">
        <v>85</v>
      </c>
      <c r="AI1388">
        <v>2</v>
      </c>
      <c r="AV1388" t="s">
        <v>256</v>
      </c>
    </row>
    <row r="1389" spans="1:48" x14ac:dyDescent="0.3">
      <c r="A1389" t="s">
        <v>1579</v>
      </c>
      <c r="C1389" t="s">
        <v>1495</v>
      </c>
      <c r="H1389">
        <v>10</v>
      </c>
      <c r="I1389" t="s">
        <v>82</v>
      </c>
      <c r="J1389">
        <v>9.9999999999999991E-6</v>
      </c>
      <c r="K1389" t="s">
        <v>252</v>
      </c>
      <c r="O1389">
        <v>3.7499999999999901E-2</v>
      </c>
      <c r="P1389" t="s">
        <v>59</v>
      </c>
      <c r="S1389">
        <v>1</v>
      </c>
      <c r="T1389">
        <v>10</v>
      </c>
      <c r="V1389">
        <v>50</v>
      </c>
      <c r="W1389" t="s">
        <v>1057</v>
      </c>
      <c r="X1389" t="s">
        <v>957</v>
      </c>
      <c r="Y1389">
        <v>30</v>
      </c>
      <c r="AB1389">
        <v>0.32999999999999902</v>
      </c>
      <c r="AC1389" t="s">
        <v>85</v>
      </c>
      <c r="AI1389">
        <v>2</v>
      </c>
      <c r="AV1389" t="s">
        <v>256</v>
      </c>
    </row>
    <row r="1390" spans="1:48" x14ac:dyDescent="0.3">
      <c r="A1390" t="s">
        <v>1579</v>
      </c>
      <c r="C1390" t="s">
        <v>1495</v>
      </c>
      <c r="H1390">
        <v>10</v>
      </c>
      <c r="I1390" t="s">
        <v>82</v>
      </c>
      <c r="J1390">
        <v>9.9999999999999991E-6</v>
      </c>
      <c r="K1390" t="s">
        <v>252</v>
      </c>
      <c r="O1390">
        <v>0.15</v>
      </c>
      <c r="P1390" t="s">
        <v>59</v>
      </c>
      <c r="S1390">
        <v>1</v>
      </c>
      <c r="T1390">
        <v>10</v>
      </c>
      <c r="V1390">
        <v>50</v>
      </c>
      <c r="W1390" t="s">
        <v>1057</v>
      </c>
      <c r="X1390" t="s">
        <v>957</v>
      </c>
      <c r="Y1390">
        <v>60</v>
      </c>
      <c r="AB1390">
        <v>0.32999999999999902</v>
      </c>
      <c r="AC1390" t="s">
        <v>85</v>
      </c>
      <c r="AI1390">
        <v>2</v>
      </c>
      <c r="AV1390" t="s">
        <v>256</v>
      </c>
    </row>
    <row r="1391" spans="1:48" x14ac:dyDescent="0.3">
      <c r="A1391" t="s">
        <v>1579</v>
      </c>
      <c r="B1391" t="s">
        <v>1548</v>
      </c>
      <c r="C1391" t="s">
        <v>1495</v>
      </c>
      <c r="H1391">
        <v>10</v>
      </c>
      <c r="I1391" t="s">
        <v>82</v>
      </c>
      <c r="J1391">
        <v>9.9999999999999991E-6</v>
      </c>
      <c r="K1391" t="s">
        <v>252</v>
      </c>
      <c r="O1391">
        <v>3.7499999999999901E-2</v>
      </c>
      <c r="P1391" t="s">
        <v>59</v>
      </c>
      <c r="S1391">
        <v>1</v>
      </c>
      <c r="T1391">
        <v>10</v>
      </c>
      <c r="V1391">
        <v>50</v>
      </c>
      <c r="W1391" t="s">
        <v>1549</v>
      </c>
      <c r="X1391" t="s">
        <v>957</v>
      </c>
      <c r="Y1391">
        <v>60</v>
      </c>
      <c r="AB1391">
        <v>0.35</v>
      </c>
      <c r="AC1391" t="s">
        <v>85</v>
      </c>
      <c r="AI1391">
        <v>2</v>
      </c>
      <c r="AV1391" t="s">
        <v>256</v>
      </c>
    </row>
    <row r="1392" spans="1:48" x14ac:dyDescent="0.3">
      <c r="A1392" t="s">
        <v>1579</v>
      </c>
      <c r="B1392" t="s">
        <v>1548</v>
      </c>
      <c r="C1392" t="s">
        <v>1495</v>
      </c>
      <c r="H1392">
        <v>10</v>
      </c>
      <c r="I1392" t="s">
        <v>82</v>
      </c>
      <c r="J1392">
        <v>9.9999999999999991E-6</v>
      </c>
      <c r="K1392" t="s">
        <v>252</v>
      </c>
      <c r="O1392">
        <v>3.7499999999999901E-2</v>
      </c>
      <c r="P1392" t="s">
        <v>59</v>
      </c>
      <c r="S1392">
        <v>1</v>
      </c>
      <c r="T1392">
        <v>20</v>
      </c>
      <c r="V1392">
        <v>50</v>
      </c>
      <c r="W1392" t="s">
        <v>1549</v>
      </c>
      <c r="X1392" t="s">
        <v>957</v>
      </c>
      <c r="Y1392">
        <v>30</v>
      </c>
      <c r="AB1392">
        <v>0.36</v>
      </c>
      <c r="AC1392" t="s">
        <v>85</v>
      </c>
      <c r="AI1392">
        <v>2</v>
      </c>
      <c r="AV1392" t="s">
        <v>256</v>
      </c>
    </row>
    <row r="1393" spans="1:48" x14ac:dyDescent="0.3">
      <c r="A1393" t="s">
        <v>1579</v>
      </c>
      <c r="C1393" t="s">
        <v>1495</v>
      </c>
      <c r="H1393">
        <v>10</v>
      </c>
      <c r="I1393" t="s">
        <v>82</v>
      </c>
      <c r="J1393">
        <v>9.9999999999999991E-6</v>
      </c>
      <c r="K1393" t="s">
        <v>252</v>
      </c>
      <c r="O1393">
        <v>0.22499999999999901</v>
      </c>
      <c r="P1393" t="s">
        <v>59</v>
      </c>
      <c r="S1393">
        <v>1</v>
      </c>
      <c r="T1393">
        <v>20</v>
      </c>
      <c r="V1393">
        <v>50</v>
      </c>
      <c r="W1393" t="s">
        <v>1057</v>
      </c>
      <c r="X1393" t="s">
        <v>957</v>
      </c>
      <c r="Y1393">
        <v>5</v>
      </c>
      <c r="AB1393">
        <v>0.36</v>
      </c>
      <c r="AC1393" t="s">
        <v>85</v>
      </c>
      <c r="AI1393">
        <v>2</v>
      </c>
      <c r="AV1393" t="s">
        <v>256</v>
      </c>
    </row>
    <row r="1394" spans="1:48" x14ac:dyDescent="0.3">
      <c r="A1394" t="s">
        <v>1579</v>
      </c>
      <c r="B1394" t="s">
        <v>1548</v>
      </c>
      <c r="C1394" t="s">
        <v>1495</v>
      </c>
      <c r="H1394">
        <v>10</v>
      </c>
      <c r="I1394" t="s">
        <v>82</v>
      </c>
      <c r="J1394">
        <v>9.9999999999999991E-6</v>
      </c>
      <c r="K1394" t="s">
        <v>252</v>
      </c>
      <c r="O1394">
        <v>0.15</v>
      </c>
      <c r="P1394" t="s">
        <v>59</v>
      </c>
      <c r="S1394">
        <v>1</v>
      </c>
      <c r="T1394">
        <v>10</v>
      </c>
      <c r="V1394">
        <v>50</v>
      </c>
      <c r="W1394" t="s">
        <v>1549</v>
      </c>
      <c r="X1394" t="s">
        <v>957</v>
      </c>
      <c r="Y1394">
        <v>30</v>
      </c>
      <c r="AB1394">
        <v>0.37</v>
      </c>
      <c r="AC1394" t="s">
        <v>85</v>
      </c>
      <c r="AI1394">
        <v>2</v>
      </c>
      <c r="AV1394" t="s">
        <v>256</v>
      </c>
    </row>
    <row r="1395" spans="1:48" x14ac:dyDescent="0.3">
      <c r="A1395" t="s">
        <v>1579</v>
      </c>
      <c r="B1395" t="s">
        <v>1548</v>
      </c>
      <c r="C1395" t="s">
        <v>1495</v>
      </c>
      <c r="H1395">
        <v>10</v>
      </c>
      <c r="I1395" t="s">
        <v>82</v>
      </c>
      <c r="J1395">
        <v>9.9999999999999991E-6</v>
      </c>
      <c r="K1395" t="s">
        <v>252</v>
      </c>
      <c r="O1395">
        <v>0.15</v>
      </c>
      <c r="P1395" t="s">
        <v>59</v>
      </c>
      <c r="S1395">
        <v>1</v>
      </c>
      <c r="T1395">
        <v>20</v>
      </c>
      <c r="V1395">
        <v>50</v>
      </c>
      <c r="W1395" t="s">
        <v>1549</v>
      </c>
      <c r="X1395" t="s">
        <v>957</v>
      </c>
      <c r="Y1395">
        <v>5</v>
      </c>
      <c r="AB1395">
        <v>0.375</v>
      </c>
      <c r="AC1395" t="s">
        <v>85</v>
      </c>
      <c r="AI1395">
        <v>2</v>
      </c>
      <c r="AV1395" t="s">
        <v>256</v>
      </c>
    </row>
    <row r="1396" spans="1:48" x14ac:dyDescent="0.3">
      <c r="A1396" t="s">
        <v>1579</v>
      </c>
      <c r="C1396" t="s">
        <v>1495</v>
      </c>
      <c r="H1396">
        <v>10</v>
      </c>
      <c r="I1396" t="s">
        <v>82</v>
      </c>
      <c r="J1396">
        <v>9.9999999999999991E-6</v>
      </c>
      <c r="K1396" t="s">
        <v>252</v>
      </c>
      <c r="O1396">
        <v>3.7499999999999901E-2</v>
      </c>
      <c r="P1396" t="s">
        <v>59</v>
      </c>
      <c r="S1396">
        <v>1</v>
      </c>
      <c r="T1396">
        <v>10</v>
      </c>
      <c r="V1396">
        <v>50</v>
      </c>
      <c r="W1396" t="s">
        <v>1057</v>
      </c>
      <c r="X1396" t="s">
        <v>957</v>
      </c>
      <c r="Y1396">
        <v>5</v>
      </c>
      <c r="AB1396">
        <v>0.375</v>
      </c>
      <c r="AC1396" t="s">
        <v>85</v>
      </c>
      <c r="AI1396">
        <v>2</v>
      </c>
      <c r="AV1396" t="s">
        <v>256</v>
      </c>
    </row>
    <row r="1397" spans="1:48" x14ac:dyDescent="0.3">
      <c r="A1397" t="s">
        <v>1579</v>
      </c>
      <c r="C1397" t="s">
        <v>1495</v>
      </c>
      <c r="H1397">
        <v>10</v>
      </c>
      <c r="I1397" t="s">
        <v>82</v>
      </c>
      <c r="J1397">
        <v>9.9999999999999991E-6</v>
      </c>
      <c r="K1397" t="s">
        <v>252</v>
      </c>
      <c r="O1397">
        <v>7.49999999999999E-2</v>
      </c>
      <c r="P1397" t="s">
        <v>59</v>
      </c>
      <c r="S1397">
        <v>1</v>
      </c>
      <c r="T1397">
        <v>10</v>
      </c>
      <c r="V1397">
        <v>50</v>
      </c>
      <c r="W1397" t="s">
        <v>1057</v>
      </c>
      <c r="X1397" t="s">
        <v>957</v>
      </c>
      <c r="Y1397">
        <v>30</v>
      </c>
      <c r="AB1397">
        <v>0.39500000000000002</v>
      </c>
      <c r="AC1397" t="s">
        <v>85</v>
      </c>
      <c r="AI1397">
        <v>2</v>
      </c>
      <c r="AV1397" t="s">
        <v>256</v>
      </c>
    </row>
    <row r="1398" spans="1:48" x14ac:dyDescent="0.3">
      <c r="A1398" t="s">
        <v>1579</v>
      </c>
      <c r="C1398" t="s">
        <v>1495</v>
      </c>
      <c r="H1398">
        <v>10</v>
      </c>
      <c r="I1398" t="s">
        <v>82</v>
      </c>
      <c r="J1398">
        <v>9.9999999999999991E-6</v>
      </c>
      <c r="K1398" t="s">
        <v>252</v>
      </c>
      <c r="O1398">
        <v>0.3</v>
      </c>
      <c r="P1398" t="s">
        <v>59</v>
      </c>
      <c r="S1398">
        <v>1</v>
      </c>
      <c r="T1398">
        <v>10</v>
      </c>
      <c r="V1398">
        <v>50</v>
      </c>
      <c r="W1398" t="s">
        <v>1057</v>
      </c>
      <c r="X1398" t="s">
        <v>957</v>
      </c>
      <c r="Y1398">
        <v>30</v>
      </c>
      <c r="AB1398">
        <v>0.4</v>
      </c>
      <c r="AC1398" t="s">
        <v>85</v>
      </c>
      <c r="AI1398">
        <v>2</v>
      </c>
      <c r="AV1398" t="s">
        <v>256</v>
      </c>
    </row>
    <row r="1399" spans="1:48" x14ac:dyDescent="0.3">
      <c r="A1399" t="s">
        <v>1579</v>
      </c>
      <c r="B1399" t="s">
        <v>1548</v>
      </c>
      <c r="C1399" t="s">
        <v>1495</v>
      </c>
      <c r="H1399">
        <v>10</v>
      </c>
      <c r="I1399" t="s">
        <v>82</v>
      </c>
      <c r="J1399">
        <v>9.9999999999999991E-6</v>
      </c>
      <c r="K1399" t="s">
        <v>252</v>
      </c>
      <c r="O1399">
        <v>3.7499999999999901E-2</v>
      </c>
      <c r="P1399" t="s">
        <v>59</v>
      </c>
      <c r="S1399">
        <v>1</v>
      </c>
      <c r="T1399">
        <v>15</v>
      </c>
      <c r="V1399">
        <v>50</v>
      </c>
      <c r="W1399" t="s">
        <v>1549</v>
      </c>
      <c r="X1399" t="s">
        <v>957</v>
      </c>
      <c r="Y1399">
        <v>30</v>
      </c>
      <c r="AB1399">
        <v>0.40500000000000003</v>
      </c>
      <c r="AC1399" t="s">
        <v>85</v>
      </c>
      <c r="AI1399">
        <v>2</v>
      </c>
      <c r="AV1399" t="s">
        <v>256</v>
      </c>
    </row>
    <row r="1400" spans="1:48" x14ac:dyDescent="0.3">
      <c r="A1400" t="s">
        <v>1579</v>
      </c>
      <c r="B1400" t="s">
        <v>1548</v>
      </c>
      <c r="C1400" t="s">
        <v>1495</v>
      </c>
      <c r="H1400">
        <v>10</v>
      </c>
      <c r="I1400" t="s">
        <v>82</v>
      </c>
      <c r="J1400">
        <v>9.9999999999999991E-6</v>
      </c>
      <c r="K1400" t="s">
        <v>252</v>
      </c>
      <c r="O1400">
        <v>3.7499999999999901E-2</v>
      </c>
      <c r="P1400" t="s">
        <v>59</v>
      </c>
      <c r="S1400">
        <v>1</v>
      </c>
      <c r="T1400">
        <v>10</v>
      </c>
      <c r="V1400">
        <v>50</v>
      </c>
      <c r="W1400" t="s">
        <v>1549</v>
      </c>
      <c r="X1400" t="s">
        <v>957</v>
      </c>
      <c r="Y1400">
        <v>60</v>
      </c>
      <c r="AB1400">
        <v>0.40500000000000003</v>
      </c>
      <c r="AC1400" t="s">
        <v>85</v>
      </c>
      <c r="AI1400">
        <v>2</v>
      </c>
      <c r="AV1400" t="s">
        <v>256</v>
      </c>
    </row>
    <row r="1401" spans="1:48" x14ac:dyDescent="0.3">
      <c r="A1401" t="s">
        <v>1579</v>
      </c>
      <c r="B1401" t="s">
        <v>1548</v>
      </c>
      <c r="C1401" t="s">
        <v>1495</v>
      </c>
      <c r="H1401">
        <v>10</v>
      </c>
      <c r="I1401" t="s">
        <v>82</v>
      </c>
      <c r="J1401">
        <v>9.9999999999999991E-6</v>
      </c>
      <c r="K1401" t="s">
        <v>252</v>
      </c>
      <c r="O1401">
        <v>7.49999999999999E-2</v>
      </c>
      <c r="P1401" t="s">
        <v>59</v>
      </c>
      <c r="S1401">
        <v>1</v>
      </c>
      <c r="T1401">
        <v>15</v>
      </c>
      <c r="V1401">
        <v>50</v>
      </c>
      <c r="W1401" t="s">
        <v>1549</v>
      </c>
      <c r="X1401" t="s">
        <v>957</v>
      </c>
      <c r="Y1401">
        <v>5</v>
      </c>
      <c r="AB1401">
        <v>0.40500000000000003</v>
      </c>
      <c r="AC1401" t="s">
        <v>85</v>
      </c>
      <c r="AI1401">
        <v>2</v>
      </c>
      <c r="AV1401" t="s">
        <v>256</v>
      </c>
    </row>
    <row r="1402" spans="1:48" x14ac:dyDescent="0.3">
      <c r="A1402" t="s">
        <v>1579</v>
      </c>
      <c r="C1402" t="s">
        <v>1495</v>
      </c>
      <c r="H1402">
        <v>10</v>
      </c>
      <c r="I1402" t="s">
        <v>82</v>
      </c>
      <c r="J1402">
        <v>9.9999999999999991E-6</v>
      </c>
      <c r="K1402" t="s">
        <v>252</v>
      </c>
      <c r="O1402">
        <v>0.3</v>
      </c>
      <c r="P1402" t="s">
        <v>59</v>
      </c>
      <c r="S1402">
        <v>1</v>
      </c>
      <c r="T1402">
        <v>15</v>
      </c>
      <c r="V1402">
        <v>50</v>
      </c>
      <c r="W1402" t="s">
        <v>1057</v>
      </c>
      <c r="X1402" t="s">
        <v>957</v>
      </c>
      <c r="Y1402">
        <v>5</v>
      </c>
      <c r="AB1402">
        <v>0.40500000000000003</v>
      </c>
      <c r="AC1402" t="s">
        <v>85</v>
      </c>
      <c r="AI1402">
        <v>2</v>
      </c>
      <c r="AV1402" t="s">
        <v>256</v>
      </c>
    </row>
    <row r="1403" spans="1:48" x14ac:dyDescent="0.3">
      <c r="A1403" t="s">
        <v>1579</v>
      </c>
      <c r="B1403" t="s">
        <v>1548</v>
      </c>
      <c r="C1403" t="s">
        <v>1495</v>
      </c>
      <c r="H1403">
        <v>10</v>
      </c>
      <c r="I1403" t="s">
        <v>82</v>
      </c>
      <c r="J1403">
        <v>9.9999999999999991E-6</v>
      </c>
      <c r="K1403" t="s">
        <v>252</v>
      </c>
      <c r="O1403">
        <v>0.22499999999999901</v>
      </c>
      <c r="P1403" t="s">
        <v>59</v>
      </c>
      <c r="S1403">
        <v>1</v>
      </c>
      <c r="T1403">
        <v>20</v>
      </c>
      <c r="V1403">
        <v>50</v>
      </c>
      <c r="W1403" t="s">
        <v>1549</v>
      </c>
      <c r="X1403" t="s">
        <v>957</v>
      </c>
      <c r="Y1403">
        <v>5</v>
      </c>
      <c r="AB1403">
        <v>0.41</v>
      </c>
      <c r="AC1403" t="s">
        <v>85</v>
      </c>
      <c r="AI1403">
        <v>2</v>
      </c>
      <c r="AV1403" t="s">
        <v>256</v>
      </c>
    </row>
    <row r="1404" spans="1:48" x14ac:dyDescent="0.3">
      <c r="A1404" t="s">
        <v>1579</v>
      </c>
      <c r="C1404" t="s">
        <v>1495</v>
      </c>
      <c r="H1404">
        <v>10</v>
      </c>
      <c r="I1404" t="s">
        <v>82</v>
      </c>
      <c r="J1404">
        <v>9.9999999999999991E-6</v>
      </c>
      <c r="K1404" t="s">
        <v>252</v>
      </c>
      <c r="O1404">
        <v>7.49999999999999E-2</v>
      </c>
      <c r="P1404" t="s">
        <v>59</v>
      </c>
      <c r="S1404">
        <v>1</v>
      </c>
      <c r="T1404">
        <v>15</v>
      </c>
      <c r="V1404">
        <v>50</v>
      </c>
      <c r="W1404" t="s">
        <v>1057</v>
      </c>
      <c r="X1404" t="s">
        <v>957</v>
      </c>
      <c r="Y1404">
        <v>5</v>
      </c>
      <c r="AB1404">
        <v>0.41</v>
      </c>
      <c r="AC1404" t="s">
        <v>85</v>
      </c>
      <c r="AI1404">
        <v>2</v>
      </c>
      <c r="AV1404" t="s">
        <v>256</v>
      </c>
    </row>
    <row r="1405" spans="1:48" x14ac:dyDescent="0.3">
      <c r="A1405" t="s">
        <v>1579</v>
      </c>
      <c r="C1405" t="s">
        <v>1495</v>
      </c>
      <c r="H1405">
        <v>10</v>
      </c>
      <c r="I1405" t="s">
        <v>82</v>
      </c>
      <c r="J1405">
        <v>9.9999999999999991E-6</v>
      </c>
      <c r="K1405" t="s">
        <v>252</v>
      </c>
      <c r="O1405">
        <v>0.3</v>
      </c>
      <c r="P1405" t="s">
        <v>59</v>
      </c>
      <c r="S1405">
        <v>1</v>
      </c>
      <c r="T1405">
        <v>10</v>
      </c>
      <c r="V1405">
        <v>50</v>
      </c>
      <c r="W1405" t="s">
        <v>1057</v>
      </c>
      <c r="X1405" t="s">
        <v>957</v>
      </c>
      <c r="Y1405">
        <v>5</v>
      </c>
      <c r="AB1405">
        <v>0.41499999999999998</v>
      </c>
      <c r="AC1405" t="s">
        <v>85</v>
      </c>
      <c r="AI1405">
        <v>2</v>
      </c>
      <c r="AV1405" t="s">
        <v>256</v>
      </c>
    </row>
    <row r="1406" spans="1:48" x14ac:dyDescent="0.3">
      <c r="A1406" t="s">
        <v>1579</v>
      </c>
      <c r="B1406" t="s">
        <v>1548</v>
      </c>
      <c r="C1406" t="s">
        <v>1495</v>
      </c>
      <c r="H1406">
        <v>10</v>
      </c>
      <c r="I1406" t="s">
        <v>82</v>
      </c>
      <c r="J1406">
        <v>9.9999999999999991E-6</v>
      </c>
      <c r="K1406" t="s">
        <v>252</v>
      </c>
      <c r="O1406">
        <v>7.49999999999999E-2</v>
      </c>
      <c r="P1406" t="s">
        <v>59</v>
      </c>
      <c r="S1406">
        <v>1</v>
      </c>
      <c r="T1406">
        <v>15</v>
      </c>
      <c r="V1406">
        <v>50</v>
      </c>
      <c r="W1406" t="s">
        <v>1549</v>
      </c>
      <c r="X1406" t="s">
        <v>957</v>
      </c>
      <c r="Y1406">
        <v>60</v>
      </c>
      <c r="AB1406">
        <v>0.42499999999999899</v>
      </c>
      <c r="AC1406" t="s">
        <v>85</v>
      </c>
      <c r="AI1406">
        <v>2</v>
      </c>
      <c r="AV1406" t="s">
        <v>256</v>
      </c>
    </row>
    <row r="1407" spans="1:48" x14ac:dyDescent="0.3">
      <c r="A1407" t="s">
        <v>1579</v>
      </c>
      <c r="C1407" t="s">
        <v>1495</v>
      </c>
      <c r="H1407">
        <v>10</v>
      </c>
      <c r="I1407" t="s">
        <v>82</v>
      </c>
      <c r="J1407">
        <v>9.9999999999999991E-6</v>
      </c>
      <c r="K1407" t="s">
        <v>252</v>
      </c>
      <c r="O1407">
        <v>7.49999999999999E-2</v>
      </c>
      <c r="P1407" t="s">
        <v>59</v>
      </c>
      <c r="S1407">
        <v>1</v>
      </c>
      <c r="T1407">
        <v>20</v>
      </c>
      <c r="V1407">
        <v>50</v>
      </c>
      <c r="W1407" t="s">
        <v>1057</v>
      </c>
      <c r="X1407" t="s">
        <v>957</v>
      </c>
      <c r="Y1407">
        <v>5</v>
      </c>
      <c r="AB1407">
        <v>0.435</v>
      </c>
      <c r="AC1407" t="s">
        <v>85</v>
      </c>
      <c r="AI1407">
        <v>2</v>
      </c>
      <c r="AV1407" t="s">
        <v>256</v>
      </c>
    </row>
    <row r="1408" spans="1:48" x14ac:dyDescent="0.3">
      <c r="A1408" t="s">
        <v>1579</v>
      </c>
      <c r="C1408" t="s">
        <v>1495</v>
      </c>
      <c r="H1408">
        <v>10</v>
      </c>
      <c r="I1408" t="s">
        <v>82</v>
      </c>
      <c r="J1408">
        <v>9.9999999999999991E-6</v>
      </c>
      <c r="K1408" t="s">
        <v>252</v>
      </c>
      <c r="O1408">
        <v>0.22499999999999901</v>
      </c>
      <c r="P1408" t="s">
        <v>59</v>
      </c>
      <c r="S1408">
        <v>1</v>
      </c>
      <c r="T1408">
        <v>10</v>
      </c>
      <c r="V1408">
        <v>50</v>
      </c>
      <c r="W1408" t="s">
        <v>1057</v>
      </c>
      <c r="X1408" t="s">
        <v>957</v>
      </c>
      <c r="Y1408">
        <v>5</v>
      </c>
      <c r="AB1408">
        <v>0.44</v>
      </c>
      <c r="AC1408" t="s">
        <v>85</v>
      </c>
      <c r="AI1408">
        <v>2</v>
      </c>
      <c r="AV1408" t="s">
        <v>256</v>
      </c>
    </row>
    <row r="1409" spans="1:48" x14ac:dyDescent="0.3">
      <c r="A1409" t="s">
        <v>1579</v>
      </c>
      <c r="B1409" t="s">
        <v>1548</v>
      </c>
      <c r="C1409" t="s">
        <v>1495</v>
      </c>
      <c r="H1409">
        <v>10</v>
      </c>
      <c r="I1409" t="s">
        <v>82</v>
      </c>
      <c r="J1409">
        <v>9.9999999999999991E-6</v>
      </c>
      <c r="K1409" t="s">
        <v>252</v>
      </c>
      <c r="O1409">
        <v>0.15</v>
      </c>
      <c r="P1409" t="s">
        <v>59</v>
      </c>
      <c r="S1409">
        <v>1</v>
      </c>
      <c r="T1409">
        <v>15</v>
      </c>
      <c r="V1409">
        <v>50</v>
      </c>
      <c r="W1409" t="s">
        <v>1549</v>
      </c>
      <c r="X1409" t="s">
        <v>957</v>
      </c>
      <c r="Y1409">
        <v>30</v>
      </c>
      <c r="AB1409">
        <v>0.45</v>
      </c>
      <c r="AC1409" t="s">
        <v>85</v>
      </c>
      <c r="AI1409">
        <v>2</v>
      </c>
      <c r="AV1409" t="s">
        <v>256</v>
      </c>
    </row>
    <row r="1410" spans="1:48" x14ac:dyDescent="0.3">
      <c r="A1410" t="s">
        <v>1579</v>
      </c>
      <c r="C1410" t="s">
        <v>1495</v>
      </c>
      <c r="H1410">
        <v>10</v>
      </c>
      <c r="I1410" t="s">
        <v>82</v>
      </c>
      <c r="J1410">
        <v>9.9999999999999991E-6</v>
      </c>
      <c r="K1410" t="s">
        <v>252</v>
      </c>
      <c r="O1410">
        <v>0.15</v>
      </c>
      <c r="P1410" t="s">
        <v>59</v>
      </c>
      <c r="S1410">
        <v>1</v>
      </c>
      <c r="T1410">
        <v>15</v>
      </c>
      <c r="V1410">
        <v>50</v>
      </c>
      <c r="W1410" t="s">
        <v>1057</v>
      </c>
      <c r="X1410" t="s">
        <v>957</v>
      </c>
      <c r="Y1410">
        <v>30</v>
      </c>
      <c r="AB1410">
        <v>0.45</v>
      </c>
      <c r="AC1410" t="s">
        <v>85</v>
      </c>
      <c r="AI1410">
        <v>2</v>
      </c>
      <c r="AV1410" t="s">
        <v>256</v>
      </c>
    </row>
    <row r="1411" spans="1:48" x14ac:dyDescent="0.3">
      <c r="A1411" t="s">
        <v>1579</v>
      </c>
      <c r="B1411" t="s">
        <v>1548</v>
      </c>
      <c r="C1411" t="s">
        <v>1495</v>
      </c>
      <c r="H1411">
        <v>10</v>
      </c>
      <c r="I1411" t="s">
        <v>82</v>
      </c>
      <c r="J1411">
        <v>9.9999999999999991E-6</v>
      </c>
      <c r="K1411" t="s">
        <v>252</v>
      </c>
      <c r="O1411">
        <v>0.15</v>
      </c>
      <c r="P1411" t="s">
        <v>59</v>
      </c>
      <c r="S1411">
        <v>1</v>
      </c>
      <c r="T1411">
        <v>10</v>
      </c>
      <c r="V1411">
        <v>50</v>
      </c>
      <c r="W1411" t="s">
        <v>1549</v>
      </c>
      <c r="X1411" t="s">
        <v>957</v>
      </c>
      <c r="Y1411">
        <v>60</v>
      </c>
      <c r="AB1411">
        <v>0.45500000000000002</v>
      </c>
      <c r="AC1411" t="s">
        <v>85</v>
      </c>
      <c r="AI1411">
        <v>2</v>
      </c>
      <c r="AV1411" t="s">
        <v>256</v>
      </c>
    </row>
    <row r="1412" spans="1:48" x14ac:dyDescent="0.3">
      <c r="A1412" t="s">
        <v>1579</v>
      </c>
      <c r="C1412" t="s">
        <v>1495</v>
      </c>
      <c r="H1412">
        <v>10</v>
      </c>
      <c r="I1412" t="s">
        <v>82</v>
      </c>
      <c r="J1412">
        <v>9.9999999999999991E-6</v>
      </c>
      <c r="K1412" t="s">
        <v>252</v>
      </c>
      <c r="O1412">
        <v>0.15</v>
      </c>
      <c r="P1412" t="s">
        <v>59</v>
      </c>
      <c r="S1412">
        <v>1</v>
      </c>
      <c r="T1412">
        <v>10</v>
      </c>
      <c r="V1412">
        <v>50</v>
      </c>
      <c r="W1412" t="s">
        <v>1057</v>
      </c>
      <c r="X1412" t="s">
        <v>957</v>
      </c>
      <c r="Y1412">
        <v>5</v>
      </c>
      <c r="AB1412">
        <v>0.47</v>
      </c>
      <c r="AC1412" t="s">
        <v>85</v>
      </c>
      <c r="AI1412">
        <v>2</v>
      </c>
      <c r="AV1412" t="s">
        <v>256</v>
      </c>
    </row>
    <row r="1413" spans="1:48" x14ac:dyDescent="0.3">
      <c r="A1413" t="s">
        <v>1579</v>
      </c>
      <c r="B1413" t="s">
        <v>1548</v>
      </c>
      <c r="C1413" t="s">
        <v>1495</v>
      </c>
      <c r="H1413">
        <v>10</v>
      </c>
      <c r="I1413" t="s">
        <v>82</v>
      </c>
      <c r="J1413">
        <v>9.9999999999999991E-6</v>
      </c>
      <c r="K1413" t="s">
        <v>252</v>
      </c>
      <c r="O1413">
        <v>3.7499999999999901E-2</v>
      </c>
      <c r="P1413" t="s">
        <v>59</v>
      </c>
      <c r="S1413">
        <v>1</v>
      </c>
      <c r="T1413">
        <v>20</v>
      </c>
      <c r="V1413">
        <v>50</v>
      </c>
      <c r="W1413" t="s">
        <v>1549</v>
      </c>
      <c r="X1413" t="s">
        <v>957</v>
      </c>
      <c r="Y1413">
        <v>60</v>
      </c>
      <c r="AB1413">
        <v>0.47</v>
      </c>
      <c r="AC1413" t="s">
        <v>85</v>
      </c>
      <c r="AI1413">
        <v>2</v>
      </c>
      <c r="AV1413" t="s">
        <v>256</v>
      </c>
    </row>
    <row r="1414" spans="1:48" x14ac:dyDescent="0.3">
      <c r="A1414" t="s">
        <v>1579</v>
      </c>
      <c r="C1414" t="s">
        <v>1495</v>
      </c>
      <c r="H1414">
        <v>10</v>
      </c>
      <c r="I1414" t="s">
        <v>82</v>
      </c>
      <c r="J1414">
        <v>9.9999999999999991E-6</v>
      </c>
      <c r="K1414" t="s">
        <v>252</v>
      </c>
      <c r="O1414">
        <v>7.49999999999999E-2</v>
      </c>
      <c r="P1414" t="s">
        <v>59</v>
      </c>
      <c r="S1414">
        <v>1</v>
      </c>
      <c r="T1414">
        <v>20</v>
      </c>
      <c r="V1414">
        <v>50</v>
      </c>
      <c r="W1414" t="s">
        <v>1057</v>
      </c>
      <c r="X1414" t="s">
        <v>957</v>
      </c>
      <c r="Y1414">
        <v>30</v>
      </c>
      <c r="AB1414">
        <v>0.47</v>
      </c>
      <c r="AC1414" t="s">
        <v>85</v>
      </c>
      <c r="AI1414">
        <v>2</v>
      </c>
      <c r="AV1414" t="s">
        <v>256</v>
      </c>
    </row>
    <row r="1415" spans="1:48" x14ac:dyDescent="0.3">
      <c r="A1415" t="s">
        <v>1579</v>
      </c>
      <c r="B1415" t="s">
        <v>1548</v>
      </c>
      <c r="C1415" t="s">
        <v>1495</v>
      </c>
      <c r="H1415">
        <v>10</v>
      </c>
      <c r="I1415" t="s">
        <v>82</v>
      </c>
      <c r="J1415">
        <v>9.9999999999999991E-6</v>
      </c>
      <c r="K1415" t="s">
        <v>252</v>
      </c>
      <c r="O1415">
        <v>3.7499999999999901E-2</v>
      </c>
      <c r="P1415" t="s">
        <v>59</v>
      </c>
      <c r="S1415">
        <v>1</v>
      </c>
      <c r="T1415">
        <v>10</v>
      </c>
      <c r="V1415">
        <v>50</v>
      </c>
      <c r="W1415" t="s">
        <v>1549</v>
      </c>
      <c r="X1415" t="s">
        <v>957</v>
      </c>
      <c r="Y1415">
        <v>5</v>
      </c>
      <c r="AB1415">
        <v>0.48499999999999899</v>
      </c>
      <c r="AC1415" t="s">
        <v>85</v>
      </c>
      <c r="AI1415">
        <v>2</v>
      </c>
      <c r="AV1415" t="s">
        <v>256</v>
      </c>
    </row>
    <row r="1416" spans="1:48" x14ac:dyDescent="0.3">
      <c r="A1416" t="s">
        <v>1579</v>
      </c>
      <c r="B1416" t="s">
        <v>1548</v>
      </c>
      <c r="C1416" t="s">
        <v>1495</v>
      </c>
      <c r="H1416">
        <v>10</v>
      </c>
      <c r="I1416" t="s">
        <v>82</v>
      </c>
      <c r="J1416">
        <v>9.9999999999999991E-6</v>
      </c>
      <c r="K1416" t="s">
        <v>252</v>
      </c>
      <c r="O1416">
        <v>3.7499999999999901E-2</v>
      </c>
      <c r="P1416" t="s">
        <v>59</v>
      </c>
      <c r="S1416">
        <v>1</v>
      </c>
      <c r="T1416">
        <v>20</v>
      </c>
      <c r="V1416">
        <v>50</v>
      </c>
      <c r="W1416" t="s">
        <v>1549</v>
      </c>
      <c r="X1416" t="s">
        <v>957</v>
      </c>
      <c r="Y1416">
        <v>30</v>
      </c>
      <c r="AB1416">
        <v>0.49</v>
      </c>
      <c r="AC1416" t="s">
        <v>85</v>
      </c>
      <c r="AI1416">
        <v>2</v>
      </c>
      <c r="AV1416" t="s">
        <v>256</v>
      </c>
    </row>
    <row r="1417" spans="1:48" x14ac:dyDescent="0.3">
      <c r="A1417" t="s">
        <v>1579</v>
      </c>
      <c r="C1417" t="s">
        <v>1495</v>
      </c>
      <c r="H1417">
        <v>10</v>
      </c>
      <c r="I1417" t="s">
        <v>82</v>
      </c>
      <c r="J1417">
        <v>9.9999999999999991E-6</v>
      </c>
      <c r="K1417" t="s">
        <v>252</v>
      </c>
      <c r="O1417">
        <v>0.22499999999999901</v>
      </c>
      <c r="P1417" t="s">
        <v>59</v>
      </c>
      <c r="S1417">
        <v>1</v>
      </c>
      <c r="T1417">
        <v>10</v>
      </c>
      <c r="V1417">
        <v>50</v>
      </c>
      <c r="W1417" t="s">
        <v>1057</v>
      </c>
      <c r="X1417" t="s">
        <v>957</v>
      </c>
      <c r="Y1417">
        <v>60</v>
      </c>
      <c r="AB1417">
        <v>0.49</v>
      </c>
      <c r="AC1417" t="s">
        <v>85</v>
      </c>
      <c r="AI1417">
        <v>2</v>
      </c>
      <c r="AV1417" t="s">
        <v>256</v>
      </c>
    </row>
    <row r="1418" spans="1:48" x14ac:dyDescent="0.3">
      <c r="A1418" t="s">
        <v>1579</v>
      </c>
      <c r="C1418" t="s">
        <v>1495</v>
      </c>
      <c r="H1418">
        <v>10</v>
      </c>
      <c r="I1418" t="s">
        <v>82</v>
      </c>
      <c r="J1418">
        <v>9.9999999999999991E-6</v>
      </c>
      <c r="K1418" t="s">
        <v>252</v>
      </c>
      <c r="O1418">
        <v>3.7499999999999901E-2</v>
      </c>
      <c r="P1418" t="s">
        <v>59</v>
      </c>
      <c r="S1418">
        <v>1</v>
      </c>
      <c r="T1418">
        <v>10</v>
      </c>
      <c r="V1418">
        <v>50</v>
      </c>
      <c r="W1418" t="s">
        <v>1057</v>
      </c>
      <c r="X1418" t="s">
        <v>957</v>
      </c>
      <c r="Y1418">
        <v>30</v>
      </c>
      <c r="AB1418">
        <v>0.5</v>
      </c>
      <c r="AC1418" t="s">
        <v>85</v>
      </c>
      <c r="AI1418">
        <v>2</v>
      </c>
      <c r="AV1418" t="s">
        <v>256</v>
      </c>
    </row>
    <row r="1419" spans="1:48" x14ac:dyDescent="0.3">
      <c r="A1419" t="s">
        <v>1579</v>
      </c>
      <c r="B1419" t="s">
        <v>1548</v>
      </c>
      <c r="C1419" t="s">
        <v>1495</v>
      </c>
      <c r="H1419">
        <v>10</v>
      </c>
      <c r="I1419" t="s">
        <v>82</v>
      </c>
      <c r="J1419">
        <v>9.9999999999999991E-6</v>
      </c>
      <c r="K1419" t="s">
        <v>252</v>
      </c>
      <c r="O1419">
        <v>7.49999999999999E-2</v>
      </c>
      <c r="P1419" t="s">
        <v>59</v>
      </c>
      <c r="S1419">
        <v>1</v>
      </c>
      <c r="T1419">
        <v>20</v>
      </c>
      <c r="V1419">
        <v>50</v>
      </c>
      <c r="W1419" t="s">
        <v>1549</v>
      </c>
      <c r="X1419" t="s">
        <v>957</v>
      </c>
      <c r="Y1419">
        <v>5</v>
      </c>
      <c r="AB1419">
        <v>0.5</v>
      </c>
      <c r="AC1419" t="s">
        <v>85</v>
      </c>
      <c r="AI1419">
        <v>2</v>
      </c>
      <c r="AV1419" t="s">
        <v>256</v>
      </c>
    </row>
    <row r="1420" spans="1:48" x14ac:dyDescent="0.3">
      <c r="A1420" t="s">
        <v>1579</v>
      </c>
      <c r="C1420" t="s">
        <v>1495</v>
      </c>
      <c r="H1420">
        <v>10</v>
      </c>
      <c r="I1420" t="s">
        <v>82</v>
      </c>
      <c r="J1420">
        <v>9.9999999999999991E-6</v>
      </c>
      <c r="K1420" t="s">
        <v>252</v>
      </c>
      <c r="O1420">
        <v>3.7499999999999901E-2</v>
      </c>
      <c r="P1420" t="s">
        <v>59</v>
      </c>
      <c r="S1420">
        <v>1</v>
      </c>
      <c r="T1420">
        <v>15</v>
      </c>
      <c r="V1420">
        <v>50</v>
      </c>
      <c r="W1420" t="s">
        <v>1057</v>
      </c>
      <c r="X1420" t="s">
        <v>957</v>
      </c>
      <c r="Y1420">
        <v>30</v>
      </c>
      <c r="AB1420">
        <v>0.505</v>
      </c>
      <c r="AC1420" t="s">
        <v>85</v>
      </c>
      <c r="AI1420">
        <v>2</v>
      </c>
      <c r="AV1420" t="s">
        <v>256</v>
      </c>
    </row>
    <row r="1421" spans="1:48" x14ac:dyDescent="0.3">
      <c r="A1421" t="s">
        <v>1579</v>
      </c>
      <c r="C1421" t="s">
        <v>1495</v>
      </c>
      <c r="H1421">
        <v>10</v>
      </c>
      <c r="I1421" t="s">
        <v>82</v>
      </c>
      <c r="J1421">
        <v>9.9999999999999991E-6</v>
      </c>
      <c r="K1421" t="s">
        <v>252</v>
      </c>
      <c r="O1421">
        <v>0.22499999999999901</v>
      </c>
      <c r="P1421" t="s">
        <v>59</v>
      </c>
      <c r="S1421">
        <v>1</v>
      </c>
      <c r="T1421">
        <v>15</v>
      </c>
      <c r="V1421">
        <v>50</v>
      </c>
      <c r="W1421" t="s">
        <v>1057</v>
      </c>
      <c r="X1421" t="s">
        <v>957</v>
      </c>
      <c r="Y1421">
        <v>30</v>
      </c>
      <c r="AB1421">
        <v>0.51</v>
      </c>
      <c r="AC1421" t="s">
        <v>85</v>
      </c>
      <c r="AI1421">
        <v>2</v>
      </c>
      <c r="AV1421" t="s">
        <v>256</v>
      </c>
    </row>
    <row r="1422" spans="1:48" x14ac:dyDescent="0.3">
      <c r="A1422" t="s">
        <v>1579</v>
      </c>
      <c r="C1422" t="s">
        <v>1495</v>
      </c>
      <c r="H1422">
        <v>10</v>
      </c>
      <c r="I1422" t="s">
        <v>82</v>
      </c>
      <c r="J1422">
        <v>9.9999999999999991E-6</v>
      </c>
      <c r="K1422" t="s">
        <v>252</v>
      </c>
      <c r="O1422">
        <v>3.7499999999999901E-2</v>
      </c>
      <c r="P1422" t="s">
        <v>59</v>
      </c>
      <c r="S1422">
        <v>1</v>
      </c>
      <c r="T1422">
        <v>20</v>
      </c>
      <c r="V1422">
        <v>50</v>
      </c>
      <c r="W1422" t="s">
        <v>1057</v>
      </c>
      <c r="X1422" t="s">
        <v>957</v>
      </c>
      <c r="Y1422">
        <v>5</v>
      </c>
      <c r="AB1422">
        <v>0.51500000000000001</v>
      </c>
      <c r="AC1422" t="s">
        <v>85</v>
      </c>
      <c r="AI1422">
        <v>2</v>
      </c>
      <c r="AV1422" t="s">
        <v>256</v>
      </c>
    </row>
    <row r="1423" spans="1:48" x14ac:dyDescent="0.3">
      <c r="A1423" t="s">
        <v>1579</v>
      </c>
      <c r="B1423" t="s">
        <v>1548</v>
      </c>
      <c r="C1423" t="s">
        <v>1495</v>
      </c>
      <c r="H1423">
        <v>10</v>
      </c>
      <c r="I1423" t="s">
        <v>82</v>
      </c>
      <c r="J1423">
        <v>9.9999999999999991E-6</v>
      </c>
      <c r="K1423" t="s">
        <v>252</v>
      </c>
      <c r="O1423">
        <v>3.7499999999999901E-2</v>
      </c>
      <c r="P1423" t="s">
        <v>59</v>
      </c>
      <c r="S1423">
        <v>1</v>
      </c>
      <c r="T1423">
        <v>15</v>
      </c>
      <c r="V1423">
        <v>50</v>
      </c>
      <c r="W1423" t="s">
        <v>1549</v>
      </c>
      <c r="X1423" t="s">
        <v>957</v>
      </c>
      <c r="Y1423">
        <v>5</v>
      </c>
      <c r="AB1423">
        <v>0.51500000000000001</v>
      </c>
      <c r="AC1423" t="s">
        <v>85</v>
      </c>
      <c r="AI1423">
        <v>2</v>
      </c>
      <c r="AV1423" t="s">
        <v>256</v>
      </c>
    </row>
    <row r="1424" spans="1:48" x14ac:dyDescent="0.3">
      <c r="A1424" t="s">
        <v>1579</v>
      </c>
      <c r="C1424" t="s">
        <v>1495</v>
      </c>
      <c r="H1424">
        <v>10</v>
      </c>
      <c r="I1424" t="s">
        <v>82</v>
      </c>
      <c r="J1424">
        <v>9.9999999999999991E-6</v>
      </c>
      <c r="K1424" t="s">
        <v>252</v>
      </c>
      <c r="O1424">
        <v>7.49999999999999E-2</v>
      </c>
      <c r="P1424" t="s">
        <v>59</v>
      </c>
      <c r="S1424">
        <v>1</v>
      </c>
      <c r="T1424">
        <v>10</v>
      </c>
      <c r="V1424">
        <v>50</v>
      </c>
      <c r="W1424" t="s">
        <v>1057</v>
      </c>
      <c r="X1424" t="s">
        <v>957</v>
      </c>
      <c r="Y1424">
        <v>5</v>
      </c>
      <c r="AB1424">
        <v>0.52</v>
      </c>
      <c r="AC1424" t="s">
        <v>85</v>
      </c>
      <c r="AI1424">
        <v>2</v>
      </c>
      <c r="AV1424" t="s">
        <v>256</v>
      </c>
    </row>
    <row r="1425" spans="1:48" x14ac:dyDescent="0.3">
      <c r="A1425" t="s">
        <v>1579</v>
      </c>
      <c r="C1425" t="s">
        <v>1495</v>
      </c>
      <c r="H1425">
        <v>10</v>
      </c>
      <c r="I1425" t="s">
        <v>82</v>
      </c>
      <c r="J1425">
        <v>9.9999999999999991E-6</v>
      </c>
      <c r="K1425" t="s">
        <v>252</v>
      </c>
      <c r="O1425">
        <v>3.7499999999999901E-2</v>
      </c>
      <c r="P1425" t="s">
        <v>59</v>
      </c>
      <c r="S1425">
        <v>1</v>
      </c>
      <c r="T1425">
        <v>10</v>
      </c>
      <c r="V1425">
        <v>50</v>
      </c>
      <c r="W1425" t="s">
        <v>1057</v>
      </c>
      <c r="X1425" t="s">
        <v>957</v>
      </c>
      <c r="Y1425">
        <v>60</v>
      </c>
      <c r="AB1425">
        <v>0.53500000000000003</v>
      </c>
      <c r="AC1425" t="s">
        <v>85</v>
      </c>
      <c r="AI1425">
        <v>2</v>
      </c>
      <c r="AV1425" t="s">
        <v>256</v>
      </c>
    </row>
    <row r="1426" spans="1:48" x14ac:dyDescent="0.3">
      <c r="A1426" t="s">
        <v>1579</v>
      </c>
      <c r="C1426" t="s">
        <v>1495</v>
      </c>
      <c r="H1426">
        <v>10</v>
      </c>
      <c r="I1426" t="s">
        <v>82</v>
      </c>
      <c r="J1426">
        <v>9.9999999999999991E-6</v>
      </c>
      <c r="K1426" t="s">
        <v>252</v>
      </c>
      <c r="O1426">
        <v>0.3</v>
      </c>
      <c r="P1426" t="s">
        <v>59</v>
      </c>
      <c r="S1426">
        <v>1</v>
      </c>
      <c r="T1426">
        <v>20</v>
      </c>
      <c r="V1426">
        <v>50</v>
      </c>
      <c r="W1426" t="s">
        <v>1057</v>
      </c>
      <c r="X1426" t="s">
        <v>957</v>
      </c>
      <c r="Y1426">
        <v>5</v>
      </c>
      <c r="AB1426">
        <v>0.53500000000000003</v>
      </c>
      <c r="AC1426" t="s">
        <v>85</v>
      </c>
      <c r="AI1426">
        <v>2</v>
      </c>
      <c r="AV1426" t="s">
        <v>256</v>
      </c>
    </row>
    <row r="1427" spans="1:48" x14ac:dyDescent="0.3">
      <c r="A1427" t="s">
        <v>1579</v>
      </c>
      <c r="B1427" t="s">
        <v>1548</v>
      </c>
      <c r="C1427" t="s">
        <v>1495</v>
      </c>
      <c r="H1427">
        <v>10</v>
      </c>
      <c r="I1427" t="s">
        <v>82</v>
      </c>
      <c r="J1427">
        <v>9.9999999999999991E-6</v>
      </c>
      <c r="K1427" t="s">
        <v>252</v>
      </c>
      <c r="O1427">
        <v>7.49999999999999E-2</v>
      </c>
      <c r="P1427" t="s">
        <v>59</v>
      </c>
      <c r="S1427">
        <v>1</v>
      </c>
      <c r="T1427">
        <v>10</v>
      </c>
      <c r="V1427">
        <v>50</v>
      </c>
      <c r="W1427" t="s">
        <v>1549</v>
      </c>
      <c r="X1427" t="s">
        <v>957</v>
      </c>
      <c r="Y1427">
        <v>30</v>
      </c>
      <c r="AB1427">
        <v>0.54500000000000004</v>
      </c>
      <c r="AC1427" t="s">
        <v>85</v>
      </c>
      <c r="AI1427">
        <v>2</v>
      </c>
      <c r="AV1427" t="s">
        <v>256</v>
      </c>
    </row>
    <row r="1428" spans="1:48" x14ac:dyDescent="0.3">
      <c r="A1428" t="s">
        <v>1579</v>
      </c>
      <c r="C1428" t="s">
        <v>1495</v>
      </c>
      <c r="H1428">
        <v>10</v>
      </c>
      <c r="I1428" t="s">
        <v>82</v>
      </c>
      <c r="J1428">
        <v>9.9999999999999991E-6</v>
      </c>
      <c r="K1428" t="s">
        <v>252</v>
      </c>
      <c r="O1428">
        <v>0.15</v>
      </c>
      <c r="P1428" t="s">
        <v>59</v>
      </c>
      <c r="S1428">
        <v>1</v>
      </c>
      <c r="T1428">
        <v>15</v>
      </c>
      <c r="V1428">
        <v>50</v>
      </c>
      <c r="W1428" t="s">
        <v>1057</v>
      </c>
      <c r="X1428" t="s">
        <v>957</v>
      </c>
      <c r="Y1428">
        <v>5</v>
      </c>
      <c r="AB1428">
        <v>0.55000000000000004</v>
      </c>
      <c r="AC1428" t="s">
        <v>85</v>
      </c>
      <c r="AI1428">
        <v>2</v>
      </c>
      <c r="AV1428" t="s">
        <v>256</v>
      </c>
    </row>
    <row r="1429" spans="1:48" x14ac:dyDescent="0.3">
      <c r="A1429" t="s">
        <v>1579</v>
      </c>
      <c r="B1429" t="s">
        <v>1548</v>
      </c>
      <c r="C1429" t="s">
        <v>1495</v>
      </c>
      <c r="H1429">
        <v>10</v>
      </c>
      <c r="I1429" t="s">
        <v>82</v>
      </c>
      <c r="J1429">
        <v>9.9999999999999991E-6</v>
      </c>
      <c r="K1429" t="s">
        <v>252</v>
      </c>
      <c r="O1429">
        <v>0.22499999999999901</v>
      </c>
      <c r="P1429" t="s">
        <v>59</v>
      </c>
      <c r="S1429">
        <v>1</v>
      </c>
      <c r="T1429">
        <v>10</v>
      </c>
      <c r="V1429">
        <v>50</v>
      </c>
      <c r="W1429" t="s">
        <v>1549</v>
      </c>
      <c r="X1429" t="s">
        <v>957</v>
      </c>
      <c r="Y1429">
        <v>5</v>
      </c>
      <c r="AB1429">
        <v>0.56000000000000005</v>
      </c>
      <c r="AC1429" t="s">
        <v>85</v>
      </c>
      <c r="AI1429">
        <v>2</v>
      </c>
      <c r="AV1429" t="s">
        <v>256</v>
      </c>
    </row>
    <row r="1430" spans="1:48" x14ac:dyDescent="0.3">
      <c r="A1430" t="s">
        <v>1579</v>
      </c>
      <c r="B1430" t="s">
        <v>1548</v>
      </c>
      <c r="C1430" t="s">
        <v>1495</v>
      </c>
      <c r="H1430">
        <v>10</v>
      </c>
      <c r="I1430" t="s">
        <v>82</v>
      </c>
      <c r="J1430">
        <v>9.9999999999999991E-6</v>
      </c>
      <c r="K1430" t="s">
        <v>252</v>
      </c>
      <c r="O1430">
        <v>3.7499999999999901E-2</v>
      </c>
      <c r="P1430" t="s">
        <v>59</v>
      </c>
      <c r="S1430">
        <v>1</v>
      </c>
      <c r="T1430">
        <v>15</v>
      </c>
      <c r="V1430">
        <v>50</v>
      </c>
      <c r="W1430" t="s">
        <v>1549</v>
      </c>
      <c r="X1430" t="s">
        <v>957</v>
      </c>
      <c r="Y1430">
        <v>60</v>
      </c>
      <c r="AB1430">
        <v>0.57499999999999896</v>
      </c>
      <c r="AC1430" t="s">
        <v>85</v>
      </c>
      <c r="AI1430">
        <v>2</v>
      </c>
      <c r="AV1430" t="s">
        <v>256</v>
      </c>
    </row>
    <row r="1431" spans="1:48" x14ac:dyDescent="0.3">
      <c r="A1431" t="s">
        <v>1579</v>
      </c>
      <c r="C1431" t="s">
        <v>1495</v>
      </c>
      <c r="H1431">
        <v>10</v>
      </c>
      <c r="I1431" t="s">
        <v>82</v>
      </c>
      <c r="J1431">
        <v>9.9999999999999991E-6</v>
      </c>
      <c r="K1431" t="s">
        <v>252</v>
      </c>
      <c r="O1431">
        <v>3.7499999999999901E-2</v>
      </c>
      <c r="P1431" t="s">
        <v>59</v>
      </c>
      <c r="S1431">
        <v>1</v>
      </c>
      <c r="T1431">
        <v>10</v>
      </c>
      <c r="V1431">
        <v>50</v>
      </c>
      <c r="W1431" t="s">
        <v>1057</v>
      </c>
      <c r="X1431" t="s">
        <v>957</v>
      </c>
      <c r="Y1431">
        <v>30</v>
      </c>
      <c r="AB1431">
        <v>0.57499999999999896</v>
      </c>
      <c r="AC1431" t="s">
        <v>85</v>
      </c>
      <c r="AI1431">
        <v>2</v>
      </c>
      <c r="AV1431" t="s">
        <v>256</v>
      </c>
    </row>
    <row r="1432" spans="1:48" x14ac:dyDescent="0.3">
      <c r="A1432" t="s">
        <v>1579</v>
      </c>
      <c r="B1432" t="s">
        <v>1548</v>
      </c>
      <c r="C1432" t="s">
        <v>1495</v>
      </c>
      <c r="H1432">
        <v>10</v>
      </c>
      <c r="I1432" t="s">
        <v>82</v>
      </c>
      <c r="J1432">
        <v>9.9999999999999991E-6</v>
      </c>
      <c r="K1432" t="s">
        <v>252</v>
      </c>
      <c r="O1432">
        <v>0.3</v>
      </c>
      <c r="P1432" t="s">
        <v>59</v>
      </c>
      <c r="S1432">
        <v>1</v>
      </c>
      <c r="T1432">
        <v>20</v>
      </c>
      <c r="V1432">
        <v>50</v>
      </c>
      <c r="W1432" t="s">
        <v>1549</v>
      </c>
      <c r="X1432" t="s">
        <v>957</v>
      </c>
      <c r="Y1432">
        <v>5</v>
      </c>
      <c r="AB1432">
        <v>0.57999999999999996</v>
      </c>
      <c r="AC1432" t="s">
        <v>85</v>
      </c>
      <c r="AI1432">
        <v>2</v>
      </c>
      <c r="AV1432" t="s">
        <v>256</v>
      </c>
    </row>
    <row r="1433" spans="1:48" x14ac:dyDescent="0.3">
      <c r="A1433" t="s">
        <v>1579</v>
      </c>
      <c r="C1433" t="s">
        <v>1495</v>
      </c>
      <c r="H1433">
        <v>10</v>
      </c>
      <c r="I1433" t="s">
        <v>82</v>
      </c>
      <c r="J1433">
        <v>9.9999999999999991E-6</v>
      </c>
      <c r="K1433" t="s">
        <v>252</v>
      </c>
      <c r="O1433">
        <v>3.7499999999999901E-2</v>
      </c>
      <c r="P1433" t="s">
        <v>59</v>
      </c>
      <c r="S1433">
        <v>1</v>
      </c>
      <c r="T1433">
        <v>20</v>
      </c>
      <c r="V1433">
        <v>50</v>
      </c>
      <c r="W1433" t="s">
        <v>1057</v>
      </c>
      <c r="X1433" t="s">
        <v>957</v>
      </c>
      <c r="Y1433">
        <v>30</v>
      </c>
      <c r="AB1433">
        <v>0.58499999999999897</v>
      </c>
      <c r="AC1433" t="s">
        <v>85</v>
      </c>
      <c r="AI1433">
        <v>2</v>
      </c>
      <c r="AV1433" t="s">
        <v>256</v>
      </c>
    </row>
    <row r="1434" spans="1:48" x14ac:dyDescent="0.3">
      <c r="A1434" t="s">
        <v>1579</v>
      </c>
      <c r="C1434" t="s">
        <v>1495</v>
      </c>
      <c r="H1434">
        <v>10</v>
      </c>
      <c r="I1434" t="s">
        <v>82</v>
      </c>
      <c r="J1434">
        <v>9.9999999999999991E-6</v>
      </c>
      <c r="K1434" t="s">
        <v>252</v>
      </c>
      <c r="O1434">
        <v>0.22499999999999901</v>
      </c>
      <c r="P1434" t="s">
        <v>59</v>
      </c>
      <c r="S1434">
        <v>1</v>
      </c>
      <c r="T1434">
        <v>15</v>
      </c>
      <c r="V1434">
        <v>50</v>
      </c>
      <c r="W1434" t="s">
        <v>1057</v>
      </c>
      <c r="X1434" t="s">
        <v>957</v>
      </c>
      <c r="Y1434">
        <v>5</v>
      </c>
      <c r="AB1434">
        <v>0.59</v>
      </c>
      <c r="AC1434" t="s">
        <v>85</v>
      </c>
      <c r="AI1434">
        <v>2</v>
      </c>
      <c r="AV1434" t="s">
        <v>256</v>
      </c>
    </row>
    <row r="1435" spans="1:48" x14ac:dyDescent="0.3">
      <c r="A1435" t="s">
        <v>1579</v>
      </c>
      <c r="C1435" t="s">
        <v>1495</v>
      </c>
      <c r="H1435">
        <v>10</v>
      </c>
      <c r="I1435" t="s">
        <v>82</v>
      </c>
      <c r="J1435">
        <v>9.9999999999999991E-6</v>
      </c>
      <c r="K1435" t="s">
        <v>252</v>
      </c>
      <c r="O1435">
        <v>3.7499999999999901E-2</v>
      </c>
      <c r="P1435" t="s">
        <v>59</v>
      </c>
      <c r="S1435">
        <v>1</v>
      </c>
      <c r="T1435">
        <v>10</v>
      </c>
      <c r="V1435">
        <v>50</v>
      </c>
      <c r="W1435" t="s">
        <v>1057</v>
      </c>
      <c r="X1435" t="s">
        <v>957</v>
      </c>
      <c r="Y1435">
        <v>60</v>
      </c>
      <c r="AB1435">
        <v>0.59</v>
      </c>
      <c r="AC1435" t="s">
        <v>85</v>
      </c>
      <c r="AI1435">
        <v>2</v>
      </c>
      <c r="AV1435" t="s">
        <v>256</v>
      </c>
    </row>
    <row r="1436" spans="1:48" x14ac:dyDescent="0.3">
      <c r="A1436" t="s">
        <v>1579</v>
      </c>
      <c r="C1436" t="s">
        <v>1495</v>
      </c>
      <c r="H1436">
        <v>10</v>
      </c>
      <c r="I1436" t="s">
        <v>82</v>
      </c>
      <c r="J1436">
        <v>9.9999999999999991E-6</v>
      </c>
      <c r="K1436" t="s">
        <v>252</v>
      </c>
      <c r="O1436">
        <v>7.49999999999999E-2</v>
      </c>
      <c r="P1436" t="s">
        <v>59</v>
      </c>
      <c r="S1436">
        <v>1</v>
      </c>
      <c r="T1436">
        <v>10</v>
      </c>
      <c r="V1436">
        <v>50</v>
      </c>
      <c r="W1436" t="s">
        <v>1057</v>
      </c>
      <c r="X1436" t="s">
        <v>957</v>
      </c>
      <c r="Y1436">
        <v>30</v>
      </c>
      <c r="AB1436">
        <v>0.60499999999999898</v>
      </c>
      <c r="AC1436" t="s">
        <v>85</v>
      </c>
      <c r="AI1436">
        <v>2</v>
      </c>
      <c r="AV1436" t="s">
        <v>256</v>
      </c>
    </row>
    <row r="1437" spans="1:48" x14ac:dyDescent="0.3">
      <c r="A1437" t="s">
        <v>1579</v>
      </c>
      <c r="B1437" t="s">
        <v>1548</v>
      </c>
      <c r="C1437" t="s">
        <v>1495</v>
      </c>
      <c r="H1437">
        <v>10</v>
      </c>
      <c r="I1437" t="s">
        <v>82</v>
      </c>
      <c r="J1437">
        <v>9.9999999999999991E-6</v>
      </c>
      <c r="K1437" t="s">
        <v>252</v>
      </c>
      <c r="O1437">
        <v>0.15</v>
      </c>
      <c r="P1437" t="s">
        <v>59</v>
      </c>
      <c r="S1437">
        <v>1</v>
      </c>
      <c r="T1437">
        <v>10</v>
      </c>
      <c r="V1437">
        <v>50</v>
      </c>
      <c r="W1437" t="s">
        <v>1549</v>
      </c>
      <c r="X1437" t="s">
        <v>957</v>
      </c>
      <c r="Y1437">
        <v>5</v>
      </c>
      <c r="AB1437">
        <v>0.61499999999999899</v>
      </c>
      <c r="AC1437" t="s">
        <v>85</v>
      </c>
      <c r="AI1437">
        <v>2</v>
      </c>
      <c r="AV1437" t="s">
        <v>256</v>
      </c>
    </row>
    <row r="1438" spans="1:48" x14ac:dyDescent="0.3">
      <c r="A1438" t="s">
        <v>1579</v>
      </c>
      <c r="C1438" t="s">
        <v>1495</v>
      </c>
      <c r="H1438">
        <v>10</v>
      </c>
      <c r="I1438" t="s">
        <v>82</v>
      </c>
      <c r="J1438">
        <v>9.9999999999999991E-6</v>
      </c>
      <c r="K1438" t="s">
        <v>252</v>
      </c>
      <c r="O1438">
        <v>7.49999999999999E-2</v>
      </c>
      <c r="P1438" t="s">
        <v>59</v>
      </c>
      <c r="S1438">
        <v>1</v>
      </c>
      <c r="T1438">
        <v>20</v>
      </c>
      <c r="V1438">
        <v>50</v>
      </c>
      <c r="W1438" t="s">
        <v>1057</v>
      </c>
      <c r="X1438" t="s">
        <v>957</v>
      </c>
      <c r="Y1438">
        <v>5</v>
      </c>
      <c r="AB1438">
        <v>0.61499999999999899</v>
      </c>
      <c r="AC1438" t="s">
        <v>85</v>
      </c>
      <c r="AI1438">
        <v>2</v>
      </c>
      <c r="AV1438" t="s">
        <v>256</v>
      </c>
    </row>
    <row r="1439" spans="1:48" x14ac:dyDescent="0.3">
      <c r="A1439" t="s">
        <v>1579</v>
      </c>
      <c r="B1439" t="s">
        <v>1548</v>
      </c>
      <c r="C1439" t="s">
        <v>1495</v>
      </c>
      <c r="H1439">
        <v>10</v>
      </c>
      <c r="I1439" t="s">
        <v>82</v>
      </c>
      <c r="J1439">
        <v>9.9999999999999991E-6</v>
      </c>
      <c r="K1439" t="s">
        <v>252</v>
      </c>
      <c r="O1439">
        <v>0.15</v>
      </c>
      <c r="P1439" t="s">
        <v>59</v>
      </c>
      <c r="S1439">
        <v>1</v>
      </c>
      <c r="T1439">
        <v>15</v>
      </c>
      <c r="V1439">
        <v>50</v>
      </c>
      <c r="W1439" t="s">
        <v>1549</v>
      </c>
      <c r="X1439" t="s">
        <v>957</v>
      </c>
      <c r="Y1439">
        <v>5</v>
      </c>
      <c r="AB1439">
        <v>0.62</v>
      </c>
      <c r="AC1439" t="s">
        <v>85</v>
      </c>
      <c r="AI1439">
        <v>2</v>
      </c>
      <c r="AV1439" t="s">
        <v>256</v>
      </c>
    </row>
    <row r="1440" spans="1:48" x14ac:dyDescent="0.3">
      <c r="A1440" t="s">
        <v>1579</v>
      </c>
      <c r="B1440" t="s">
        <v>1548</v>
      </c>
      <c r="C1440" t="s">
        <v>1495</v>
      </c>
      <c r="H1440">
        <v>10</v>
      </c>
      <c r="I1440" t="s">
        <v>82</v>
      </c>
      <c r="J1440">
        <v>9.9999999999999991E-6</v>
      </c>
      <c r="K1440" t="s">
        <v>252</v>
      </c>
      <c r="O1440">
        <v>7.49999999999999E-2</v>
      </c>
      <c r="P1440" t="s">
        <v>59</v>
      </c>
      <c r="S1440">
        <v>1</v>
      </c>
      <c r="T1440">
        <v>10</v>
      </c>
      <c r="V1440">
        <v>50</v>
      </c>
      <c r="W1440" t="s">
        <v>1549</v>
      </c>
      <c r="X1440" t="s">
        <v>957</v>
      </c>
      <c r="Y1440">
        <v>5</v>
      </c>
      <c r="AB1440">
        <v>0.62</v>
      </c>
      <c r="AC1440" t="s">
        <v>85</v>
      </c>
      <c r="AI1440">
        <v>2</v>
      </c>
      <c r="AV1440" t="s">
        <v>256</v>
      </c>
    </row>
    <row r="1441" spans="1:48" x14ac:dyDescent="0.3">
      <c r="A1441" t="s">
        <v>1579</v>
      </c>
      <c r="B1441" t="s">
        <v>1548</v>
      </c>
      <c r="C1441" t="s">
        <v>1495</v>
      </c>
      <c r="H1441">
        <v>10</v>
      </c>
      <c r="I1441" t="s">
        <v>82</v>
      </c>
      <c r="J1441">
        <v>9.9999999999999991E-6</v>
      </c>
      <c r="K1441" t="s">
        <v>252</v>
      </c>
      <c r="O1441">
        <v>7.49999999999999E-2</v>
      </c>
      <c r="P1441" t="s">
        <v>59</v>
      </c>
      <c r="S1441">
        <v>1</v>
      </c>
      <c r="T1441">
        <v>10</v>
      </c>
      <c r="V1441">
        <v>50</v>
      </c>
      <c r="W1441" t="s">
        <v>1549</v>
      </c>
      <c r="X1441" t="s">
        <v>957</v>
      </c>
      <c r="Y1441">
        <v>30</v>
      </c>
      <c r="AB1441">
        <v>0.63500000000000001</v>
      </c>
      <c r="AC1441" t="s">
        <v>85</v>
      </c>
      <c r="AI1441">
        <v>2</v>
      </c>
      <c r="AV1441" t="s">
        <v>256</v>
      </c>
    </row>
    <row r="1442" spans="1:48" x14ac:dyDescent="0.3">
      <c r="A1442" t="s">
        <v>1579</v>
      </c>
      <c r="B1442" t="s">
        <v>1548</v>
      </c>
      <c r="C1442" t="s">
        <v>1495</v>
      </c>
      <c r="H1442">
        <v>10</v>
      </c>
      <c r="I1442" t="s">
        <v>82</v>
      </c>
      <c r="J1442">
        <v>9.9999999999999991E-6</v>
      </c>
      <c r="K1442" t="s">
        <v>252</v>
      </c>
      <c r="O1442">
        <v>7.49999999999999E-2</v>
      </c>
      <c r="P1442" t="s">
        <v>59</v>
      </c>
      <c r="S1442">
        <v>1</v>
      </c>
      <c r="T1442">
        <v>20</v>
      </c>
      <c r="V1442">
        <v>50</v>
      </c>
      <c r="W1442" t="s">
        <v>1549</v>
      </c>
      <c r="X1442" t="s">
        <v>957</v>
      </c>
      <c r="Y1442">
        <v>30</v>
      </c>
      <c r="AB1442">
        <v>0.63500000000000001</v>
      </c>
      <c r="AC1442" t="s">
        <v>85</v>
      </c>
      <c r="AI1442">
        <v>2</v>
      </c>
      <c r="AV1442" t="s">
        <v>256</v>
      </c>
    </row>
    <row r="1443" spans="1:48" x14ac:dyDescent="0.3">
      <c r="A1443" t="s">
        <v>1579</v>
      </c>
      <c r="C1443" t="s">
        <v>1495</v>
      </c>
      <c r="H1443">
        <v>10</v>
      </c>
      <c r="I1443" t="s">
        <v>82</v>
      </c>
      <c r="J1443">
        <v>9.9999999999999991E-6</v>
      </c>
      <c r="K1443" t="s">
        <v>252</v>
      </c>
      <c r="O1443">
        <v>3.7499999999999901E-2</v>
      </c>
      <c r="P1443" t="s">
        <v>59</v>
      </c>
      <c r="S1443">
        <v>1</v>
      </c>
      <c r="T1443">
        <v>20</v>
      </c>
      <c r="V1443">
        <v>50</v>
      </c>
      <c r="W1443" t="s">
        <v>1057</v>
      </c>
      <c r="X1443" t="s">
        <v>957</v>
      </c>
      <c r="Y1443">
        <v>5</v>
      </c>
      <c r="AB1443">
        <v>0.63500000000000001</v>
      </c>
      <c r="AC1443" t="s">
        <v>85</v>
      </c>
      <c r="AI1443">
        <v>2</v>
      </c>
      <c r="AV1443" t="s">
        <v>256</v>
      </c>
    </row>
    <row r="1444" spans="1:48" x14ac:dyDescent="0.3">
      <c r="A1444" t="s">
        <v>1579</v>
      </c>
      <c r="C1444" t="s">
        <v>1495</v>
      </c>
      <c r="H1444">
        <v>10</v>
      </c>
      <c r="I1444" t="s">
        <v>82</v>
      </c>
      <c r="J1444">
        <v>9.9999999999999991E-6</v>
      </c>
      <c r="K1444" t="s">
        <v>252</v>
      </c>
      <c r="O1444">
        <v>3.7499999999999901E-2</v>
      </c>
      <c r="P1444" t="s">
        <v>59</v>
      </c>
      <c r="S1444">
        <v>1</v>
      </c>
      <c r="T1444">
        <v>15</v>
      </c>
      <c r="V1444">
        <v>50</v>
      </c>
      <c r="W1444" t="s">
        <v>1057</v>
      </c>
      <c r="X1444" t="s">
        <v>957</v>
      </c>
      <c r="Y1444">
        <v>30</v>
      </c>
      <c r="AB1444">
        <v>0.65</v>
      </c>
      <c r="AC1444" t="s">
        <v>85</v>
      </c>
      <c r="AI1444">
        <v>2</v>
      </c>
      <c r="AV1444" t="s">
        <v>256</v>
      </c>
    </row>
    <row r="1445" spans="1:48" x14ac:dyDescent="0.3">
      <c r="A1445" t="s">
        <v>1579</v>
      </c>
      <c r="B1445" t="s">
        <v>1548</v>
      </c>
      <c r="C1445" t="s">
        <v>1495</v>
      </c>
      <c r="H1445">
        <v>10</v>
      </c>
      <c r="I1445" t="s">
        <v>82</v>
      </c>
      <c r="J1445">
        <v>9.9999999999999991E-6</v>
      </c>
      <c r="K1445" t="s">
        <v>252</v>
      </c>
      <c r="O1445">
        <v>7.49999999999999E-2</v>
      </c>
      <c r="P1445" t="s">
        <v>59</v>
      </c>
      <c r="S1445">
        <v>1</v>
      </c>
      <c r="T1445">
        <v>15</v>
      </c>
      <c r="V1445">
        <v>50</v>
      </c>
      <c r="W1445" t="s">
        <v>1549</v>
      </c>
      <c r="X1445" t="s">
        <v>957</v>
      </c>
      <c r="Y1445">
        <v>30</v>
      </c>
      <c r="AB1445">
        <v>0.66</v>
      </c>
      <c r="AC1445" t="s">
        <v>85</v>
      </c>
      <c r="AI1445">
        <v>2</v>
      </c>
      <c r="AV1445" t="s">
        <v>256</v>
      </c>
    </row>
    <row r="1446" spans="1:48" x14ac:dyDescent="0.3">
      <c r="A1446" t="s">
        <v>1579</v>
      </c>
      <c r="C1446" t="s">
        <v>1495</v>
      </c>
      <c r="H1446">
        <v>10</v>
      </c>
      <c r="I1446" t="s">
        <v>82</v>
      </c>
      <c r="J1446">
        <v>9.9999999999999991E-6</v>
      </c>
      <c r="K1446" t="s">
        <v>252</v>
      </c>
      <c r="O1446">
        <v>0.15</v>
      </c>
      <c r="P1446" t="s">
        <v>59</v>
      </c>
      <c r="S1446">
        <v>1</v>
      </c>
      <c r="T1446">
        <v>15</v>
      </c>
      <c r="V1446">
        <v>50</v>
      </c>
      <c r="W1446" t="s">
        <v>1057</v>
      </c>
      <c r="X1446" t="s">
        <v>957</v>
      </c>
      <c r="Y1446">
        <v>5</v>
      </c>
      <c r="AB1446">
        <v>0.66500000000000004</v>
      </c>
      <c r="AC1446" t="s">
        <v>85</v>
      </c>
      <c r="AI1446">
        <v>2</v>
      </c>
      <c r="AV1446" t="s">
        <v>256</v>
      </c>
    </row>
    <row r="1447" spans="1:48" x14ac:dyDescent="0.3">
      <c r="A1447" t="s">
        <v>1579</v>
      </c>
      <c r="B1447" t="s">
        <v>1548</v>
      </c>
      <c r="C1447" t="s">
        <v>1495</v>
      </c>
      <c r="H1447">
        <v>10</v>
      </c>
      <c r="I1447" t="s">
        <v>82</v>
      </c>
      <c r="J1447">
        <v>9.9999999999999991E-6</v>
      </c>
      <c r="K1447" t="s">
        <v>252</v>
      </c>
      <c r="O1447">
        <v>0.15</v>
      </c>
      <c r="P1447" t="s">
        <v>59</v>
      </c>
      <c r="S1447">
        <v>1</v>
      </c>
      <c r="T1447">
        <v>15</v>
      </c>
      <c r="V1447">
        <v>50</v>
      </c>
      <c r="W1447" t="s">
        <v>1549</v>
      </c>
      <c r="X1447" t="s">
        <v>957</v>
      </c>
      <c r="Y1447">
        <v>5</v>
      </c>
      <c r="AB1447">
        <v>0.67500000000000004</v>
      </c>
      <c r="AC1447" t="s">
        <v>85</v>
      </c>
      <c r="AI1447">
        <v>2</v>
      </c>
      <c r="AV1447" t="s">
        <v>256</v>
      </c>
    </row>
    <row r="1448" spans="1:48" x14ac:dyDescent="0.3">
      <c r="A1448" t="s">
        <v>1579</v>
      </c>
      <c r="C1448" t="s">
        <v>1495</v>
      </c>
      <c r="H1448">
        <v>10</v>
      </c>
      <c r="I1448" t="s">
        <v>82</v>
      </c>
      <c r="J1448">
        <v>9.9999999999999991E-6</v>
      </c>
      <c r="K1448" t="s">
        <v>252</v>
      </c>
      <c r="O1448">
        <v>0.15</v>
      </c>
      <c r="P1448" t="s">
        <v>59</v>
      </c>
      <c r="S1448">
        <v>1</v>
      </c>
      <c r="T1448">
        <v>10</v>
      </c>
      <c r="V1448">
        <v>50</v>
      </c>
      <c r="W1448" t="s">
        <v>1057</v>
      </c>
      <c r="X1448" t="s">
        <v>957</v>
      </c>
      <c r="Y1448">
        <v>5</v>
      </c>
      <c r="AB1448">
        <v>0.7</v>
      </c>
      <c r="AC1448" t="s">
        <v>85</v>
      </c>
      <c r="AI1448">
        <v>2</v>
      </c>
      <c r="AV1448" t="s">
        <v>256</v>
      </c>
    </row>
    <row r="1449" spans="1:48" x14ac:dyDescent="0.3">
      <c r="A1449" t="s">
        <v>1579</v>
      </c>
      <c r="C1449" t="s">
        <v>1495</v>
      </c>
      <c r="H1449">
        <v>10</v>
      </c>
      <c r="I1449" t="s">
        <v>82</v>
      </c>
      <c r="J1449">
        <v>9.9999999999999991E-6</v>
      </c>
      <c r="K1449" t="s">
        <v>252</v>
      </c>
      <c r="O1449">
        <v>0.3</v>
      </c>
      <c r="P1449" t="s">
        <v>59</v>
      </c>
      <c r="S1449">
        <v>1</v>
      </c>
      <c r="T1449">
        <v>10</v>
      </c>
      <c r="V1449">
        <v>50</v>
      </c>
      <c r="W1449" t="s">
        <v>1057</v>
      </c>
      <c r="X1449" t="s">
        <v>957</v>
      </c>
      <c r="Y1449">
        <v>60</v>
      </c>
      <c r="AB1449">
        <v>0.73</v>
      </c>
      <c r="AC1449" t="s">
        <v>85</v>
      </c>
      <c r="AI1449">
        <v>2</v>
      </c>
      <c r="AV1449" t="s">
        <v>256</v>
      </c>
    </row>
    <row r="1450" spans="1:48" x14ac:dyDescent="0.3">
      <c r="A1450" t="s">
        <v>1579</v>
      </c>
      <c r="C1450" t="s">
        <v>1495</v>
      </c>
      <c r="H1450">
        <v>10</v>
      </c>
      <c r="I1450" t="s">
        <v>82</v>
      </c>
      <c r="J1450">
        <v>9.9999999999999991E-6</v>
      </c>
      <c r="K1450" t="s">
        <v>252</v>
      </c>
      <c r="O1450">
        <v>3.7499999999999901E-2</v>
      </c>
      <c r="P1450" t="s">
        <v>59</v>
      </c>
      <c r="S1450">
        <v>1</v>
      </c>
      <c r="T1450">
        <v>15</v>
      </c>
      <c r="V1450">
        <v>50</v>
      </c>
      <c r="W1450" t="s">
        <v>1057</v>
      </c>
      <c r="X1450" t="s">
        <v>957</v>
      </c>
      <c r="Y1450">
        <v>30</v>
      </c>
      <c r="AB1450">
        <v>0.75</v>
      </c>
      <c r="AC1450" t="s">
        <v>85</v>
      </c>
      <c r="AI1450">
        <v>2</v>
      </c>
      <c r="AV1450" t="s">
        <v>256</v>
      </c>
    </row>
    <row r="1451" spans="1:48" x14ac:dyDescent="0.3">
      <c r="A1451" t="s">
        <v>1579</v>
      </c>
      <c r="C1451" t="s">
        <v>1495</v>
      </c>
      <c r="H1451">
        <v>10</v>
      </c>
      <c r="I1451" t="s">
        <v>82</v>
      </c>
      <c r="J1451">
        <v>9.9999999999999991E-6</v>
      </c>
      <c r="K1451" t="s">
        <v>252</v>
      </c>
      <c r="O1451">
        <v>0.15</v>
      </c>
      <c r="P1451" t="s">
        <v>59</v>
      </c>
      <c r="S1451">
        <v>1</v>
      </c>
      <c r="T1451">
        <v>10</v>
      </c>
      <c r="V1451">
        <v>50</v>
      </c>
      <c r="W1451" t="s">
        <v>1057</v>
      </c>
      <c r="X1451" t="s">
        <v>957</v>
      </c>
      <c r="Y1451">
        <v>30</v>
      </c>
      <c r="AB1451">
        <v>0.755</v>
      </c>
      <c r="AC1451" t="s">
        <v>85</v>
      </c>
      <c r="AI1451">
        <v>2</v>
      </c>
      <c r="AV1451" t="s">
        <v>256</v>
      </c>
    </row>
    <row r="1452" spans="1:48" x14ac:dyDescent="0.3">
      <c r="A1452" t="s">
        <v>1579</v>
      </c>
      <c r="B1452" t="s">
        <v>1548</v>
      </c>
      <c r="C1452" t="s">
        <v>1495</v>
      </c>
      <c r="H1452">
        <v>10</v>
      </c>
      <c r="I1452" t="s">
        <v>82</v>
      </c>
      <c r="J1452">
        <v>9.9999999999999991E-6</v>
      </c>
      <c r="K1452" t="s">
        <v>252</v>
      </c>
      <c r="O1452">
        <v>0.22499999999999901</v>
      </c>
      <c r="P1452" t="s">
        <v>59</v>
      </c>
      <c r="S1452">
        <v>1</v>
      </c>
      <c r="T1452">
        <v>10</v>
      </c>
      <c r="V1452">
        <v>50</v>
      </c>
      <c r="W1452" t="s">
        <v>1549</v>
      </c>
      <c r="X1452" t="s">
        <v>957</v>
      </c>
      <c r="Y1452">
        <v>30</v>
      </c>
      <c r="AB1452">
        <v>0.76</v>
      </c>
      <c r="AC1452" t="s">
        <v>85</v>
      </c>
      <c r="AI1452">
        <v>2</v>
      </c>
      <c r="AV1452" t="s">
        <v>256</v>
      </c>
    </row>
    <row r="1453" spans="1:48" x14ac:dyDescent="0.3">
      <c r="A1453" t="s">
        <v>1579</v>
      </c>
      <c r="B1453" t="s">
        <v>1548</v>
      </c>
      <c r="C1453" t="s">
        <v>1495</v>
      </c>
      <c r="H1453">
        <v>10</v>
      </c>
      <c r="I1453" t="s">
        <v>82</v>
      </c>
      <c r="J1453">
        <v>9.9999999999999991E-6</v>
      </c>
      <c r="K1453" t="s">
        <v>252</v>
      </c>
      <c r="O1453">
        <v>3.7499999999999901E-2</v>
      </c>
      <c r="P1453" t="s">
        <v>59</v>
      </c>
      <c r="S1453">
        <v>1</v>
      </c>
      <c r="T1453">
        <v>20</v>
      </c>
      <c r="V1453">
        <v>50</v>
      </c>
      <c r="W1453" t="s">
        <v>1549</v>
      </c>
      <c r="X1453" t="s">
        <v>957</v>
      </c>
      <c r="Y1453">
        <v>5</v>
      </c>
      <c r="AB1453">
        <v>0.76500000000000001</v>
      </c>
      <c r="AC1453" t="s">
        <v>85</v>
      </c>
      <c r="AI1453">
        <v>2</v>
      </c>
      <c r="AV1453" t="s">
        <v>256</v>
      </c>
    </row>
    <row r="1454" spans="1:48" x14ac:dyDescent="0.3">
      <c r="A1454" t="s">
        <v>1579</v>
      </c>
      <c r="C1454" t="s">
        <v>1495</v>
      </c>
      <c r="H1454">
        <v>10</v>
      </c>
      <c r="I1454" t="s">
        <v>82</v>
      </c>
      <c r="J1454">
        <v>9.9999999999999991E-6</v>
      </c>
      <c r="K1454" t="s">
        <v>252</v>
      </c>
      <c r="O1454">
        <v>7.49999999999999E-2</v>
      </c>
      <c r="P1454" t="s">
        <v>59</v>
      </c>
      <c r="S1454">
        <v>1</v>
      </c>
      <c r="T1454">
        <v>10</v>
      </c>
      <c r="V1454">
        <v>50</v>
      </c>
      <c r="W1454" t="s">
        <v>1057</v>
      </c>
      <c r="X1454" t="s">
        <v>957</v>
      </c>
      <c r="Y1454">
        <v>60</v>
      </c>
      <c r="AB1454">
        <v>0.78</v>
      </c>
      <c r="AC1454" t="s">
        <v>85</v>
      </c>
      <c r="AI1454">
        <v>2</v>
      </c>
      <c r="AV1454" t="s">
        <v>256</v>
      </c>
    </row>
    <row r="1455" spans="1:48" x14ac:dyDescent="0.3">
      <c r="A1455" t="s">
        <v>1579</v>
      </c>
      <c r="C1455" t="s">
        <v>1495</v>
      </c>
      <c r="H1455">
        <v>10</v>
      </c>
      <c r="I1455" t="s">
        <v>82</v>
      </c>
      <c r="J1455">
        <v>9.9999999999999991E-6</v>
      </c>
      <c r="K1455" t="s">
        <v>252</v>
      </c>
      <c r="O1455">
        <v>0.22499999999999901</v>
      </c>
      <c r="P1455" t="s">
        <v>59</v>
      </c>
      <c r="S1455">
        <v>1</v>
      </c>
      <c r="T1455">
        <v>10</v>
      </c>
      <c r="V1455">
        <v>50</v>
      </c>
      <c r="W1455" t="s">
        <v>1057</v>
      </c>
      <c r="X1455" t="s">
        <v>957</v>
      </c>
      <c r="Y1455">
        <v>5</v>
      </c>
      <c r="AB1455">
        <v>0.78</v>
      </c>
      <c r="AC1455" t="s">
        <v>85</v>
      </c>
      <c r="AI1455">
        <v>2</v>
      </c>
      <c r="AV1455" t="s">
        <v>256</v>
      </c>
    </row>
    <row r="1456" spans="1:48" x14ac:dyDescent="0.3">
      <c r="A1456" t="s">
        <v>1579</v>
      </c>
      <c r="B1456" t="s">
        <v>1548</v>
      </c>
      <c r="C1456" t="s">
        <v>1495</v>
      </c>
      <c r="H1456">
        <v>10</v>
      </c>
      <c r="I1456" t="s">
        <v>82</v>
      </c>
      <c r="J1456">
        <v>9.9999999999999991E-6</v>
      </c>
      <c r="K1456" t="s">
        <v>252</v>
      </c>
      <c r="O1456">
        <v>3.7499999999999901E-2</v>
      </c>
      <c r="P1456" t="s">
        <v>59</v>
      </c>
      <c r="S1456">
        <v>1</v>
      </c>
      <c r="T1456">
        <v>15</v>
      </c>
      <c r="V1456">
        <v>50</v>
      </c>
      <c r="W1456" t="s">
        <v>1549</v>
      </c>
      <c r="X1456" t="s">
        <v>957</v>
      </c>
      <c r="Y1456">
        <v>30</v>
      </c>
      <c r="AB1456">
        <v>0.80499999999999905</v>
      </c>
      <c r="AC1456" t="s">
        <v>85</v>
      </c>
      <c r="AI1456">
        <v>2</v>
      </c>
      <c r="AV1456" t="s">
        <v>256</v>
      </c>
    </row>
    <row r="1457" spans="1:48" x14ac:dyDescent="0.3">
      <c r="A1457" t="s">
        <v>1579</v>
      </c>
      <c r="B1457" t="s">
        <v>1548</v>
      </c>
      <c r="C1457" t="s">
        <v>1495</v>
      </c>
      <c r="H1457">
        <v>10</v>
      </c>
      <c r="I1457" t="s">
        <v>82</v>
      </c>
      <c r="J1457">
        <v>9.9999999999999991E-6</v>
      </c>
      <c r="K1457" t="s">
        <v>252</v>
      </c>
      <c r="O1457">
        <v>0.22499999999999901</v>
      </c>
      <c r="P1457" t="s">
        <v>59</v>
      </c>
      <c r="S1457">
        <v>1</v>
      </c>
      <c r="T1457">
        <v>15</v>
      </c>
      <c r="V1457">
        <v>50</v>
      </c>
      <c r="W1457" t="s">
        <v>1549</v>
      </c>
      <c r="X1457" t="s">
        <v>957</v>
      </c>
      <c r="Y1457">
        <v>30</v>
      </c>
      <c r="AB1457">
        <v>0.80499999999999905</v>
      </c>
      <c r="AC1457" t="s">
        <v>85</v>
      </c>
      <c r="AI1457">
        <v>2</v>
      </c>
      <c r="AV1457" t="s">
        <v>256</v>
      </c>
    </row>
    <row r="1458" spans="1:48" x14ac:dyDescent="0.3">
      <c r="A1458" t="s">
        <v>1579</v>
      </c>
      <c r="B1458" t="s">
        <v>1548</v>
      </c>
      <c r="C1458" t="s">
        <v>1495</v>
      </c>
      <c r="H1458">
        <v>10</v>
      </c>
      <c r="I1458" t="s">
        <v>82</v>
      </c>
      <c r="J1458">
        <v>9.9999999999999991E-6</v>
      </c>
      <c r="K1458" t="s">
        <v>252</v>
      </c>
      <c r="O1458">
        <v>0.3</v>
      </c>
      <c r="P1458" t="s">
        <v>59</v>
      </c>
      <c r="S1458">
        <v>1</v>
      </c>
      <c r="T1458">
        <v>10</v>
      </c>
      <c r="V1458">
        <v>50</v>
      </c>
      <c r="W1458" t="s">
        <v>1549</v>
      </c>
      <c r="X1458" t="s">
        <v>957</v>
      </c>
      <c r="Y1458">
        <v>5</v>
      </c>
      <c r="AB1458">
        <v>0.81</v>
      </c>
      <c r="AC1458" t="s">
        <v>85</v>
      </c>
      <c r="AI1458">
        <v>2</v>
      </c>
      <c r="AV1458" t="s">
        <v>256</v>
      </c>
    </row>
    <row r="1459" spans="1:48" x14ac:dyDescent="0.3">
      <c r="A1459" t="s">
        <v>1579</v>
      </c>
      <c r="B1459" t="s">
        <v>1548</v>
      </c>
      <c r="C1459" t="s">
        <v>1495</v>
      </c>
      <c r="H1459">
        <v>10</v>
      </c>
      <c r="I1459" t="s">
        <v>82</v>
      </c>
      <c r="J1459">
        <v>9.9999999999999991E-6</v>
      </c>
      <c r="K1459" t="s">
        <v>252</v>
      </c>
      <c r="O1459">
        <v>0.22499999999999901</v>
      </c>
      <c r="P1459" t="s">
        <v>59</v>
      </c>
      <c r="S1459">
        <v>1</v>
      </c>
      <c r="T1459">
        <v>10</v>
      </c>
      <c r="V1459">
        <v>50</v>
      </c>
      <c r="W1459" t="s">
        <v>1549</v>
      </c>
      <c r="X1459" t="s">
        <v>957</v>
      </c>
      <c r="Y1459">
        <v>60</v>
      </c>
      <c r="AB1459">
        <v>0.82</v>
      </c>
      <c r="AC1459" t="s">
        <v>85</v>
      </c>
      <c r="AI1459">
        <v>2</v>
      </c>
      <c r="AV1459" t="s">
        <v>256</v>
      </c>
    </row>
    <row r="1460" spans="1:48" x14ac:dyDescent="0.3">
      <c r="A1460" t="s">
        <v>1579</v>
      </c>
      <c r="B1460" t="s">
        <v>1548</v>
      </c>
      <c r="C1460" t="s">
        <v>1495</v>
      </c>
      <c r="H1460">
        <v>10</v>
      </c>
      <c r="I1460" t="s">
        <v>82</v>
      </c>
      <c r="J1460">
        <v>9.9999999999999991E-6</v>
      </c>
      <c r="K1460" t="s">
        <v>252</v>
      </c>
      <c r="O1460">
        <v>3.7499999999999901E-2</v>
      </c>
      <c r="P1460" t="s">
        <v>59</v>
      </c>
      <c r="S1460">
        <v>1</v>
      </c>
      <c r="T1460">
        <v>10</v>
      </c>
      <c r="V1460">
        <v>50</v>
      </c>
      <c r="W1460" t="s">
        <v>1549</v>
      </c>
      <c r="X1460" t="s">
        <v>957</v>
      </c>
      <c r="Y1460">
        <v>30</v>
      </c>
      <c r="AB1460">
        <v>0.82</v>
      </c>
      <c r="AC1460" t="s">
        <v>85</v>
      </c>
      <c r="AI1460">
        <v>2</v>
      </c>
      <c r="AV1460" t="s">
        <v>256</v>
      </c>
    </row>
    <row r="1461" spans="1:48" x14ac:dyDescent="0.3">
      <c r="A1461" t="s">
        <v>1579</v>
      </c>
      <c r="C1461" t="s">
        <v>1495</v>
      </c>
      <c r="H1461">
        <v>10</v>
      </c>
      <c r="I1461" t="s">
        <v>82</v>
      </c>
      <c r="J1461">
        <v>9.9999999999999991E-6</v>
      </c>
      <c r="K1461" t="s">
        <v>252</v>
      </c>
      <c r="O1461">
        <v>0.15</v>
      </c>
      <c r="P1461" t="s">
        <v>59</v>
      </c>
      <c r="S1461">
        <v>1</v>
      </c>
      <c r="T1461">
        <v>20</v>
      </c>
      <c r="V1461">
        <v>50</v>
      </c>
      <c r="W1461" t="s">
        <v>1057</v>
      </c>
      <c r="X1461" t="s">
        <v>957</v>
      </c>
      <c r="Y1461">
        <v>5</v>
      </c>
      <c r="AB1461">
        <v>0.82499999999999896</v>
      </c>
      <c r="AC1461" t="s">
        <v>85</v>
      </c>
      <c r="AI1461">
        <v>2</v>
      </c>
      <c r="AV1461" t="s">
        <v>256</v>
      </c>
    </row>
    <row r="1462" spans="1:48" x14ac:dyDescent="0.3">
      <c r="A1462" t="s">
        <v>1579</v>
      </c>
      <c r="C1462" t="s">
        <v>1495</v>
      </c>
      <c r="H1462">
        <v>10</v>
      </c>
      <c r="I1462" t="s">
        <v>82</v>
      </c>
      <c r="J1462">
        <v>9.9999999999999991E-6</v>
      </c>
      <c r="K1462" t="s">
        <v>252</v>
      </c>
      <c r="O1462">
        <v>3.7499999999999901E-2</v>
      </c>
      <c r="P1462" t="s">
        <v>59</v>
      </c>
      <c r="S1462">
        <v>1</v>
      </c>
      <c r="T1462">
        <v>10</v>
      </c>
      <c r="V1462">
        <v>50</v>
      </c>
      <c r="W1462" t="s">
        <v>1057</v>
      </c>
      <c r="X1462" t="s">
        <v>957</v>
      </c>
      <c r="Y1462">
        <v>60</v>
      </c>
      <c r="AB1462">
        <v>0.83</v>
      </c>
      <c r="AC1462" t="s">
        <v>85</v>
      </c>
      <c r="AI1462">
        <v>2</v>
      </c>
      <c r="AV1462" t="s">
        <v>256</v>
      </c>
    </row>
    <row r="1463" spans="1:48" x14ac:dyDescent="0.3">
      <c r="A1463" t="s">
        <v>1579</v>
      </c>
      <c r="C1463" t="s">
        <v>1495</v>
      </c>
      <c r="H1463">
        <v>10</v>
      </c>
      <c r="I1463" t="s">
        <v>82</v>
      </c>
      <c r="J1463">
        <v>9.9999999999999991E-6</v>
      </c>
      <c r="K1463" t="s">
        <v>252</v>
      </c>
      <c r="O1463">
        <v>7.49999999999999E-2</v>
      </c>
      <c r="P1463" t="s">
        <v>59</v>
      </c>
      <c r="S1463">
        <v>1</v>
      </c>
      <c r="T1463">
        <v>20</v>
      </c>
      <c r="V1463">
        <v>50</v>
      </c>
      <c r="W1463" t="s">
        <v>1057</v>
      </c>
      <c r="X1463" t="s">
        <v>957</v>
      </c>
      <c r="Y1463">
        <v>5</v>
      </c>
      <c r="AB1463">
        <v>0.83499999999999897</v>
      </c>
      <c r="AC1463" t="s">
        <v>85</v>
      </c>
      <c r="AI1463">
        <v>2</v>
      </c>
      <c r="AV1463" t="s">
        <v>256</v>
      </c>
    </row>
    <row r="1464" spans="1:48" x14ac:dyDescent="0.3">
      <c r="A1464" t="s">
        <v>1579</v>
      </c>
      <c r="B1464" t="s">
        <v>1548</v>
      </c>
      <c r="C1464" t="s">
        <v>1495</v>
      </c>
      <c r="H1464">
        <v>10</v>
      </c>
      <c r="I1464" t="s">
        <v>82</v>
      </c>
      <c r="J1464">
        <v>9.9999999999999991E-6</v>
      </c>
      <c r="K1464" t="s">
        <v>252</v>
      </c>
      <c r="O1464">
        <v>7.49999999999999E-2</v>
      </c>
      <c r="P1464" t="s">
        <v>59</v>
      </c>
      <c r="S1464">
        <v>1</v>
      </c>
      <c r="T1464">
        <v>20</v>
      </c>
      <c r="V1464">
        <v>50</v>
      </c>
      <c r="W1464" t="s">
        <v>1549</v>
      </c>
      <c r="X1464" t="s">
        <v>957</v>
      </c>
      <c r="Y1464">
        <v>60</v>
      </c>
      <c r="AB1464">
        <v>0.84</v>
      </c>
      <c r="AC1464" t="s">
        <v>85</v>
      </c>
      <c r="AI1464">
        <v>2</v>
      </c>
      <c r="AV1464" t="s">
        <v>256</v>
      </c>
    </row>
    <row r="1465" spans="1:48" x14ac:dyDescent="0.3">
      <c r="A1465" t="s">
        <v>1579</v>
      </c>
      <c r="B1465" t="s">
        <v>1548</v>
      </c>
      <c r="C1465" t="s">
        <v>1495</v>
      </c>
      <c r="H1465">
        <v>10</v>
      </c>
      <c r="I1465" t="s">
        <v>82</v>
      </c>
      <c r="J1465">
        <v>9.9999999999999991E-6</v>
      </c>
      <c r="K1465" t="s">
        <v>252</v>
      </c>
      <c r="O1465">
        <v>0.3</v>
      </c>
      <c r="P1465" t="s">
        <v>59</v>
      </c>
      <c r="S1465">
        <v>1</v>
      </c>
      <c r="T1465">
        <v>10</v>
      </c>
      <c r="V1465">
        <v>50</v>
      </c>
      <c r="W1465" t="s">
        <v>1549</v>
      </c>
      <c r="X1465" t="s">
        <v>957</v>
      </c>
      <c r="Y1465">
        <v>30</v>
      </c>
      <c r="AB1465">
        <v>0.85</v>
      </c>
      <c r="AC1465" t="s">
        <v>85</v>
      </c>
      <c r="AI1465">
        <v>2</v>
      </c>
      <c r="AV1465" t="s">
        <v>256</v>
      </c>
    </row>
    <row r="1466" spans="1:48" x14ac:dyDescent="0.3">
      <c r="A1466" t="s">
        <v>1579</v>
      </c>
      <c r="B1466" t="s">
        <v>1548</v>
      </c>
      <c r="C1466" t="s">
        <v>1495</v>
      </c>
      <c r="H1466">
        <v>10</v>
      </c>
      <c r="I1466" t="s">
        <v>82</v>
      </c>
      <c r="J1466">
        <v>9.9999999999999991E-6</v>
      </c>
      <c r="K1466" t="s">
        <v>252</v>
      </c>
      <c r="O1466">
        <v>3.7499999999999901E-2</v>
      </c>
      <c r="P1466" t="s">
        <v>59</v>
      </c>
      <c r="S1466">
        <v>1</v>
      </c>
      <c r="T1466">
        <v>20</v>
      </c>
      <c r="V1466">
        <v>50</v>
      </c>
      <c r="W1466" t="s">
        <v>1549</v>
      </c>
      <c r="X1466" t="s">
        <v>957</v>
      </c>
      <c r="Y1466">
        <v>60</v>
      </c>
      <c r="AB1466">
        <v>0.86499999999999899</v>
      </c>
      <c r="AC1466" t="s">
        <v>85</v>
      </c>
      <c r="AI1466">
        <v>2</v>
      </c>
      <c r="AV1466" t="s">
        <v>256</v>
      </c>
    </row>
    <row r="1467" spans="1:48" x14ac:dyDescent="0.3">
      <c r="A1467" t="s">
        <v>1579</v>
      </c>
      <c r="C1467" t="s">
        <v>1495</v>
      </c>
      <c r="H1467">
        <v>10</v>
      </c>
      <c r="I1467" t="s">
        <v>82</v>
      </c>
      <c r="J1467">
        <v>9.9999999999999991E-6</v>
      </c>
      <c r="K1467" t="s">
        <v>252</v>
      </c>
      <c r="O1467">
        <v>7.49999999999999E-2</v>
      </c>
      <c r="P1467" t="s">
        <v>59</v>
      </c>
      <c r="S1467">
        <v>1</v>
      </c>
      <c r="T1467">
        <v>15</v>
      </c>
      <c r="V1467">
        <v>50</v>
      </c>
      <c r="W1467" t="s">
        <v>1057</v>
      </c>
      <c r="X1467" t="s">
        <v>957</v>
      </c>
      <c r="Y1467">
        <v>30</v>
      </c>
      <c r="AB1467">
        <v>0.87</v>
      </c>
      <c r="AC1467" t="s">
        <v>85</v>
      </c>
      <c r="AI1467">
        <v>2</v>
      </c>
      <c r="AV1467" t="s">
        <v>256</v>
      </c>
    </row>
    <row r="1468" spans="1:48" x14ac:dyDescent="0.3">
      <c r="A1468" t="s">
        <v>1579</v>
      </c>
      <c r="C1468" t="s">
        <v>1495</v>
      </c>
      <c r="H1468">
        <v>10</v>
      </c>
      <c r="I1468" t="s">
        <v>82</v>
      </c>
      <c r="J1468">
        <v>9.9999999999999991E-6</v>
      </c>
      <c r="K1468" t="s">
        <v>252</v>
      </c>
      <c r="O1468">
        <v>7.49999999999999E-2</v>
      </c>
      <c r="P1468" t="s">
        <v>59</v>
      </c>
      <c r="S1468">
        <v>1</v>
      </c>
      <c r="T1468">
        <v>10</v>
      </c>
      <c r="V1468">
        <v>50</v>
      </c>
      <c r="W1468" t="s">
        <v>1057</v>
      </c>
      <c r="X1468" t="s">
        <v>957</v>
      </c>
      <c r="Y1468">
        <v>30</v>
      </c>
      <c r="AB1468">
        <v>0.88</v>
      </c>
      <c r="AC1468" t="s">
        <v>85</v>
      </c>
      <c r="AI1468">
        <v>2</v>
      </c>
      <c r="AV1468" t="s">
        <v>256</v>
      </c>
    </row>
    <row r="1469" spans="1:48" x14ac:dyDescent="0.3">
      <c r="A1469" t="s">
        <v>1579</v>
      </c>
      <c r="C1469" t="s">
        <v>1495</v>
      </c>
      <c r="H1469">
        <v>10</v>
      </c>
      <c r="I1469" t="s">
        <v>82</v>
      </c>
      <c r="J1469">
        <v>9.9999999999999991E-6</v>
      </c>
      <c r="K1469" t="s">
        <v>252</v>
      </c>
      <c r="O1469">
        <v>3.7499999999999901E-2</v>
      </c>
      <c r="P1469" t="s">
        <v>59</v>
      </c>
      <c r="S1469">
        <v>1</v>
      </c>
      <c r="T1469">
        <v>15</v>
      </c>
      <c r="V1469">
        <v>50</v>
      </c>
      <c r="W1469" t="s">
        <v>1057</v>
      </c>
      <c r="X1469" t="s">
        <v>957</v>
      </c>
      <c r="Y1469">
        <v>60</v>
      </c>
      <c r="AB1469">
        <v>0.88</v>
      </c>
      <c r="AC1469" t="s">
        <v>85</v>
      </c>
      <c r="AI1469">
        <v>2</v>
      </c>
      <c r="AV1469" t="s">
        <v>256</v>
      </c>
    </row>
    <row r="1470" spans="1:48" x14ac:dyDescent="0.3">
      <c r="A1470" t="s">
        <v>1579</v>
      </c>
      <c r="B1470" t="s">
        <v>1548</v>
      </c>
      <c r="C1470" t="s">
        <v>1495</v>
      </c>
      <c r="H1470">
        <v>10</v>
      </c>
      <c r="I1470" t="s">
        <v>82</v>
      </c>
      <c r="J1470">
        <v>9.9999999999999991E-6</v>
      </c>
      <c r="K1470" t="s">
        <v>252</v>
      </c>
      <c r="O1470">
        <v>0.22499999999999901</v>
      </c>
      <c r="P1470" t="s">
        <v>59</v>
      </c>
      <c r="S1470">
        <v>1</v>
      </c>
      <c r="T1470">
        <v>15</v>
      </c>
      <c r="V1470">
        <v>50</v>
      </c>
      <c r="W1470" t="s">
        <v>1549</v>
      </c>
      <c r="X1470" t="s">
        <v>957</v>
      </c>
      <c r="Y1470">
        <v>5</v>
      </c>
      <c r="AB1470">
        <v>0.88500000000000001</v>
      </c>
      <c r="AC1470" t="s">
        <v>85</v>
      </c>
      <c r="AI1470">
        <v>2</v>
      </c>
      <c r="AV1470" t="s">
        <v>256</v>
      </c>
    </row>
    <row r="1471" spans="1:48" x14ac:dyDescent="0.3">
      <c r="A1471" t="s">
        <v>1579</v>
      </c>
      <c r="C1471" t="s">
        <v>1495</v>
      </c>
      <c r="H1471">
        <v>10</v>
      </c>
      <c r="I1471" t="s">
        <v>82</v>
      </c>
      <c r="J1471">
        <v>9.9999999999999991E-6</v>
      </c>
      <c r="K1471" t="s">
        <v>252</v>
      </c>
      <c r="O1471">
        <v>0.15</v>
      </c>
      <c r="P1471" t="s">
        <v>59</v>
      </c>
      <c r="S1471">
        <v>1</v>
      </c>
      <c r="T1471">
        <v>15</v>
      </c>
      <c r="V1471">
        <v>50</v>
      </c>
      <c r="W1471" t="s">
        <v>1057</v>
      </c>
      <c r="X1471" t="s">
        <v>957</v>
      </c>
      <c r="Y1471">
        <v>60</v>
      </c>
      <c r="AB1471">
        <v>0.89</v>
      </c>
      <c r="AC1471" t="s">
        <v>85</v>
      </c>
      <c r="AI1471">
        <v>2</v>
      </c>
      <c r="AV1471" t="s">
        <v>256</v>
      </c>
    </row>
    <row r="1472" spans="1:48" x14ac:dyDescent="0.3">
      <c r="A1472" t="s">
        <v>1579</v>
      </c>
      <c r="C1472" t="s">
        <v>1495</v>
      </c>
      <c r="H1472">
        <v>10</v>
      </c>
      <c r="I1472" t="s">
        <v>82</v>
      </c>
      <c r="J1472">
        <v>9.9999999999999991E-6</v>
      </c>
      <c r="K1472" t="s">
        <v>252</v>
      </c>
      <c r="O1472">
        <v>0.3</v>
      </c>
      <c r="P1472" t="s">
        <v>59</v>
      </c>
      <c r="S1472">
        <v>1</v>
      </c>
      <c r="T1472">
        <v>15</v>
      </c>
      <c r="V1472">
        <v>50</v>
      </c>
      <c r="W1472" t="s">
        <v>1057</v>
      </c>
      <c r="X1472" t="s">
        <v>957</v>
      </c>
      <c r="Y1472">
        <v>5</v>
      </c>
      <c r="AB1472">
        <v>0.89500000000000002</v>
      </c>
      <c r="AC1472" t="s">
        <v>85</v>
      </c>
      <c r="AI1472">
        <v>2</v>
      </c>
      <c r="AV1472" t="s">
        <v>256</v>
      </c>
    </row>
    <row r="1473" spans="1:48" x14ac:dyDescent="0.3">
      <c r="A1473" t="s">
        <v>1579</v>
      </c>
      <c r="C1473" t="s">
        <v>1495</v>
      </c>
      <c r="H1473">
        <v>10</v>
      </c>
      <c r="I1473" t="s">
        <v>82</v>
      </c>
      <c r="J1473">
        <v>9.9999999999999991E-6</v>
      </c>
      <c r="K1473" t="s">
        <v>252</v>
      </c>
      <c r="O1473">
        <v>0.3</v>
      </c>
      <c r="P1473" t="s">
        <v>59</v>
      </c>
      <c r="S1473">
        <v>1</v>
      </c>
      <c r="T1473">
        <v>10</v>
      </c>
      <c r="V1473">
        <v>50</v>
      </c>
      <c r="W1473" t="s">
        <v>1057</v>
      </c>
      <c r="X1473" t="s">
        <v>957</v>
      </c>
      <c r="Y1473">
        <v>5</v>
      </c>
      <c r="AB1473">
        <v>0.90500000000000003</v>
      </c>
      <c r="AC1473" t="s">
        <v>85</v>
      </c>
      <c r="AI1473">
        <v>2</v>
      </c>
      <c r="AV1473" t="s">
        <v>256</v>
      </c>
    </row>
    <row r="1474" spans="1:48" x14ac:dyDescent="0.3">
      <c r="A1474" t="s">
        <v>1579</v>
      </c>
      <c r="B1474" t="s">
        <v>1548</v>
      </c>
      <c r="C1474" t="s">
        <v>1495</v>
      </c>
      <c r="H1474">
        <v>10</v>
      </c>
      <c r="I1474" t="s">
        <v>82</v>
      </c>
      <c r="J1474">
        <v>9.9999999999999991E-6</v>
      </c>
      <c r="K1474" t="s">
        <v>252</v>
      </c>
      <c r="O1474">
        <v>7.49999999999999E-2</v>
      </c>
      <c r="P1474" t="s">
        <v>59</v>
      </c>
      <c r="S1474">
        <v>1</v>
      </c>
      <c r="T1474">
        <v>10</v>
      </c>
      <c r="V1474">
        <v>50</v>
      </c>
      <c r="W1474" t="s">
        <v>1549</v>
      </c>
      <c r="X1474" t="s">
        <v>957</v>
      </c>
      <c r="Y1474">
        <v>60</v>
      </c>
      <c r="AB1474">
        <v>0.92999999999999905</v>
      </c>
      <c r="AC1474" t="s">
        <v>85</v>
      </c>
      <c r="AI1474">
        <v>2</v>
      </c>
      <c r="AV1474" t="s">
        <v>256</v>
      </c>
    </row>
    <row r="1475" spans="1:48" x14ac:dyDescent="0.3">
      <c r="A1475" t="s">
        <v>1579</v>
      </c>
      <c r="C1475" t="s">
        <v>1495</v>
      </c>
      <c r="H1475">
        <v>10</v>
      </c>
      <c r="I1475" t="s">
        <v>82</v>
      </c>
      <c r="J1475">
        <v>9.9999999999999991E-6</v>
      </c>
      <c r="K1475" t="s">
        <v>252</v>
      </c>
      <c r="O1475">
        <v>0.22499999999999901</v>
      </c>
      <c r="P1475" t="s">
        <v>59</v>
      </c>
      <c r="S1475">
        <v>1</v>
      </c>
      <c r="T1475">
        <v>15</v>
      </c>
      <c r="V1475">
        <v>50</v>
      </c>
      <c r="W1475" t="s">
        <v>1057</v>
      </c>
      <c r="X1475" t="s">
        <v>957</v>
      </c>
      <c r="Y1475">
        <v>5</v>
      </c>
      <c r="AB1475">
        <v>0.93500000000000005</v>
      </c>
      <c r="AC1475" t="s">
        <v>85</v>
      </c>
      <c r="AI1475">
        <v>2</v>
      </c>
      <c r="AV1475" t="s">
        <v>256</v>
      </c>
    </row>
    <row r="1476" spans="1:48" x14ac:dyDescent="0.3">
      <c r="A1476" t="s">
        <v>1579</v>
      </c>
      <c r="C1476" t="s">
        <v>1495</v>
      </c>
      <c r="H1476">
        <v>10</v>
      </c>
      <c r="I1476" t="s">
        <v>82</v>
      </c>
      <c r="J1476">
        <v>9.9999999999999991E-6</v>
      </c>
      <c r="K1476" t="s">
        <v>252</v>
      </c>
      <c r="O1476">
        <v>0.22499999999999901</v>
      </c>
      <c r="P1476" t="s">
        <v>59</v>
      </c>
      <c r="S1476">
        <v>1</v>
      </c>
      <c r="T1476">
        <v>15</v>
      </c>
      <c r="V1476">
        <v>50</v>
      </c>
      <c r="W1476" t="s">
        <v>1057</v>
      </c>
      <c r="X1476" t="s">
        <v>957</v>
      </c>
      <c r="Y1476">
        <v>5</v>
      </c>
      <c r="AB1476">
        <v>0.94499999999999995</v>
      </c>
      <c r="AC1476" t="s">
        <v>85</v>
      </c>
      <c r="AI1476">
        <v>2</v>
      </c>
      <c r="AV1476" t="s">
        <v>256</v>
      </c>
    </row>
    <row r="1477" spans="1:48" x14ac:dyDescent="0.3">
      <c r="A1477" t="s">
        <v>1579</v>
      </c>
      <c r="B1477" t="s">
        <v>1548</v>
      </c>
      <c r="C1477" t="s">
        <v>1495</v>
      </c>
      <c r="H1477">
        <v>10</v>
      </c>
      <c r="I1477" t="s">
        <v>82</v>
      </c>
      <c r="J1477">
        <v>9.9999999999999991E-6</v>
      </c>
      <c r="K1477" t="s">
        <v>252</v>
      </c>
      <c r="O1477">
        <v>0.22499999999999901</v>
      </c>
      <c r="P1477" t="s">
        <v>59</v>
      </c>
      <c r="S1477">
        <v>1</v>
      </c>
      <c r="T1477">
        <v>10</v>
      </c>
      <c r="V1477">
        <v>50</v>
      </c>
      <c r="W1477" t="s">
        <v>1549</v>
      </c>
      <c r="X1477" t="s">
        <v>957</v>
      </c>
      <c r="Y1477">
        <v>5</v>
      </c>
      <c r="AB1477">
        <v>0.95</v>
      </c>
      <c r="AC1477" t="s">
        <v>85</v>
      </c>
      <c r="AI1477">
        <v>2</v>
      </c>
      <c r="AV1477" t="s">
        <v>256</v>
      </c>
    </row>
    <row r="1478" spans="1:48" x14ac:dyDescent="0.3">
      <c r="A1478" t="s">
        <v>1579</v>
      </c>
      <c r="C1478" t="s">
        <v>1495</v>
      </c>
      <c r="H1478">
        <v>10</v>
      </c>
      <c r="I1478" t="s">
        <v>82</v>
      </c>
      <c r="J1478">
        <v>9.9999999999999991E-6</v>
      </c>
      <c r="K1478" t="s">
        <v>252</v>
      </c>
      <c r="O1478">
        <v>0.3</v>
      </c>
      <c r="P1478" t="s">
        <v>59</v>
      </c>
      <c r="S1478">
        <v>1</v>
      </c>
      <c r="T1478">
        <v>15</v>
      </c>
      <c r="V1478">
        <v>50</v>
      </c>
      <c r="W1478" t="s">
        <v>1057</v>
      </c>
      <c r="X1478" t="s">
        <v>957</v>
      </c>
      <c r="Y1478">
        <v>30</v>
      </c>
      <c r="AB1478">
        <v>0.95</v>
      </c>
      <c r="AC1478" t="s">
        <v>85</v>
      </c>
      <c r="AI1478">
        <v>2</v>
      </c>
      <c r="AV1478" t="s">
        <v>256</v>
      </c>
    </row>
    <row r="1479" spans="1:48" x14ac:dyDescent="0.3">
      <c r="A1479" t="s">
        <v>1579</v>
      </c>
      <c r="C1479" t="s">
        <v>1495</v>
      </c>
      <c r="H1479">
        <v>10</v>
      </c>
      <c r="I1479" t="s">
        <v>82</v>
      </c>
      <c r="J1479">
        <v>9.9999999999999991E-6</v>
      </c>
      <c r="K1479" t="s">
        <v>252</v>
      </c>
      <c r="O1479">
        <v>7.49999999999999E-2</v>
      </c>
      <c r="P1479" t="s">
        <v>59</v>
      </c>
      <c r="S1479">
        <v>1</v>
      </c>
      <c r="T1479">
        <v>10</v>
      </c>
      <c r="V1479">
        <v>50</v>
      </c>
      <c r="W1479" t="s">
        <v>1057</v>
      </c>
      <c r="X1479" t="s">
        <v>957</v>
      </c>
      <c r="Y1479">
        <v>60</v>
      </c>
      <c r="AB1479">
        <v>0.95499999999999896</v>
      </c>
      <c r="AC1479" t="s">
        <v>85</v>
      </c>
      <c r="AI1479">
        <v>2</v>
      </c>
      <c r="AV1479" t="s">
        <v>256</v>
      </c>
    </row>
    <row r="1480" spans="1:48" x14ac:dyDescent="0.3">
      <c r="A1480" t="s">
        <v>1579</v>
      </c>
      <c r="B1480" t="s">
        <v>1548</v>
      </c>
      <c r="C1480" t="s">
        <v>1495</v>
      </c>
      <c r="H1480">
        <v>10</v>
      </c>
      <c r="I1480" t="s">
        <v>82</v>
      </c>
      <c r="J1480">
        <v>9.9999999999999991E-6</v>
      </c>
      <c r="K1480" t="s">
        <v>252</v>
      </c>
      <c r="O1480">
        <v>0.15</v>
      </c>
      <c r="P1480" t="s">
        <v>59</v>
      </c>
      <c r="S1480">
        <v>1</v>
      </c>
      <c r="T1480">
        <v>15</v>
      </c>
      <c r="V1480">
        <v>50</v>
      </c>
      <c r="W1480" t="s">
        <v>1549</v>
      </c>
      <c r="X1480" t="s">
        <v>957</v>
      </c>
      <c r="Y1480">
        <v>60</v>
      </c>
      <c r="AB1480">
        <v>0.95499999999999996</v>
      </c>
      <c r="AC1480" t="s">
        <v>85</v>
      </c>
      <c r="AI1480">
        <v>2</v>
      </c>
      <c r="AV1480" t="s">
        <v>256</v>
      </c>
    </row>
    <row r="1481" spans="1:48" x14ac:dyDescent="0.3">
      <c r="A1481" t="s">
        <v>1579</v>
      </c>
      <c r="C1481" t="s">
        <v>1495</v>
      </c>
      <c r="H1481">
        <v>10</v>
      </c>
      <c r="I1481" t="s">
        <v>82</v>
      </c>
      <c r="J1481">
        <v>9.9999999999999991E-6</v>
      </c>
      <c r="K1481" t="s">
        <v>252</v>
      </c>
      <c r="O1481">
        <v>0.22499999999999901</v>
      </c>
      <c r="P1481" t="s">
        <v>59</v>
      </c>
      <c r="S1481">
        <v>1</v>
      </c>
      <c r="T1481">
        <v>10</v>
      </c>
      <c r="V1481">
        <v>50</v>
      </c>
      <c r="W1481" t="s">
        <v>1057</v>
      </c>
      <c r="X1481" t="s">
        <v>957</v>
      </c>
      <c r="Y1481">
        <v>5</v>
      </c>
      <c r="AB1481">
        <v>0.96</v>
      </c>
      <c r="AC1481" t="s">
        <v>85</v>
      </c>
      <c r="AI1481">
        <v>2</v>
      </c>
      <c r="AV1481" t="s">
        <v>256</v>
      </c>
    </row>
    <row r="1482" spans="1:48" x14ac:dyDescent="0.3">
      <c r="A1482" t="s">
        <v>1579</v>
      </c>
      <c r="C1482" t="s">
        <v>1495</v>
      </c>
      <c r="H1482">
        <v>10</v>
      </c>
      <c r="I1482" t="s">
        <v>82</v>
      </c>
      <c r="J1482">
        <v>9.9999999999999991E-6</v>
      </c>
      <c r="K1482" t="s">
        <v>252</v>
      </c>
      <c r="O1482">
        <v>7.49999999999999E-2</v>
      </c>
      <c r="P1482" t="s">
        <v>59</v>
      </c>
      <c r="S1482">
        <v>1</v>
      </c>
      <c r="T1482">
        <v>15</v>
      </c>
      <c r="V1482">
        <v>50</v>
      </c>
      <c r="W1482" t="s">
        <v>1057</v>
      </c>
      <c r="X1482" t="s">
        <v>957</v>
      </c>
      <c r="Y1482">
        <v>30</v>
      </c>
      <c r="AB1482">
        <v>0.96499999999999997</v>
      </c>
      <c r="AC1482" t="s">
        <v>85</v>
      </c>
      <c r="AI1482">
        <v>2</v>
      </c>
      <c r="AV1482" t="s">
        <v>256</v>
      </c>
    </row>
    <row r="1483" spans="1:48" x14ac:dyDescent="0.3">
      <c r="A1483" t="s">
        <v>1579</v>
      </c>
      <c r="B1483" t="s">
        <v>1548</v>
      </c>
      <c r="C1483" t="s">
        <v>1495</v>
      </c>
      <c r="H1483">
        <v>10</v>
      </c>
      <c r="I1483" t="s">
        <v>82</v>
      </c>
      <c r="J1483">
        <v>9.9999999999999991E-6</v>
      </c>
      <c r="K1483" t="s">
        <v>252</v>
      </c>
      <c r="O1483">
        <v>0.15</v>
      </c>
      <c r="P1483" t="s">
        <v>59</v>
      </c>
      <c r="S1483">
        <v>1</v>
      </c>
      <c r="T1483">
        <v>20</v>
      </c>
      <c r="V1483">
        <v>50</v>
      </c>
      <c r="W1483" t="s">
        <v>1549</v>
      </c>
      <c r="X1483" t="s">
        <v>957</v>
      </c>
      <c r="Y1483">
        <v>5</v>
      </c>
      <c r="AB1483">
        <v>0.97</v>
      </c>
      <c r="AC1483" t="s">
        <v>85</v>
      </c>
      <c r="AI1483">
        <v>2</v>
      </c>
      <c r="AV1483" t="s">
        <v>256</v>
      </c>
    </row>
    <row r="1484" spans="1:48" x14ac:dyDescent="0.3">
      <c r="A1484" t="s">
        <v>1579</v>
      </c>
      <c r="B1484" t="s">
        <v>1548</v>
      </c>
      <c r="C1484" t="s">
        <v>1495</v>
      </c>
      <c r="H1484">
        <v>10</v>
      </c>
      <c r="I1484" t="s">
        <v>82</v>
      </c>
      <c r="J1484">
        <v>9.9999999999999991E-6</v>
      </c>
      <c r="K1484" t="s">
        <v>252</v>
      </c>
      <c r="O1484">
        <v>0.15</v>
      </c>
      <c r="P1484" t="s">
        <v>59</v>
      </c>
      <c r="S1484">
        <v>1</v>
      </c>
      <c r="T1484">
        <v>10</v>
      </c>
      <c r="V1484">
        <v>50</v>
      </c>
      <c r="W1484" t="s">
        <v>1549</v>
      </c>
      <c r="X1484" t="s">
        <v>957</v>
      </c>
      <c r="Y1484">
        <v>5</v>
      </c>
      <c r="AB1484">
        <v>0.97</v>
      </c>
      <c r="AC1484" t="s">
        <v>85</v>
      </c>
      <c r="AI1484">
        <v>2</v>
      </c>
      <c r="AV1484" t="s">
        <v>256</v>
      </c>
    </row>
    <row r="1485" spans="1:48" x14ac:dyDescent="0.3">
      <c r="A1485" t="s">
        <v>1579</v>
      </c>
      <c r="B1485" t="s">
        <v>1548</v>
      </c>
      <c r="C1485" t="s">
        <v>1495</v>
      </c>
      <c r="H1485">
        <v>10</v>
      </c>
      <c r="I1485" t="s">
        <v>82</v>
      </c>
      <c r="J1485">
        <v>9.9999999999999991E-6</v>
      </c>
      <c r="K1485" t="s">
        <v>252</v>
      </c>
      <c r="O1485">
        <v>0.15</v>
      </c>
      <c r="P1485" t="s">
        <v>59</v>
      </c>
      <c r="S1485">
        <v>1</v>
      </c>
      <c r="T1485">
        <v>10</v>
      </c>
      <c r="V1485">
        <v>50</v>
      </c>
      <c r="W1485" t="s">
        <v>1549</v>
      </c>
      <c r="X1485" t="s">
        <v>957</v>
      </c>
      <c r="Y1485">
        <v>30</v>
      </c>
      <c r="AB1485">
        <v>0.995</v>
      </c>
      <c r="AC1485" t="s">
        <v>85</v>
      </c>
      <c r="AI1485">
        <v>2</v>
      </c>
      <c r="AV1485" t="s">
        <v>256</v>
      </c>
    </row>
    <row r="1486" spans="1:48" x14ac:dyDescent="0.3">
      <c r="A1486" t="s">
        <v>1579</v>
      </c>
      <c r="C1486" t="s">
        <v>1495</v>
      </c>
      <c r="H1486">
        <v>10</v>
      </c>
      <c r="I1486" t="s">
        <v>82</v>
      </c>
      <c r="J1486">
        <v>9.9999999999999991E-6</v>
      </c>
      <c r="K1486" t="s">
        <v>252</v>
      </c>
      <c r="O1486">
        <v>3.7499999999999901E-2</v>
      </c>
      <c r="P1486" t="s">
        <v>59</v>
      </c>
      <c r="S1486">
        <v>1</v>
      </c>
      <c r="T1486">
        <v>20</v>
      </c>
      <c r="V1486">
        <v>50</v>
      </c>
      <c r="W1486" t="s">
        <v>1057</v>
      </c>
      <c r="X1486" t="s">
        <v>957</v>
      </c>
      <c r="Y1486">
        <v>60</v>
      </c>
      <c r="AB1486">
        <v>1</v>
      </c>
      <c r="AC1486" t="s">
        <v>85</v>
      </c>
      <c r="AI1486">
        <v>2</v>
      </c>
      <c r="AV1486" t="s">
        <v>256</v>
      </c>
    </row>
    <row r="1487" spans="1:48" x14ac:dyDescent="0.3">
      <c r="A1487" t="s">
        <v>1579</v>
      </c>
      <c r="C1487" t="s">
        <v>1495</v>
      </c>
      <c r="H1487">
        <v>10</v>
      </c>
      <c r="I1487" t="s">
        <v>82</v>
      </c>
      <c r="J1487">
        <v>9.9999999999999991E-6</v>
      </c>
      <c r="K1487" t="s">
        <v>252</v>
      </c>
      <c r="O1487">
        <v>7.49999999999999E-2</v>
      </c>
      <c r="P1487" t="s">
        <v>59</v>
      </c>
      <c r="S1487">
        <v>1</v>
      </c>
      <c r="T1487">
        <v>20</v>
      </c>
      <c r="V1487">
        <v>50</v>
      </c>
      <c r="W1487" t="s">
        <v>1057</v>
      </c>
      <c r="X1487" t="s">
        <v>957</v>
      </c>
      <c r="Y1487">
        <v>60</v>
      </c>
      <c r="AB1487">
        <v>1</v>
      </c>
      <c r="AC1487" t="s">
        <v>85</v>
      </c>
      <c r="AI1487">
        <v>2</v>
      </c>
      <c r="AV1487" t="s">
        <v>256</v>
      </c>
    </row>
    <row r="1488" spans="1:48" x14ac:dyDescent="0.3">
      <c r="A1488" t="s">
        <v>1579</v>
      </c>
      <c r="B1488" t="s">
        <v>1548</v>
      </c>
      <c r="C1488" t="s">
        <v>1495</v>
      </c>
      <c r="H1488">
        <v>10</v>
      </c>
      <c r="I1488" t="s">
        <v>82</v>
      </c>
      <c r="J1488">
        <v>9.9999999999999991E-6</v>
      </c>
      <c r="K1488" t="s">
        <v>252</v>
      </c>
      <c r="O1488">
        <v>3.7499999999999901E-2</v>
      </c>
      <c r="P1488" t="s">
        <v>59</v>
      </c>
      <c r="S1488">
        <v>1</v>
      </c>
      <c r="T1488">
        <v>20</v>
      </c>
      <c r="V1488">
        <v>50</v>
      </c>
      <c r="W1488" t="s">
        <v>1549</v>
      </c>
      <c r="X1488" t="s">
        <v>957</v>
      </c>
      <c r="Y1488">
        <v>30</v>
      </c>
      <c r="AB1488">
        <v>1.0049999999999999</v>
      </c>
      <c r="AC1488" t="s">
        <v>85</v>
      </c>
      <c r="AI1488">
        <v>2</v>
      </c>
      <c r="AV1488" t="s">
        <v>256</v>
      </c>
    </row>
    <row r="1489" spans="1:48" x14ac:dyDescent="0.3">
      <c r="A1489" t="s">
        <v>1579</v>
      </c>
      <c r="C1489" t="s">
        <v>1495</v>
      </c>
      <c r="H1489">
        <v>10</v>
      </c>
      <c r="I1489" t="s">
        <v>82</v>
      </c>
      <c r="J1489">
        <v>9.9999999999999991E-6</v>
      </c>
      <c r="K1489" t="s">
        <v>252</v>
      </c>
      <c r="O1489">
        <v>3.7499999999999901E-2</v>
      </c>
      <c r="P1489" t="s">
        <v>59</v>
      </c>
      <c r="S1489">
        <v>1</v>
      </c>
      <c r="T1489">
        <v>15</v>
      </c>
      <c r="V1489">
        <v>50</v>
      </c>
      <c r="W1489" t="s">
        <v>1057</v>
      </c>
      <c r="X1489" t="s">
        <v>957</v>
      </c>
      <c r="Y1489">
        <v>60</v>
      </c>
      <c r="AB1489">
        <v>1.01</v>
      </c>
      <c r="AC1489" t="s">
        <v>85</v>
      </c>
      <c r="AI1489">
        <v>2</v>
      </c>
      <c r="AV1489" t="s">
        <v>256</v>
      </c>
    </row>
    <row r="1490" spans="1:48" x14ac:dyDescent="0.3">
      <c r="A1490" t="s">
        <v>1579</v>
      </c>
      <c r="C1490" t="s">
        <v>1495</v>
      </c>
      <c r="H1490">
        <v>10</v>
      </c>
      <c r="I1490" t="s">
        <v>82</v>
      </c>
      <c r="J1490">
        <v>9.9999999999999991E-6</v>
      </c>
      <c r="K1490" t="s">
        <v>252</v>
      </c>
      <c r="O1490">
        <v>0.15</v>
      </c>
      <c r="P1490" t="s">
        <v>59</v>
      </c>
      <c r="S1490">
        <v>1</v>
      </c>
      <c r="T1490">
        <v>20</v>
      </c>
      <c r="V1490">
        <v>50</v>
      </c>
      <c r="W1490" t="s">
        <v>1057</v>
      </c>
      <c r="X1490" t="s">
        <v>957</v>
      </c>
      <c r="Y1490">
        <v>30</v>
      </c>
      <c r="AB1490">
        <v>1.03</v>
      </c>
      <c r="AC1490" t="s">
        <v>85</v>
      </c>
      <c r="AI1490">
        <v>2</v>
      </c>
      <c r="AV1490" t="s">
        <v>256</v>
      </c>
    </row>
    <row r="1491" spans="1:48" x14ac:dyDescent="0.3">
      <c r="A1491" t="s">
        <v>1579</v>
      </c>
      <c r="C1491" t="s">
        <v>1495</v>
      </c>
      <c r="H1491">
        <v>10</v>
      </c>
      <c r="I1491" t="s">
        <v>82</v>
      </c>
      <c r="J1491">
        <v>9.9999999999999991E-6</v>
      </c>
      <c r="K1491" t="s">
        <v>252</v>
      </c>
      <c r="O1491">
        <v>0.15</v>
      </c>
      <c r="P1491" t="s">
        <v>59</v>
      </c>
      <c r="S1491">
        <v>1</v>
      </c>
      <c r="T1491">
        <v>15</v>
      </c>
      <c r="V1491">
        <v>50</v>
      </c>
      <c r="W1491" t="s">
        <v>1057</v>
      </c>
      <c r="X1491" t="s">
        <v>957</v>
      </c>
      <c r="Y1491">
        <v>5</v>
      </c>
      <c r="AB1491">
        <v>1.0549999999999899</v>
      </c>
      <c r="AC1491" t="s">
        <v>85</v>
      </c>
      <c r="AI1491">
        <v>2</v>
      </c>
      <c r="AV1491" t="s">
        <v>256</v>
      </c>
    </row>
    <row r="1492" spans="1:48" x14ac:dyDescent="0.3">
      <c r="A1492" t="s">
        <v>1579</v>
      </c>
      <c r="C1492" t="s">
        <v>1495</v>
      </c>
      <c r="H1492">
        <v>10</v>
      </c>
      <c r="I1492" t="s">
        <v>82</v>
      </c>
      <c r="J1492">
        <v>9.9999999999999991E-6</v>
      </c>
      <c r="K1492" t="s">
        <v>252</v>
      </c>
      <c r="O1492">
        <v>3.7499999999999901E-2</v>
      </c>
      <c r="P1492" t="s">
        <v>59</v>
      </c>
      <c r="S1492">
        <v>1</v>
      </c>
      <c r="T1492">
        <v>20</v>
      </c>
      <c r="V1492">
        <v>50</v>
      </c>
      <c r="W1492" t="s">
        <v>1057</v>
      </c>
      <c r="X1492" t="s">
        <v>957</v>
      </c>
      <c r="Y1492">
        <v>30</v>
      </c>
      <c r="AB1492">
        <v>1.06</v>
      </c>
      <c r="AC1492" t="s">
        <v>85</v>
      </c>
      <c r="AI1492">
        <v>2</v>
      </c>
      <c r="AV1492" t="s">
        <v>256</v>
      </c>
    </row>
    <row r="1493" spans="1:48" x14ac:dyDescent="0.3">
      <c r="A1493" t="s">
        <v>1579</v>
      </c>
      <c r="C1493" t="s">
        <v>1495</v>
      </c>
      <c r="H1493">
        <v>10</v>
      </c>
      <c r="I1493" t="s">
        <v>82</v>
      </c>
      <c r="J1493">
        <v>9.9999999999999991E-6</v>
      </c>
      <c r="K1493" t="s">
        <v>252</v>
      </c>
      <c r="O1493">
        <v>0.22499999999999901</v>
      </c>
      <c r="P1493" t="s">
        <v>59</v>
      </c>
      <c r="S1493">
        <v>1</v>
      </c>
      <c r="T1493">
        <v>15</v>
      </c>
      <c r="V1493">
        <v>50</v>
      </c>
      <c r="W1493" t="s">
        <v>1057</v>
      </c>
      <c r="X1493" t="s">
        <v>957</v>
      </c>
      <c r="Y1493">
        <v>60</v>
      </c>
      <c r="AB1493">
        <v>1.105</v>
      </c>
      <c r="AC1493" t="s">
        <v>85</v>
      </c>
      <c r="AI1493">
        <v>2</v>
      </c>
      <c r="AV1493" t="s">
        <v>256</v>
      </c>
    </row>
    <row r="1494" spans="1:48" x14ac:dyDescent="0.3">
      <c r="A1494" t="s">
        <v>1579</v>
      </c>
      <c r="B1494" t="s">
        <v>1548</v>
      </c>
      <c r="C1494" t="s">
        <v>1495</v>
      </c>
      <c r="H1494">
        <v>10</v>
      </c>
      <c r="I1494" t="s">
        <v>82</v>
      </c>
      <c r="J1494">
        <v>9.9999999999999991E-6</v>
      </c>
      <c r="K1494" t="s">
        <v>252</v>
      </c>
      <c r="O1494">
        <v>3.7499999999999901E-2</v>
      </c>
      <c r="P1494" t="s">
        <v>59</v>
      </c>
      <c r="S1494">
        <v>1</v>
      </c>
      <c r="T1494">
        <v>10</v>
      </c>
      <c r="V1494">
        <v>50</v>
      </c>
      <c r="W1494" t="s">
        <v>1549</v>
      </c>
      <c r="X1494" t="s">
        <v>957</v>
      </c>
      <c r="Y1494">
        <v>60</v>
      </c>
      <c r="AB1494">
        <v>1.105</v>
      </c>
      <c r="AC1494" t="s">
        <v>85</v>
      </c>
      <c r="AI1494">
        <v>2</v>
      </c>
      <c r="AV1494" t="s">
        <v>256</v>
      </c>
    </row>
    <row r="1495" spans="1:48" x14ac:dyDescent="0.3">
      <c r="A1495" t="s">
        <v>1579</v>
      </c>
      <c r="C1495" t="s">
        <v>1495</v>
      </c>
      <c r="H1495">
        <v>10</v>
      </c>
      <c r="I1495" t="s">
        <v>82</v>
      </c>
      <c r="J1495">
        <v>9.9999999999999991E-6</v>
      </c>
      <c r="K1495" t="s">
        <v>252</v>
      </c>
      <c r="O1495">
        <v>7.49999999999999E-2</v>
      </c>
      <c r="P1495" t="s">
        <v>59</v>
      </c>
      <c r="S1495">
        <v>1</v>
      </c>
      <c r="T1495">
        <v>15</v>
      </c>
      <c r="V1495">
        <v>50</v>
      </c>
      <c r="W1495" t="s">
        <v>1057</v>
      </c>
      <c r="X1495" t="s">
        <v>957</v>
      </c>
      <c r="Y1495">
        <v>30</v>
      </c>
      <c r="AB1495">
        <v>1.1200000000000001</v>
      </c>
      <c r="AC1495" t="s">
        <v>85</v>
      </c>
      <c r="AI1495">
        <v>2</v>
      </c>
      <c r="AV1495" t="s">
        <v>256</v>
      </c>
    </row>
    <row r="1496" spans="1:48" x14ac:dyDescent="0.3">
      <c r="A1496" t="s">
        <v>1579</v>
      </c>
      <c r="C1496" t="s">
        <v>1495</v>
      </c>
      <c r="H1496">
        <v>10</v>
      </c>
      <c r="I1496" t="s">
        <v>82</v>
      </c>
      <c r="J1496">
        <v>9.9999999999999991E-6</v>
      </c>
      <c r="K1496" t="s">
        <v>252</v>
      </c>
      <c r="O1496">
        <v>0.15</v>
      </c>
      <c r="P1496" t="s">
        <v>59</v>
      </c>
      <c r="S1496">
        <v>1</v>
      </c>
      <c r="T1496">
        <v>10</v>
      </c>
      <c r="V1496">
        <v>50</v>
      </c>
      <c r="W1496" t="s">
        <v>1057</v>
      </c>
      <c r="X1496" t="s">
        <v>957</v>
      </c>
      <c r="Y1496">
        <v>60</v>
      </c>
      <c r="AB1496">
        <v>1.125</v>
      </c>
      <c r="AC1496" t="s">
        <v>85</v>
      </c>
      <c r="AI1496">
        <v>2</v>
      </c>
      <c r="AV1496" t="s">
        <v>256</v>
      </c>
    </row>
    <row r="1497" spans="1:48" x14ac:dyDescent="0.3">
      <c r="A1497" t="s">
        <v>1579</v>
      </c>
      <c r="B1497" t="s">
        <v>1548</v>
      </c>
      <c r="C1497" t="s">
        <v>1495</v>
      </c>
      <c r="H1497">
        <v>10</v>
      </c>
      <c r="I1497" t="s">
        <v>82</v>
      </c>
      <c r="J1497">
        <v>9.9999999999999991E-6</v>
      </c>
      <c r="K1497" t="s">
        <v>252</v>
      </c>
      <c r="O1497">
        <v>7.49999999999999E-2</v>
      </c>
      <c r="P1497" t="s">
        <v>59</v>
      </c>
      <c r="S1497">
        <v>1</v>
      </c>
      <c r="T1497">
        <v>10</v>
      </c>
      <c r="V1497">
        <v>50</v>
      </c>
      <c r="W1497" t="s">
        <v>1549</v>
      </c>
      <c r="X1497" t="s">
        <v>957</v>
      </c>
      <c r="Y1497">
        <v>60</v>
      </c>
      <c r="AB1497">
        <v>1.155</v>
      </c>
      <c r="AC1497" t="s">
        <v>85</v>
      </c>
      <c r="AI1497">
        <v>2</v>
      </c>
      <c r="AV1497" t="s">
        <v>256</v>
      </c>
    </row>
    <row r="1498" spans="1:48" x14ac:dyDescent="0.3">
      <c r="A1498" t="s">
        <v>1579</v>
      </c>
      <c r="B1498" t="s">
        <v>1548</v>
      </c>
      <c r="C1498" t="s">
        <v>1495</v>
      </c>
      <c r="H1498">
        <v>10</v>
      </c>
      <c r="I1498" t="s">
        <v>82</v>
      </c>
      <c r="J1498">
        <v>9.9999999999999991E-6</v>
      </c>
      <c r="K1498" t="s">
        <v>252</v>
      </c>
      <c r="O1498">
        <v>7.49999999999999E-2</v>
      </c>
      <c r="P1498" t="s">
        <v>59</v>
      </c>
      <c r="S1498">
        <v>1</v>
      </c>
      <c r="T1498">
        <v>20</v>
      </c>
      <c r="V1498">
        <v>50</v>
      </c>
      <c r="W1498" t="s">
        <v>1549</v>
      </c>
      <c r="X1498" t="s">
        <v>957</v>
      </c>
      <c r="Y1498">
        <v>30</v>
      </c>
      <c r="AB1498">
        <v>1.155</v>
      </c>
      <c r="AC1498" t="s">
        <v>85</v>
      </c>
      <c r="AI1498">
        <v>2</v>
      </c>
      <c r="AV1498" t="s">
        <v>256</v>
      </c>
    </row>
    <row r="1499" spans="1:48" x14ac:dyDescent="0.3">
      <c r="A1499" t="s">
        <v>1579</v>
      </c>
      <c r="B1499" t="s">
        <v>1548</v>
      </c>
      <c r="C1499" t="s">
        <v>1495</v>
      </c>
      <c r="H1499">
        <v>10</v>
      </c>
      <c r="I1499" t="s">
        <v>82</v>
      </c>
      <c r="J1499">
        <v>9.9999999999999991E-6</v>
      </c>
      <c r="K1499" t="s">
        <v>252</v>
      </c>
      <c r="O1499">
        <v>3.7499999999999901E-2</v>
      </c>
      <c r="P1499" t="s">
        <v>59</v>
      </c>
      <c r="S1499">
        <v>1</v>
      </c>
      <c r="T1499">
        <v>15</v>
      </c>
      <c r="V1499">
        <v>50</v>
      </c>
      <c r="W1499" t="s">
        <v>1549</v>
      </c>
      <c r="X1499" t="s">
        <v>957</v>
      </c>
      <c r="Y1499">
        <v>60</v>
      </c>
      <c r="AB1499">
        <v>1.1599999999999999</v>
      </c>
      <c r="AC1499" t="s">
        <v>85</v>
      </c>
      <c r="AI1499">
        <v>2</v>
      </c>
      <c r="AV1499" t="s">
        <v>256</v>
      </c>
    </row>
    <row r="1500" spans="1:48" x14ac:dyDescent="0.3">
      <c r="A1500" t="s">
        <v>1579</v>
      </c>
      <c r="B1500" t="s">
        <v>1548</v>
      </c>
      <c r="C1500" t="s">
        <v>1495</v>
      </c>
      <c r="H1500">
        <v>10</v>
      </c>
      <c r="I1500" t="s">
        <v>82</v>
      </c>
      <c r="J1500">
        <v>9.9999999999999991E-6</v>
      </c>
      <c r="K1500" t="s">
        <v>252</v>
      </c>
      <c r="O1500">
        <v>7.49999999999999E-2</v>
      </c>
      <c r="P1500" t="s">
        <v>59</v>
      </c>
      <c r="S1500">
        <v>1</v>
      </c>
      <c r="T1500">
        <v>15</v>
      </c>
      <c r="V1500">
        <v>50</v>
      </c>
      <c r="W1500" t="s">
        <v>1549</v>
      </c>
      <c r="X1500" t="s">
        <v>957</v>
      </c>
      <c r="Y1500">
        <v>5</v>
      </c>
      <c r="AB1500">
        <v>1.1599999999999999</v>
      </c>
      <c r="AC1500" t="s">
        <v>85</v>
      </c>
      <c r="AI1500">
        <v>2</v>
      </c>
      <c r="AV1500" t="s">
        <v>256</v>
      </c>
    </row>
    <row r="1501" spans="1:48" x14ac:dyDescent="0.3">
      <c r="A1501" t="s">
        <v>1579</v>
      </c>
      <c r="B1501" t="s">
        <v>1548</v>
      </c>
      <c r="C1501" t="s">
        <v>1495</v>
      </c>
      <c r="H1501">
        <v>10</v>
      </c>
      <c r="I1501" t="s">
        <v>82</v>
      </c>
      <c r="J1501">
        <v>9.9999999999999991E-6</v>
      </c>
      <c r="K1501" t="s">
        <v>252</v>
      </c>
      <c r="O1501">
        <v>0.22499999999999901</v>
      </c>
      <c r="P1501" t="s">
        <v>59</v>
      </c>
      <c r="S1501">
        <v>1</v>
      </c>
      <c r="T1501">
        <v>15</v>
      </c>
      <c r="V1501">
        <v>50</v>
      </c>
      <c r="W1501" t="s">
        <v>1549</v>
      </c>
      <c r="X1501" t="s">
        <v>957</v>
      </c>
      <c r="Y1501">
        <v>5</v>
      </c>
      <c r="AB1501">
        <v>1.17</v>
      </c>
      <c r="AC1501" t="s">
        <v>85</v>
      </c>
      <c r="AI1501">
        <v>2</v>
      </c>
      <c r="AV1501" t="s">
        <v>256</v>
      </c>
    </row>
    <row r="1502" spans="1:48" x14ac:dyDescent="0.3">
      <c r="A1502" t="s">
        <v>1579</v>
      </c>
      <c r="C1502" t="s">
        <v>1495</v>
      </c>
      <c r="H1502">
        <v>10</v>
      </c>
      <c r="I1502" t="s">
        <v>82</v>
      </c>
      <c r="J1502">
        <v>9.9999999999999991E-6</v>
      </c>
      <c r="K1502" t="s">
        <v>252</v>
      </c>
      <c r="O1502">
        <v>0.3</v>
      </c>
      <c r="P1502" t="s">
        <v>59</v>
      </c>
      <c r="S1502">
        <v>1</v>
      </c>
      <c r="T1502">
        <v>15</v>
      </c>
      <c r="V1502">
        <v>50</v>
      </c>
      <c r="W1502" t="s">
        <v>1057</v>
      </c>
      <c r="X1502" t="s">
        <v>957</v>
      </c>
      <c r="Y1502">
        <v>5</v>
      </c>
      <c r="AB1502">
        <v>1.17</v>
      </c>
      <c r="AC1502" t="s">
        <v>85</v>
      </c>
      <c r="AI1502">
        <v>2</v>
      </c>
      <c r="AV1502" t="s">
        <v>256</v>
      </c>
    </row>
    <row r="1503" spans="1:48" x14ac:dyDescent="0.3">
      <c r="A1503" t="s">
        <v>1579</v>
      </c>
      <c r="B1503" t="s">
        <v>1548</v>
      </c>
      <c r="C1503" t="s">
        <v>1495</v>
      </c>
      <c r="H1503">
        <v>10</v>
      </c>
      <c r="I1503" t="s">
        <v>82</v>
      </c>
      <c r="J1503">
        <v>9.9999999999999991E-6</v>
      </c>
      <c r="K1503" t="s">
        <v>252</v>
      </c>
      <c r="O1503">
        <v>0.3</v>
      </c>
      <c r="P1503" t="s">
        <v>59</v>
      </c>
      <c r="S1503">
        <v>1</v>
      </c>
      <c r="T1503">
        <v>15</v>
      </c>
      <c r="V1503">
        <v>50</v>
      </c>
      <c r="W1503" t="s">
        <v>1549</v>
      </c>
      <c r="X1503" t="s">
        <v>957</v>
      </c>
      <c r="Y1503">
        <v>5</v>
      </c>
      <c r="AB1503">
        <v>1.1850000000000001</v>
      </c>
      <c r="AC1503" t="s">
        <v>85</v>
      </c>
      <c r="AI1503">
        <v>2</v>
      </c>
      <c r="AV1503" t="s">
        <v>256</v>
      </c>
    </row>
    <row r="1504" spans="1:48" x14ac:dyDescent="0.3">
      <c r="A1504" t="s">
        <v>1579</v>
      </c>
      <c r="B1504" t="s">
        <v>1548</v>
      </c>
      <c r="C1504" t="s">
        <v>1495</v>
      </c>
      <c r="H1504">
        <v>10</v>
      </c>
      <c r="I1504" t="s">
        <v>82</v>
      </c>
      <c r="J1504">
        <v>9.9999999999999991E-6</v>
      </c>
      <c r="K1504" t="s">
        <v>252</v>
      </c>
      <c r="O1504">
        <v>7.49999999999999E-2</v>
      </c>
      <c r="P1504" t="s">
        <v>59</v>
      </c>
      <c r="S1504">
        <v>1</v>
      </c>
      <c r="T1504">
        <v>15</v>
      </c>
      <c r="V1504">
        <v>50</v>
      </c>
      <c r="W1504" t="s">
        <v>1549</v>
      </c>
      <c r="X1504" t="s">
        <v>957</v>
      </c>
      <c r="Y1504">
        <v>30</v>
      </c>
      <c r="AB1504">
        <v>1.21</v>
      </c>
      <c r="AC1504" t="s">
        <v>85</v>
      </c>
      <c r="AI1504">
        <v>2</v>
      </c>
      <c r="AV1504" t="s">
        <v>256</v>
      </c>
    </row>
    <row r="1505" spans="1:48" x14ac:dyDescent="0.3">
      <c r="A1505" t="s">
        <v>1579</v>
      </c>
      <c r="C1505" t="s">
        <v>1495</v>
      </c>
      <c r="H1505">
        <v>10</v>
      </c>
      <c r="I1505" t="s">
        <v>82</v>
      </c>
      <c r="J1505">
        <v>9.9999999999999991E-6</v>
      </c>
      <c r="K1505" t="s">
        <v>252</v>
      </c>
      <c r="O1505">
        <v>3.7499999999999901E-2</v>
      </c>
      <c r="P1505" t="s">
        <v>59</v>
      </c>
      <c r="S1505">
        <v>1</v>
      </c>
      <c r="T1505">
        <v>15</v>
      </c>
      <c r="V1505">
        <v>50</v>
      </c>
      <c r="W1505" t="s">
        <v>1057</v>
      </c>
      <c r="X1505" t="s">
        <v>957</v>
      </c>
      <c r="Y1505">
        <v>60</v>
      </c>
      <c r="AB1505">
        <v>1.2250000000000001</v>
      </c>
      <c r="AC1505" t="s">
        <v>85</v>
      </c>
      <c r="AI1505">
        <v>2</v>
      </c>
      <c r="AV1505" t="s">
        <v>256</v>
      </c>
    </row>
    <row r="1506" spans="1:48" x14ac:dyDescent="0.3">
      <c r="A1506" t="s">
        <v>1579</v>
      </c>
      <c r="C1506" t="s">
        <v>1495</v>
      </c>
      <c r="H1506">
        <v>10</v>
      </c>
      <c r="I1506" t="s">
        <v>82</v>
      </c>
      <c r="J1506">
        <v>9.9999999999999991E-6</v>
      </c>
      <c r="K1506" t="s">
        <v>252</v>
      </c>
      <c r="O1506">
        <v>0.3</v>
      </c>
      <c r="P1506" t="s">
        <v>59</v>
      </c>
      <c r="S1506">
        <v>1</v>
      </c>
      <c r="T1506">
        <v>10</v>
      </c>
      <c r="V1506">
        <v>50</v>
      </c>
      <c r="W1506" t="s">
        <v>1057</v>
      </c>
      <c r="X1506" t="s">
        <v>957</v>
      </c>
      <c r="Y1506">
        <v>5</v>
      </c>
      <c r="AB1506">
        <v>1.23</v>
      </c>
      <c r="AC1506" t="s">
        <v>85</v>
      </c>
      <c r="AI1506">
        <v>2</v>
      </c>
      <c r="AV1506" t="s">
        <v>256</v>
      </c>
    </row>
    <row r="1507" spans="1:48" x14ac:dyDescent="0.3">
      <c r="A1507" t="s">
        <v>1579</v>
      </c>
      <c r="B1507" t="s">
        <v>1548</v>
      </c>
      <c r="C1507" t="s">
        <v>1495</v>
      </c>
      <c r="H1507">
        <v>10</v>
      </c>
      <c r="I1507" t="s">
        <v>82</v>
      </c>
      <c r="J1507">
        <v>9.9999999999999991E-6</v>
      </c>
      <c r="K1507" t="s">
        <v>252</v>
      </c>
      <c r="O1507">
        <v>0.15</v>
      </c>
      <c r="P1507" t="s">
        <v>59</v>
      </c>
      <c r="S1507">
        <v>1</v>
      </c>
      <c r="T1507">
        <v>20</v>
      </c>
      <c r="V1507">
        <v>50</v>
      </c>
      <c r="W1507" t="s">
        <v>1549</v>
      </c>
      <c r="X1507" t="s">
        <v>957</v>
      </c>
      <c r="Y1507">
        <v>5</v>
      </c>
      <c r="AB1507">
        <v>1.2349999999999901</v>
      </c>
      <c r="AC1507" t="s">
        <v>85</v>
      </c>
      <c r="AI1507">
        <v>2</v>
      </c>
      <c r="AV1507" t="s">
        <v>256</v>
      </c>
    </row>
    <row r="1508" spans="1:48" x14ac:dyDescent="0.3">
      <c r="A1508" t="s">
        <v>1579</v>
      </c>
      <c r="B1508" t="s">
        <v>1548</v>
      </c>
      <c r="C1508" t="s">
        <v>1495</v>
      </c>
      <c r="H1508">
        <v>10</v>
      </c>
      <c r="I1508" t="s">
        <v>82</v>
      </c>
      <c r="J1508">
        <v>9.9999999999999991E-6</v>
      </c>
      <c r="K1508" t="s">
        <v>252</v>
      </c>
      <c r="O1508">
        <v>0.3</v>
      </c>
      <c r="P1508" t="s">
        <v>59</v>
      </c>
      <c r="S1508">
        <v>1</v>
      </c>
      <c r="T1508">
        <v>15</v>
      </c>
      <c r="V1508">
        <v>50</v>
      </c>
      <c r="W1508" t="s">
        <v>1549</v>
      </c>
      <c r="X1508" t="s">
        <v>957</v>
      </c>
      <c r="Y1508">
        <v>30</v>
      </c>
      <c r="AB1508">
        <v>1.2350000000000001</v>
      </c>
      <c r="AC1508" t="s">
        <v>85</v>
      </c>
      <c r="AI1508">
        <v>2</v>
      </c>
      <c r="AV1508" t="s">
        <v>256</v>
      </c>
    </row>
    <row r="1509" spans="1:48" x14ac:dyDescent="0.3">
      <c r="A1509" t="s">
        <v>1579</v>
      </c>
      <c r="B1509" t="s">
        <v>1548</v>
      </c>
      <c r="C1509" t="s">
        <v>1495</v>
      </c>
      <c r="H1509">
        <v>10</v>
      </c>
      <c r="I1509" t="s">
        <v>82</v>
      </c>
      <c r="J1509">
        <v>9.9999999999999991E-6</v>
      </c>
      <c r="K1509" t="s">
        <v>252</v>
      </c>
      <c r="O1509">
        <v>7.49999999999999E-2</v>
      </c>
      <c r="P1509" t="s">
        <v>59</v>
      </c>
      <c r="S1509">
        <v>1</v>
      </c>
      <c r="T1509">
        <v>20</v>
      </c>
      <c r="V1509">
        <v>50</v>
      </c>
      <c r="W1509" t="s">
        <v>1549</v>
      </c>
      <c r="X1509" t="s">
        <v>957</v>
      </c>
      <c r="Y1509">
        <v>5</v>
      </c>
      <c r="AB1509">
        <v>1.27</v>
      </c>
      <c r="AC1509" t="s">
        <v>85</v>
      </c>
      <c r="AI1509">
        <v>2</v>
      </c>
      <c r="AV1509" t="s">
        <v>256</v>
      </c>
    </row>
    <row r="1510" spans="1:48" x14ac:dyDescent="0.3">
      <c r="A1510" t="s">
        <v>1579</v>
      </c>
      <c r="C1510" t="s">
        <v>1495</v>
      </c>
      <c r="H1510">
        <v>10</v>
      </c>
      <c r="I1510" t="s">
        <v>82</v>
      </c>
      <c r="J1510">
        <v>9.9999999999999991E-6</v>
      </c>
      <c r="K1510" t="s">
        <v>252</v>
      </c>
      <c r="O1510">
        <v>3.7499999999999901E-2</v>
      </c>
      <c r="P1510" t="s">
        <v>59</v>
      </c>
      <c r="S1510">
        <v>1</v>
      </c>
      <c r="T1510">
        <v>20</v>
      </c>
      <c r="V1510">
        <v>50</v>
      </c>
      <c r="W1510" t="s">
        <v>1057</v>
      </c>
      <c r="X1510" t="s">
        <v>957</v>
      </c>
      <c r="Y1510">
        <v>30</v>
      </c>
      <c r="AB1510">
        <v>1.27</v>
      </c>
      <c r="AC1510" t="s">
        <v>85</v>
      </c>
      <c r="AI1510">
        <v>2</v>
      </c>
      <c r="AV1510" t="s">
        <v>256</v>
      </c>
    </row>
    <row r="1511" spans="1:48" x14ac:dyDescent="0.3">
      <c r="A1511" t="s">
        <v>1579</v>
      </c>
      <c r="B1511" t="s">
        <v>1548</v>
      </c>
      <c r="C1511" t="s">
        <v>1495</v>
      </c>
      <c r="H1511">
        <v>10</v>
      </c>
      <c r="I1511" t="s">
        <v>82</v>
      </c>
      <c r="J1511">
        <v>9.9999999999999991E-6</v>
      </c>
      <c r="K1511" t="s">
        <v>252</v>
      </c>
      <c r="O1511">
        <v>3.7499999999999901E-2</v>
      </c>
      <c r="P1511" t="s">
        <v>59</v>
      </c>
      <c r="S1511">
        <v>1</v>
      </c>
      <c r="T1511">
        <v>15</v>
      </c>
      <c r="V1511">
        <v>50</v>
      </c>
      <c r="W1511" t="s">
        <v>1549</v>
      </c>
      <c r="X1511" t="s">
        <v>957</v>
      </c>
      <c r="Y1511">
        <v>30</v>
      </c>
      <c r="AB1511">
        <v>1.2749999999999899</v>
      </c>
      <c r="AC1511" t="s">
        <v>85</v>
      </c>
      <c r="AI1511">
        <v>2</v>
      </c>
      <c r="AV1511" t="s">
        <v>256</v>
      </c>
    </row>
    <row r="1512" spans="1:48" x14ac:dyDescent="0.3">
      <c r="A1512" t="s">
        <v>1579</v>
      </c>
      <c r="C1512" t="s">
        <v>1495</v>
      </c>
      <c r="H1512">
        <v>10</v>
      </c>
      <c r="I1512" t="s">
        <v>82</v>
      </c>
      <c r="J1512">
        <v>9.9999999999999991E-6</v>
      </c>
      <c r="K1512" t="s">
        <v>252</v>
      </c>
      <c r="O1512">
        <v>7.49999999999999E-2</v>
      </c>
      <c r="P1512" t="s">
        <v>59</v>
      </c>
      <c r="S1512">
        <v>1</v>
      </c>
      <c r="T1512">
        <v>10</v>
      </c>
      <c r="V1512">
        <v>50</v>
      </c>
      <c r="W1512" t="s">
        <v>1057</v>
      </c>
      <c r="X1512" t="s">
        <v>957</v>
      </c>
      <c r="Y1512">
        <v>60</v>
      </c>
      <c r="AB1512">
        <v>1.3</v>
      </c>
      <c r="AC1512" t="s">
        <v>85</v>
      </c>
      <c r="AI1512">
        <v>2</v>
      </c>
      <c r="AV1512" t="s">
        <v>256</v>
      </c>
    </row>
    <row r="1513" spans="1:48" x14ac:dyDescent="0.3">
      <c r="A1513" t="s">
        <v>1579</v>
      </c>
      <c r="B1513" t="s">
        <v>1548</v>
      </c>
      <c r="C1513" t="s">
        <v>1495</v>
      </c>
      <c r="H1513">
        <v>10</v>
      </c>
      <c r="I1513" t="s">
        <v>82</v>
      </c>
      <c r="J1513">
        <v>9.9999999999999991E-6</v>
      </c>
      <c r="K1513" t="s">
        <v>252</v>
      </c>
      <c r="O1513">
        <v>0.3</v>
      </c>
      <c r="P1513" t="s">
        <v>59</v>
      </c>
      <c r="S1513">
        <v>1</v>
      </c>
      <c r="T1513">
        <v>10</v>
      </c>
      <c r="V1513">
        <v>50</v>
      </c>
      <c r="W1513" t="s">
        <v>1549</v>
      </c>
      <c r="X1513" t="s">
        <v>957</v>
      </c>
      <c r="Y1513">
        <v>5</v>
      </c>
      <c r="AB1513">
        <v>1.31</v>
      </c>
      <c r="AC1513" t="s">
        <v>85</v>
      </c>
      <c r="AI1513">
        <v>2</v>
      </c>
      <c r="AV1513" t="s">
        <v>256</v>
      </c>
    </row>
    <row r="1514" spans="1:48" x14ac:dyDescent="0.3">
      <c r="A1514" t="s">
        <v>1579</v>
      </c>
      <c r="B1514" t="s">
        <v>1548</v>
      </c>
      <c r="C1514" t="s">
        <v>1495</v>
      </c>
      <c r="H1514">
        <v>10</v>
      </c>
      <c r="I1514" t="s">
        <v>82</v>
      </c>
      <c r="J1514">
        <v>9.9999999999999991E-6</v>
      </c>
      <c r="K1514" t="s">
        <v>252</v>
      </c>
      <c r="O1514">
        <v>0.15</v>
      </c>
      <c r="P1514" t="s">
        <v>59</v>
      </c>
      <c r="S1514">
        <v>1</v>
      </c>
      <c r="T1514">
        <v>20</v>
      </c>
      <c r="V1514">
        <v>50</v>
      </c>
      <c r="W1514" t="s">
        <v>1549</v>
      </c>
      <c r="X1514" t="s">
        <v>957</v>
      </c>
      <c r="Y1514">
        <v>5</v>
      </c>
      <c r="AB1514">
        <v>1.32</v>
      </c>
      <c r="AC1514" t="s">
        <v>85</v>
      </c>
      <c r="AI1514">
        <v>2</v>
      </c>
      <c r="AV1514" t="s">
        <v>256</v>
      </c>
    </row>
    <row r="1515" spans="1:48" x14ac:dyDescent="0.3">
      <c r="A1515" t="s">
        <v>1579</v>
      </c>
      <c r="B1515" t="s">
        <v>1548</v>
      </c>
      <c r="C1515" t="s">
        <v>1495</v>
      </c>
      <c r="H1515">
        <v>10</v>
      </c>
      <c r="I1515" t="s">
        <v>82</v>
      </c>
      <c r="J1515">
        <v>9.9999999999999991E-6</v>
      </c>
      <c r="K1515" t="s">
        <v>252</v>
      </c>
      <c r="O1515">
        <v>0.22499999999999901</v>
      </c>
      <c r="P1515" t="s">
        <v>59</v>
      </c>
      <c r="S1515">
        <v>1</v>
      </c>
      <c r="T1515">
        <v>10</v>
      </c>
      <c r="V1515">
        <v>50</v>
      </c>
      <c r="W1515" t="s">
        <v>1549</v>
      </c>
      <c r="X1515" t="s">
        <v>957</v>
      </c>
      <c r="Y1515">
        <v>5</v>
      </c>
      <c r="AB1515">
        <v>1.345</v>
      </c>
      <c r="AC1515" t="s">
        <v>85</v>
      </c>
      <c r="AI1515">
        <v>2</v>
      </c>
      <c r="AV1515" t="s">
        <v>256</v>
      </c>
    </row>
    <row r="1516" spans="1:48" x14ac:dyDescent="0.3">
      <c r="A1516" t="s">
        <v>1579</v>
      </c>
      <c r="B1516" t="s">
        <v>1548</v>
      </c>
      <c r="C1516" t="s">
        <v>1495</v>
      </c>
      <c r="H1516">
        <v>10</v>
      </c>
      <c r="I1516" t="s">
        <v>82</v>
      </c>
      <c r="J1516">
        <v>9.9999999999999991E-6</v>
      </c>
      <c r="K1516" t="s">
        <v>252</v>
      </c>
      <c r="O1516">
        <v>7.49999999999999E-2</v>
      </c>
      <c r="P1516" t="s">
        <v>59</v>
      </c>
      <c r="S1516">
        <v>1</v>
      </c>
      <c r="T1516">
        <v>15</v>
      </c>
      <c r="V1516">
        <v>50</v>
      </c>
      <c r="W1516" t="s">
        <v>1549</v>
      </c>
      <c r="X1516" t="s">
        <v>957</v>
      </c>
      <c r="Y1516">
        <v>60</v>
      </c>
      <c r="AB1516">
        <v>1.35</v>
      </c>
      <c r="AC1516" t="s">
        <v>85</v>
      </c>
      <c r="AI1516">
        <v>2</v>
      </c>
      <c r="AV1516" t="s">
        <v>256</v>
      </c>
    </row>
    <row r="1517" spans="1:48" x14ac:dyDescent="0.3">
      <c r="A1517" t="s">
        <v>1579</v>
      </c>
      <c r="C1517" t="s">
        <v>1495</v>
      </c>
      <c r="H1517">
        <v>10</v>
      </c>
      <c r="I1517" t="s">
        <v>82</v>
      </c>
      <c r="J1517">
        <v>9.9999999999999991E-6</v>
      </c>
      <c r="K1517" t="s">
        <v>252</v>
      </c>
      <c r="O1517">
        <v>0.15</v>
      </c>
      <c r="P1517" t="s">
        <v>59</v>
      </c>
      <c r="S1517">
        <v>1</v>
      </c>
      <c r="T1517">
        <v>20</v>
      </c>
      <c r="V1517">
        <v>50</v>
      </c>
      <c r="W1517" t="s">
        <v>1057</v>
      </c>
      <c r="X1517" t="s">
        <v>957</v>
      </c>
      <c r="Y1517">
        <v>5</v>
      </c>
      <c r="AB1517">
        <v>1.355</v>
      </c>
      <c r="AC1517" t="s">
        <v>85</v>
      </c>
      <c r="AI1517">
        <v>2</v>
      </c>
      <c r="AV1517" t="s">
        <v>256</v>
      </c>
    </row>
    <row r="1518" spans="1:48" x14ac:dyDescent="0.3">
      <c r="A1518" t="s">
        <v>1579</v>
      </c>
      <c r="B1518" t="s">
        <v>1548</v>
      </c>
      <c r="C1518" t="s">
        <v>1495</v>
      </c>
      <c r="H1518">
        <v>10</v>
      </c>
      <c r="I1518" t="s">
        <v>82</v>
      </c>
      <c r="J1518">
        <v>9.9999999999999991E-6</v>
      </c>
      <c r="K1518" t="s">
        <v>252</v>
      </c>
      <c r="O1518">
        <v>0.3</v>
      </c>
      <c r="P1518" t="s">
        <v>59</v>
      </c>
      <c r="S1518">
        <v>1</v>
      </c>
      <c r="T1518">
        <v>10</v>
      </c>
      <c r="V1518">
        <v>50</v>
      </c>
      <c r="W1518" t="s">
        <v>1549</v>
      </c>
      <c r="X1518" t="s">
        <v>957</v>
      </c>
      <c r="Y1518">
        <v>60</v>
      </c>
      <c r="AB1518">
        <v>1.38499999999999</v>
      </c>
      <c r="AC1518" t="s">
        <v>85</v>
      </c>
      <c r="AI1518">
        <v>2</v>
      </c>
      <c r="AV1518" t="s">
        <v>256</v>
      </c>
    </row>
    <row r="1519" spans="1:48" x14ac:dyDescent="0.3">
      <c r="A1519" t="s">
        <v>1579</v>
      </c>
      <c r="B1519" t="s">
        <v>1548</v>
      </c>
      <c r="C1519" t="s">
        <v>1495</v>
      </c>
      <c r="H1519">
        <v>10</v>
      </c>
      <c r="I1519" t="s">
        <v>82</v>
      </c>
      <c r="J1519">
        <v>9.9999999999999991E-6</v>
      </c>
      <c r="K1519" t="s">
        <v>252</v>
      </c>
      <c r="O1519">
        <v>0.3</v>
      </c>
      <c r="P1519" t="s">
        <v>59</v>
      </c>
      <c r="S1519">
        <v>1</v>
      </c>
      <c r="T1519">
        <v>10</v>
      </c>
      <c r="V1519">
        <v>50</v>
      </c>
      <c r="W1519" t="s">
        <v>1549</v>
      </c>
      <c r="X1519" t="s">
        <v>957</v>
      </c>
      <c r="Y1519">
        <v>5</v>
      </c>
      <c r="AB1519">
        <v>1.395</v>
      </c>
      <c r="AC1519" t="s">
        <v>85</v>
      </c>
      <c r="AI1519">
        <v>2</v>
      </c>
      <c r="AV1519" t="s">
        <v>256</v>
      </c>
    </row>
    <row r="1520" spans="1:48" x14ac:dyDescent="0.3">
      <c r="A1520" t="s">
        <v>1579</v>
      </c>
      <c r="C1520" t="s">
        <v>1495</v>
      </c>
      <c r="H1520">
        <v>10</v>
      </c>
      <c r="I1520" t="s">
        <v>82</v>
      </c>
      <c r="J1520">
        <v>9.9999999999999991E-6</v>
      </c>
      <c r="K1520" t="s">
        <v>252</v>
      </c>
      <c r="O1520">
        <v>7.49999999999999E-2</v>
      </c>
      <c r="P1520" t="s">
        <v>59</v>
      </c>
      <c r="S1520">
        <v>1</v>
      </c>
      <c r="T1520">
        <v>20</v>
      </c>
      <c r="V1520">
        <v>50</v>
      </c>
      <c r="W1520" t="s">
        <v>1057</v>
      </c>
      <c r="X1520" t="s">
        <v>957</v>
      </c>
      <c r="Y1520">
        <v>30</v>
      </c>
      <c r="AB1520">
        <v>1.41</v>
      </c>
      <c r="AC1520" t="s">
        <v>85</v>
      </c>
      <c r="AI1520">
        <v>2</v>
      </c>
      <c r="AV1520" t="s">
        <v>256</v>
      </c>
    </row>
    <row r="1521" spans="1:48" x14ac:dyDescent="0.3">
      <c r="A1521" t="s">
        <v>1579</v>
      </c>
      <c r="B1521" t="s">
        <v>1548</v>
      </c>
      <c r="C1521" t="s">
        <v>1495</v>
      </c>
      <c r="H1521">
        <v>10</v>
      </c>
      <c r="I1521" t="s">
        <v>82</v>
      </c>
      <c r="J1521">
        <v>9.9999999999999991E-6</v>
      </c>
      <c r="K1521" t="s">
        <v>252</v>
      </c>
      <c r="O1521">
        <v>0.3</v>
      </c>
      <c r="P1521" t="s">
        <v>59</v>
      </c>
      <c r="S1521">
        <v>1</v>
      </c>
      <c r="T1521">
        <v>15</v>
      </c>
      <c r="V1521">
        <v>50</v>
      </c>
      <c r="W1521" t="s">
        <v>1549</v>
      </c>
      <c r="X1521" t="s">
        <v>957</v>
      </c>
      <c r="Y1521">
        <v>5</v>
      </c>
      <c r="AB1521">
        <v>1.42</v>
      </c>
      <c r="AC1521" t="s">
        <v>85</v>
      </c>
      <c r="AI1521">
        <v>2</v>
      </c>
      <c r="AV1521" t="s">
        <v>256</v>
      </c>
    </row>
    <row r="1522" spans="1:48" x14ac:dyDescent="0.3">
      <c r="A1522" t="s">
        <v>1579</v>
      </c>
      <c r="B1522" t="s">
        <v>1548</v>
      </c>
      <c r="C1522" t="s">
        <v>1495</v>
      </c>
      <c r="H1522">
        <v>10</v>
      </c>
      <c r="I1522" t="s">
        <v>82</v>
      </c>
      <c r="J1522">
        <v>9.9999999999999991E-6</v>
      </c>
      <c r="K1522" t="s">
        <v>252</v>
      </c>
      <c r="O1522">
        <v>0.15</v>
      </c>
      <c r="P1522" t="s">
        <v>59</v>
      </c>
      <c r="S1522">
        <v>1</v>
      </c>
      <c r="T1522">
        <v>10</v>
      </c>
      <c r="V1522">
        <v>50</v>
      </c>
      <c r="W1522" t="s">
        <v>1549</v>
      </c>
      <c r="X1522" t="s">
        <v>957</v>
      </c>
      <c r="Y1522">
        <v>30</v>
      </c>
      <c r="AB1522">
        <v>1.425</v>
      </c>
      <c r="AC1522" t="s">
        <v>85</v>
      </c>
      <c r="AI1522">
        <v>2</v>
      </c>
      <c r="AV1522" t="s">
        <v>256</v>
      </c>
    </row>
    <row r="1523" spans="1:48" x14ac:dyDescent="0.3">
      <c r="A1523" t="s">
        <v>1579</v>
      </c>
      <c r="B1523" t="s">
        <v>1548</v>
      </c>
      <c r="C1523" t="s">
        <v>1495</v>
      </c>
      <c r="H1523">
        <v>10</v>
      </c>
      <c r="I1523" t="s">
        <v>82</v>
      </c>
      <c r="J1523">
        <v>9.9999999999999991E-6</v>
      </c>
      <c r="K1523" t="s">
        <v>252</v>
      </c>
      <c r="O1523">
        <v>0.15</v>
      </c>
      <c r="P1523" t="s">
        <v>59</v>
      </c>
      <c r="S1523">
        <v>1</v>
      </c>
      <c r="T1523">
        <v>20</v>
      </c>
      <c r="V1523">
        <v>50</v>
      </c>
      <c r="W1523" t="s">
        <v>1549</v>
      </c>
      <c r="X1523" t="s">
        <v>957</v>
      </c>
      <c r="Y1523">
        <v>30</v>
      </c>
      <c r="AB1523">
        <v>1.44</v>
      </c>
      <c r="AC1523" t="s">
        <v>85</v>
      </c>
      <c r="AI1523">
        <v>2</v>
      </c>
      <c r="AV1523" t="s">
        <v>256</v>
      </c>
    </row>
    <row r="1524" spans="1:48" x14ac:dyDescent="0.3">
      <c r="A1524" t="s">
        <v>1579</v>
      </c>
      <c r="C1524" t="s">
        <v>1495</v>
      </c>
      <c r="H1524">
        <v>10</v>
      </c>
      <c r="I1524" t="s">
        <v>82</v>
      </c>
      <c r="J1524">
        <v>9.9999999999999991E-6</v>
      </c>
      <c r="K1524" t="s">
        <v>252</v>
      </c>
      <c r="O1524">
        <v>0.15</v>
      </c>
      <c r="P1524" t="s">
        <v>59</v>
      </c>
      <c r="S1524">
        <v>1</v>
      </c>
      <c r="T1524">
        <v>10</v>
      </c>
      <c r="V1524">
        <v>50</v>
      </c>
      <c r="W1524" t="s">
        <v>1057</v>
      </c>
      <c r="X1524" t="s">
        <v>957</v>
      </c>
      <c r="Y1524">
        <v>30</v>
      </c>
      <c r="AB1524">
        <v>1.4449999999999901</v>
      </c>
      <c r="AC1524" t="s">
        <v>85</v>
      </c>
      <c r="AI1524">
        <v>2</v>
      </c>
      <c r="AV1524" t="s">
        <v>256</v>
      </c>
    </row>
    <row r="1525" spans="1:48" x14ac:dyDescent="0.3">
      <c r="A1525" t="s">
        <v>1579</v>
      </c>
      <c r="C1525" t="s">
        <v>1495</v>
      </c>
      <c r="H1525">
        <v>10</v>
      </c>
      <c r="I1525" t="s">
        <v>82</v>
      </c>
      <c r="J1525">
        <v>9.9999999999999991E-6</v>
      </c>
      <c r="K1525" t="s">
        <v>252</v>
      </c>
      <c r="O1525">
        <v>0.3</v>
      </c>
      <c r="P1525" t="s">
        <v>59</v>
      </c>
      <c r="S1525">
        <v>1</v>
      </c>
      <c r="T1525">
        <v>15</v>
      </c>
      <c r="V1525">
        <v>50</v>
      </c>
      <c r="W1525" t="s">
        <v>1057</v>
      </c>
      <c r="X1525" t="s">
        <v>957</v>
      </c>
      <c r="Y1525">
        <v>5</v>
      </c>
      <c r="AB1525">
        <v>1.4449999999999901</v>
      </c>
      <c r="AC1525" t="s">
        <v>85</v>
      </c>
      <c r="AI1525">
        <v>2</v>
      </c>
      <c r="AV1525" t="s">
        <v>256</v>
      </c>
    </row>
    <row r="1526" spans="1:48" x14ac:dyDescent="0.3">
      <c r="A1526" t="s">
        <v>1579</v>
      </c>
      <c r="C1526" t="s">
        <v>1495</v>
      </c>
      <c r="H1526">
        <v>10</v>
      </c>
      <c r="I1526" t="s">
        <v>82</v>
      </c>
      <c r="J1526">
        <v>9.9999999999999991E-6</v>
      </c>
      <c r="K1526" t="s">
        <v>252</v>
      </c>
      <c r="O1526">
        <v>0.22499999999999901</v>
      </c>
      <c r="P1526" t="s">
        <v>59</v>
      </c>
      <c r="S1526">
        <v>1</v>
      </c>
      <c r="T1526">
        <v>10</v>
      </c>
      <c r="V1526">
        <v>50</v>
      </c>
      <c r="W1526" t="s">
        <v>1057</v>
      </c>
      <c r="X1526" t="s">
        <v>957</v>
      </c>
      <c r="Y1526">
        <v>30</v>
      </c>
      <c r="AB1526">
        <v>1.4649999999999901</v>
      </c>
      <c r="AC1526" t="s">
        <v>85</v>
      </c>
      <c r="AI1526">
        <v>2</v>
      </c>
      <c r="AV1526" t="s">
        <v>256</v>
      </c>
    </row>
    <row r="1527" spans="1:48" x14ac:dyDescent="0.3">
      <c r="A1527" t="s">
        <v>1579</v>
      </c>
      <c r="B1527" t="s">
        <v>1548</v>
      </c>
      <c r="C1527" t="s">
        <v>1495</v>
      </c>
      <c r="H1527">
        <v>10</v>
      </c>
      <c r="I1527" t="s">
        <v>82</v>
      </c>
      <c r="J1527">
        <v>9.9999999999999991E-6</v>
      </c>
      <c r="K1527" t="s">
        <v>252</v>
      </c>
      <c r="O1527">
        <v>7.49999999999999E-2</v>
      </c>
      <c r="P1527" t="s">
        <v>59</v>
      </c>
      <c r="S1527">
        <v>1</v>
      </c>
      <c r="T1527">
        <v>20</v>
      </c>
      <c r="V1527">
        <v>50</v>
      </c>
      <c r="W1527" t="s">
        <v>1549</v>
      </c>
      <c r="X1527" t="s">
        <v>957</v>
      </c>
      <c r="Y1527">
        <v>30</v>
      </c>
      <c r="AB1527">
        <v>1.47</v>
      </c>
      <c r="AC1527" t="s">
        <v>85</v>
      </c>
      <c r="AI1527">
        <v>2</v>
      </c>
      <c r="AV1527" t="s">
        <v>256</v>
      </c>
    </row>
    <row r="1528" spans="1:48" x14ac:dyDescent="0.3">
      <c r="A1528" t="s">
        <v>1579</v>
      </c>
      <c r="C1528" t="s">
        <v>1495</v>
      </c>
      <c r="H1528">
        <v>10</v>
      </c>
      <c r="I1528" t="s">
        <v>82</v>
      </c>
      <c r="J1528">
        <v>9.9999999999999991E-6</v>
      </c>
      <c r="K1528" t="s">
        <v>252</v>
      </c>
      <c r="O1528">
        <v>0.22499999999999901</v>
      </c>
      <c r="P1528" t="s">
        <v>59</v>
      </c>
      <c r="S1528">
        <v>1</v>
      </c>
      <c r="T1528">
        <v>20</v>
      </c>
      <c r="V1528">
        <v>50</v>
      </c>
      <c r="W1528" t="s">
        <v>1057</v>
      </c>
      <c r="X1528" t="s">
        <v>957</v>
      </c>
      <c r="Y1528">
        <v>30</v>
      </c>
      <c r="AB1528">
        <v>1.51</v>
      </c>
      <c r="AC1528" t="s">
        <v>85</v>
      </c>
      <c r="AI1528">
        <v>2</v>
      </c>
      <c r="AV1528" t="s">
        <v>256</v>
      </c>
    </row>
    <row r="1529" spans="1:48" x14ac:dyDescent="0.3">
      <c r="A1529" t="s">
        <v>1579</v>
      </c>
      <c r="C1529" t="s">
        <v>1495</v>
      </c>
      <c r="H1529">
        <v>10</v>
      </c>
      <c r="I1529" t="s">
        <v>82</v>
      </c>
      <c r="J1529">
        <v>9.9999999999999991E-6</v>
      </c>
      <c r="K1529" t="s">
        <v>252</v>
      </c>
      <c r="O1529">
        <v>0.15</v>
      </c>
      <c r="P1529" t="s">
        <v>59</v>
      </c>
      <c r="S1529">
        <v>1</v>
      </c>
      <c r="T1529">
        <v>20</v>
      </c>
      <c r="V1529">
        <v>50</v>
      </c>
      <c r="W1529" t="s">
        <v>1057</v>
      </c>
      <c r="X1529" t="s">
        <v>957</v>
      </c>
      <c r="Y1529">
        <v>5</v>
      </c>
      <c r="AB1529">
        <v>1.5149999999999999</v>
      </c>
      <c r="AC1529" t="s">
        <v>85</v>
      </c>
      <c r="AI1529">
        <v>2</v>
      </c>
      <c r="AV1529" t="s">
        <v>256</v>
      </c>
    </row>
    <row r="1530" spans="1:48" x14ac:dyDescent="0.3">
      <c r="A1530" t="s">
        <v>1579</v>
      </c>
      <c r="B1530" t="s">
        <v>1548</v>
      </c>
      <c r="C1530" t="s">
        <v>1495</v>
      </c>
      <c r="H1530">
        <v>10</v>
      </c>
      <c r="I1530" t="s">
        <v>82</v>
      </c>
      <c r="J1530">
        <v>9.9999999999999991E-6</v>
      </c>
      <c r="K1530" t="s">
        <v>252</v>
      </c>
      <c r="O1530">
        <v>3.7499999999999901E-2</v>
      </c>
      <c r="P1530" t="s">
        <v>59</v>
      </c>
      <c r="S1530">
        <v>1</v>
      </c>
      <c r="T1530">
        <v>20</v>
      </c>
      <c r="V1530">
        <v>50</v>
      </c>
      <c r="W1530" t="s">
        <v>1549</v>
      </c>
      <c r="X1530" t="s">
        <v>957</v>
      </c>
      <c r="Y1530">
        <v>60</v>
      </c>
      <c r="AB1530">
        <v>1.53</v>
      </c>
      <c r="AC1530" t="s">
        <v>85</v>
      </c>
      <c r="AI1530">
        <v>2</v>
      </c>
      <c r="AV1530" t="s">
        <v>256</v>
      </c>
    </row>
    <row r="1531" spans="1:48" x14ac:dyDescent="0.3">
      <c r="A1531" t="s">
        <v>1579</v>
      </c>
      <c r="B1531" t="s">
        <v>1548</v>
      </c>
      <c r="C1531" t="s">
        <v>1495</v>
      </c>
      <c r="H1531">
        <v>10</v>
      </c>
      <c r="I1531" t="s">
        <v>82</v>
      </c>
      <c r="J1531">
        <v>9.9999999999999991E-6</v>
      </c>
      <c r="K1531" t="s">
        <v>252</v>
      </c>
      <c r="O1531">
        <v>7.49999999999999E-2</v>
      </c>
      <c r="P1531" t="s">
        <v>59</v>
      </c>
      <c r="S1531">
        <v>1</v>
      </c>
      <c r="T1531">
        <v>10</v>
      </c>
      <c r="V1531">
        <v>50</v>
      </c>
      <c r="W1531" t="s">
        <v>1549</v>
      </c>
      <c r="X1531" t="s">
        <v>957</v>
      </c>
      <c r="Y1531">
        <v>60</v>
      </c>
      <c r="AB1531">
        <v>1.53</v>
      </c>
      <c r="AC1531" t="s">
        <v>85</v>
      </c>
      <c r="AI1531">
        <v>2</v>
      </c>
      <c r="AV1531" t="s">
        <v>256</v>
      </c>
    </row>
    <row r="1532" spans="1:48" x14ac:dyDescent="0.3">
      <c r="A1532" t="s">
        <v>1579</v>
      </c>
      <c r="B1532" t="s">
        <v>1548</v>
      </c>
      <c r="C1532" t="s">
        <v>1495</v>
      </c>
      <c r="H1532">
        <v>10</v>
      </c>
      <c r="I1532" t="s">
        <v>82</v>
      </c>
      <c r="J1532">
        <v>9.9999999999999991E-6</v>
      </c>
      <c r="K1532" t="s">
        <v>252</v>
      </c>
      <c r="O1532">
        <v>0.15</v>
      </c>
      <c r="P1532" t="s">
        <v>59</v>
      </c>
      <c r="S1532">
        <v>1</v>
      </c>
      <c r="T1532">
        <v>10</v>
      </c>
      <c r="V1532">
        <v>50</v>
      </c>
      <c r="W1532" t="s">
        <v>1549</v>
      </c>
      <c r="X1532" t="s">
        <v>957</v>
      </c>
      <c r="Y1532">
        <v>60</v>
      </c>
      <c r="AB1532">
        <v>1.5349999999999999</v>
      </c>
      <c r="AC1532" t="s">
        <v>85</v>
      </c>
      <c r="AI1532">
        <v>2</v>
      </c>
      <c r="AV1532" t="s">
        <v>256</v>
      </c>
    </row>
    <row r="1533" spans="1:48" x14ac:dyDescent="0.3">
      <c r="A1533" t="s">
        <v>1579</v>
      </c>
      <c r="C1533" t="s">
        <v>1495</v>
      </c>
      <c r="H1533">
        <v>10</v>
      </c>
      <c r="I1533" t="s">
        <v>82</v>
      </c>
      <c r="J1533">
        <v>9.9999999999999991E-6</v>
      </c>
      <c r="K1533" t="s">
        <v>252</v>
      </c>
      <c r="O1533">
        <v>0.15</v>
      </c>
      <c r="P1533" t="s">
        <v>59</v>
      </c>
      <c r="S1533">
        <v>1</v>
      </c>
      <c r="T1533">
        <v>10</v>
      </c>
      <c r="V1533">
        <v>50</v>
      </c>
      <c r="W1533" t="s">
        <v>1057</v>
      </c>
      <c r="X1533" t="s">
        <v>957</v>
      </c>
      <c r="Y1533">
        <v>30</v>
      </c>
      <c r="AB1533">
        <v>1.54</v>
      </c>
      <c r="AC1533" t="s">
        <v>85</v>
      </c>
      <c r="AI1533">
        <v>2</v>
      </c>
      <c r="AV1533" t="s">
        <v>256</v>
      </c>
    </row>
    <row r="1534" spans="1:48" x14ac:dyDescent="0.3">
      <c r="A1534" t="s">
        <v>1579</v>
      </c>
      <c r="B1534" t="s">
        <v>1548</v>
      </c>
      <c r="C1534" t="s">
        <v>1495</v>
      </c>
      <c r="H1534">
        <v>10</v>
      </c>
      <c r="I1534" t="s">
        <v>82</v>
      </c>
      <c r="J1534">
        <v>9.9999999999999991E-6</v>
      </c>
      <c r="K1534" t="s">
        <v>252</v>
      </c>
      <c r="O1534">
        <v>0.22499999999999901</v>
      </c>
      <c r="P1534" t="s">
        <v>59</v>
      </c>
      <c r="S1534">
        <v>1</v>
      </c>
      <c r="T1534">
        <v>20</v>
      </c>
      <c r="V1534">
        <v>50</v>
      </c>
      <c r="W1534" t="s">
        <v>1549</v>
      </c>
      <c r="X1534" t="s">
        <v>957</v>
      </c>
      <c r="Y1534">
        <v>5</v>
      </c>
      <c r="AB1534">
        <v>1.5499999999999901</v>
      </c>
      <c r="AC1534" t="s">
        <v>85</v>
      </c>
      <c r="AI1534">
        <v>2</v>
      </c>
      <c r="AV1534" t="s">
        <v>256</v>
      </c>
    </row>
    <row r="1535" spans="1:48" x14ac:dyDescent="0.3">
      <c r="A1535" t="s">
        <v>1579</v>
      </c>
      <c r="C1535" t="s">
        <v>1495</v>
      </c>
      <c r="H1535">
        <v>10</v>
      </c>
      <c r="I1535" t="s">
        <v>82</v>
      </c>
      <c r="J1535">
        <v>9.9999999999999991E-6</v>
      </c>
      <c r="K1535" t="s">
        <v>252</v>
      </c>
      <c r="O1535">
        <v>7.49999999999999E-2</v>
      </c>
      <c r="P1535" t="s">
        <v>59</v>
      </c>
      <c r="S1535">
        <v>1</v>
      </c>
      <c r="T1535">
        <v>15</v>
      </c>
      <c r="V1535">
        <v>50</v>
      </c>
      <c r="W1535" t="s">
        <v>1057</v>
      </c>
      <c r="X1535" t="s">
        <v>957</v>
      </c>
      <c r="Y1535">
        <v>60</v>
      </c>
      <c r="AB1535">
        <v>1.56499999999999</v>
      </c>
      <c r="AC1535" t="s">
        <v>85</v>
      </c>
      <c r="AI1535">
        <v>2</v>
      </c>
      <c r="AV1535" t="s">
        <v>256</v>
      </c>
    </row>
    <row r="1536" spans="1:48" x14ac:dyDescent="0.3">
      <c r="A1536" t="s">
        <v>1579</v>
      </c>
      <c r="C1536" t="s">
        <v>1495</v>
      </c>
      <c r="H1536">
        <v>10</v>
      </c>
      <c r="I1536" t="s">
        <v>82</v>
      </c>
      <c r="J1536">
        <v>9.9999999999999991E-6</v>
      </c>
      <c r="K1536" t="s">
        <v>252</v>
      </c>
      <c r="O1536">
        <v>7.49999999999999E-2</v>
      </c>
      <c r="P1536" t="s">
        <v>59</v>
      </c>
      <c r="S1536">
        <v>1</v>
      </c>
      <c r="T1536">
        <v>15</v>
      </c>
      <c r="V1536">
        <v>50</v>
      </c>
      <c r="W1536" t="s">
        <v>1057</v>
      </c>
      <c r="X1536" t="s">
        <v>957</v>
      </c>
      <c r="Y1536">
        <v>60</v>
      </c>
      <c r="AB1536">
        <v>1.58</v>
      </c>
      <c r="AC1536" t="s">
        <v>85</v>
      </c>
      <c r="AI1536">
        <v>2</v>
      </c>
      <c r="AV1536" t="s">
        <v>256</v>
      </c>
    </row>
    <row r="1537" spans="1:48" x14ac:dyDescent="0.3">
      <c r="A1537" t="s">
        <v>1579</v>
      </c>
      <c r="B1537" t="s">
        <v>1548</v>
      </c>
      <c r="C1537" t="s">
        <v>1495</v>
      </c>
      <c r="H1537">
        <v>10</v>
      </c>
      <c r="I1537" t="s">
        <v>82</v>
      </c>
      <c r="J1537">
        <v>9.9999999999999991E-6</v>
      </c>
      <c r="K1537" t="s">
        <v>252</v>
      </c>
      <c r="O1537">
        <v>0.22499999999999901</v>
      </c>
      <c r="P1537" t="s">
        <v>59</v>
      </c>
      <c r="S1537">
        <v>1</v>
      </c>
      <c r="T1537">
        <v>20</v>
      </c>
      <c r="V1537">
        <v>50</v>
      </c>
      <c r="W1537" t="s">
        <v>1549</v>
      </c>
      <c r="X1537" t="s">
        <v>957</v>
      </c>
      <c r="Y1537">
        <v>5</v>
      </c>
      <c r="AB1537">
        <v>1.6</v>
      </c>
      <c r="AC1537" t="s">
        <v>85</v>
      </c>
      <c r="AI1537">
        <v>2</v>
      </c>
      <c r="AV1537" t="s">
        <v>256</v>
      </c>
    </row>
    <row r="1538" spans="1:48" x14ac:dyDescent="0.3">
      <c r="A1538" t="s">
        <v>1579</v>
      </c>
      <c r="B1538" t="s">
        <v>1548</v>
      </c>
      <c r="C1538" t="s">
        <v>1495</v>
      </c>
      <c r="H1538">
        <v>10</v>
      </c>
      <c r="I1538" t="s">
        <v>82</v>
      </c>
      <c r="J1538">
        <v>9.9999999999999991E-6</v>
      </c>
      <c r="K1538" t="s">
        <v>252</v>
      </c>
      <c r="O1538">
        <v>0.22499999999999901</v>
      </c>
      <c r="P1538" t="s">
        <v>59</v>
      </c>
      <c r="S1538">
        <v>1</v>
      </c>
      <c r="T1538">
        <v>20</v>
      </c>
      <c r="V1538">
        <v>50</v>
      </c>
      <c r="W1538" t="s">
        <v>1549</v>
      </c>
      <c r="X1538" t="s">
        <v>957</v>
      </c>
      <c r="Y1538">
        <v>5</v>
      </c>
      <c r="AB1538">
        <v>1.645</v>
      </c>
      <c r="AC1538" t="s">
        <v>85</v>
      </c>
      <c r="AI1538">
        <v>2</v>
      </c>
      <c r="AV1538" t="s">
        <v>256</v>
      </c>
    </row>
    <row r="1539" spans="1:48" x14ac:dyDescent="0.3">
      <c r="A1539" t="s">
        <v>1579</v>
      </c>
      <c r="C1539" t="s">
        <v>1495</v>
      </c>
      <c r="H1539">
        <v>10</v>
      </c>
      <c r="I1539" t="s">
        <v>82</v>
      </c>
      <c r="J1539">
        <v>9.9999999999999991E-6</v>
      </c>
      <c r="K1539" t="s">
        <v>252</v>
      </c>
      <c r="O1539">
        <v>0.22499999999999901</v>
      </c>
      <c r="P1539" t="s">
        <v>59</v>
      </c>
      <c r="S1539">
        <v>1</v>
      </c>
      <c r="T1539">
        <v>20</v>
      </c>
      <c r="V1539">
        <v>50</v>
      </c>
      <c r="W1539" t="s">
        <v>1057</v>
      </c>
      <c r="X1539" t="s">
        <v>957</v>
      </c>
      <c r="Y1539">
        <v>5</v>
      </c>
      <c r="AB1539">
        <v>1.665</v>
      </c>
      <c r="AC1539" t="s">
        <v>85</v>
      </c>
      <c r="AI1539">
        <v>2</v>
      </c>
      <c r="AV1539" t="s">
        <v>256</v>
      </c>
    </row>
    <row r="1540" spans="1:48" x14ac:dyDescent="0.3">
      <c r="A1540" t="s">
        <v>1579</v>
      </c>
      <c r="B1540" t="s">
        <v>1548</v>
      </c>
      <c r="C1540" t="s">
        <v>1495</v>
      </c>
      <c r="H1540">
        <v>10</v>
      </c>
      <c r="I1540" t="s">
        <v>82</v>
      </c>
      <c r="J1540">
        <v>9.9999999999999991E-6</v>
      </c>
      <c r="K1540" t="s">
        <v>252</v>
      </c>
      <c r="O1540">
        <v>3.7499999999999901E-2</v>
      </c>
      <c r="P1540" t="s">
        <v>59</v>
      </c>
      <c r="S1540">
        <v>1</v>
      </c>
      <c r="T1540">
        <v>20</v>
      </c>
      <c r="V1540">
        <v>50</v>
      </c>
      <c r="W1540" t="s">
        <v>1549</v>
      </c>
      <c r="X1540" t="s">
        <v>957</v>
      </c>
      <c r="Y1540">
        <v>30</v>
      </c>
      <c r="AB1540">
        <v>1.665</v>
      </c>
      <c r="AC1540" t="s">
        <v>85</v>
      </c>
      <c r="AI1540">
        <v>2</v>
      </c>
      <c r="AV1540" t="s">
        <v>256</v>
      </c>
    </row>
    <row r="1541" spans="1:48" x14ac:dyDescent="0.3">
      <c r="A1541" t="s">
        <v>1579</v>
      </c>
      <c r="B1541" t="s">
        <v>1548</v>
      </c>
      <c r="C1541" t="s">
        <v>1495</v>
      </c>
      <c r="H1541">
        <v>10</v>
      </c>
      <c r="I1541" t="s">
        <v>82</v>
      </c>
      <c r="J1541">
        <v>9.9999999999999991E-6</v>
      </c>
      <c r="K1541" t="s">
        <v>252</v>
      </c>
      <c r="O1541">
        <v>7.49999999999999E-2</v>
      </c>
      <c r="P1541" t="s">
        <v>59</v>
      </c>
      <c r="S1541">
        <v>1</v>
      </c>
      <c r="T1541">
        <v>10</v>
      </c>
      <c r="V1541">
        <v>50</v>
      </c>
      <c r="W1541" t="s">
        <v>1549</v>
      </c>
      <c r="X1541" t="s">
        <v>957</v>
      </c>
      <c r="Y1541">
        <v>30</v>
      </c>
      <c r="AB1541">
        <v>1.67</v>
      </c>
      <c r="AC1541" t="s">
        <v>85</v>
      </c>
      <c r="AI1541">
        <v>2</v>
      </c>
      <c r="AV1541" t="s">
        <v>256</v>
      </c>
    </row>
    <row r="1542" spans="1:48" x14ac:dyDescent="0.3">
      <c r="A1542" t="s">
        <v>1579</v>
      </c>
      <c r="B1542" t="s">
        <v>1548</v>
      </c>
      <c r="C1542" t="s">
        <v>1495</v>
      </c>
      <c r="H1542">
        <v>10</v>
      </c>
      <c r="I1542" t="s">
        <v>82</v>
      </c>
      <c r="J1542">
        <v>9.9999999999999991E-6</v>
      </c>
      <c r="K1542" t="s">
        <v>252</v>
      </c>
      <c r="O1542">
        <v>0.22499999999999901</v>
      </c>
      <c r="P1542" t="s">
        <v>59</v>
      </c>
      <c r="S1542">
        <v>1</v>
      </c>
      <c r="T1542">
        <v>15</v>
      </c>
      <c r="V1542">
        <v>50</v>
      </c>
      <c r="W1542" t="s">
        <v>1549</v>
      </c>
      <c r="X1542" t="s">
        <v>957</v>
      </c>
      <c r="Y1542">
        <v>60</v>
      </c>
      <c r="AB1542">
        <v>1.7</v>
      </c>
      <c r="AC1542" t="s">
        <v>85</v>
      </c>
      <c r="AI1542">
        <v>2</v>
      </c>
      <c r="AV1542" t="s">
        <v>256</v>
      </c>
    </row>
    <row r="1543" spans="1:48" x14ac:dyDescent="0.3">
      <c r="A1543" t="s">
        <v>1579</v>
      </c>
      <c r="C1543" t="s">
        <v>1495</v>
      </c>
      <c r="H1543">
        <v>10</v>
      </c>
      <c r="I1543" t="s">
        <v>82</v>
      </c>
      <c r="J1543">
        <v>9.9999999999999991E-6</v>
      </c>
      <c r="K1543" t="s">
        <v>252</v>
      </c>
      <c r="O1543">
        <v>0.22499999999999901</v>
      </c>
      <c r="P1543" t="s">
        <v>59</v>
      </c>
      <c r="S1543">
        <v>1</v>
      </c>
      <c r="T1543">
        <v>20</v>
      </c>
      <c r="V1543">
        <v>50</v>
      </c>
      <c r="W1543" t="s">
        <v>1057</v>
      </c>
      <c r="X1543" t="s">
        <v>957</v>
      </c>
      <c r="Y1543">
        <v>5</v>
      </c>
      <c r="Z1543">
        <v>1</v>
      </c>
      <c r="AB1543">
        <v>1.7349999999999901</v>
      </c>
      <c r="AC1543" t="s">
        <v>85</v>
      </c>
      <c r="AI1543">
        <v>2</v>
      </c>
      <c r="AV1543" t="s">
        <v>256</v>
      </c>
    </row>
    <row r="1544" spans="1:48" x14ac:dyDescent="0.3">
      <c r="A1544" t="s">
        <v>1579</v>
      </c>
      <c r="C1544" t="s">
        <v>1495</v>
      </c>
      <c r="H1544">
        <v>10</v>
      </c>
      <c r="I1544" t="s">
        <v>82</v>
      </c>
      <c r="J1544">
        <v>9.9999999999999991E-6</v>
      </c>
      <c r="K1544" t="s">
        <v>252</v>
      </c>
      <c r="O1544">
        <v>0.3</v>
      </c>
      <c r="P1544" t="s">
        <v>59</v>
      </c>
      <c r="S1544">
        <v>1</v>
      </c>
      <c r="T1544">
        <v>15</v>
      </c>
      <c r="V1544">
        <v>50</v>
      </c>
      <c r="W1544" t="s">
        <v>1057</v>
      </c>
      <c r="X1544" t="s">
        <v>957</v>
      </c>
      <c r="Y1544">
        <v>60</v>
      </c>
      <c r="Z1544">
        <v>1</v>
      </c>
      <c r="AB1544">
        <v>1.81</v>
      </c>
      <c r="AC1544" t="s">
        <v>85</v>
      </c>
      <c r="AI1544">
        <v>2</v>
      </c>
      <c r="AV1544" t="s">
        <v>256</v>
      </c>
    </row>
    <row r="1545" spans="1:48" x14ac:dyDescent="0.3">
      <c r="A1545" t="s">
        <v>1579</v>
      </c>
      <c r="C1545" t="s">
        <v>1495</v>
      </c>
      <c r="H1545">
        <v>10</v>
      </c>
      <c r="I1545" t="s">
        <v>82</v>
      </c>
      <c r="J1545">
        <v>9.9999999999999991E-6</v>
      </c>
      <c r="K1545" t="s">
        <v>252</v>
      </c>
      <c r="O1545">
        <v>0.15</v>
      </c>
      <c r="P1545" t="s">
        <v>59</v>
      </c>
      <c r="S1545">
        <v>1</v>
      </c>
      <c r="T1545">
        <v>15</v>
      </c>
      <c r="V1545">
        <v>50</v>
      </c>
      <c r="W1545" t="s">
        <v>1057</v>
      </c>
      <c r="X1545" t="s">
        <v>957</v>
      </c>
      <c r="Y1545">
        <v>30</v>
      </c>
      <c r="Z1545">
        <v>1</v>
      </c>
      <c r="AB1545">
        <v>1.81</v>
      </c>
      <c r="AC1545" t="s">
        <v>85</v>
      </c>
      <c r="AI1545">
        <v>2</v>
      </c>
      <c r="AV1545" t="s">
        <v>256</v>
      </c>
    </row>
    <row r="1546" spans="1:48" x14ac:dyDescent="0.3">
      <c r="A1546" t="s">
        <v>1579</v>
      </c>
      <c r="B1546" t="s">
        <v>1548</v>
      </c>
      <c r="C1546" t="s">
        <v>1495</v>
      </c>
      <c r="H1546">
        <v>10</v>
      </c>
      <c r="I1546" t="s">
        <v>82</v>
      </c>
      <c r="J1546">
        <v>9.9999999999999991E-6</v>
      </c>
      <c r="K1546" t="s">
        <v>252</v>
      </c>
      <c r="O1546">
        <v>0.22499999999999901</v>
      </c>
      <c r="P1546" t="s">
        <v>59</v>
      </c>
      <c r="S1546">
        <v>1</v>
      </c>
      <c r="T1546">
        <v>10</v>
      </c>
      <c r="V1546">
        <v>50</v>
      </c>
      <c r="W1546" t="s">
        <v>1549</v>
      </c>
      <c r="X1546" t="s">
        <v>957</v>
      </c>
      <c r="Y1546">
        <v>30</v>
      </c>
      <c r="Z1546">
        <v>1</v>
      </c>
      <c r="AB1546">
        <v>1.845</v>
      </c>
      <c r="AC1546" t="s">
        <v>85</v>
      </c>
      <c r="AI1546">
        <v>2</v>
      </c>
      <c r="AV1546" t="s">
        <v>256</v>
      </c>
    </row>
    <row r="1547" spans="1:48" x14ac:dyDescent="0.3">
      <c r="A1547" t="s">
        <v>1579</v>
      </c>
      <c r="B1547" t="s">
        <v>1548</v>
      </c>
      <c r="C1547" t="s">
        <v>1495</v>
      </c>
      <c r="H1547">
        <v>10</v>
      </c>
      <c r="I1547" t="s">
        <v>82</v>
      </c>
      <c r="J1547">
        <v>9.9999999999999991E-6</v>
      </c>
      <c r="K1547" t="s">
        <v>252</v>
      </c>
      <c r="O1547">
        <v>7.49999999999999E-2</v>
      </c>
      <c r="P1547" t="s">
        <v>59</v>
      </c>
      <c r="S1547">
        <v>1</v>
      </c>
      <c r="T1547">
        <v>15</v>
      </c>
      <c r="V1547">
        <v>50</v>
      </c>
      <c r="W1547" t="s">
        <v>1549</v>
      </c>
      <c r="X1547" t="s">
        <v>957</v>
      </c>
      <c r="Y1547">
        <v>60</v>
      </c>
      <c r="Z1547">
        <v>1</v>
      </c>
      <c r="AB1547">
        <v>1.8599999999999901</v>
      </c>
      <c r="AC1547" t="s">
        <v>85</v>
      </c>
      <c r="AI1547">
        <v>2</v>
      </c>
      <c r="AV1547" t="s">
        <v>256</v>
      </c>
    </row>
    <row r="1548" spans="1:48" x14ac:dyDescent="0.3">
      <c r="A1548" t="s">
        <v>1579</v>
      </c>
      <c r="C1548" t="s">
        <v>1495</v>
      </c>
      <c r="H1548">
        <v>10</v>
      </c>
      <c r="I1548" t="s">
        <v>82</v>
      </c>
      <c r="J1548">
        <v>9.9999999999999991E-6</v>
      </c>
      <c r="K1548" t="s">
        <v>252</v>
      </c>
      <c r="O1548">
        <v>3.7499999999999901E-2</v>
      </c>
      <c r="P1548" t="s">
        <v>59</v>
      </c>
      <c r="S1548">
        <v>1</v>
      </c>
      <c r="T1548">
        <v>20</v>
      </c>
      <c r="V1548">
        <v>50</v>
      </c>
      <c r="W1548" t="s">
        <v>1057</v>
      </c>
      <c r="X1548" t="s">
        <v>957</v>
      </c>
      <c r="Y1548">
        <v>60</v>
      </c>
      <c r="Z1548">
        <v>1</v>
      </c>
      <c r="AB1548">
        <v>1.8599999999999901</v>
      </c>
      <c r="AC1548" t="s">
        <v>85</v>
      </c>
      <c r="AI1548">
        <v>2</v>
      </c>
      <c r="AV1548" t="s">
        <v>256</v>
      </c>
    </row>
    <row r="1549" spans="1:48" x14ac:dyDescent="0.3">
      <c r="A1549" t="s">
        <v>1579</v>
      </c>
      <c r="B1549" t="s">
        <v>1548</v>
      </c>
      <c r="C1549" t="s">
        <v>1495</v>
      </c>
      <c r="H1549">
        <v>10</v>
      </c>
      <c r="I1549" t="s">
        <v>82</v>
      </c>
      <c r="J1549">
        <v>9.9999999999999991E-6</v>
      </c>
      <c r="K1549" t="s">
        <v>252</v>
      </c>
      <c r="O1549">
        <v>0.15</v>
      </c>
      <c r="P1549" t="s">
        <v>59</v>
      </c>
      <c r="S1549">
        <v>1</v>
      </c>
      <c r="T1549">
        <v>15</v>
      </c>
      <c r="V1549">
        <v>50</v>
      </c>
      <c r="W1549" t="s">
        <v>1549</v>
      </c>
      <c r="X1549" t="s">
        <v>957</v>
      </c>
      <c r="Y1549">
        <v>30</v>
      </c>
      <c r="Z1549">
        <v>1</v>
      </c>
      <c r="AB1549">
        <v>1.865</v>
      </c>
      <c r="AC1549" t="s">
        <v>85</v>
      </c>
      <c r="AI1549">
        <v>2</v>
      </c>
      <c r="AV1549" t="s">
        <v>256</v>
      </c>
    </row>
    <row r="1550" spans="1:48" x14ac:dyDescent="0.3">
      <c r="A1550" t="s">
        <v>1579</v>
      </c>
      <c r="B1550" t="s">
        <v>1548</v>
      </c>
      <c r="C1550" t="s">
        <v>1495</v>
      </c>
      <c r="H1550">
        <v>10</v>
      </c>
      <c r="I1550" t="s">
        <v>82</v>
      </c>
      <c r="J1550">
        <v>9.9999999999999991E-6</v>
      </c>
      <c r="K1550" t="s">
        <v>252</v>
      </c>
      <c r="O1550">
        <v>7.49999999999999E-2</v>
      </c>
      <c r="P1550" t="s">
        <v>59</v>
      </c>
      <c r="S1550">
        <v>1</v>
      </c>
      <c r="T1550">
        <v>20</v>
      </c>
      <c r="V1550">
        <v>50</v>
      </c>
      <c r="W1550" t="s">
        <v>1549</v>
      </c>
      <c r="X1550" t="s">
        <v>957</v>
      </c>
      <c r="Y1550">
        <v>30</v>
      </c>
      <c r="Z1550">
        <v>1</v>
      </c>
      <c r="AB1550">
        <v>1.93</v>
      </c>
      <c r="AC1550" t="s">
        <v>85</v>
      </c>
      <c r="AI1550">
        <v>2</v>
      </c>
      <c r="AV1550" t="s">
        <v>256</v>
      </c>
    </row>
    <row r="1551" spans="1:48" x14ac:dyDescent="0.3">
      <c r="A1551" t="s">
        <v>1579</v>
      </c>
      <c r="C1551" t="s">
        <v>1495</v>
      </c>
      <c r="H1551">
        <v>10</v>
      </c>
      <c r="I1551" t="s">
        <v>82</v>
      </c>
      <c r="J1551">
        <v>9.9999999999999991E-6</v>
      </c>
      <c r="K1551" t="s">
        <v>252</v>
      </c>
      <c r="O1551">
        <v>0.3</v>
      </c>
      <c r="P1551" t="s">
        <v>59</v>
      </c>
      <c r="S1551">
        <v>1</v>
      </c>
      <c r="T1551">
        <v>20</v>
      </c>
      <c r="V1551">
        <v>50</v>
      </c>
      <c r="W1551" t="s">
        <v>1057</v>
      </c>
      <c r="X1551" t="s">
        <v>957</v>
      </c>
      <c r="Y1551">
        <v>5</v>
      </c>
      <c r="Z1551">
        <v>1</v>
      </c>
      <c r="AB1551">
        <v>1.93</v>
      </c>
      <c r="AC1551" t="s">
        <v>85</v>
      </c>
      <c r="AI1551">
        <v>2</v>
      </c>
      <c r="AV1551" t="s">
        <v>256</v>
      </c>
    </row>
    <row r="1552" spans="1:48" x14ac:dyDescent="0.3">
      <c r="A1552" t="s">
        <v>1579</v>
      </c>
      <c r="C1552" t="s">
        <v>1495</v>
      </c>
      <c r="H1552">
        <v>10</v>
      </c>
      <c r="I1552" t="s">
        <v>82</v>
      </c>
      <c r="J1552">
        <v>9.9999999999999991E-6</v>
      </c>
      <c r="K1552" t="s">
        <v>252</v>
      </c>
      <c r="O1552">
        <v>3.7499999999999901E-2</v>
      </c>
      <c r="P1552" t="s">
        <v>59</v>
      </c>
      <c r="S1552">
        <v>1</v>
      </c>
      <c r="T1552">
        <v>20</v>
      </c>
      <c r="V1552">
        <v>50</v>
      </c>
      <c r="W1552" t="s">
        <v>1057</v>
      </c>
      <c r="X1552" t="s">
        <v>957</v>
      </c>
      <c r="Y1552">
        <v>60</v>
      </c>
      <c r="Z1552">
        <v>1</v>
      </c>
      <c r="AB1552">
        <v>1.94</v>
      </c>
      <c r="AC1552" t="s">
        <v>85</v>
      </c>
      <c r="AI1552">
        <v>2</v>
      </c>
      <c r="AV1552" t="s">
        <v>256</v>
      </c>
    </row>
    <row r="1553" spans="1:52" x14ac:dyDescent="0.3">
      <c r="A1553" t="s">
        <v>1579</v>
      </c>
      <c r="B1553" t="s">
        <v>1548</v>
      </c>
      <c r="C1553" t="s">
        <v>1495</v>
      </c>
      <c r="H1553">
        <v>10</v>
      </c>
      <c r="I1553" t="s">
        <v>82</v>
      </c>
      <c r="J1553">
        <v>9.9999999999999991E-6</v>
      </c>
      <c r="K1553" t="s">
        <v>252</v>
      </c>
      <c r="O1553">
        <v>3.7499999999999901E-2</v>
      </c>
      <c r="P1553" t="s">
        <v>59</v>
      </c>
      <c r="S1553">
        <v>1</v>
      </c>
      <c r="T1553">
        <v>15</v>
      </c>
      <c r="V1553">
        <v>50</v>
      </c>
      <c r="W1553" t="s">
        <v>1549</v>
      </c>
      <c r="X1553" t="s">
        <v>957</v>
      </c>
      <c r="Y1553">
        <v>60</v>
      </c>
      <c r="Z1553">
        <v>1</v>
      </c>
      <c r="AB1553">
        <v>1.96</v>
      </c>
      <c r="AC1553" t="s">
        <v>85</v>
      </c>
      <c r="AI1553">
        <v>2</v>
      </c>
      <c r="AV1553" t="s">
        <v>256</v>
      </c>
    </row>
    <row r="1554" spans="1:52" x14ac:dyDescent="0.3">
      <c r="A1554" t="s">
        <v>1579</v>
      </c>
      <c r="C1554" t="s">
        <v>1495</v>
      </c>
      <c r="H1554">
        <v>10</v>
      </c>
      <c r="I1554" t="s">
        <v>82</v>
      </c>
      <c r="J1554">
        <v>9.9999999999999991E-6</v>
      </c>
      <c r="K1554" t="s">
        <v>252</v>
      </c>
      <c r="O1554">
        <v>0.15</v>
      </c>
      <c r="P1554" t="s">
        <v>59</v>
      </c>
      <c r="S1554">
        <v>1</v>
      </c>
      <c r="T1554">
        <v>15</v>
      </c>
      <c r="V1554">
        <v>50</v>
      </c>
      <c r="W1554" t="s">
        <v>1057</v>
      </c>
      <c r="X1554" t="s">
        <v>957</v>
      </c>
      <c r="Y1554">
        <v>30</v>
      </c>
      <c r="Z1554">
        <v>1</v>
      </c>
      <c r="AB1554">
        <v>1.97</v>
      </c>
      <c r="AC1554" t="s">
        <v>85</v>
      </c>
      <c r="AI1554">
        <v>2</v>
      </c>
      <c r="AV1554" t="s">
        <v>256</v>
      </c>
    </row>
    <row r="1555" spans="1:52" x14ac:dyDescent="0.3">
      <c r="A1555" t="s">
        <v>1579</v>
      </c>
      <c r="C1555" t="s">
        <v>1495</v>
      </c>
      <c r="H1555">
        <v>10</v>
      </c>
      <c r="I1555" t="s">
        <v>82</v>
      </c>
      <c r="J1555">
        <v>9.9999999999999991E-6</v>
      </c>
      <c r="K1555" t="s">
        <v>252</v>
      </c>
      <c r="O1555">
        <v>0.22499999999999901</v>
      </c>
      <c r="P1555" t="s">
        <v>59</v>
      </c>
      <c r="S1555">
        <v>1</v>
      </c>
      <c r="T1555">
        <v>10</v>
      </c>
      <c r="V1555">
        <v>50</v>
      </c>
      <c r="W1555" t="s">
        <v>1057</v>
      </c>
      <c r="X1555" t="s">
        <v>957</v>
      </c>
      <c r="Y1555">
        <v>30</v>
      </c>
      <c r="Z1555">
        <v>3</v>
      </c>
      <c r="AB1555">
        <v>1.9750000000000001</v>
      </c>
      <c r="AC1555" t="s">
        <v>85</v>
      </c>
      <c r="AI1555">
        <v>2</v>
      </c>
      <c r="AV1555" t="s">
        <v>256</v>
      </c>
    </row>
    <row r="1556" spans="1:52" x14ac:dyDescent="0.3">
      <c r="A1556" t="s">
        <v>1579</v>
      </c>
      <c r="C1556" t="s">
        <v>1495</v>
      </c>
      <c r="H1556">
        <v>10</v>
      </c>
      <c r="I1556" t="s">
        <v>82</v>
      </c>
      <c r="J1556">
        <v>9.9999999999999991E-6</v>
      </c>
      <c r="K1556" t="s">
        <v>252</v>
      </c>
      <c r="O1556">
        <v>7.49999999999999E-2</v>
      </c>
      <c r="P1556" t="s">
        <v>59</v>
      </c>
      <c r="S1556">
        <v>1</v>
      </c>
      <c r="T1556">
        <v>15</v>
      </c>
      <c r="V1556">
        <v>50</v>
      </c>
      <c r="W1556" t="s">
        <v>1057</v>
      </c>
      <c r="X1556" t="s">
        <v>957</v>
      </c>
      <c r="Y1556">
        <v>60</v>
      </c>
      <c r="Z1556">
        <v>3</v>
      </c>
      <c r="AB1556">
        <v>1.9950000000000001</v>
      </c>
      <c r="AC1556" t="s">
        <v>85</v>
      </c>
      <c r="AI1556">
        <v>2</v>
      </c>
      <c r="AV1556" t="s">
        <v>256</v>
      </c>
    </row>
    <row r="1557" spans="1:52" x14ac:dyDescent="0.3">
      <c r="A1557" t="s">
        <v>1579</v>
      </c>
      <c r="C1557" t="s">
        <v>1495</v>
      </c>
      <c r="H1557">
        <v>10</v>
      </c>
      <c r="I1557" t="s">
        <v>82</v>
      </c>
      <c r="J1557">
        <v>9.9999999999999991E-6</v>
      </c>
      <c r="K1557" t="s">
        <v>252</v>
      </c>
      <c r="O1557">
        <v>0.3</v>
      </c>
      <c r="P1557" t="s">
        <v>59</v>
      </c>
      <c r="S1557">
        <v>1</v>
      </c>
      <c r="T1557">
        <v>10</v>
      </c>
      <c r="V1557">
        <v>50</v>
      </c>
      <c r="W1557" t="s">
        <v>1057</v>
      </c>
      <c r="X1557" t="s">
        <v>957</v>
      </c>
      <c r="Y1557">
        <v>60</v>
      </c>
      <c r="Z1557">
        <v>3</v>
      </c>
      <c r="AB1557">
        <v>2</v>
      </c>
      <c r="AC1557" t="s">
        <v>306</v>
      </c>
      <c r="AI1557">
        <v>2</v>
      </c>
      <c r="AV1557" t="s">
        <v>256</v>
      </c>
      <c r="AZ1557">
        <v>0</v>
      </c>
    </row>
    <row r="1558" spans="1:52" x14ac:dyDescent="0.3">
      <c r="A1558" t="s">
        <v>1579</v>
      </c>
      <c r="B1558" t="s">
        <v>1548</v>
      </c>
      <c r="C1558" t="s">
        <v>1495</v>
      </c>
      <c r="H1558">
        <v>10</v>
      </c>
      <c r="I1558" t="s">
        <v>82</v>
      </c>
      <c r="J1558">
        <v>9.9999999999999991E-6</v>
      </c>
      <c r="K1558" t="s">
        <v>252</v>
      </c>
      <c r="O1558">
        <v>0.3</v>
      </c>
      <c r="P1558" t="s">
        <v>59</v>
      </c>
      <c r="S1558">
        <v>1</v>
      </c>
      <c r="T1558">
        <v>15</v>
      </c>
      <c r="V1558">
        <v>50</v>
      </c>
      <c r="W1558" t="s">
        <v>1549</v>
      </c>
      <c r="X1558" t="s">
        <v>957</v>
      </c>
      <c r="Y1558">
        <v>30</v>
      </c>
      <c r="Z1558">
        <v>3</v>
      </c>
      <c r="AB1558">
        <v>2</v>
      </c>
      <c r="AC1558" t="s">
        <v>306</v>
      </c>
      <c r="AI1558">
        <v>2</v>
      </c>
      <c r="AV1558" t="s">
        <v>256</v>
      </c>
      <c r="AZ1558">
        <v>0</v>
      </c>
    </row>
    <row r="1559" spans="1:52" x14ac:dyDescent="0.3">
      <c r="A1559" t="s">
        <v>1579</v>
      </c>
      <c r="B1559" t="s">
        <v>1548</v>
      </c>
      <c r="C1559" t="s">
        <v>1495</v>
      </c>
      <c r="H1559">
        <v>10</v>
      </c>
      <c r="I1559" t="s">
        <v>82</v>
      </c>
      <c r="J1559">
        <v>9.9999999999999991E-6</v>
      </c>
      <c r="K1559" t="s">
        <v>252</v>
      </c>
      <c r="O1559">
        <v>0.22499999999999901</v>
      </c>
      <c r="P1559" t="s">
        <v>59</v>
      </c>
      <c r="S1559">
        <v>1</v>
      </c>
      <c r="T1559">
        <v>15</v>
      </c>
      <c r="V1559">
        <v>50</v>
      </c>
      <c r="W1559" t="s">
        <v>1549</v>
      </c>
      <c r="X1559" t="s">
        <v>957</v>
      </c>
      <c r="Y1559">
        <v>60</v>
      </c>
      <c r="Z1559">
        <v>3</v>
      </c>
      <c r="AB1559">
        <v>2</v>
      </c>
      <c r="AC1559" t="s">
        <v>306</v>
      </c>
      <c r="AI1559">
        <v>2</v>
      </c>
      <c r="AV1559" t="s">
        <v>256</v>
      </c>
      <c r="AZ1559">
        <v>0</v>
      </c>
    </row>
    <row r="1560" spans="1:52" x14ac:dyDescent="0.3">
      <c r="A1560" t="s">
        <v>1579</v>
      </c>
      <c r="B1560" t="s">
        <v>1548</v>
      </c>
      <c r="C1560" t="s">
        <v>1495</v>
      </c>
      <c r="H1560">
        <v>10</v>
      </c>
      <c r="I1560" t="s">
        <v>82</v>
      </c>
      <c r="J1560">
        <v>9.9999999999999991E-6</v>
      </c>
      <c r="K1560" t="s">
        <v>252</v>
      </c>
      <c r="O1560">
        <v>0.3</v>
      </c>
      <c r="P1560" t="s">
        <v>59</v>
      </c>
      <c r="S1560">
        <v>1</v>
      </c>
      <c r="T1560">
        <v>15</v>
      </c>
      <c r="V1560">
        <v>50</v>
      </c>
      <c r="W1560" t="s">
        <v>1549</v>
      </c>
      <c r="X1560" t="s">
        <v>957</v>
      </c>
      <c r="Y1560">
        <v>60</v>
      </c>
      <c r="Z1560">
        <v>3</v>
      </c>
      <c r="AB1560">
        <v>2</v>
      </c>
      <c r="AC1560" t="s">
        <v>306</v>
      </c>
      <c r="AI1560">
        <v>2</v>
      </c>
      <c r="AV1560" t="s">
        <v>256</v>
      </c>
      <c r="AZ1560">
        <v>0</v>
      </c>
    </row>
    <row r="1561" spans="1:52" x14ac:dyDescent="0.3">
      <c r="A1561" t="s">
        <v>1579</v>
      </c>
      <c r="C1561" t="s">
        <v>1495</v>
      </c>
      <c r="H1561">
        <v>10</v>
      </c>
      <c r="I1561" t="s">
        <v>82</v>
      </c>
      <c r="J1561">
        <v>9.9999999999999991E-6</v>
      </c>
      <c r="K1561" t="s">
        <v>252</v>
      </c>
      <c r="O1561">
        <v>0.3</v>
      </c>
      <c r="P1561" t="s">
        <v>59</v>
      </c>
      <c r="S1561">
        <v>1</v>
      </c>
      <c r="T1561">
        <v>15</v>
      </c>
      <c r="V1561">
        <v>50</v>
      </c>
      <c r="W1561" t="s">
        <v>1057</v>
      </c>
      <c r="X1561" t="s">
        <v>957</v>
      </c>
      <c r="Y1561">
        <v>30</v>
      </c>
      <c r="Z1561">
        <v>3</v>
      </c>
      <c r="AB1561">
        <v>2</v>
      </c>
      <c r="AC1561" t="s">
        <v>306</v>
      </c>
      <c r="AI1561">
        <v>2</v>
      </c>
      <c r="AV1561" t="s">
        <v>256</v>
      </c>
      <c r="AZ1561">
        <v>0</v>
      </c>
    </row>
    <row r="1562" spans="1:52" x14ac:dyDescent="0.3">
      <c r="A1562" t="s">
        <v>1579</v>
      </c>
      <c r="C1562" t="s">
        <v>1495</v>
      </c>
      <c r="H1562">
        <v>10</v>
      </c>
      <c r="I1562" t="s">
        <v>82</v>
      </c>
      <c r="J1562">
        <v>9.9999999999999991E-6</v>
      </c>
      <c r="K1562" t="s">
        <v>252</v>
      </c>
      <c r="O1562">
        <v>0.22499999999999901</v>
      </c>
      <c r="P1562" t="s">
        <v>59</v>
      </c>
      <c r="S1562">
        <v>1</v>
      </c>
      <c r="T1562">
        <v>15</v>
      </c>
      <c r="V1562">
        <v>50</v>
      </c>
      <c r="W1562" t="s">
        <v>1057</v>
      </c>
      <c r="X1562" t="s">
        <v>957</v>
      </c>
      <c r="Y1562">
        <v>60</v>
      </c>
      <c r="Z1562">
        <v>3</v>
      </c>
      <c r="AB1562">
        <v>2</v>
      </c>
      <c r="AC1562" t="s">
        <v>306</v>
      </c>
      <c r="AI1562">
        <v>2</v>
      </c>
      <c r="AV1562" t="s">
        <v>256</v>
      </c>
      <c r="AZ1562">
        <v>0</v>
      </c>
    </row>
    <row r="1563" spans="1:52" x14ac:dyDescent="0.3">
      <c r="A1563" t="s">
        <v>1579</v>
      </c>
      <c r="C1563" t="s">
        <v>1495</v>
      </c>
      <c r="H1563">
        <v>10</v>
      </c>
      <c r="I1563" t="s">
        <v>82</v>
      </c>
      <c r="J1563">
        <v>9.9999999999999991E-6</v>
      </c>
      <c r="K1563" t="s">
        <v>252</v>
      </c>
      <c r="O1563">
        <v>0.3</v>
      </c>
      <c r="P1563" t="s">
        <v>59</v>
      </c>
      <c r="S1563">
        <v>1</v>
      </c>
      <c r="T1563">
        <v>15</v>
      </c>
      <c r="V1563">
        <v>50</v>
      </c>
      <c r="W1563" t="s">
        <v>1057</v>
      </c>
      <c r="X1563" t="s">
        <v>957</v>
      </c>
      <c r="Y1563">
        <v>60</v>
      </c>
      <c r="Z1563">
        <v>3</v>
      </c>
      <c r="AB1563">
        <v>2</v>
      </c>
      <c r="AC1563" t="s">
        <v>306</v>
      </c>
      <c r="AI1563">
        <v>2</v>
      </c>
      <c r="AV1563" t="s">
        <v>256</v>
      </c>
      <c r="AZ1563">
        <v>0</v>
      </c>
    </row>
    <row r="1564" spans="1:52" x14ac:dyDescent="0.3">
      <c r="A1564" t="s">
        <v>1579</v>
      </c>
      <c r="B1564" t="s">
        <v>1548</v>
      </c>
      <c r="C1564" t="s">
        <v>1495</v>
      </c>
      <c r="H1564">
        <v>10</v>
      </c>
      <c r="I1564" t="s">
        <v>82</v>
      </c>
      <c r="J1564">
        <v>9.9999999999999991E-6</v>
      </c>
      <c r="K1564" t="s">
        <v>252</v>
      </c>
      <c r="O1564">
        <v>0.3</v>
      </c>
      <c r="P1564" t="s">
        <v>59</v>
      </c>
      <c r="S1564">
        <v>1</v>
      </c>
      <c r="T1564">
        <v>20</v>
      </c>
      <c r="V1564">
        <v>50</v>
      </c>
      <c r="W1564" t="s">
        <v>1549</v>
      </c>
      <c r="X1564" t="s">
        <v>957</v>
      </c>
      <c r="Y1564">
        <v>30</v>
      </c>
      <c r="Z1564">
        <v>4</v>
      </c>
      <c r="AB1564">
        <v>2</v>
      </c>
      <c r="AC1564" t="s">
        <v>306</v>
      </c>
      <c r="AI1564">
        <v>2</v>
      </c>
      <c r="AV1564" t="s">
        <v>256</v>
      </c>
      <c r="AZ1564">
        <v>0</v>
      </c>
    </row>
    <row r="1565" spans="1:52" x14ac:dyDescent="0.3">
      <c r="A1565" t="s">
        <v>1579</v>
      </c>
      <c r="B1565" t="s">
        <v>1548</v>
      </c>
      <c r="C1565" t="s">
        <v>1495</v>
      </c>
      <c r="H1565">
        <v>10</v>
      </c>
      <c r="I1565" t="s">
        <v>82</v>
      </c>
      <c r="J1565">
        <v>9.9999999999999991E-6</v>
      </c>
      <c r="K1565" t="s">
        <v>252</v>
      </c>
      <c r="O1565">
        <v>0.22499999999999901</v>
      </c>
      <c r="P1565" t="s">
        <v>59</v>
      </c>
      <c r="S1565">
        <v>1</v>
      </c>
      <c r="T1565">
        <v>20</v>
      </c>
      <c r="V1565">
        <v>50</v>
      </c>
      <c r="W1565" t="s">
        <v>1549</v>
      </c>
      <c r="X1565" t="s">
        <v>957</v>
      </c>
      <c r="Y1565">
        <v>60</v>
      </c>
      <c r="Z1565">
        <v>4</v>
      </c>
      <c r="AB1565">
        <v>2</v>
      </c>
      <c r="AC1565" t="s">
        <v>306</v>
      </c>
      <c r="AI1565">
        <v>2</v>
      </c>
      <c r="AV1565" t="s">
        <v>256</v>
      </c>
      <c r="AZ1565">
        <v>0</v>
      </c>
    </row>
    <row r="1566" spans="1:52" x14ac:dyDescent="0.3">
      <c r="A1566" t="s">
        <v>1579</v>
      </c>
      <c r="B1566" t="s">
        <v>1548</v>
      </c>
      <c r="C1566" t="s">
        <v>1495</v>
      </c>
      <c r="H1566">
        <v>10</v>
      </c>
      <c r="I1566" t="s">
        <v>82</v>
      </c>
      <c r="J1566">
        <v>9.9999999999999991E-6</v>
      </c>
      <c r="K1566" t="s">
        <v>252</v>
      </c>
      <c r="O1566">
        <v>0.3</v>
      </c>
      <c r="P1566" t="s">
        <v>59</v>
      </c>
      <c r="S1566">
        <v>1</v>
      </c>
      <c r="T1566">
        <v>20</v>
      </c>
      <c r="V1566">
        <v>50</v>
      </c>
      <c r="W1566" t="s">
        <v>1549</v>
      </c>
      <c r="X1566" t="s">
        <v>957</v>
      </c>
      <c r="Y1566">
        <v>60</v>
      </c>
      <c r="Z1566">
        <v>4</v>
      </c>
      <c r="AB1566">
        <v>2</v>
      </c>
      <c r="AC1566" t="s">
        <v>306</v>
      </c>
      <c r="AI1566">
        <v>2</v>
      </c>
      <c r="AV1566" t="s">
        <v>256</v>
      </c>
      <c r="AZ1566">
        <v>0</v>
      </c>
    </row>
    <row r="1567" spans="1:52" x14ac:dyDescent="0.3">
      <c r="A1567" t="s">
        <v>1579</v>
      </c>
      <c r="C1567" t="s">
        <v>1495</v>
      </c>
      <c r="H1567">
        <v>10</v>
      </c>
      <c r="I1567" t="s">
        <v>82</v>
      </c>
      <c r="J1567">
        <v>9.9999999999999991E-6</v>
      </c>
      <c r="K1567" t="s">
        <v>252</v>
      </c>
      <c r="O1567">
        <v>0.22499999999999901</v>
      </c>
      <c r="P1567" t="s">
        <v>59</v>
      </c>
      <c r="S1567">
        <v>1</v>
      </c>
      <c r="T1567">
        <v>20</v>
      </c>
      <c r="V1567">
        <v>50</v>
      </c>
      <c r="W1567" t="s">
        <v>1057</v>
      </c>
      <c r="X1567" t="s">
        <v>957</v>
      </c>
      <c r="Y1567">
        <v>30</v>
      </c>
      <c r="Z1567">
        <v>4</v>
      </c>
      <c r="AB1567">
        <v>2</v>
      </c>
      <c r="AC1567" t="s">
        <v>306</v>
      </c>
      <c r="AI1567">
        <v>2</v>
      </c>
      <c r="AV1567" t="s">
        <v>256</v>
      </c>
      <c r="AZ1567">
        <v>0</v>
      </c>
    </row>
    <row r="1568" spans="1:52" x14ac:dyDescent="0.3">
      <c r="A1568" t="s">
        <v>1579</v>
      </c>
      <c r="C1568" t="s">
        <v>1495</v>
      </c>
      <c r="H1568">
        <v>10</v>
      </c>
      <c r="I1568" t="s">
        <v>82</v>
      </c>
      <c r="J1568">
        <v>9.9999999999999991E-6</v>
      </c>
      <c r="K1568" t="s">
        <v>252</v>
      </c>
      <c r="O1568">
        <v>0.3</v>
      </c>
      <c r="P1568" t="s">
        <v>59</v>
      </c>
      <c r="S1568">
        <v>1</v>
      </c>
      <c r="T1568">
        <v>20</v>
      </c>
      <c r="V1568">
        <v>50</v>
      </c>
      <c r="W1568" t="s">
        <v>1057</v>
      </c>
      <c r="X1568" t="s">
        <v>957</v>
      </c>
      <c r="Y1568">
        <v>30</v>
      </c>
      <c r="Z1568">
        <v>2</v>
      </c>
      <c r="AB1568">
        <v>2</v>
      </c>
      <c r="AC1568" t="s">
        <v>306</v>
      </c>
      <c r="AI1568">
        <v>2</v>
      </c>
      <c r="AV1568" t="s">
        <v>256</v>
      </c>
      <c r="AZ1568">
        <v>0</v>
      </c>
    </row>
    <row r="1569" spans="1:52" x14ac:dyDescent="0.3">
      <c r="A1569" t="s">
        <v>1579</v>
      </c>
      <c r="C1569" t="s">
        <v>1495</v>
      </c>
      <c r="H1569">
        <v>10</v>
      </c>
      <c r="I1569" t="s">
        <v>82</v>
      </c>
      <c r="J1569">
        <v>9.9999999999999991E-6</v>
      </c>
      <c r="K1569" t="s">
        <v>252</v>
      </c>
      <c r="O1569">
        <v>0.22499999999999901</v>
      </c>
      <c r="P1569" t="s">
        <v>59</v>
      </c>
      <c r="S1569">
        <v>1</v>
      </c>
      <c r="T1569">
        <v>20</v>
      </c>
      <c r="V1569">
        <v>50</v>
      </c>
      <c r="W1569" t="s">
        <v>1057</v>
      </c>
      <c r="X1569" t="s">
        <v>957</v>
      </c>
      <c r="Y1569">
        <v>60</v>
      </c>
      <c r="Z1569">
        <v>3</v>
      </c>
      <c r="AB1569">
        <v>2</v>
      </c>
      <c r="AC1569" t="s">
        <v>306</v>
      </c>
      <c r="AI1569">
        <v>2</v>
      </c>
      <c r="AV1569" t="s">
        <v>256</v>
      </c>
      <c r="AZ1569">
        <v>0</v>
      </c>
    </row>
    <row r="1570" spans="1:52" x14ac:dyDescent="0.3">
      <c r="A1570" t="s">
        <v>1579</v>
      </c>
      <c r="C1570" t="s">
        <v>1495</v>
      </c>
      <c r="H1570">
        <v>10</v>
      </c>
      <c r="I1570" t="s">
        <v>82</v>
      </c>
      <c r="J1570">
        <v>9.9999999999999991E-6</v>
      </c>
      <c r="K1570" t="s">
        <v>252</v>
      </c>
      <c r="O1570">
        <v>0.3</v>
      </c>
      <c r="P1570" t="s">
        <v>59</v>
      </c>
      <c r="S1570">
        <v>1</v>
      </c>
      <c r="T1570">
        <v>20</v>
      </c>
      <c r="V1570">
        <v>50</v>
      </c>
      <c r="W1570" t="s">
        <v>1057</v>
      </c>
      <c r="X1570" t="s">
        <v>957</v>
      </c>
      <c r="Y1570">
        <v>60</v>
      </c>
      <c r="Z1570">
        <v>4</v>
      </c>
      <c r="AB1570">
        <v>2</v>
      </c>
      <c r="AC1570" t="s">
        <v>306</v>
      </c>
      <c r="AI1570">
        <v>2</v>
      </c>
      <c r="AV1570" t="s">
        <v>256</v>
      </c>
      <c r="AZ1570">
        <v>0</v>
      </c>
    </row>
    <row r="1571" spans="1:52" x14ac:dyDescent="0.3">
      <c r="A1571" t="s">
        <v>1579</v>
      </c>
      <c r="C1571" t="s">
        <v>1495</v>
      </c>
      <c r="H1571">
        <v>10</v>
      </c>
      <c r="I1571" t="s">
        <v>82</v>
      </c>
      <c r="J1571">
        <v>9.9999999999999991E-6</v>
      </c>
      <c r="K1571" t="s">
        <v>252</v>
      </c>
      <c r="O1571">
        <v>0.3</v>
      </c>
      <c r="P1571" t="s">
        <v>59</v>
      </c>
      <c r="S1571">
        <v>1</v>
      </c>
      <c r="T1571">
        <v>15</v>
      </c>
      <c r="V1571">
        <v>50</v>
      </c>
      <c r="W1571" t="s">
        <v>1057</v>
      </c>
      <c r="X1571" t="s">
        <v>957</v>
      </c>
      <c r="Y1571">
        <v>60</v>
      </c>
      <c r="Z1571">
        <v>1</v>
      </c>
      <c r="AB1571">
        <v>2</v>
      </c>
      <c r="AC1571" t="s">
        <v>306</v>
      </c>
      <c r="AI1571">
        <v>2</v>
      </c>
      <c r="AV1571" t="s">
        <v>256</v>
      </c>
      <c r="AZ1571">
        <v>0</v>
      </c>
    </row>
    <row r="1572" spans="1:52" x14ac:dyDescent="0.3">
      <c r="A1572" t="s">
        <v>1579</v>
      </c>
      <c r="B1572" t="s">
        <v>1548</v>
      </c>
      <c r="C1572" t="s">
        <v>1495</v>
      </c>
      <c r="H1572">
        <v>10</v>
      </c>
      <c r="I1572" t="s">
        <v>82</v>
      </c>
      <c r="J1572">
        <v>9.9999999999999991E-6</v>
      </c>
      <c r="K1572" t="s">
        <v>252</v>
      </c>
      <c r="O1572">
        <v>0.22499999999999901</v>
      </c>
      <c r="P1572" t="s">
        <v>59</v>
      </c>
      <c r="S1572">
        <v>1</v>
      </c>
      <c r="T1572">
        <v>20</v>
      </c>
      <c r="V1572">
        <v>50</v>
      </c>
      <c r="W1572" t="s">
        <v>1549</v>
      </c>
      <c r="X1572" t="s">
        <v>957</v>
      </c>
      <c r="Y1572">
        <v>30</v>
      </c>
      <c r="Z1572">
        <v>1</v>
      </c>
      <c r="AB1572">
        <v>2</v>
      </c>
      <c r="AC1572" t="s">
        <v>306</v>
      </c>
      <c r="AI1572">
        <v>2</v>
      </c>
      <c r="AV1572" t="s">
        <v>256</v>
      </c>
      <c r="AZ1572">
        <v>0</v>
      </c>
    </row>
    <row r="1573" spans="1:52" x14ac:dyDescent="0.3">
      <c r="A1573" t="s">
        <v>1579</v>
      </c>
      <c r="B1573" t="s">
        <v>1548</v>
      </c>
      <c r="C1573" t="s">
        <v>1495</v>
      </c>
      <c r="H1573">
        <v>10</v>
      </c>
      <c r="I1573" t="s">
        <v>82</v>
      </c>
      <c r="J1573">
        <v>9.9999999999999991E-6</v>
      </c>
      <c r="K1573" t="s">
        <v>252</v>
      </c>
      <c r="O1573">
        <v>0.3</v>
      </c>
      <c r="P1573" t="s">
        <v>59</v>
      </c>
      <c r="S1573">
        <v>1</v>
      </c>
      <c r="T1573">
        <v>20</v>
      </c>
      <c r="V1573">
        <v>50</v>
      </c>
      <c r="W1573" t="s">
        <v>1549</v>
      </c>
      <c r="X1573" t="s">
        <v>957</v>
      </c>
      <c r="Y1573">
        <v>30</v>
      </c>
      <c r="Z1573">
        <v>4</v>
      </c>
      <c r="AB1573">
        <v>2</v>
      </c>
      <c r="AC1573" t="s">
        <v>306</v>
      </c>
      <c r="AI1573">
        <v>2</v>
      </c>
      <c r="AV1573" t="s">
        <v>256</v>
      </c>
      <c r="AZ1573">
        <v>0</v>
      </c>
    </row>
    <row r="1574" spans="1:52" x14ac:dyDescent="0.3">
      <c r="A1574" t="s">
        <v>1579</v>
      </c>
      <c r="B1574" t="s">
        <v>1548</v>
      </c>
      <c r="C1574" t="s">
        <v>1495</v>
      </c>
      <c r="H1574">
        <v>10</v>
      </c>
      <c r="I1574" t="s">
        <v>82</v>
      </c>
      <c r="J1574">
        <v>9.9999999999999991E-6</v>
      </c>
      <c r="K1574" t="s">
        <v>252</v>
      </c>
      <c r="O1574">
        <v>0.22499999999999901</v>
      </c>
      <c r="P1574" t="s">
        <v>59</v>
      </c>
      <c r="S1574">
        <v>1</v>
      </c>
      <c r="T1574">
        <v>20</v>
      </c>
      <c r="V1574">
        <v>50</v>
      </c>
      <c r="W1574" t="s">
        <v>1549</v>
      </c>
      <c r="X1574" t="s">
        <v>957</v>
      </c>
      <c r="Y1574">
        <v>60</v>
      </c>
      <c r="Z1574">
        <v>3</v>
      </c>
      <c r="AB1574">
        <v>2</v>
      </c>
      <c r="AC1574" t="s">
        <v>306</v>
      </c>
      <c r="AI1574">
        <v>2</v>
      </c>
      <c r="AV1574" t="s">
        <v>256</v>
      </c>
      <c r="AZ1574">
        <v>0</v>
      </c>
    </row>
    <row r="1575" spans="1:52" x14ac:dyDescent="0.3">
      <c r="A1575" t="s">
        <v>1579</v>
      </c>
      <c r="B1575" t="s">
        <v>1548</v>
      </c>
      <c r="C1575" t="s">
        <v>1495</v>
      </c>
      <c r="H1575">
        <v>10</v>
      </c>
      <c r="I1575" t="s">
        <v>82</v>
      </c>
      <c r="J1575">
        <v>9.9999999999999991E-6</v>
      </c>
      <c r="K1575" t="s">
        <v>252</v>
      </c>
      <c r="O1575">
        <v>0.3</v>
      </c>
      <c r="P1575" t="s">
        <v>59</v>
      </c>
      <c r="S1575">
        <v>1</v>
      </c>
      <c r="T1575">
        <v>20</v>
      </c>
      <c r="V1575">
        <v>50</v>
      </c>
      <c r="W1575" t="s">
        <v>1549</v>
      </c>
      <c r="X1575" t="s">
        <v>957</v>
      </c>
      <c r="Y1575">
        <v>60</v>
      </c>
      <c r="Z1575">
        <v>4</v>
      </c>
      <c r="AB1575">
        <v>2</v>
      </c>
      <c r="AC1575" t="s">
        <v>306</v>
      </c>
      <c r="AI1575">
        <v>2</v>
      </c>
      <c r="AV1575" t="s">
        <v>256</v>
      </c>
      <c r="AZ1575">
        <v>0</v>
      </c>
    </row>
    <row r="1576" spans="1:52" x14ac:dyDescent="0.3">
      <c r="A1576" t="s">
        <v>1579</v>
      </c>
      <c r="C1576" t="s">
        <v>1495</v>
      </c>
      <c r="H1576">
        <v>10</v>
      </c>
      <c r="I1576" t="s">
        <v>82</v>
      </c>
      <c r="J1576">
        <v>9.9999999999999991E-6</v>
      </c>
      <c r="K1576" t="s">
        <v>252</v>
      </c>
      <c r="O1576">
        <v>0.22499999999999901</v>
      </c>
      <c r="P1576" t="s">
        <v>59</v>
      </c>
      <c r="S1576">
        <v>1</v>
      </c>
      <c r="T1576">
        <v>20</v>
      </c>
      <c r="V1576">
        <v>50</v>
      </c>
      <c r="W1576" t="s">
        <v>1057</v>
      </c>
      <c r="X1576" t="s">
        <v>957</v>
      </c>
      <c r="Y1576">
        <v>30</v>
      </c>
      <c r="Z1576">
        <v>4</v>
      </c>
      <c r="AB1576">
        <v>2</v>
      </c>
      <c r="AC1576" t="s">
        <v>306</v>
      </c>
      <c r="AI1576">
        <v>2</v>
      </c>
      <c r="AV1576" t="s">
        <v>256</v>
      </c>
      <c r="AZ1576">
        <v>0</v>
      </c>
    </row>
    <row r="1577" spans="1:52" x14ac:dyDescent="0.3">
      <c r="A1577" t="s">
        <v>1579</v>
      </c>
      <c r="C1577" t="s">
        <v>1495</v>
      </c>
      <c r="H1577">
        <v>10</v>
      </c>
      <c r="I1577" t="s">
        <v>82</v>
      </c>
      <c r="J1577">
        <v>9.9999999999999991E-6</v>
      </c>
      <c r="K1577" t="s">
        <v>252</v>
      </c>
      <c r="O1577">
        <v>0.3</v>
      </c>
      <c r="P1577" t="s">
        <v>59</v>
      </c>
      <c r="S1577">
        <v>1</v>
      </c>
      <c r="T1577">
        <v>20</v>
      </c>
      <c r="V1577">
        <v>50</v>
      </c>
      <c r="W1577" t="s">
        <v>1057</v>
      </c>
      <c r="X1577" t="s">
        <v>957</v>
      </c>
      <c r="Y1577">
        <v>30</v>
      </c>
      <c r="Z1577">
        <v>4</v>
      </c>
      <c r="AB1577">
        <v>2</v>
      </c>
      <c r="AC1577" t="s">
        <v>306</v>
      </c>
      <c r="AI1577">
        <v>2</v>
      </c>
      <c r="AV1577" t="s">
        <v>256</v>
      </c>
      <c r="AZ1577">
        <v>0</v>
      </c>
    </row>
    <row r="1578" spans="1:52" x14ac:dyDescent="0.3">
      <c r="A1578" t="s">
        <v>1579</v>
      </c>
      <c r="C1578" t="s">
        <v>1495</v>
      </c>
      <c r="H1578">
        <v>10</v>
      </c>
      <c r="I1578" t="s">
        <v>82</v>
      </c>
      <c r="J1578">
        <v>9.9999999999999991E-6</v>
      </c>
      <c r="K1578" t="s">
        <v>252</v>
      </c>
      <c r="O1578">
        <v>0.15</v>
      </c>
      <c r="P1578" t="s">
        <v>59</v>
      </c>
      <c r="S1578">
        <v>1</v>
      </c>
      <c r="T1578">
        <v>20</v>
      </c>
      <c r="V1578">
        <v>50</v>
      </c>
      <c r="W1578" t="s">
        <v>1057</v>
      </c>
      <c r="X1578" t="s">
        <v>957</v>
      </c>
      <c r="Y1578">
        <v>60</v>
      </c>
      <c r="Z1578">
        <v>2</v>
      </c>
      <c r="AB1578">
        <v>2</v>
      </c>
      <c r="AC1578" t="s">
        <v>306</v>
      </c>
      <c r="AI1578">
        <v>2</v>
      </c>
      <c r="AV1578" t="s">
        <v>256</v>
      </c>
      <c r="AZ1578">
        <v>0</v>
      </c>
    </row>
    <row r="1579" spans="1:52" x14ac:dyDescent="0.3">
      <c r="A1579" t="s">
        <v>1579</v>
      </c>
      <c r="C1579" t="s">
        <v>1495</v>
      </c>
      <c r="H1579">
        <v>10</v>
      </c>
      <c r="I1579" t="s">
        <v>82</v>
      </c>
      <c r="J1579">
        <v>9.9999999999999991E-6</v>
      </c>
      <c r="K1579" t="s">
        <v>252</v>
      </c>
      <c r="O1579">
        <v>0.22499999999999901</v>
      </c>
      <c r="P1579" t="s">
        <v>59</v>
      </c>
      <c r="S1579">
        <v>1</v>
      </c>
      <c r="T1579">
        <v>20</v>
      </c>
      <c r="V1579">
        <v>50</v>
      </c>
      <c r="W1579" t="s">
        <v>1057</v>
      </c>
      <c r="X1579" t="s">
        <v>957</v>
      </c>
      <c r="Y1579">
        <v>60</v>
      </c>
      <c r="Z1579">
        <v>3</v>
      </c>
      <c r="AB1579">
        <v>2</v>
      </c>
      <c r="AC1579" t="s">
        <v>306</v>
      </c>
      <c r="AI1579">
        <v>2</v>
      </c>
      <c r="AV1579" t="s">
        <v>256</v>
      </c>
      <c r="AZ1579">
        <v>0</v>
      </c>
    </row>
    <row r="1580" spans="1:52" x14ac:dyDescent="0.3">
      <c r="A1580" t="s">
        <v>1579</v>
      </c>
      <c r="C1580" t="s">
        <v>1495</v>
      </c>
      <c r="H1580">
        <v>10</v>
      </c>
      <c r="I1580" t="s">
        <v>82</v>
      </c>
      <c r="J1580">
        <v>9.9999999999999991E-6</v>
      </c>
      <c r="K1580" t="s">
        <v>252</v>
      </c>
      <c r="O1580">
        <v>0.3</v>
      </c>
      <c r="P1580" t="s">
        <v>59</v>
      </c>
      <c r="S1580">
        <v>1</v>
      </c>
      <c r="T1580">
        <v>20</v>
      </c>
      <c r="V1580">
        <v>50</v>
      </c>
      <c r="W1580" t="s">
        <v>1057</v>
      </c>
      <c r="X1580" t="s">
        <v>957</v>
      </c>
      <c r="Y1580">
        <v>60</v>
      </c>
      <c r="Z1580">
        <v>4</v>
      </c>
      <c r="AB1580">
        <v>2</v>
      </c>
      <c r="AC1580" t="s">
        <v>306</v>
      </c>
      <c r="AI1580">
        <v>2</v>
      </c>
      <c r="AV1580" t="s">
        <v>256</v>
      </c>
      <c r="AZ1580">
        <v>0</v>
      </c>
    </row>
    <row r="1581" spans="1:52" x14ac:dyDescent="0.3">
      <c r="A1581" t="s">
        <v>1579</v>
      </c>
      <c r="B1581" t="s">
        <v>1548</v>
      </c>
      <c r="C1581" t="s">
        <v>1495</v>
      </c>
      <c r="H1581">
        <v>10</v>
      </c>
      <c r="I1581" t="s">
        <v>82</v>
      </c>
      <c r="J1581">
        <v>9.9999999999999991E-6</v>
      </c>
      <c r="K1581" t="s">
        <v>252</v>
      </c>
      <c r="O1581">
        <v>0.22499999999999901</v>
      </c>
      <c r="P1581" t="s">
        <v>59</v>
      </c>
      <c r="S1581">
        <v>1</v>
      </c>
      <c r="T1581">
        <v>10</v>
      </c>
      <c r="V1581">
        <v>50</v>
      </c>
      <c r="W1581" t="s">
        <v>1549</v>
      </c>
      <c r="X1581" t="s">
        <v>957</v>
      </c>
      <c r="Y1581">
        <v>30</v>
      </c>
      <c r="Z1581">
        <v>1</v>
      </c>
      <c r="AB1581">
        <v>2</v>
      </c>
      <c r="AC1581" t="s">
        <v>306</v>
      </c>
      <c r="AI1581">
        <v>2</v>
      </c>
      <c r="AV1581" t="s">
        <v>256</v>
      </c>
      <c r="AZ1581">
        <v>0</v>
      </c>
    </row>
    <row r="1582" spans="1:52" x14ac:dyDescent="0.3">
      <c r="A1582" t="s">
        <v>1579</v>
      </c>
      <c r="B1582" t="s">
        <v>1548</v>
      </c>
      <c r="C1582" t="s">
        <v>1495</v>
      </c>
      <c r="H1582">
        <v>10</v>
      </c>
      <c r="I1582" t="s">
        <v>82</v>
      </c>
      <c r="J1582">
        <v>9.9999999999999991E-6</v>
      </c>
      <c r="K1582" t="s">
        <v>252</v>
      </c>
      <c r="O1582">
        <v>0.3</v>
      </c>
      <c r="P1582" t="s">
        <v>59</v>
      </c>
      <c r="S1582">
        <v>1</v>
      </c>
      <c r="T1582">
        <v>10</v>
      </c>
      <c r="V1582">
        <v>50</v>
      </c>
      <c r="W1582" t="s">
        <v>1549</v>
      </c>
      <c r="X1582" t="s">
        <v>957</v>
      </c>
      <c r="Y1582">
        <v>30</v>
      </c>
      <c r="Z1582">
        <v>1</v>
      </c>
      <c r="AB1582">
        <v>2</v>
      </c>
      <c r="AC1582" t="s">
        <v>306</v>
      </c>
      <c r="AI1582">
        <v>2</v>
      </c>
      <c r="AV1582" t="s">
        <v>256</v>
      </c>
      <c r="AZ1582">
        <v>0</v>
      </c>
    </row>
    <row r="1583" spans="1:52" x14ac:dyDescent="0.3">
      <c r="A1583" t="s">
        <v>1579</v>
      </c>
      <c r="B1583" t="s">
        <v>1548</v>
      </c>
      <c r="C1583" t="s">
        <v>1495</v>
      </c>
      <c r="H1583">
        <v>10</v>
      </c>
      <c r="I1583" t="s">
        <v>82</v>
      </c>
      <c r="J1583">
        <v>9.9999999999999991E-6</v>
      </c>
      <c r="K1583" t="s">
        <v>252</v>
      </c>
      <c r="O1583">
        <v>0.22499999999999901</v>
      </c>
      <c r="P1583" t="s">
        <v>59</v>
      </c>
      <c r="S1583">
        <v>1</v>
      </c>
      <c r="T1583">
        <v>10</v>
      </c>
      <c r="V1583">
        <v>50</v>
      </c>
      <c r="W1583" t="s">
        <v>1549</v>
      </c>
      <c r="X1583" t="s">
        <v>957</v>
      </c>
      <c r="Y1583">
        <v>60</v>
      </c>
      <c r="Z1583">
        <v>4</v>
      </c>
      <c r="AB1583">
        <v>2</v>
      </c>
      <c r="AC1583" t="s">
        <v>306</v>
      </c>
      <c r="AI1583">
        <v>2</v>
      </c>
      <c r="AV1583" t="s">
        <v>256</v>
      </c>
      <c r="AZ1583">
        <v>0</v>
      </c>
    </row>
    <row r="1584" spans="1:52" x14ac:dyDescent="0.3">
      <c r="A1584" t="s">
        <v>1579</v>
      </c>
      <c r="B1584" t="s">
        <v>1548</v>
      </c>
      <c r="C1584" t="s">
        <v>1495</v>
      </c>
      <c r="H1584">
        <v>10</v>
      </c>
      <c r="I1584" t="s">
        <v>82</v>
      </c>
      <c r="J1584">
        <v>9.9999999999999991E-6</v>
      </c>
      <c r="K1584" t="s">
        <v>252</v>
      </c>
      <c r="O1584">
        <v>0.3</v>
      </c>
      <c r="P1584" t="s">
        <v>59</v>
      </c>
      <c r="S1584">
        <v>1</v>
      </c>
      <c r="T1584">
        <v>10</v>
      </c>
      <c r="V1584">
        <v>50</v>
      </c>
      <c r="W1584" t="s">
        <v>1549</v>
      </c>
      <c r="X1584" t="s">
        <v>957</v>
      </c>
      <c r="Y1584">
        <v>60</v>
      </c>
      <c r="Z1584">
        <v>3</v>
      </c>
      <c r="AB1584">
        <v>2</v>
      </c>
      <c r="AC1584" t="s">
        <v>306</v>
      </c>
      <c r="AI1584">
        <v>2</v>
      </c>
      <c r="AV1584" t="s">
        <v>256</v>
      </c>
      <c r="AZ1584">
        <v>0</v>
      </c>
    </row>
    <row r="1585" spans="1:52" x14ac:dyDescent="0.3">
      <c r="A1585" t="s">
        <v>1579</v>
      </c>
      <c r="C1585" t="s">
        <v>1495</v>
      </c>
      <c r="H1585">
        <v>10</v>
      </c>
      <c r="I1585" t="s">
        <v>82</v>
      </c>
      <c r="J1585">
        <v>9.9999999999999991E-6</v>
      </c>
      <c r="K1585" t="s">
        <v>252</v>
      </c>
      <c r="O1585">
        <v>0.22499999999999901</v>
      </c>
      <c r="P1585" t="s">
        <v>59</v>
      </c>
      <c r="S1585">
        <v>1</v>
      </c>
      <c r="T1585">
        <v>10</v>
      </c>
      <c r="V1585">
        <v>50</v>
      </c>
      <c r="W1585" t="s">
        <v>1057</v>
      </c>
      <c r="X1585" t="s">
        <v>957</v>
      </c>
      <c r="Y1585">
        <v>30</v>
      </c>
      <c r="Z1585">
        <v>4</v>
      </c>
      <c r="AB1585">
        <v>2</v>
      </c>
      <c r="AC1585" t="s">
        <v>306</v>
      </c>
      <c r="AI1585">
        <v>2</v>
      </c>
      <c r="AV1585" t="s">
        <v>256</v>
      </c>
      <c r="AZ1585">
        <v>0</v>
      </c>
    </row>
    <row r="1586" spans="1:52" x14ac:dyDescent="0.3">
      <c r="A1586" t="s">
        <v>1579</v>
      </c>
      <c r="C1586" t="s">
        <v>1495</v>
      </c>
      <c r="H1586">
        <v>10</v>
      </c>
      <c r="I1586" t="s">
        <v>82</v>
      </c>
      <c r="J1586">
        <v>9.9999999999999991E-6</v>
      </c>
      <c r="K1586" t="s">
        <v>252</v>
      </c>
      <c r="O1586">
        <v>0.3</v>
      </c>
      <c r="P1586" t="s">
        <v>59</v>
      </c>
      <c r="S1586">
        <v>1</v>
      </c>
      <c r="T1586">
        <v>10</v>
      </c>
      <c r="V1586">
        <v>50</v>
      </c>
      <c r="W1586" t="s">
        <v>1057</v>
      </c>
      <c r="X1586" t="s">
        <v>957</v>
      </c>
      <c r="Y1586">
        <v>30</v>
      </c>
      <c r="Z1586">
        <v>4</v>
      </c>
      <c r="AB1586">
        <v>2</v>
      </c>
      <c r="AC1586" t="s">
        <v>306</v>
      </c>
      <c r="AI1586">
        <v>2</v>
      </c>
      <c r="AV1586" t="s">
        <v>256</v>
      </c>
      <c r="AZ1586">
        <v>0</v>
      </c>
    </row>
    <row r="1587" spans="1:52" x14ac:dyDescent="0.3">
      <c r="A1587" t="s">
        <v>1579</v>
      </c>
      <c r="C1587" t="s">
        <v>1495</v>
      </c>
      <c r="H1587">
        <v>10</v>
      </c>
      <c r="I1587" t="s">
        <v>82</v>
      </c>
      <c r="J1587">
        <v>9.9999999999999991E-6</v>
      </c>
      <c r="K1587" t="s">
        <v>252</v>
      </c>
      <c r="O1587">
        <v>0.22499999999999901</v>
      </c>
      <c r="P1587" t="s">
        <v>59</v>
      </c>
      <c r="S1587">
        <v>1</v>
      </c>
      <c r="T1587">
        <v>10</v>
      </c>
      <c r="V1587">
        <v>50</v>
      </c>
      <c r="W1587" t="s">
        <v>1057</v>
      </c>
      <c r="X1587" t="s">
        <v>957</v>
      </c>
      <c r="Y1587">
        <v>60</v>
      </c>
      <c r="Z1587">
        <v>4</v>
      </c>
      <c r="AB1587">
        <v>2</v>
      </c>
      <c r="AC1587" t="s">
        <v>306</v>
      </c>
      <c r="AI1587">
        <v>2</v>
      </c>
      <c r="AV1587" t="s">
        <v>256</v>
      </c>
      <c r="AZ1587">
        <v>0</v>
      </c>
    </row>
    <row r="1588" spans="1:52" x14ac:dyDescent="0.3">
      <c r="A1588" t="s">
        <v>1579</v>
      </c>
      <c r="C1588" t="s">
        <v>1495</v>
      </c>
      <c r="H1588">
        <v>10</v>
      </c>
      <c r="I1588" t="s">
        <v>82</v>
      </c>
      <c r="J1588">
        <v>9.9999999999999991E-6</v>
      </c>
      <c r="K1588" t="s">
        <v>252</v>
      </c>
      <c r="O1588">
        <v>0.3</v>
      </c>
      <c r="P1588" t="s">
        <v>59</v>
      </c>
      <c r="S1588">
        <v>1</v>
      </c>
      <c r="T1588">
        <v>10</v>
      </c>
      <c r="V1588">
        <v>50</v>
      </c>
      <c r="W1588" t="s">
        <v>1057</v>
      </c>
      <c r="X1588" t="s">
        <v>957</v>
      </c>
      <c r="Y1588">
        <v>60</v>
      </c>
      <c r="Z1588">
        <v>2</v>
      </c>
      <c r="AB1588">
        <v>2</v>
      </c>
      <c r="AC1588" t="s">
        <v>306</v>
      </c>
      <c r="AI1588">
        <v>2</v>
      </c>
      <c r="AV1588" t="s">
        <v>256</v>
      </c>
      <c r="AZ1588">
        <v>0</v>
      </c>
    </row>
    <row r="1589" spans="1:52" x14ac:dyDescent="0.3">
      <c r="A1589" t="s">
        <v>1579</v>
      </c>
      <c r="B1589" t="s">
        <v>1548</v>
      </c>
      <c r="C1589" t="s">
        <v>1495</v>
      </c>
      <c r="H1589">
        <v>10</v>
      </c>
      <c r="I1589" t="s">
        <v>82</v>
      </c>
      <c r="J1589">
        <v>9.9999999999999991E-6</v>
      </c>
      <c r="K1589" t="s">
        <v>252</v>
      </c>
      <c r="O1589">
        <v>0.22499999999999901</v>
      </c>
      <c r="P1589" t="s">
        <v>59</v>
      </c>
      <c r="S1589">
        <v>1</v>
      </c>
      <c r="T1589">
        <v>15</v>
      </c>
      <c r="V1589">
        <v>50</v>
      </c>
      <c r="W1589" t="s">
        <v>1549</v>
      </c>
      <c r="X1589" t="s">
        <v>957</v>
      </c>
      <c r="Y1589">
        <v>5</v>
      </c>
      <c r="Z1589">
        <v>3</v>
      </c>
      <c r="AB1589">
        <v>2</v>
      </c>
      <c r="AC1589" t="s">
        <v>306</v>
      </c>
      <c r="AI1589">
        <v>2</v>
      </c>
      <c r="AV1589" t="s">
        <v>256</v>
      </c>
      <c r="AZ1589">
        <v>0</v>
      </c>
    </row>
    <row r="1590" spans="1:52" x14ac:dyDescent="0.3">
      <c r="A1590" t="s">
        <v>1579</v>
      </c>
      <c r="B1590" t="s">
        <v>1548</v>
      </c>
      <c r="C1590" t="s">
        <v>1495</v>
      </c>
      <c r="H1590">
        <v>10</v>
      </c>
      <c r="I1590" t="s">
        <v>82</v>
      </c>
      <c r="J1590">
        <v>9.9999999999999991E-6</v>
      </c>
      <c r="K1590" t="s">
        <v>252</v>
      </c>
      <c r="O1590">
        <v>0.3</v>
      </c>
      <c r="P1590" t="s">
        <v>59</v>
      </c>
      <c r="S1590">
        <v>1</v>
      </c>
      <c r="T1590">
        <v>15</v>
      </c>
      <c r="V1590">
        <v>50</v>
      </c>
      <c r="W1590" t="s">
        <v>1549</v>
      </c>
      <c r="X1590" t="s">
        <v>957</v>
      </c>
      <c r="Y1590">
        <v>5</v>
      </c>
      <c r="Z1590">
        <v>4</v>
      </c>
      <c r="AB1590">
        <v>2</v>
      </c>
      <c r="AC1590" t="s">
        <v>306</v>
      </c>
      <c r="AI1590">
        <v>2</v>
      </c>
      <c r="AV1590" t="s">
        <v>256</v>
      </c>
      <c r="AZ1590">
        <v>0</v>
      </c>
    </row>
    <row r="1591" spans="1:52" x14ac:dyDescent="0.3">
      <c r="A1591" t="s">
        <v>1579</v>
      </c>
      <c r="B1591" t="s">
        <v>1548</v>
      </c>
      <c r="C1591" t="s">
        <v>1495</v>
      </c>
      <c r="H1591">
        <v>10</v>
      </c>
      <c r="I1591" t="s">
        <v>82</v>
      </c>
      <c r="J1591">
        <v>9.9999999999999991E-6</v>
      </c>
      <c r="K1591" t="s">
        <v>252</v>
      </c>
      <c r="O1591">
        <v>0.22499999999999901</v>
      </c>
      <c r="P1591" t="s">
        <v>59</v>
      </c>
      <c r="S1591">
        <v>1</v>
      </c>
      <c r="T1591">
        <v>15</v>
      </c>
      <c r="V1591">
        <v>50</v>
      </c>
      <c r="W1591" t="s">
        <v>1549</v>
      </c>
      <c r="X1591" t="s">
        <v>957</v>
      </c>
      <c r="Y1591">
        <v>30</v>
      </c>
      <c r="Z1591">
        <v>1</v>
      </c>
      <c r="AB1591">
        <v>2</v>
      </c>
      <c r="AC1591" t="s">
        <v>306</v>
      </c>
      <c r="AI1591">
        <v>2</v>
      </c>
      <c r="AV1591" t="s">
        <v>256</v>
      </c>
      <c r="AZ1591">
        <v>0</v>
      </c>
    </row>
    <row r="1592" spans="1:52" x14ac:dyDescent="0.3">
      <c r="A1592" t="s">
        <v>1579</v>
      </c>
      <c r="B1592" t="s">
        <v>1548</v>
      </c>
      <c r="C1592" t="s">
        <v>1495</v>
      </c>
      <c r="H1592">
        <v>10</v>
      </c>
      <c r="I1592" t="s">
        <v>82</v>
      </c>
      <c r="J1592">
        <v>9.9999999999999991E-6</v>
      </c>
      <c r="K1592" t="s">
        <v>252</v>
      </c>
      <c r="O1592">
        <v>0.3</v>
      </c>
      <c r="P1592" t="s">
        <v>59</v>
      </c>
      <c r="S1592">
        <v>1</v>
      </c>
      <c r="T1592">
        <v>15</v>
      </c>
      <c r="V1592">
        <v>50</v>
      </c>
      <c r="W1592" t="s">
        <v>1549</v>
      </c>
      <c r="X1592" t="s">
        <v>957</v>
      </c>
      <c r="Y1592">
        <v>30</v>
      </c>
      <c r="Z1592">
        <v>1</v>
      </c>
      <c r="AB1592">
        <v>2</v>
      </c>
      <c r="AC1592" t="s">
        <v>306</v>
      </c>
      <c r="AI1592">
        <v>2</v>
      </c>
      <c r="AV1592" t="s">
        <v>256</v>
      </c>
      <c r="AZ1592">
        <v>0</v>
      </c>
    </row>
    <row r="1593" spans="1:52" x14ac:dyDescent="0.3">
      <c r="A1593" t="s">
        <v>1579</v>
      </c>
      <c r="B1593" t="s">
        <v>1548</v>
      </c>
      <c r="C1593" t="s">
        <v>1495</v>
      </c>
      <c r="H1593">
        <v>10</v>
      </c>
      <c r="I1593" t="s">
        <v>82</v>
      </c>
      <c r="J1593">
        <v>9.9999999999999991E-6</v>
      </c>
      <c r="K1593" t="s">
        <v>252</v>
      </c>
      <c r="O1593">
        <v>0.15</v>
      </c>
      <c r="P1593" t="s">
        <v>59</v>
      </c>
      <c r="S1593">
        <v>1</v>
      </c>
      <c r="T1593">
        <v>15</v>
      </c>
      <c r="V1593">
        <v>50</v>
      </c>
      <c r="W1593" t="s">
        <v>1549</v>
      </c>
      <c r="X1593" t="s">
        <v>957</v>
      </c>
      <c r="Y1593">
        <v>60</v>
      </c>
      <c r="Z1593">
        <v>4</v>
      </c>
      <c r="AB1593">
        <v>2</v>
      </c>
      <c r="AC1593" t="s">
        <v>306</v>
      </c>
      <c r="AI1593">
        <v>2</v>
      </c>
      <c r="AV1593" t="s">
        <v>256</v>
      </c>
      <c r="AZ1593">
        <v>0</v>
      </c>
    </row>
    <row r="1594" spans="1:52" x14ac:dyDescent="0.3">
      <c r="A1594" t="s">
        <v>1579</v>
      </c>
      <c r="B1594" t="s">
        <v>1548</v>
      </c>
      <c r="C1594" t="s">
        <v>1495</v>
      </c>
      <c r="H1594">
        <v>10</v>
      </c>
      <c r="I1594" t="s">
        <v>82</v>
      </c>
      <c r="J1594">
        <v>9.9999999999999991E-6</v>
      </c>
      <c r="K1594" t="s">
        <v>252</v>
      </c>
      <c r="O1594">
        <v>0.22499999999999901</v>
      </c>
      <c r="P1594" t="s">
        <v>59</v>
      </c>
      <c r="S1594">
        <v>1</v>
      </c>
      <c r="T1594">
        <v>15</v>
      </c>
      <c r="V1594">
        <v>50</v>
      </c>
      <c r="W1594" t="s">
        <v>1549</v>
      </c>
      <c r="X1594" t="s">
        <v>957</v>
      </c>
      <c r="Y1594">
        <v>60</v>
      </c>
      <c r="Z1594">
        <v>3</v>
      </c>
      <c r="AB1594">
        <v>2</v>
      </c>
      <c r="AC1594" t="s">
        <v>306</v>
      </c>
      <c r="AI1594">
        <v>2</v>
      </c>
      <c r="AV1594" t="s">
        <v>256</v>
      </c>
      <c r="AZ1594">
        <v>0</v>
      </c>
    </row>
    <row r="1595" spans="1:52" x14ac:dyDescent="0.3">
      <c r="A1595" t="s">
        <v>1579</v>
      </c>
      <c r="B1595" t="s">
        <v>1548</v>
      </c>
      <c r="C1595" t="s">
        <v>1495</v>
      </c>
      <c r="H1595">
        <v>10</v>
      </c>
      <c r="I1595" t="s">
        <v>82</v>
      </c>
      <c r="J1595">
        <v>9.9999999999999991E-6</v>
      </c>
      <c r="K1595" t="s">
        <v>252</v>
      </c>
      <c r="O1595">
        <v>0.3</v>
      </c>
      <c r="P1595" t="s">
        <v>59</v>
      </c>
      <c r="S1595">
        <v>1</v>
      </c>
      <c r="T1595">
        <v>15</v>
      </c>
      <c r="V1595">
        <v>50</v>
      </c>
      <c r="W1595" t="s">
        <v>1549</v>
      </c>
      <c r="X1595" t="s">
        <v>957</v>
      </c>
      <c r="Y1595">
        <v>60</v>
      </c>
      <c r="Z1595">
        <v>4</v>
      </c>
      <c r="AB1595">
        <v>2</v>
      </c>
      <c r="AC1595" t="s">
        <v>306</v>
      </c>
      <c r="AI1595">
        <v>2</v>
      </c>
      <c r="AV1595" t="s">
        <v>256</v>
      </c>
      <c r="AZ1595">
        <v>0</v>
      </c>
    </row>
    <row r="1596" spans="1:52" x14ac:dyDescent="0.3">
      <c r="A1596" t="s">
        <v>1579</v>
      </c>
      <c r="C1596" t="s">
        <v>1495</v>
      </c>
      <c r="H1596">
        <v>10</v>
      </c>
      <c r="I1596" t="s">
        <v>82</v>
      </c>
      <c r="J1596">
        <v>9.9999999999999991E-6</v>
      </c>
      <c r="K1596" t="s">
        <v>252</v>
      </c>
      <c r="O1596">
        <v>0.22499999999999901</v>
      </c>
      <c r="P1596" t="s">
        <v>59</v>
      </c>
      <c r="S1596">
        <v>1</v>
      </c>
      <c r="T1596">
        <v>15</v>
      </c>
      <c r="V1596">
        <v>50</v>
      </c>
      <c r="W1596" t="s">
        <v>1057</v>
      </c>
      <c r="X1596" t="s">
        <v>957</v>
      </c>
      <c r="Y1596">
        <v>30</v>
      </c>
      <c r="Z1596">
        <v>4</v>
      </c>
      <c r="AB1596">
        <v>2</v>
      </c>
      <c r="AC1596" t="s">
        <v>306</v>
      </c>
      <c r="AI1596">
        <v>2</v>
      </c>
      <c r="AV1596" t="s">
        <v>256</v>
      </c>
      <c r="AZ1596">
        <v>0</v>
      </c>
    </row>
    <row r="1597" spans="1:52" x14ac:dyDescent="0.3">
      <c r="A1597" t="s">
        <v>1579</v>
      </c>
      <c r="C1597" t="s">
        <v>1495</v>
      </c>
      <c r="H1597">
        <v>10</v>
      </c>
      <c r="I1597" t="s">
        <v>82</v>
      </c>
      <c r="J1597">
        <v>9.9999999999999991E-6</v>
      </c>
      <c r="K1597" t="s">
        <v>252</v>
      </c>
      <c r="O1597">
        <v>0.3</v>
      </c>
      <c r="P1597" t="s">
        <v>59</v>
      </c>
      <c r="S1597">
        <v>1</v>
      </c>
      <c r="T1597">
        <v>15</v>
      </c>
      <c r="V1597">
        <v>50</v>
      </c>
      <c r="W1597" t="s">
        <v>1057</v>
      </c>
      <c r="X1597" t="s">
        <v>957</v>
      </c>
      <c r="Y1597">
        <v>30</v>
      </c>
      <c r="Z1597">
        <v>4</v>
      </c>
      <c r="AB1597">
        <v>2</v>
      </c>
      <c r="AC1597" t="s">
        <v>306</v>
      </c>
      <c r="AI1597">
        <v>2</v>
      </c>
      <c r="AV1597" t="s">
        <v>256</v>
      </c>
      <c r="AZ1597">
        <v>0</v>
      </c>
    </row>
    <row r="1598" spans="1:52" x14ac:dyDescent="0.3">
      <c r="A1598" t="s">
        <v>1579</v>
      </c>
      <c r="C1598" t="s">
        <v>1495</v>
      </c>
      <c r="H1598">
        <v>10</v>
      </c>
      <c r="I1598" t="s">
        <v>82</v>
      </c>
      <c r="J1598">
        <v>9.9999999999999991E-6</v>
      </c>
      <c r="K1598" t="s">
        <v>252</v>
      </c>
      <c r="O1598">
        <v>0.15</v>
      </c>
      <c r="P1598" t="s">
        <v>59</v>
      </c>
      <c r="S1598">
        <v>1</v>
      </c>
      <c r="T1598">
        <v>15</v>
      </c>
      <c r="V1598">
        <v>50</v>
      </c>
      <c r="W1598" t="s">
        <v>1057</v>
      </c>
      <c r="X1598" t="s">
        <v>957</v>
      </c>
      <c r="Y1598">
        <v>60</v>
      </c>
      <c r="Z1598">
        <v>4</v>
      </c>
      <c r="AB1598">
        <v>2</v>
      </c>
      <c r="AC1598" t="s">
        <v>306</v>
      </c>
      <c r="AI1598">
        <v>2</v>
      </c>
      <c r="AV1598" t="s">
        <v>256</v>
      </c>
      <c r="AZ1598">
        <v>0</v>
      </c>
    </row>
    <row r="1599" spans="1:52" x14ac:dyDescent="0.3">
      <c r="A1599" t="s">
        <v>1579</v>
      </c>
      <c r="C1599" t="s">
        <v>1495</v>
      </c>
      <c r="H1599">
        <v>10</v>
      </c>
      <c r="I1599" t="s">
        <v>82</v>
      </c>
      <c r="J1599">
        <v>9.9999999999999991E-6</v>
      </c>
      <c r="K1599" t="s">
        <v>252</v>
      </c>
      <c r="O1599">
        <v>0.22499999999999901</v>
      </c>
      <c r="P1599" t="s">
        <v>59</v>
      </c>
      <c r="S1599">
        <v>1</v>
      </c>
      <c r="T1599">
        <v>15</v>
      </c>
      <c r="V1599">
        <v>50</v>
      </c>
      <c r="W1599" t="s">
        <v>1057</v>
      </c>
      <c r="X1599" t="s">
        <v>957</v>
      </c>
      <c r="Y1599">
        <v>60</v>
      </c>
      <c r="Z1599">
        <v>4</v>
      </c>
      <c r="AB1599">
        <v>2</v>
      </c>
      <c r="AC1599" t="s">
        <v>306</v>
      </c>
      <c r="AI1599">
        <v>2</v>
      </c>
      <c r="AV1599" t="s">
        <v>256</v>
      </c>
      <c r="AZ1599">
        <v>0</v>
      </c>
    </row>
    <row r="1600" spans="1:52" x14ac:dyDescent="0.3">
      <c r="A1600" t="s">
        <v>1579</v>
      </c>
      <c r="C1600" t="s">
        <v>1495</v>
      </c>
      <c r="H1600">
        <v>10</v>
      </c>
      <c r="I1600" t="s">
        <v>82</v>
      </c>
      <c r="J1600">
        <v>9.9999999999999991E-6</v>
      </c>
      <c r="K1600" t="s">
        <v>252</v>
      </c>
      <c r="O1600">
        <v>0.3</v>
      </c>
      <c r="P1600" t="s">
        <v>59</v>
      </c>
      <c r="S1600">
        <v>1</v>
      </c>
      <c r="T1600">
        <v>15</v>
      </c>
      <c r="V1600">
        <v>50</v>
      </c>
      <c r="W1600" t="s">
        <v>1057</v>
      </c>
      <c r="X1600" t="s">
        <v>957</v>
      </c>
      <c r="Y1600">
        <v>60</v>
      </c>
      <c r="Z1600">
        <v>4</v>
      </c>
      <c r="AB1600">
        <v>2</v>
      </c>
      <c r="AC1600" t="s">
        <v>306</v>
      </c>
      <c r="AI1600">
        <v>2</v>
      </c>
      <c r="AV1600" t="s">
        <v>256</v>
      </c>
      <c r="AZ1600">
        <v>0</v>
      </c>
    </row>
    <row r="1601" spans="1:52" x14ac:dyDescent="0.3">
      <c r="A1601" t="s">
        <v>1579</v>
      </c>
      <c r="B1601" t="s">
        <v>1548</v>
      </c>
      <c r="C1601" t="s">
        <v>1495</v>
      </c>
      <c r="H1601">
        <v>10</v>
      </c>
      <c r="I1601" t="s">
        <v>82</v>
      </c>
      <c r="J1601">
        <v>9.9999999999999991E-6</v>
      </c>
      <c r="K1601" t="s">
        <v>252</v>
      </c>
      <c r="O1601">
        <v>0.3</v>
      </c>
      <c r="P1601" t="s">
        <v>59</v>
      </c>
      <c r="S1601">
        <v>1</v>
      </c>
      <c r="T1601">
        <v>20</v>
      </c>
      <c r="V1601">
        <v>50</v>
      </c>
      <c r="W1601" t="s">
        <v>1549</v>
      </c>
      <c r="X1601" t="s">
        <v>957</v>
      </c>
      <c r="Y1601">
        <v>5</v>
      </c>
      <c r="Z1601">
        <v>4</v>
      </c>
      <c r="AB1601">
        <v>2</v>
      </c>
      <c r="AC1601" t="s">
        <v>306</v>
      </c>
      <c r="AI1601">
        <v>2</v>
      </c>
      <c r="AV1601" t="s">
        <v>256</v>
      </c>
      <c r="AZ1601">
        <v>0</v>
      </c>
    </row>
    <row r="1602" spans="1:52" x14ac:dyDescent="0.3">
      <c r="A1602" t="s">
        <v>1579</v>
      </c>
      <c r="B1602" t="s">
        <v>1548</v>
      </c>
      <c r="C1602" t="s">
        <v>1495</v>
      </c>
      <c r="H1602">
        <v>10</v>
      </c>
      <c r="I1602" t="s">
        <v>82</v>
      </c>
      <c r="J1602">
        <v>9.9999999999999991E-6</v>
      </c>
      <c r="K1602" t="s">
        <v>252</v>
      </c>
      <c r="O1602">
        <v>0.22499999999999901</v>
      </c>
      <c r="P1602" t="s">
        <v>59</v>
      </c>
      <c r="S1602">
        <v>1</v>
      </c>
      <c r="T1602">
        <v>20</v>
      </c>
      <c r="V1602">
        <v>50</v>
      </c>
      <c r="W1602" t="s">
        <v>1549</v>
      </c>
      <c r="X1602" t="s">
        <v>957</v>
      </c>
      <c r="Y1602">
        <v>30</v>
      </c>
      <c r="Z1602">
        <v>2</v>
      </c>
      <c r="AB1602">
        <v>2</v>
      </c>
      <c r="AC1602" t="s">
        <v>306</v>
      </c>
      <c r="AI1602">
        <v>2</v>
      </c>
      <c r="AV1602" t="s">
        <v>256</v>
      </c>
      <c r="AZ1602">
        <v>0</v>
      </c>
    </row>
    <row r="1603" spans="1:52" x14ac:dyDescent="0.3">
      <c r="A1603" t="s">
        <v>1579</v>
      </c>
      <c r="B1603" t="s">
        <v>1548</v>
      </c>
      <c r="C1603" t="s">
        <v>1495</v>
      </c>
      <c r="H1603">
        <v>10</v>
      </c>
      <c r="I1603" t="s">
        <v>82</v>
      </c>
      <c r="J1603">
        <v>9.9999999999999991E-6</v>
      </c>
      <c r="K1603" t="s">
        <v>252</v>
      </c>
      <c r="O1603">
        <v>0.3</v>
      </c>
      <c r="P1603" t="s">
        <v>59</v>
      </c>
      <c r="S1603">
        <v>1</v>
      </c>
      <c r="T1603">
        <v>20</v>
      </c>
      <c r="V1603">
        <v>50</v>
      </c>
      <c r="W1603" t="s">
        <v>1549</v>
      </c>
      <c r="X1603" t="s">
        <v>957</v>
      </c>
      <c r="Y1603">
        <v>30</v>
      </c>
      <c r="Z1603">
        <v>3</v>
      </c>
      <c r="AB1603">
        <v>2</v>
      </c>
      <c r="AC1603" t="s">
        <v>306</v>
      </c>
      <c r="AI1603">
        <v>2</v>
      </c>
      <c r="AV1603" t="s">
        <v>256</v>
      </c>
      <c r="AZ1603">
        <v>0</v>
      </c>
    </row>
    <row r="1604" spans="1:52" x14ac:dyDescent="0.3">
      <c r="A1604" t="s">
        <v>1579</v>
      </c>
      <c r="B1604" t="s">
        <v>1548</v>
      </c>
      <c r="C1604" t="s">
        <v>1495</v>
      </c>
      <c r="H1604">
        <v>10</v>
      </c>
      <c r="I1604" t="s">
        <v>82</v>
      </c>
      <c r="J1604">
        <v>9.9999999999999991E-6</v>
      </c>
      <c r="K1604" t="s">
        <v>252</v>
      </c>
      <c r="O1604">
        <v>0.15</v>
      </c>
      <c r="P1604" t="s">
        <v>59</v>
      </c>
      <c r="S1604">
        <v>1</v>
      </c>
      <c r="T1604">
        <v>20</v>
      </c>
      <c r="V1604">
        <v>50</v>
      </c>
      <c r="W1604" t="s">
        <v>1549</v>
      </c>
      <c r="X1604" t="s">
        <v>957</v>
      </c>
      <c r="Y1604">
        <v>60</v>
      </c>
      <c r="Z1604">
        <v>4</v>
      </c>
      <c r="AB1604">
        <v>2</v>
      </c>
      <c r="AC1604" t="s">
        <v>306</v>
      </c>
      <c r="AI1604">
        <v>2</v>
      </c>
      <c r="AV1604" t="s">
        <v>256</v>
      </c>
      <c r="AZ1604">
        <v>0</v>
      </c>
    </row>
    <row r="1605" spans="1:52" x14ac:dyDescent="0.3">
      <c r="A1605" t="s">
        <v>1579</v>
      </c>
      <c r="B1605" t="s">
        <v>1548</v>
      </c>
      <c r="C1605" t="s">
        <v>1495</v>
      </c>
      <c r="H1605">
        <v>10</v>
      </c>
      <c r="I1605" t="s">
        <v>82</v>
      </c>
      <c r="J1605">
        <v>9.9999999999999991E-6</v>
      </c>
      <c r="K1605" t="s">
        <v>252</v>
      </c>
      <c r="O1605">
        <v>0.22499999999999901</v>
      </c>
      <c r="P1605" t="s">
        <v>59</v>
      </c>
      <c r="S1605">
        <v>1</v>
      </c>
      <c r="T1605">
        <v>20</v>
      </c>
      <c r="V1605">
        <v>50</v>
      </c>
      <c r="W1605" t="s">
        <v>1549</v>
      </c>
      <c r="X1605" t="s">
        <v>957</v>
      </c>
      <c r="Y1605">
        <v>60</v>
      </c>
      <c r="Z1605">
        <v>1</v>
      </c>
      <c r="AB1605">
        <v>2</v>
      </c>
      <c r="AC1605" t="s">
        <v>1580</v>
      </c>
      <c r="AI1605">
        <v>2</v>
      </c>
      <c r="AV1605" t="s">
        <v>256</v>
      </c>
      <c r="AZ1605">
        <v>0</v>
      </c>
    </row>
    <row r="1606" spans="1:52" x14ac:dyDescent="0.3">
      <c r="A1606" t="s">
        <v>1579</v>
      </c>
      <c r="B1606" t="s">
        <v>1548</v>
      </c>
      <c r="C1606" t="s">
        <v>1495</v>
      </c>
      <c r="H1606">
        <v>10</v>
      </c>
      <c r="I1606" t="s">
        <v>82</v>
      </c>
      <c r="J1606">
        <v>9.9999999999999991E-6</v>
      </c>
      <c r="K1606" t="s">
        <v>252</v>
      </c>
      <c r="O1606">
        <v>0.3</v>
      </c>
      <c r="P1606" t="s">
        <v>59</v>
      </c>
      <c r="S1606">
        <v>1</v>
      </c>
      <c r="T1606">
        <v>20</v>
      </c>
      <c r="V1606">
        <v>50</v>
      </c>
      <c r="W1606" t="s">
        <v>1549</v>
      </c>
      <c r="X1606" t="s">
        <v>957</v>
      </c>
      <c r="Y1606">
        <v>60</v>
      </c>
      <c r="Z1606">
        <v>1</v>
      </c>
      <c r="AB1606">
        <v>2</v>
      </c>
      <c r="AC1606" t="s">
        <v>306</v>
      </c>
      <c r="AI1606">
        <v>2</v>
      </c>
      <c r="AV1606" t="s">
        <v>256</v>
      </c>
      <c r="AZ1606">
        <v>0</v>
      </c>
    </row>
    <row r="1607" spans="1:52" x14ac:dyDescent="0.3">
      <c r="A1607" t="s">
        <v>1579</v>
      </c>
      <c r="C1607" t="s">
        <v>1495</v>
      </c>
      <c r="H1607">
        <v>10</v>
      </c>
      <c r="I1607" t="s">
        <v>82</v>
      </c>
      <c r="J1607">
        <v>9.9999999999999991E-6</v>
      </c>
      <c r="K1607" t="s">
        <v>252</v>
      </c>
      <c r="O1607">
        <v>0.22499999999999901</v>
      </c>
      <c r="P1607" t="s">
        <v>59</v>
      </c>
      <c r="S1607">
        <v>1</v>
      </c>
      <c r="T1607">
        <v>20</v>
      </c>
      <c r="V1607">
        <v>50</v>
      </c>
      <c r="W1607" t="s">
        <v>1057</v>
      </c>
      <c r="X1607" t="s">
        <v>957</v>
      </c>
      <c r="Y1607">
        <v>30</v>
      </c>
      <c r="Z1607">
        <v>4</v>
      </c>
      <c r="AB1607">
        <v>2</v>
      </c>
      <c r="AC1607" t="s">
        <v>306</v>
      </c>
      <c r="AI1607">
        <v>2</v>
      </c>
      <c r="AV1607" t="s">
        <v>256</v>
      </c>
      <c r="AZ1607">
        <v>0</v>
      </c>
    </row>
    <row r="1608" spans="1:52" x14ac:dyDescent="0.3">
      <c r="A1608" t="s">
        <v>1579</v>
      </c>
      <c r="C1608" t="s">
        <v>1495</v>
      </c>
      <c r="H1608">
        <v>10</v>
      </c>
      <c r="I1608" t="s">
        <v>82</v>
      </c>
      <c r="J1608">
        <v>9.9999999999999991E-6</v>
      </c>
      <c r="K1608" t="s">
        <v>252</v>
      </c>
      <c r="O1608">
        <v>0.3</v>
      </c>
      <c r="P1608" t="s">
        <v>59</v>
      </c>
      <c r="S1608">
        <v>1</v>
      </c>
      <c r="T1608">
        <v>20</v>
      </c>
      <c r="V1608">
        <v>50</v>
      </c>
      <c r="W1608" t="s">
        <v>1057</v>
      </c>
      <c r="X1608" t="s">
        <v>957</v>
      </c>
      <c r="Y1608">
        <v>30</v>
      </c>
      <c r="Z1608">
        <v>3</v>
      </c>
      <c r="AB1608">
        <v>2</v>
      </c>
      <c r="AC1608" t="s">
        <v>306</v>
      </c>
      <c r="AI1608">
        <v>2</v>
      </c>
      <c r="AV1608" t="s">
        <v>256</v>
      </c>
      <c r="AZ1608">
        <v>0</v>
      </c>
    </row>
    <row r="1609" spans="1:52" x14ac:dyDescent="0.3">
      <c r="A1609" t="s">
        <v>1579</v>
      </c>
      <c r="C1609" t="s">
        <v>1495</v>
      </c>
      <c r="H1609">
        <v>10</v>
      </c>
      <c r="I1609" t="s">
        <v>82</v>
      </c>
      <c r="J1609">
        <v>9.9999999999999991E-6</v>
      </c>
      <c r="K1609" t="s">
        <v>252</v>
      </c>
      <c r="O1609">
        <v>0.15</v>
      </c>
      <c r="P1609" t="s">
        <v>59</v>
      </c>
      <c r="S1609">
        <v>1</v>
      </c>
      <c r="T1609">
        <v>20</v>
      </c>
      <c r="V1609">
        <v>50</v>
      </c>
      <c r="W1609" t="s">
        <v>1057</v>
      </c>
      <c r="X1609" t="s">
        <v>957</v>
      </c>
      <c r="Y1609">
        <v>60</v>
      </c>
      <c r="Z1609">
        <v>4</v>
      </c>
      <c r="AB1609">
        <v>2</v>
      </c>
      <c r="AC1609" t="s">
        <v>306</v>
      </c>
      <c r="AI1609">
        <v>2</v>
      </c>
      <c r="AV1609" t="s">
        <v>256</v>
      </c>
      <c r="AZ1609">
        <v>0</v>
      </c>
    </row>
    <row r="1610" spans="1:52" x14ac:dyDescent="0.3">
      <c r="A1610" t="s">
        <v>1579</v>
      </c>
      <c r="C1610" t="s">
        <v>1495</v>
      </c>
      <c r="H1610">
        <v>10</v>
      </c>
      <c r="I1610" t="s">
        <v>82</v>
      </c>
      <c r="J1610">
        <v>9.9999999999999991E-6</v>
      </c>
      <c r="K1610" t="s">
        <v>252</v>
      </c>
      <c r="O1610">
        <v>0.22499999999999901</v>
      </c>
      <c r="P1610" t="s">
        <v>59</v>
      </c>
      <c r="S1610">
        <v>1</v>
      </c>
      <c r="T1610">
        <v>20</v>
      </c>
      <c r="V1610">
        <v>50</v>
      </c>
      <c r="W1610" t="s">
        <v>1057</v>
      </c>
      <c r="X1610" t="s">
        <v>957</v>
      </c>
      <c r="Y1610">
        <v>60</v>
      </c>
      <c r="Z1610">
        <v>4</v>
      </c>
      <c r="AB1610">
        <v>2</v>
      </c>
      <c r="AC1610" t="s">
        <v>306</v>
      </c>
      <c r="AI1610">
        <v>2</v>
      </c>
      <c r="AV1610" t="s">
        <v>256</v>
      </c>
      <c r="AZ1610">
        <v>0</v>
      </c>
    </row>
    <row r="1611" spans="1:52" x14ac:dyDescent="0.3">
      <c r="A1611" t="s">
        <v>1579</v>
      </c>
      <c r="C1611" t="s">
        <v>1495</v>
      </c>
      <c r="H1611">
        <v>10</v>
      </c>
      <c r="I1611" t="s">
        <v>82</v>
      </c>
      <c r="J1611">
        <v>9.9999999999999991E-6</v>
      </c>
      <c r="K1611" t="s">
        <v>252</v>
      </c>
      <c r="O1611">
        <v>0.3</v>
      </c>
      <c r="P1611" t="s">
        <v>59</v>
      </c>
      <c r="S1611">
        <v>1</v>
      </c>
      <c r="T1611">
        <v>20</v>
      </c>
      <c r="V1611">
        <v>50</v>
      </c>
      <c r="W1611" t="s">
        <v>1057</v>
      </c>
      <c r="X1611" t="s">
        <v>957</v>
      </c>
      <c r="Y1611">
        <v>60</v>
      </c>
      <c r="Z1611">
        <v>4</v>
      </c>
      <c r="AB1611">
        <v>2</v>
      </c>
      <c r="AC1611" t="s">
        <v>306</v>
      </c>
      <c r="AI1611">
        <v>2</v>
      </c>
      <c r="AV1611" t="s">
        <v>256</v>
      </c>
      <c r="AZ1611">
        <v>0</v>
      </c>
    </row>
    <row r="1612" spans="1:52" x14ac:dyDescent="0.3">
      <c r="A1612" t="s">
        <v>1579</v>
      </c>
      <c r="C1612" t="s">
        <v>1495</v>
      </c>
      <c r="H1612">
        <v>10</v>
      </c>
      <c r="I1612" t="s">
        <v>82</v>
      </c>
      <c r="J1612">
        <v>9.9999999999999991E-6</v>
      </c>
      <c r="K1612" t="s">
        <v>252</v>
      </c>
      <c r="O1612">
        <v>7.49999999999999E-2</v>
      </c>
      <c r="P1612" t="s">
        <v>59</v>
      </c>
      <c r="S1612">
        <v>1</v>
      </c>
      <c r="T1612">
        <v>20</v>
      </c>
      <c r="V1612">
        <v>50</v>
      </c>
      <c r="W1612" t="s">
        <v>1057</v>
      </c>
      <c r="X1612" t="s">
        <v>957</v>
      </c>
      <c r="Y1612">
        <v>30</v>
      </c>
      <c r="Z1612">
        <v>4</v>
      </c>
      <c r="AB1612">
        <v>2.0150000000000001</v>
      </c>
      <c r="AC1612" t="s">
        <v>85</v>
      </c>
      <c r="AI1612">
        <v>2</v>
      </c>
      <c r="AV1612" t="s">
        <v>256</v>
      </c>
    </row>
    <row r="1613" spans="1:52" x14ac:dyDescent="0.3">
      <c r="A1613" t="s">
        <v>1579</v>
      </c>
      <c r="C1613" t="s">
        <v>1495</v>
      </c>
      <c r="H1613">
        <v>10</v>
      </c>
      <c r="I1613" t="s">
        <v>82</v>
      </c>
      <c r="J1613">
        <v>9.9999999999999991E-6</v>
      </c>
      <c r="K1613" t="s">
        <v>252</v>
      </c>
      <c r="O1613">
        <v>0.15</v>
      </c>
      <c r="P1613" t="s">
        <v>59</v>
      </c>
      <c r="S1613">
        <v>1</v>
      </c>
      <c r="T1613">
        <v>20</v>
      </c>
      <c r="V1613">
        <v>50</v>
      </c>
      <c r="W1613" t="s">
        <v>1057</v>
      </c>
      <c r="X1613" t="s">
        <v>957</v>
      </c>
      <c r="Y1613">
        <v>60</v>
      </c>
      <c r="Z1613">
        <v>2</v>
      </c>
      <c r="AB1613">
        <v>2.0150000000000001</v>
      </c>
      <c r="AC1613" t="s">
        <v>85</v>
      </c>
      <c r="AI1613">
        <v>2</v>
      </c>
      <c r="AV1613" t="s">
        <v>256</v>
      </c>
    </row>
    <row r="1614" spans="1:52" x14ac:dyDescent="0.3">
      <c r="A1614" t="s">
        <v>1579</v>
      </c>
      <c r="C1614" t="s">
        <v>1495</v>
      </c>
      <c r="H1614">
        <v>10</v>
      </c>
      <c r="I1614" t="s">
        <v>82</v>
      </c>
      <c r="J1614">
        <v>9.9999999999999991E-6</v>
      </c>
      <c r="K1614" t="s">
        <v>252</v>
      </c>
      <c r="O1614">
        <v>7.49999999999999E-2</v>
      </c>
      <c r="P1614" t="s">
        <v>59</v>
      </c>
      <c r="S1614">
        <v>1</v>
      </c>
      <c r="T1614">
        <v>20</v>
      </c>
      <c r="V1614">
        <v>50</v>
      </c>
      <c r="W1614" t="s">
        <v>1057</v>
      </c>
      <c r="X1614" t="s">
        <v>957</v>
      </c>
      <c r="Y1614">
        <v>60</v>
      </c>
      <c r="Z1614">
        <v>3</v>
      </c>
      <c r="AB1614">
        <v>2.02999999999999</v>
      </c>
      <c r="AC1614" t="s">
        <v>85</v>
      </c>
      <c r="AI1614">
        <v>2</v>
      </c>
      <c r="AV1614" t="s">
        <v>256</v>
      </c>
    </row>
    <row r="1615" spans="1:52" x14ac:dyDescent="0.3">
      <c r="A1615" t="s">
        <v>1579</v>
      </c>
      <c r="B1615" t="s">
        <v>1548</v>
      </c>
      <c r="C1615" t="s">
        <v>1495</v>
      </c>
      <c r="H1615">
        <v>10</v>
      </c>
      <c r="I1615" t="s">
        <v>82</v>
      </c>
      <c r="J1615">
        <v>9.9999999999999991E-6</v>
      </c>
      <c r="K1615" t="s">
        <v>252</v>
      </c>
      <c r="O1615">
        <v>0.15</v>
      </c>
      <c r="P1615" t="s">
        <v>59</v>
      </c>
      <c r="S1615">
        <v>1</v>
      </c>
      <c r="T1615">
        <v>20</v>
      </c>
      <c r="V1615">
        <v>50</v>
      </c>
      <c r="W1615" t="s">
        <v>1549</v>
      </c>
      <c r="X1615" t="s">
        <v>957</v>
      </c>
      <c r="Y1615">
        <v>60</v>
      </c>
      <c r="Z1615">
        <v>4</v>
      </c>
      <c r="AB1615">
        <v>2.0350000000000001</v>
      </c>
      <c r="AC1615" t="s">
        <v>85</v>
      </c>
      <c r="AI1615">
        <v>2</v>
      </c>
      <c r="AV1615" t="s">
        <v>256</v>
      </c>
    </row>
    <row r="1616" spans="1:52" x14ac:dyDescent="0.3">
      <c r="A1616" t="s">
        <v>1579</v>
      </c>
      <c r="B1616" t="s">
        <v>1548</v>
      </c>
      <c r="C1616" t="s">
        <v>1495</v>
      </c>
      <c r="H1616">
        <v>10</v>
      </c>
      <c r="I1616" t="s">
        <v>82</v>
      </c>
      <c r="J1616">
        <v>9.9999999999999991E-6</v>
      </c>
      <c r="K1616" t="s">
        <v>252</v>
      </c>
      <c r="O1616">
        <v>0.3</v>
      </c>
      <c r="P1616" t="s">
        <v>59</v>
      </c>
      <c r="S1616">
        <v>1</v>
      </c>
      <c r="T1616">
        <v>20</v>
      </c>
      <c r="V1616">
        <v>50</v>
      </c>
      <c r="W1616" t="s">
        <v>1549</v>
      </c>
      <c r="X1616" t="s">
        <v>957</v>
      </c>
      <c r="Y1616">
        <v>5</v>
      </c>
      <c r="Z1616">
        <v>1</v>
      </c>
      <c r="AB1616">
        <v>2.0699999999999901</v>
      </c>
      <c r="AC1616" t="s">
        <v>85</v>
      </c>
      <c r="AI1616">
        <v>2</v>
      </c>
      <c r="AV1616" t="s">
        <v>256</v>
      </c>
    </row>
    <row r="1617" spans="1:48" x14ac:dyDescent="0.3">
      <c r="A1617" t="s">
        <v>1579</v>
      </c>
      <c r="C1617" t="s">
        <v>1495</v>
      </c>
      <c r="H1617">
        <v>10</v>
      </c>
      <c r="I1617" t="s">
        <v>82</v>
      </c>
      <c r="J1617">
        <v>9.9999999999999991E-6</v>
      </c>
      <c r="K1617" t="s">
        <v>252</v>
      </c>
      <c r="O1617">
        <v>7.49999999999999E-2</v>
      </c>
      <c r="P1617" t="s">
        <v>59</v>
      </c>
      <c r="S1617">
        <v>1</v>
      </c>
      <c r="T1617">
        <v>20</v>
      </c>
      <c r="V1617">
        <v>50</v>
      </c>
      <c r="W1617" t="s">
        <v>1057</v>
      </c>
      <c r="X1617" t="s">
        <v>957</v>
      </c>
      <c r="Y1617">
        <v>30</v>
      </c>
      <c r="Z1617">
        <v>1</v>
      </c>
      <c r="AB1617">
        <v>2.0699999999999998</v>
      </c>
      <c r="AC1617" t="s">
        <v>85</v>
      </c>
      <c r="AI1617">
        <v>2</v>
      </c>
      <c r="AV1617" t="s">
        <v>256</v>
      </c>
    </row>
    <row r="1618" spans="1:48" x14ac:dyDescent="0.3">
      <c r="A1618" t="s">
        <v>1579</v>
      </c>
      <c r="B1618" t="s">
        <v>1548</v>
      </c>
      <c r="C1618" t="s">
        <v>1495</v>
      </c>
      <c r="H1618">
        <v>10</v>
      </c>
      <c r="I1618" t="s">
        <v>82</v>
      </c>
      <c r="J1618">
        <v>9.9999999999999991E-6</v>
      </c>
      <c r="K1618" t="s">
        <v>252</v>
      </c>
      <c r="O1618">
        <v>0.22499999999999901</v>
      </c>
      <c r="P1618" t="s">
        <v>59</v>
      </c>
      <c r="S1618">
        <v>1</v>
      </c>
      <c r="T1618">
        <v>20</v>
      </c>
      <c r="V1618">
        <v>50</v>
      </c>
      <c r="W1618" t="s">
        <v>1549</v>
      </c>
      <c r="X1618" t="s">
        <v>957</v>
      </c>
      <c r="Y1618">
        <v>30</v>
      </c>
      <c r="Z1618">
        <v>4</v>
      </c>
      <c r="AB1618">
        <v>2.09</v>
      </c>
      <c r="AC1618" t="s">
        <v>85</v>
      </c>
      <c r="AI1618">
        <v>2</v>
      </c>
      <c r="AV1618" t="s">
        <v>256</v>
      </c>
    </row>
    <row r="1619" spans="1:48" x14ac:dyDescent="0.3">
      <c r="A1619" t="s">
        <v>1579</v>
      </c>
      <c r="C1619" t="s">
        <v>1495</v>
      </c>
      <c r="H1619">
        <v>10</v>
      </c>
      <c r="I1619" t="s">
        <v>82</v>
      </c>
      <c r="J1619">
        <v>9.9999999999999991E-6</v>
      </c>
      <c r="K1619" t="s">
        <v>252</v>
      </c>
      <c r="O1619">
        <v>0.15</v>
      </c>
      <c r="P1619" t="s">
        <v>59</v>
      </c>
      <c r="S1619">
        <v>1</v>
      </c>
      <c r="T1619">
        <v>10</v>
      </c>
      <c r="V1619">
        <v>50</v>
      </c>
      <c r="W1619" t="s">
        <v>1057</v>
      </c>
      <c r="X1619" t="s">
        <v>957</v>
      </c>
      <c r="Y1619">
        <v>60</v>
      </c>
      <c r="Z1619">
        <v>3</v>
      </c>
      <c r="AB1619">
        <v>2.1150000000000002</v>
      </c>
      <c r="AC1619" t="s">
        <v>85</v>
      </c>
      <c r="AI1619">
        <v>2</v>
      </c>
      <c r="AV1619" t="s">
        <v>256</v>
      </c>
    </row>
    <row r="1620" spans="1:48" x14ac:dyDescent="0.3">
      <c r="A1620" t="s">
        <v>1579</v>
      </c>
      <c r="B1620" t="s">
        <v>1548</v>
      </c>
      <c r="C1620" t="s">
        <v>1495</v>
      </c>
      <c r="H1620">
        <v>10</v>
      </c>
      <c r="I1620" t="s">
        <v>82</v>
      </c>
      <c r="J1620">
        <v>9.9999999999999991E-6</v>
      </c>
      <c r="K1620" t="s">
        <v>252</v>
      </c>
      <c r="O1620">
        <v>0.22499999999999901</v>
      </c>
      <c r="P1620" t="s">
        <v>59</v>
      </c>
      <c r="S1620">
        <v>1</v>
      </c>
      <c r="T1620">
        <v>10</v>
      </c>
      <c r="V1620">
        <v>50</v>
      </c>
      <c r="W1620" t="s">
        <v>1549</v>
      </c>
      <c r="X1620" t="s">
        <v>957</v>
      </c>
      <c r="Y1620">
        <v>30</v>
      </c>
      <c r="Z1620">
        <v>4</v>
      </c>
      <c r="AB1620">
        <v>2.1799999999999899</v>
      </c>
      <c r="AC1620" t="s">
        <v>85</v>
      </c>
      <c r="AI1620">
        <v>2</v>
      </c>
      <c r="AV1620" t="s">
        <v>256</v>
      </c>
    </row>
    <row r="1621" spans="1:48" x14ac:dyDescent="0.3">
      <c r="A1621" t="s">
        <v>1579</v>
      </c>
      <c r="B1621" t="s">
        <v>1548</v>
      </c>
      <c r="C1621" t="s">
        <v>1495</v>
      </c>
      <c r="H1621">
        <v>10</v>
      </c>
      <c r="I1621" t="s">
        <v>82</v>
      </c>
      <c r="J1621">
        <v>9.9999999999999991E-6</v>
      </c>
      <c r="K1621" t="s">
        <v>252</v>
      </c>
      <c r="O1621">
        <v>3.7499999999999901E-2</v>
      </c>
      <c r="P1621" t="s">
        <v>59</v>
      </c>
      <c r="S1621">
        <v>1</v>
      </c>
      <c r="T1621">
        <v>20</v>
      </c>
      <c r="V1621">
        <v>50</v>
      </c>
      <c r="W1621" t="s">
        <v>1549</v>
      </c>
      <c r="X1621" t="s">
        <v>957</v>
      </c>
      <c r="Y1621">
        <v>60</v>
      </c>
      <c r="Z1621">
        <v>4</v>
      </c>
      <c r="AB1621">
        <v>2.2149999999999901</v>
      </c>
      <c r="AC1621" t="s">
        <v>85</v>
      </c>
      <c r="AI1621">
        <v>2</v>
      </c>
      <c r="AV1621" t="s">
        <v>256</v>
      </c>
    </row>
    <row r="1622" spans="1:48" x14ac:dyDescent="0.3">
      <c r="A1622" t="s">
        <v>1579</v>
      </c>
      <c r="C1622" t="s">
        <v>1495</v>
      </c>
      <c r="H1622">
        <v>10</v>
      </c>
      <c r="I1622" t="s">
        <v>82</v>
      </c>
      <c r="J1622">
        <v>9.9999999999999991E-6</v>
      </c>
      <c r="K1622" t="s">
        <v>252</v>
      </c>
      <c r="O1622">
        <v>0.22499999999999901</v>
      </c>
      <c r="P1622" t="s">
        <v>59</v>
      </c>
      <c r="S1622">
        <v>1</v>
      </c>
      <c r="T1622">
        <v>20</v>
      </c>
      <c r="V1622">
        <v>50</v>
      </c>
      <c r="W1622" t="s">
        <v>1057</v>
      </c>
      <c r="X1622" t="s">
        <v>957</v>
      </c>
      <c r="Y1622">
        <v>5</v>
      </c>
      <c r="Z1622">
        <v>4</v>
      </c>
      <c r="AB1622">
        <v>2.21999999999999</v>
      </c>
      <c r="AC1622" t="s">
        <v>85</v>
      </c>
      <c r="AI1622">
        <v>2</v>
      </c>
      <c r="AV1622" t="s">
        <v>256</v>
      </c>
    </row>
    <row r="1623" spans="1:48" x14ac:dyDescent="0.3">
      <c r="A1623" t="s">
        <v>1579</v>
      </c>
      <c r="B1623" t="s">
        <v>1548</v>
      </c>
      <c r="C1623" t="s">
        <v>1495</v>
      </c>
      <c r="H1623">
        <v>10</v>
      </c>
      <c r="I1623" t="s">
        <v>82</v>
      </c>
      <c r="J1623">
        <v>9.9999999999999991E-6</v>
      </c>
      <c r="K1623" t="s">
        <v>252</v>
      </c>
      <c r="O1623">
        <v>0.15</v>
      </c>
      <c r="P1623" t="s">
        <v>59</v>
      </c>
      <c r="S1623">
        <v>1</v>
      </c>
      <c r="T1623">
        <v>10</v>
      </c>
      <c r="V1623">
        <v>50</v>
      </c>
      <c r="W1623" t="s">
        <v>1549</v>
      </c>
      <c r="X1623" t="s">
        <v>957</v>
      </c>
      <c r="Y1623">
        <v>60</v>
      </c>
      <c r="Z1623">
        <v>4</v>
      </c>
      <c r="AB1623">
        <v>2.2349999999999901</v>
      </c>
      <c r="AC1623" t="s">
        <v>85</v>
      </c>
      <c r="AI1623">
        <v>2</v>
      </c>
      <c r="AV1623" t="s">
        <v>256</v>
      </c>
    </row>
    <row r="1624" spans="1:48" x14ac:dyDescent="0.3">
      <c r="A1624" t="s">
        <v>1579</v>
      </c>
      <c r="C1624" t="s">
        <v>1495</v>
      </c>
      <c r="H1624">
        <v>10</v>
      </c>
      <c r="I1624" t="s">
        <v>82</v>
      </c>
      <c r="J1624">
        <v>9.9999999999999991E-6</v>
      </c>
      <c r="K1624" t="s">
        <v>252</v>
      </c>
      <c r="O1624">
        <v>0.3</v>
      </c>
      <c r="P1624" t="s">
        <v>59</v>
      </c>
      <c r="S1624">
        <v>1</v>
      </c>
      <c r="T1624">
        <v>10</v>
      </c>
      <c r="V1624">
        <v>50</v>
      </c>
      <c r="W1624" t="s">
        <v>1057</v>
      </c>
      <c r="X1624" t="s">
        <v>957</v>
      </c>
      <c r="Y1624">
        <v>30</v>
      </c>
      <c r="Z1624">
        <v>2</v>
      </c>
      <c r="AB1624">
        <v>2.2450000000000001</v>
      </c>
      <c r="AC1624" t="s">
        <v>85</v>
      </c>
      <c r="AI1624">
        <v>2</v>
      </c>
      <c r="AV1624" t="s">
        <v>256</v>
      </c>
    </row>
    <row r="1625" spans="1:48" x14ac:dyDescent="0.3">
      <c r="A1625" t="s">
        <v>1579</v>
      </c>
      <c r="C1625" t="s">
        <v>1495</v>
      </c>
      <c r="H1625">
        <v>10</v>
      </c>
      <c r="I1625" t="s">
        <v>82</v>
      </c>
      <c r="J1625">
        <v>9.9999999999999991E-6</v>
      </c>
      <c r="K1625" t="s">
        <v>252</v>
      </c>
      <c r="O1625">
        <v>0.22499999999999901</v>
      </c>
      <c r="P1625" t="s">
        <v>59</v>
      </c>
      <c r="S1625">
        <v>1</v>
      </c>
      <c r="T1625">
        <v>10</v>
      </c>
      <c r="V1625">
        <v>50</v>
      </c>
      <c r="W1625" t="s">
        <v>1057</v>
      </c>
      <c r="X1625" t="s">
        <v>957</v>
      </c>
      <c r="Y1625">
        <v>60</v>
      </c>
      <c r="Z1625">
        <v>3</v>
      </c>
      <c r="AB1625">
        <v>2.25999999999999</v>
      </c>
      <c r="AC1625" t="s">
        <v>85</v>
      </c>
      <c r="AI1625">
        <v>2</v>
      </c>
      <c r="AV1625" t="s">
        <v>256</v>
      </c>
    </row>
    <row r="1626" spans="1:48" x14ac:dyDescent="0.3">
      <c r="A1626" t="s">
        <v>1579</v>
      </c>
      <c r="B1626" t="s">
        <v>1548</v>
      </c>
      <c r="C1626" t="s">
        <v>1495</v>
      </c>
      <c r="H1626">
        <v>10</v>
      </c>
      <c r="I1626" t="s">
        <v>82</v>
      </c>
      <c r="J1626">
        <v>9.9999999999999991E-6</v>
      </c>
      <c r="K1626" t="s">
        <v>252</v>
      </c>
      <c r="O1626">
        <v>0.15</v>
      </c>
      <c r="P1626" t="s">
        <v>59</v>
      </c>
      <c r="S1626">
        <v>1</v>
      </c>
      <c r="T1626">
        <v>15</v>
      </c>
      <c r="V1626">
        <v>50</v>
      </c>
      <c r="W1626" t="s">
        <v>1549</v>
      </c>
      <c r="X1626" t="s">
        <v>957</v>
      </c>
      <c r="Y1626">
        <v>5</v>
      </c>
      <c r="Z1626">
        <v>4</v>
      </c>
      <c r="AB1626">
        <v>2.3149999999999902</v>
      </c>
      <c r="AC1626" t="s">
        <v>85</v>
      </c>
      <c r="AI1626">
        <v>2</v>
      </c>
      <c r="AV1626" t="s">
        <v>256</v>
      </c>
    </row>
    <row r="1627" spans="1:48" x14ac:dyDescent="0.3">
      <c r="A1627" t="s">
        <v>1579</v>
      </c>
      <c r="C1627" t="s">
        <v>1495</v>
      </c>
      <c r="H1627">
        <v>10</v>
      </c>
      <c r="I1627" t="s">
        <v>82</v>
      </c>
      <c r="J1627">
        <v>9.9999999999999991E-6</v>
      </c>
      <c r="K1627" t="s">
        <v>252</v>
      </c>
      <c r="O1627">
        <v>7.49999999999999E-2</v>
      </c>
      <c r="P1627" t="s">
        <v>59</v>
      </c>
      <c r="S1627">
        <v>1</v>
      </c>
      <c r="T1627">
        <v>20</v>
      </c>
      <c r="V1627">
        <v>50</v>
      </c>
      <c r="W1627" t="s">
        <v>1057</v>
      </c>
      <c r="X1627" t="s">
        <v>957</v>
      </c>
      <c r="Y1627">
        <v>60</v>
      </c>
      <c r="Z1627">
        <v>1</v>
      </c>
      <c r="AB1627">
        <v>2.3199999999999998</v>
      </c>
      <c r="AC1627" t="s">
        <v>85</v>
      </c>
      <c r="AI1627">
        <v>2</v>
      </c>
      <c r="AV1627" t="s">
        <v>256</v>
      </c>
    </row>
    <row r="1628" spans="1:48" x14ac:dyDescent="0.3">
      <c r="A1628" t="s">
        <v>1579</v>
      </c>
      <c r="C1628" t="s">
        <v>1495</v>
      </c>
      <c r="H1628">
        <v>10</v>
      </c>
      <c r="I1628" t="s">
        <v>82</v>
      </c>
      <c r="J1628">
        <v>9.9999999999999991E-6</v>
      </c>
      <c r="K1628" t="s">
        <v>252</v>
      </c>
      <c r="O1628">
        <v>0.3</v>
      </c>
      <c r="P1628" t="s">
        <v>59</v>
      </c>
      <c r="S1628">
        <v>1</v>
      </c>
      <c r="T1628">
        <v>20</v>
      </c>
      <c r="V1628">
        <v>50</v>
      </c>
      <c r="W1628" t="s">
        <v>1057</v>
      </c>
      <c r="X1628" t="s">
        <v>957</v>
      </c>
      <c r="Y1628">
        <v>5</v>
      </c>
      <c r="Z1628">
        <v>1</v>
      </c>
      <c r="AB1628">
        <v>2.335</v>
      </c>
      <c r="AC1628" t="s">
        <v>85</v>
      </c>
      <c r="AI1628">
        <v>2</v>
      </c>
      <c r="AV1628" t="s">
        <v>256</v>
      </c>
    </row>
    <row r="1629" spans="1:48" x14ac:dyDescent="0.3">
      <c r="A1629" t="s">
        <v>1579</v>
      </c>
      <c r="B1629" t="s">
        <v>1548</v>
      </c>
      <c r="C1629" t="s">
        <v>1495</v>
      </c>
      <c r="H1629">
        <v>10</v>
      </c>
      <c r="I1629" t="s">
        <v>82</v>
      </c>
      <c r="J1629">
        <v>9.9999999999999991E-6</v>
      </c>
      <c r="K1629" t="s">
        <v>252</v>
      </c>
      <c r="O1629">
        <v>0.15</v>
      </c>
      <c r="P1629" t="s">
        <v>59</v>
      </c>
      <c r="S1629">
        <v>1</v>
      </c>
      <c r="T1629">
        <v>10</v>
      </c>
      <c r="V1629">
        <v>50</v>
      </c>
      <c r="W1629" t="s">
        <v>1549</v>
      </c>
      <c r="X1629" t="s">
        <v>957</v>
      </c>
      <c r="Y1629">
        <v>30</v>
      </c>
      <c r="Z1629">
        <v>4</v>
      </c>
      <c r="AB1629">
        <v>2.35</v>
      </c>
      <c r="AC1629" t="s">
        <v>85</v>
      </c>
      <c r="AI1629">
        <v>2</v>
      </c>
      <c r="AV1629" t="s">
        <v>256</v>
      </c>
    </row>
    <row r="1630" spans="1:48" x14ac:dyDescent="0.3">
      <c r="A1630" t="s">
        <v>1579</v>
      </c>
      <c r="C1630" t="s">
        <v>1495</v>
      </c>
      <c r="H1630">
        <v>10</v>
      </c>
      <c r="I1630" t="s">
        <v>82</v>
      </c>
      <c r="J1630">
        <v>9.9999999999999991E-6</v>
      </c>
      <c r="K1630" t="s">
        <v>252</v>
      </c>
      <c r="O1630">
        <v>0.3</v>
      </c>
      <c r="P1630" t="s">
        <v>59</v>
      </c>
      <c r="S1630">
        <v>1</v>
      </c>
      <c r="T1630">
        <v>20</v>
      </c>
      <c r="V1630">
        <v>50</v>
      </c>
      <c r="W1630" t="s">
        <v>1057</v>
      </c>
      <c r="X1630" t="s">
        <v>957</v>
      </c>
      <c r="Y1630">
        <v>30</v>
      </c>
      <c r="Z1630">
        <v>3</v>
      </c>
      <c r="AB1630">
        <v>2.4</v>
      </c>
      <c r="AC1630" t="s">
        <v>85</v>
      </c>
      <c r="AI1630">
        <v>2</v>
      </c>
      <c r="AV1630" t="s">
        <v>256</v>
      </c>
    </row>
    <row r="1631" spans="1:48" x14ac:dyDescent="0.3">
      <c r="A1631" t="s">
        <v>1579</v>
      </c>
      <c r="C1631" t="s">
        <v>1495</v>
      </c>
      <c r="H1631">
        <v>10</v>
      </c>
      <c r="I1631" t="s">
        <v>82</v>
      </c>
      <c r="J1631">
        <v>9.9999999999999991E-6</v>
      </c>
      <c r="K1631" t="s">
        <v>252</v>
      </c>
      <c r="O1631">
        <v>0.15</v>
      </c>
      <c r="P1631" t="s">
        <v>59</v>
      </c>
      <c r="S1631">
        <v>1</v>
      </c>
      <c r="T1631">
        <v>15</v>
      </c>
      <c r="V1631">
        <v>50</v>
      </c>
      <c r="W1631" t="s">
        <v>1057</v>
      </c>
      <c r="X1631" t="s">
        <v>957</v>
      </c>
      <c r="Y1631">
        <v>30</v>
      </c>
      <c r="Z1631">
        <v>4</v>
      </c>
      <c r="AB1631">
        <v>2.42</v>
      </c>
      <c r="AC1631" t="s">
        <v>85</v>
      </c>
      <c r="AI1631">
        <v>2</v>
      </c>
      <c r="AV1631" t="s">
        <v>256</v>
      </c>
    </row>
    <row r="1632" spans="1:48" x14ac:dyDescent="0.3">
      <c r="A1632" t="s">
        <v>1579</v>
      </c>
      <c r="B1632" t="s">
        <v>1548</v>
      </c>
      <c r="C1632" t="s">
        <v>1495</v>
      </c>
      <c r="H1632">
        <v>10</v>
      </c>
      <c r="I1632" t="s">
        <v>82</v>
      </c>
      <c r="J1632">
        <v>9.9999999999999991E-6</v>
      </c>
      <c r="K1632" t="s">
        <v>252</v>
      </c>
      <c r="O1632">
        <v>0.15</v>
      </c>
      <c r="P1632" t="s">
        <v>59</v>
      </c>
      <c r="S1632">
        <v>1</v>
      </c>
      <c r="T1632">
        <v>15</v>
      </c>
      <c r="V1632">
        <v>50</v>
      </c>
      <c r="W1632" t="s">
        <v>1549</v>
      </c>
      <c r="X1632" t="s">
        <v>957</v>
      </c>
      <c r="Y1632">
        <v>30</v>
      </c>
      <c r="Z1632">
        <v>4</v>
      </c>
      <c r="AB1632">
        <v>2.44</v>
      </c>
      <c r="AC1632" t="s">
        <v>85</v>
      </c>
      <c r="AI1632">
        <v>2</v>
      </c>
      <c r="AV1632" t="s">
        <v>256</v>
      </c>
    </row>
    <row r="1633" spans="1:53" x14ac:dyDescent="0.3">
      <c r="A1633" t="s">
        <v>1579</v>
      </c>
      <c r="B1633" t="s">
        <v>1548</v>
      </c>
      <c r="C1633" t="s">
        <v>1495</v>
      </c>
      <c r="H1633">
        <v>10</v>
      </c>
      <c r="I1633" t="s">
        <v>82</v>
      </c>
      <c r="J1633">
        <v>9.9999999999999991E-6</v>
      </c>
      <c r="K1633" t="s">
        <v>252</v>
      </c>
      <c r="O1633">
        <v>7.49999999999999E-2</v>
      </c>
      <c r="P1633" t="s">
        <v>59</v>
      </c>
      <c r="S1633">
        <v>1</v>
      </c>
      <c r="T1633">
        <v>20</v>
      </c>
      <c r="V1633">
        <v>50</v>
      </c>
      <c r="W1633" t="s">
        <v>1549</v>
      </c>
      <c r="X1633" t="s">
        <v>957</v>
      </c>
      <c r="Y1633">
        <v>60</v>
      </c>
      <c r="Z1633">
        <v>4</v>
      </c>
      <c r="AB1633">
        <v>2.46</v>
      </c>
      <c r="AC1633" t="s">
        <v>85</v>
      </c>
      <c r="AI1633">
        <v>2</v>
      </c>
      <c r="AV1633" t="s">
        <v>256</v>
      </c>
    </row>
    <row r="1634" spans="1:53" x14ac:dyDescent="0.3">
      <c r="A1634" t="s">
        <v>1579</v>
      </c>
      <c r="B1634" t="s">
        <v>1548</v>
      </c>
      <c r="C1634" t="s">
        <v>1495</v>
      </c>
      <c r="H1634">
        <v>10</v>
      </c>
      <c r="I1634" t="s">
        <v>82</v>
      </c>
      <c r="J1634">
        <v>9.9999999999999991E-6</v>
      </c>
      <c r="K1634" t="s">
        <v>252</v>
      </c>
      <c r="O1634">
        <v>7.49999999999999E-2</v>
      </c>
      <c r="P1634" t="s">
        <v>59</v>
      </c>
      <c r="S1634">
        <v>1</v>
      </c>
      <c r="T1634">
        <v>20</v>
      </c>
      <c r="V1634">
        <v>50</v>
      </c>
      <c r="W1634" t="s">
        <v>1549</v>
      </c>
      <c r="X1634" t="s">
        <v>957</v>
      </c>
      <c r="Y1634">
        <v>60</v>
      </c>
      <c r="Z1634">
        <v>2</v>
      </c>
      <c r="AB1634">
        <v>2.5</v>
      </c>
      <c r="AC1634" t="s">
        <v>85</v>
      </c>
      <c r="AI1634">
        <v>2</v>
      </c>
      <c r="AV1634" t="s">
        <v>256</v>
      </c>
    </row>
    <row r="1635" spans="1:53" x14ac:dyDescent="0.3">
      <c r="A1635" t="s">
        <v>1579</v>
      </c>
      <c r="C1635" t="s">
        <v>1495</v>
      </c>
      <c r="H1635">
        <v>10</v>
      </c>
      <c r="I1635" t="s">
        <v>82</v>
      </c>
      <c r="J1635">
        <v>9.9999999999999991E-6</v>
      </c>
      <c r="K1635" t="s">
        <v>252</v>
      </c>
      <c r="O1635">
        <v>0.15</v>
      </c>
      <c r="P1635" t="s">
        <v>59</v>
      </c>
      <c r="S1635">
        <v>1</v>
      </c>
      <c r="T1635">
        <v>10</v>
      </c>
      <c r="V1635">
        <v>50</v>
      </c>
      <c r="W1635" t="s">
        <v>1057</v>
      </c>
      <c r="X1635" t="s">
        <v>957</v>
      </c>
      <c r="Y1635">
        <v>60</v>
      </c>
      <c r="Z1635">
        <v>3</v>
      </c>
      <c r="AB1635">
        <v>2.5350000000000001</v>
      </c>
      <c r="AC1635" t="s">
        <v>85</v>
      </c>
      <c r="AI1635">
        <v>2</v>
      </c>
      <c r="AV1635" t="s">
        <v>256</v>
      </c>
    </row>
    <row r="1636" spans="1:53" x14ac:dyDescent="0.3">
      <c r="A1636" t="s">
        <v>1579</v>
      </c>
      <c r="B1636" t="s">
        <v>1548</v>
      </c>
      <c r="C1636" t="s">
        <v>1495</v>
      </c>
      <c r="H1636">
        <v>10</v>
      </c>
      <c r="I1636" t="s">
        <v>82</v>
      </c>
      <c r="J1636">
        <v>9.9999999999999991E-6</v>
      </c>
      <c r="K1636" t="s">
        <v>252</v>
      </c>
      <c r="O1636">
        <v>0.3</v>
      </c>
      <c r="P1636" t="s">
        <v>59</v>
      </c>
      <c r="S1636">
        <v>1</v>
      </c>
      <c r="T1636">
        <v>20</v>
      </c>
      <c r="V1636">
        <v>50</v>
      </c>
      <c r="W1636" t="s">
        <v>1549</v>
      </c>
      <c r="X1636" t="s">
        <v>957</v>
      </c>
      <c r="Y1636">
        <v>5</v>
      </c>
      <c r="Z1636">
        <v>4</v>
      </c>
      <c r="AB1636">
        <v>2.59</v>
      </c>
      <c r="AC1636" t="s">
        <v>85</v>
      </c>
      <c r="AI1636">
        <v>2</v>
      </c>
      <c r="AV1636" t="s">
        <v>256</v>
      </c>
    </row>
    <row r="1637" spans="1:53" x14ac:dyDescent="0.3">
      <c r="A1637" t="s">
        <v>1579</v>
      </c>
      <c r="B1637" t="s">
        <v>1548</v>
      </c>
      <c r="C1637" t="s">
        <v>1495</v>
      </c>
      <c r="H1637">
        <v>10</v>
      </c>
      <c r="I1637" t="s">
        <v>82</v>
      </c>
      <c r="J1637">
        <v>9.9999999999999991E-6</v>
      </c>
      <c r="K1637" t="s">
        <v>252</v>
      </c>
      <c r="O1637">
        <v>0.3</v>
      </c>
      <c r="P1637" t="s">
        <v>59</v>
      </c>
      <c r="S1637">
        <v>1</v>
      </c>
      <c r="T1637">
        <v>15</v>
      </c>
      <c r="V1637">
        <v>50</v>
      </c>
      <c r="W1637" t="s">
        <v>1549</v>
      </c>
      <c r="X1637" t="s">
        <v>957</v>
      </c>
      <c r="Y1637">
        <v>60</v>
      </c>
      <c r="Z1637">
        <v>1</v>
      </c>
      <c r="AB1637">
        <v>2.6399999999999899</v>
      </c>
      <c r="AC1637" t="s">
        <v>85</v>
      </c>
      <c r="AI1637">
        <v>2</v>
      </c>
      <c r="AV1637" t="s">
        <v>256</v>
      </c>
    </row>
    <row r="1638" spans="1:53" x14ac:dyDescent="0.3">
      <c r="A1638" t="s">
        <v>1579</v>
      </c>
      <c r="C1638" t="s">
        <v>1495</v>
      </c>
      <c r="H1638">
        <v>10</v>
      </c>
      <c r="I1638" t="s">
        <v>82</v>
      </c>
      <c r="J1638">
        <v>9.9999999999999991E-6</v>
      </c>
      <c r="K1638" t="s">
        <v>252</v>
      </c>
      <c r="O1638">
        <v>0.22499999999999901</v>
      </c>
      <c r="P1638" t="s">
        <v>59</v>
      </c>
      <c r="S1638">
        <v>1</v>
      </c>
      <c r="T1638">
        <v>10</v>
      </c>
      <c r="V1638">
        <v>50</v>
      </c>
      <c r="W1638" t="s">
        <v>1057</v>
      </c>
      <c r="X1638" t="s">
        <v>957</v>
      </c>
      <c r="Y1638">
        <v>60</v>
      </c>
      <c r="Z1638">
        <v>1</v>
      </c>
      <c r="AB1638">
        <v>2.7</v>
      </c>
      <c r="AC1638" t="s">
        <v>85</v>
      </c>
      <c r="AI1638">
        <v>2</v>
      </c>
      <c r="AV1638" t="s">
        <v>256</v>
      </c>
    </row>
    <row r="1639" spans="1:53" x14ac:dyDescent="0.3">
      <c r="A1639" t="s">
        <v>1579</v>
      </c>
      <c r="C1639" t="s">
        <v>1495</v>
      </c>
      <c r="H1639">
        <v>10</v>
      </c>
      <c r="I1639" t="s">
        <v>82</v>
      </c>
      <c r="J1639">
        <v>9.9999999999999991E-6</v>
      </c>
      <c r="K1639" t="s">
        <v>252</v>
      </c>
      <c r="O1639">
        <v>0.3</v>
      </c>
      <c r="P1639" t="s">
        <v>59</v>
      </c>
      <c r="S1639">
        <v>1</v>
      </c>
      <c r="T1639">
        <v>10</v>
      </c>
      <c r="V1639">
        <v>50</v>
      </c>
      <c r="W1639" t="s">
        <v>1057</v>
      </c>
      <c r="X1639" t="s">
        <v>957</v>
      </c>
      <c r="Y1639">
        <v>30</v>
      </c>
      <c r="Z1639">
        <v>4</v>
      </c>
      <c r="AB1639">
        <v>2.7349999999999901</v>
      </c>
      <c r="AC1639" t="s">
        <v>85</v>
      </c>
      <c r="AI1639">
        <v>2</v>
      </c>
      <c r="AV1639" t="s">
        <v>256</v>
      </c>
    </row>
    <row r="1640" spans="1:53" x14ac:dyDescent="0.3">
      <c r="A1640" t="s">
        <v>1579</v>
      </c>
      <c r="B1640" t="s">
        <v>1548</v>
      </c>
      <c r="C1640" t="s">
        <v>1495</v>
      </c>
      <c r="H1640">
        <v>10</v>
      </c>
      <c r="I1640" t="s">
        <v>82</v>
      </c>
      <c r="J1640">
        <v>9.9999999999999991E-6</v>
      </c>
      <c r="K1640" t="s">
        <v>252</v>
      </c>
      <c r="O1640">
        <v>0.3</v>
      </c>
      <c r="P1640" t="s">
        <v>59</v>
      </c>
      <c r="S1640">
        <v>1</v>
      </c>
      <c r="T1640">
        <v>10</v>
      </c>
      <c r="V1640">
        <v>50</v>
      </c>
      <c r="W1640" t="s">
        <v>1549</v>
      </c>
      <c r="X1640" t="s">
        <v>957</v>
      </c>
      <c r="Y1640">
        <v>30</v>
      </c>
      <c r="Z1640">
        <v>3</v>
      </c>
      <c r="AB1640">
        <v>2.8650000000000002</v>
      </c>
      <c r="AC1640" t="s">
        <v>85</v>
      </c>
      <c r="AI1640">
        <v>2</v>
      </c>
      <c r="AV1640" t="s">
        <v>256</v>
      </c>
    </row>
    <row r="1641" spans="1:53" x14ac:dyDescent="0.3">
      <c r="A1641" t="s">
        <v>1579</v>
      </c>
      <c r="C1641" t="s">
        <v>1495</v>
      </c>
      <c r="H1641">
        <v>10</v>
      </c>
      <c r="I1641" t="s">
        <v>82</v>
      </c>
      <c r="J1641">
        <v>9.9999999999999991E-6</v>
      </c>
      <c r="K1641" t="s">
        <v>252</v>
      </c>
      <c r="O1641">
        <v>0.15</v>
      </c>
      <c r="P1641" t="s">
        <v>59</v>
      </c>
      <c r="S1641">
        <v>1</v>
      </c>
      <c r="T1641">
        <v>20</v>
      </c>
      <c r="V1641">
        <v>50</v>
      </c>
      <c r="W1641" t="s">
        <v>1057</v>
      </c>
      <c r="X1641" t="s">
        <v>957</v>
      </c>
      <c r="Y1641">
        <v>30</v>
      </c>
      <c r="Z1641">
        <v>4</v>
      </c>
      <c r="AB1641">
        <v>2.9550000000000001</v>
      </c>
      <c r="AC1641" t="s">
        <v>85</v>
      </c>
      <c r="AI1641">
        <v>2</v>
      </c>
      <c r="AV1641" t="s">
        <v>256</v>
      </c>
    </row>
    <row r="1642" spans="1:53" x14ac:dyDescent="0.3">
      <c r="A1642" t="s">
        <v>1579</v>
      </c>
      <c r="C1642" t="s">
        <v>1495</v>
      </c>
      <c r="H1642">
        <v>10</v>
      </c>
      <c r="I1642" t="s">
        <v>82</v>
      </c>
      <c r="J1642">
        <v>9.9999999999999991E-6</v>
      </c>
      <c r="K1642" t="s">
        <v>252</v>
      </c>
      <c r="O1642">
        <v>0.22499999999999901</v>
      </c>
      <c r="P1642" t="s">
        <v>59</v>
      </c>
      <c r="S1642">
        <v>1</v>
      </c>
      <c r="T1642">
        <v>15</v>
      </c>
      <c r="V1642">
        <v>50</v>
      </c>
      <c r="W1642" t="s">
        <v>1057</v>
      </c>
      <c r="X1642" t="s">
        <v>957</v>
      </c>
      <c r="Y1642">
        <v>30</v>
      </c>
      <c r="Z1642">
        <v>4</v>
      </c>
      <c r="AB1642">
        <v>2.9649999999999901</v>
      </c>
      <c r="AC1642" t="s">
        <v>85</v>
      </c>
      <c r="AI1642">
        <v>2</v>
      </c>
      <c r="AV1642" t="s">
        <v>256</v>
      </c>
    </row>
    <row r="1643" spans="1:53" x14ac:dyDescent="0.3">
      <c r="A1643" t="s">
        <v>1579</v>
      </c>
      <c r="B1643" t="s">
        <v>1548</v>
      </c>
      <c r="C1643" t="s">
        <v>1495</v>
      </c>
      <c r="H1643">
        <v>10</v>
      </c>
      <c r="I1643" t="s">
        <v>82</v>
      </c>
      <c r="J1643">
        <v>9.9999999999999991E-6</v>
      </c>
      <c r="K1643" t="s">
        <v>252</v>
      </c>
      <c r="O1643">
        <v>0.22499999999999901</v>
      </c>
      <c r="P1643" t="s">
        <v>59</v>
      </c>
      <c r="S1643">
        <v>1</v>
      </c>
      <c r="T1643">
        <v>15</v>
      </c>
      <c r="V1643">
        <v>50</v>
      </c>
      <c r="W1643" t="s">
        <v>1549</v>
      </c>
      <c r="X1643" t="s">
        <v>957</v>
      </c>
      <c r="Y1643">
        <v>30</v>
      </c>
      <c r="Z1643">
        <v>4</v>
      </c>
      <c r="AB1643">
        <v>2.97</v>
      </c>
      <c r="AC1643" t="s">
        <v>85</v>
      </c>
      <c r="AI1643">
        <v>2</v>
      </c>
      <c r="AV1643" t="s">
        <v>256</v>
      </c>
    </row>
    <row r="1644" spans="1:53" x14ac:dyDescent="0.3">
      <c r="A1644" t="s">
        <v>1579</v>
      </c>
      <c r="B1644" t="s">
        <v>1548</v>
      </c>
      <c r="C1644" t="s">
        <v>1495</v>
      </c>
      <c r="H1644">
        <v>10</v>
      </c>
      <c r="I1644" t="s">
        <v>82</v>
      </c>
      <c r="J1644">
        <v>9.9999999999999991E-6</v>
      </c>
      <c r="K1644" t="s">
        <v>252</v>
      </c>
      <c r="O1644">
        <v>7.49999999999999E-2</v>
      </c>
      <c r="P1644" t="s">
        <v>59</v>
      </c>
      <c r="S1644">
        <v>1</v>
      </c>
      <c r="T1644">
        <v>15</v>
      </c>
      <c r="V1644">
        <v>50</v>
      </c>
      <c r="W1644" t="s">
        <v>1549</v>
      </c>
      <c r="X1644" t="s">
        <v>957</v>
      </c>
      <c r="Y1644">
        <v>30</v>
      </c>
      <c r="Z1644">
        <v>4</v>
      </c>
      <c r="AB1644">
        <v>2.97</v>
      </c>
      <c r="AC1644" t="s">
        <v>85</v>
      </c>
      <c r="AI1644">
        <v>2</v>
      </c>
      <c r="AV1644" t="s">
        <v>256</v>
      </c>
    </row>
    <row r="1645" spans="1:53" x14ac:dyDescent="0.3">
      <c r="A1645" t="s">
        <v>1579</v>
      </c>
      <c r="C1645" t="s">
        <v>1495</v>
      </c>
      <c r="H1645">
        <v>10</v>
      </c>
      <c r="I1645" t="s">
        <v>82</v>
      </c>
      <c r="J1645">
        <v>9.9999999999999991E-6</v>
      </c>
      <c r="K1645" t="s">
        <v>252</v>
      </c>
      <c r="O1645">
        <v>0.3</v>
      </c>
      <c r="P1645" t="s">
        <v>59</v>
      </c>
      <c r="S1645">
        <v>1</v>
      </c>
      <c r="T1645">
        <v>20</v>
      </c>
      <c r="V1645">
        <v>50</v>
      </c>
      <c r="W1645" t="s">
        <v>1057</v>
      </c>
      <c r="X1645" t="s">
        <v>957</v>
      </c>
      <c r="Y1645">
        <v>5</v>
      </c>
      <c r="Z1645">
        <v>4</v>
      </c>
      <c r="AB1645">
        <v>2.99</v>
      </c>
      <c r="AC1645" t="s">
        <v>85</v>
      </c>
      <c r="AI1645">
        <v>2</v>
      </c>
      <c r="AV1645" t="s">
        <v>256</v>
      </c>
    </row>
    <row r="1646" spans="1:53" x14ac:dyDescent="0.3">
      <c r="A1646" t="s">
        <v>1579</v>
      </c>
      <c r="B1646" t="s">
        <v>1548</v>
      </c>
      <c r="C1646" t="s">
        <v>1495</v>
      </c>
      <c r="H1646">
        <v>10</v>
      </c>
      <c r="I1646" t="s">
        <v>82</v>
      </c>
      <c r="J1646">
        <v>9.9999999999999991E-6</v>
      </c>
      <c r="K1646" t="s">
        <v>252</v>
      </c>
      <c r="O1646">
        <v>0.3</v>
      </c>
      <c r="P1646" t="s">
        <v>59</v>
      </c>
      <c r="S1646">
        <v>1</v>
      </c>
      <c r="T1646">
        <v>10</v>
      </c>
      <c r="V1646">
        <v>50</v>
      </c>
      <c r="W1646" t="s">
        <v>1549</v>
      </c>
      <c r="X1646" t="s">
        <v>957</v>
      </c>
      <c r="Y1646">
        <v>60</v>
      </c>
      <c r="Z1646">
        <v>2</v>
      </c>
      <c r="AA1646" t="s">
        <v>184</v>
      </c>
      <c r="AB1646">
        <v>3</v>
      </c>
      <c r="AC1646" t="s">
        <v>85</v>
      </c>
      <c r="AI1646">
        <v>2</v>
      </c>
      <c r="AV1646" t="s">
        <v>256</v>
      </c>
      <c r="AZ1646">
        <v>0</v>
      </c>
      <c r="BA1646">
        <v>3</v>
      </c>
    </row>
    <row r="1647" spans="1:53" x14ac:dyDescent="0.3">
      <c r="A1647" t="s">
        <v>1579</v>
      </c>
      <c r="C1647" t="s">
        <v>1495</v>
      </c>
      <c r="H1647">
        <v>10</v>
      </c>
      <c r="I1647" t="s">
        <v>82</v>
      </c>
      <c r="J1647">
        <v>9.9999999999999991E-6</v>
      </c>
      <c r="K1647" t="s">
        <v>252</v>
      </c>
      <c r="O1647">
        <v>0.15</v>
      </c>
      <c r="P1647" t="s">
        <v>59</v>
      </c>
      <c r="S1647">
        <v>1</v>
      </c>
      <c r="T1647">
        <v>15</v>
      </c>
      <c r="V1647">
        <v>50</v>
      </c>
      <c r="W1647" t="s">
        <v>1057</v>
      </c>
      <c r="X1647" t="s">
        <v>957</v>
      </c>
      <c r="Y1647">
        <v>60</v>
      </c>
      <c r="Z1647">
        <v>3</v>
      </c>
      <c r="AB1647">
        <v>3</v>
      </c>
      <c r="AC1647" t="s">
        <v>85</v>
      </c>
      <c r="AI1647">
        <v>2</v>
      </c>
      <c r="AV1647" t="s">
        <v>256</v>
      </c>
    </row>
    <row r="1648" spans="1:53" x14ac:dyDescent="0.3">
      <c r="A1648" t="s">
        <v>1579</v>
      </c>
      <c r="B1648" t="s">
        <v>1548</v>
      </c>
      <c r="C1648" t="s">
        <v>1495</v>
      </c>
      <c r="H1648">
        <v>10</v>
      </c>
      <c r="I1648" t="s">
        <v>82</v>
      </c>
      <c r="J1648">
        <v>9.9999999999999991E-6</v>
      </c>
      <c r="K1648" t="s">
        <v>252</v>
      </c>
      <c r="O1648">
        <v>0.22499999999999901</v>
      </c>
      <c r="P1648" t="s">
        <v>59</v>
      </c>
      <c r="S1648">
        <v>1</v>
      </c>
      <c r="T1648">
        <v>20</v>
      </c>
      <c r="V1648">
        <v>50</v>
      </c>
      <c r="W1648" t="s">
        <v>1549</v>
      </c>
      <c r="X1648" t="s">
        <v>957</v>
      </c>
      <c r="Y1648">
        <v>30</v>
      </c>
      <c r="Z1648">
        <v>4</v>
      </c>
      <c r="AA1648" t="s">
        <v>184</v>
      </c>
      <c r="AB1648">
        <v>3</v>
      </c>
      <c r="AC1648" t="s">
        <v>85</v>
      </c>
      <c r="AI1648">
        <v>2</v>
      </c>
      <c r="AV1648" t="s">
        <v>256</v>
      </c>
      <c r="AZ1648">
        <v>0</v>
      </c>
      <c r="BA1648">
        <v>3</v>
      </c>
    </row>
    <row r="1649" spans="1:53" x14ac:dyDescent="0.3">
      <c r="A1649" t="s">
        <v>1579</v>
      </c>
      <c r="B1649" t="s">
        <v>1548</v>
      </c>
      <c r="C1649" t="s">
        <v>1495</v>
      </c>
      <c r="H1649">
        <v>10</v>
      </c>
      <c r="I1649" t="s">
        <v>82</v>
      </c>
      <c r="J1649">
        <v>9.9999999999999991E-6</v>
      </c>
      <c r="K1649" t="s">
        <v>252</v>
      </c>
      <c r="O1649">
        <v>0.15</v>
      </c>
      <c r="P1649" t="s">
        <v>59</v>
      </c>
      <c r="S1649">
        <v>1</v>
      </c>
      <c r="T1649">
        <v>20</v>
      </c>
      <c r="V1649">
        <v>50</v>
      </c>
      <c r="W1649" t="s">
        <v>1549</v>
      </c>
      <c r="X1649" t="s">
        <v>957</v>
      </c>
      <c r="Y1649">
        <v>60</v>
      </c>
      <c r="Z1649">
        <v>1</v>
      </c>
      <c r="AA1649" t="s">
        <v>184</v>
      </c>
      <c r="AB1649">
        <v>3</v>
      </c>
      <c r="AC1649" t="s">
        <v>85</v>
      </c>
      <c r="AI1649">
        <v>2</v>
      </c>
      <c r="AV1649" t="s">
        <v>256</v>
      </c>
      <c r="AZ1649">
        <v>0</v>
      </c>
      <c r="BA1649">
        <v>3</v>
      </c>
    </row>
    <row r="1650" spans="1:53" x14ac:dyDescent="0.3">
      <c r="A1650" t="s">
        <v>1579</v>
      </c>
      <c r="C1650" t="s">
        <v>1495</v>
      </c>
      <c r="H1650">
        <v>10</v>
      </c>
      <c r="I1650" t="s">
        <v>82</v>
      </c>
      <c r="J1650">
        <v>9.9999999999999991E-6</v>
      </c>
      <c r="K1650" t="s">
        <v>252</v>
      </c>
      <c r="O1650">
        <v>0.15</v>
      </c>
      <c r="P1650" t="s">
        <v>59</v>
      </c>
      <c r="S1650">
        <v>1</v>
      </c>
      <c r="T1650">
        <v>20</v>
      </c>
      <c r="V1650">
        <v>50</v>
      </c>
      <c r="W1650" t="s">
        <v>1057</v>
      </c>
      <c r="X1650" t="s">
        <v>957</v>
      </c>
      <c r="Y1650">
        <v>30</v>
      </c>
      <c r="Z1650">
        <v>1</v>
      </c>
      <c r="AA1650" t="s">
        <v>184</v>
      </c>
      <c r="AB1650">
        <v>3</v>
      </c>
      <c r="AC1650" t="s">
        <v>85</v>
      </c>
      <c r="AI1650">
        <v>2</v>
      </c>
      <c r="AV1650" t="s">
        <v>256</v>
      </c>
      <c r="AZ1650">
        <v>0</v>
      </c>
      <c r="BA1650">
        <v>3</v>
      </c>
    </row>
    <row r="1651" spans="1:53" x14ac:dyDescent="0.3">
      <c r="A1651" t="s">
        <v>1579</v>
      </c>
      <c r="C1651" t="s">
        <v>1495</v>
      </c>
      <c r="H1651">
        <v>10</v>
      </c>
      <c r="I1651" t="s">
        <v>82</v>
      </c>
      <c r="J1651">
        <v>9.9999999999999991E-6</v>
      </c>
      <c r="K1651" t="s">
        <v>252</v>
      </c>
      <c r="O1651">
        <v>0.15</v>
      </c>
      <c r="P1651" t="s">
        <v>59</v>
      </c>
      <c r="S1651">
        <v>1</v>
      </c>
      <c r="T1651">
        <v>20</v>
      </c>
      <c r="V1651">
        <v>50</v>
      </c>
      <c r="W1651" t="s">
        <v>1057</v>
      </c>
      <c r="X1651" t="s">
        <v>957</v>
      </c>
      <c r="Y1651">
        <v>60</v>
      </c>
      <c r="Z1651">
        <v>4</v>
      </c>
      <c r="AA1651" t="s">
        <v>184</v>
      </c>
      <c r="AB1651">
        <v>3</v>
      </c>
      <c r="AC1651" t="s">
        <v>85</v>
      </c>
      <c r="AI1651">
        <v>2</v>
      </c>
      <c r="AV1651" t="s">
        <v>256</v>
      </c>
      <c r="AZ1651">
        <v>0</v>
      </c>
      <c r="BA1651">
        <v>3</v>
      </c>
    </row>
    <row r="1652" spans="1:53" x14ac:dyDescent="0.3">
      <c r="A1652" t="s">
        <v>1579</v>
      </c>
      <c r="B1652" t="s">
        <v>1548</v>
      </c>
      <c r="C1652" t="s">
        <v>1495</v>
      </c>
      <c r="H1652">
        <v>10</v>
      </c>
      <c r="I1652" t="s">
        <v>82</v>
      </c>
      <c r="J1652">
        <v>9.9999999999999991E-6</v>
      </c>
      <c r="K1652" t="s">
        <v>252</v>
      </c>
      <c r="O1652">
        <v>0.3</v>
      </c>
      <c r="P1652" t="s">
        <v>59</v>
      </c>
      <c r="S1652">
        <v>1</v>
      </c>
      <c r="T1652">
        <v>10</v>
      </c>
      <c r="V1652">
        <v>50</v>
      </c>
      <c r="W1652" t="s">
        <v>1549</v>
      </c>
      <c r="X1652" t="s">
        <v>957</v>
      </c>
      <c r="Y1652">
        <v>60</v>
      </c>
      <c r="AA1652" t="s">
        <v>184</v>
      </c>
      <c r="AB1652">
        <v>3</v>
      </c>
      <c r="AC1652" t="s">
        <v>85</v>
      </c>
      <c r="AI1652">
        <v>2</v>
      </c>
      <c r="AV1652" t="s">
        <v>256</v>
      </c>
      <c r="AZ1652">
        <v>0</v>
      </c>
      <c r="BA1652">
        <v>3</v>
      </c>
    </row>
    <row r="1653" spans="1:53" x14ac:dyDescent="0.3">
      <c r="A1653" t="s">
        <v>1579</v>
      </c>
      <c r="C1653" t="s">
        <v>1495</v>
      </c>
      <c r="H1653">
        <v>10</v>
      </c>
      <c r="I1653" t="s">
        <v>82</v>
      </c>
      <c r="J1653">
        <v>9.9999999999999991E-6</v>
      </c>
      <c r="K1653" t="s">
        <v>252</v>
      </c>
      <c r="O1653">
        <v>0.3</v>
      </c>
      <c r="P1653" t="s">
        <v>59</v>
      </c>
      <c r="S1653">
        <v>1</v>
      </c>
      <c r="T1653">
        <v>10</v>
      </c>
      <c r="V1653">
        <v>50</v>
      </c>
      <c r="W1653" t="s">
        <v>1057</v>
      </c>
      <c r="X1653" t="s">
        <v>957</v>
      </c>
      <c r="Y1653">
        <v>60</v>
      </c>
      <c r="AA1653" t="s">
        <v>184</v>
      </c>
      <c r="AB1653">
        <v>3</v>
      </c>
      <c r="AC1653" t="s">
        <v>85</v>
      </c>
      <c r="AI1653">
        <v>2</v>
      </c>
      <c r="AV1653" t="s">
        <v>256</v>
      </c>
      <c r="AZ1653">
        <v>0</v>
      </c>
      <c r="BA1653">
        <v>3</v>
      </c>
    </row>
    <row r="1654" spans="1:53" x14ac:dyDescent="0.3">
      <c r="A1654" t="s">
        <v>1579</v>
      </c>
      <c r="B1654" t="s">
        <v>1548</v>
      </c>
      <c r="C1654" t="s">
        <v>1495</v>
      </c>
      <c r="H1654">
        <v>10</v>
      </c>
      <c r="I1654" t="s">
        <v>82</v>
      </c>
      <c r="J1654">
        <v>9.9999999999999991E-6</v>
      </c>
      <c r="K1654" t="s">
        <v>252</v>
      </c>
      <c r="O1654">
        <v>0.22499999999999901</v>
      </c>
      <c r="P1654" t="s">
        <v>59</v>
      </c>
      <c r="S1654">
        <v>1</v>
      </c>
      <c r="T1654">
        <v>15</v>
      </c>
      <c r="V1654">
        <v>50</v>
      </c>
      <c r="W1654" t="s">
        <v>1549</v>
      </c>
      <c r="X1654" t="s">
        <v>957</v>
      </c>
      <c r="Y1654">
        <v>30</v>
      </c>
      <c r="AA1654" t="s">
        <v>184</v>
      </c>
      <c r="AB1654">
        <v>3</v>
      </c>
      <c r="AC1654" t="s">
        <v>85</v>
      </c>
      <c r="AI1654">
        <v>2</v>
      </c>
      <c r="AV1654" t="s">
        <v>256</v>
      </c>
      <c r="AZ1654">
        <v>0</v>
      </c>
      <c r="BA1654">
        <v>3</v>
      </c>
    </row>
    <row r="1655" spans="1:53" x14ac:dyDescent="0.3">
      <c r="A1655" t="s">
        <v>1579</v>
      </c>
      <c r="B1655" t="s">
        <v>1548</v>
      </c>
      <c r="C1655" t="s">
        <v>1495</v>
      </c>
      <c r="H1655">
        <v>10</v>
      </c>
      <c r="I1655" t="s">
        <v>82</v>
      </c>
      <c r="J1655">
        <v>9.9999999999999991E-6</v>
      </c>
      <c r="K1655" t="s">
        <v>252</v>
      </c>
      <c r="O1655">
        <v>0.3</v>
      </c>
      <c r="P1655" t="s">
        <v>59</v>
      </c>
      <c r="S1655">
        <v>1</v>
      </c>
      <c r="T1655">
        <v>15</v>
      </c>
      <c r="V1655">
        <v>50</v>
      </c>
      <c r="W1655" t="s">
        <v>1549</v>
      </c>
      <c r="X1655" t="s">
        <v>957</v>
      </c>
      <c r="Y1655">
        <v>30</v>
      </c>
      <c r="AA1655" t="s">
        <v>184</v>
      </c>
      <c r="AB1655">
        <v>3</v>
      </c>
      <c r="AC1655" t="s">
        <v>85</v>
      </c>
      <c r="AI1655">
        <v>2</v>
      </c>
      <c r="AV1655" t="s">
        <v>256</v>
      </c>
      <c r="AZ1655">
        <v>0</v>
      </c>
      <c r="BA1655">
        <v>3</v>
      </c>
    </row>
    <row r="1656" spans="1:53" x14ac:dyDescent="0.3">
      <c r="A1656" t="s">
        <v>1579</v>
      </c>
      <c r="B1656" t="s">
        <v>1548</v>
      </c>
      <c r="C1656" t="s">
        <v>1495</v>
      </c>
      <c r="H1656">
        <v>10</v>
      </c>
      <c r="I1656" t="s">
        <v>82</v>
      </c>
      <c r="J1656">
        <v>9.9999999999999991E-6</v>
      </c>
      <c r="K1656" t="s">
        <v>252</v>
      </c>
      <c r="O1656">
        <v>0.22499999999999901</v>
      </c>
      <c r="P1656" t="s">
        <v>59</v>
      </c>
      <c r="S1656">
        <v>1</v>
      </c>
      <c r="T1656">
        <v>15</v>
      </c>
      <c r="V1656">
        <v>50</v>
      </c>
      <c r="W1656" t="s">
        <v>1549</v>
      </c>
      <c r="X1656" t="s">
        <v>957</v>
      </c>
      <c r="Y1656">
        <v>60</v>
      </c>
      <c r="AA1656" t="s">
        <v>184</v>
      </c>
      <c r="AB1656">
        <v>3</v>
      </c>
      <c r="AC1656" t="s">
        <v>85</v>
      </c>
      <c r="AI1656">
        <v>2</v>
      </c>
      <c r="AV1656" t="s">
        <v>256</v>
      </c>
      <c r="AZ1656">
        <v>0</v>
      </c>
      <c r="BA1656">
        <v>3</v>
      </c>
    </row>
    <row r="1657" spans="1:53" x14ac:dyDescent="0.3">
      <c r="A1657" t="s">
        <v>1579</v>
      </c>
      <c r="B1657" t="s">
        <v>1548</v>
      </c>
      <c r="C1657" t="s">
        <v>1495</v>
      </c>
      <c r="H1657">
        <v>10</v>
      </c>
      <c r="I1657" t="s">
        <v>82</v>
      </c>
      <c r="J1657">
        <v>9.9999999999999991E-6</v>
      </c>
      <c r="K1657" t="s">
        <v>252</v>
      </c>
      <c r="O1657">
        <v>0.3</v>
      </c>
      <c r="P1657" t="s">
        <v>59</v>
      </c>
      <c r="S1657">
        <v>1</v>
      </c>
      <c r="T1657">
        <v>15</v>
      </c>
      <c r="V1657">
        <v>50</v>
      </c>
      <c r="W1657" t="s">
        <v>1549</v>
      </c>
      <c r="X1657" t="s">
        <v>957</v>
      </c>
      <c r="Y1657">
        <v>60</v>
      </c>
      <c r="AA1657" t="s">
        <v>184</v>
      </c>
      <c r="AB1657">
        <v>3</v>
      </c>
      <c r="AC1657" t="s">
        <v>85</v>
      </c>
      <c r="AI1657">
        <v>2</v>
      </c>
      <c r="AV1657" t="s">
        <v>256</v>
      </c>
      <c r="AZ1657">
        <v>0</v>
      </c>
      <c r="BA1657">
        <v>3</v>
      </c>
    </row>
    <row r="1658" spans="1:53" x14ac:dyDescent="0.3">
      <c r="A1658" t="s">
        <v>1579</v>
      </c>
      <c r="C1658" t="s">
        <v>1495</v>
      </c>
      <c r="H1658">
        <v>10</v>
      </c>
      <c r="I1658" t="s">
        <v>82</v>
      </c>
      <c r="J1658">
        <v>9.9999999999999991E-6</v>
      </c>
      <c r="K1658" t="s">
        <v>252</v>
      </c>
      <c r="O1658">
        <v>0.22499999999999901</v>
      </c>
      <c r="P1658" t="s">
        <v>59</v>
      </c>
      <c r="S1658">
        <v>1</v>
      </c>
      <c r="T1658">
        <v>15</v>
      </c>
      <c r="V1658">
        <v>50</v>
      </c>
      <c r="W1658" t="s">
        <v>1057</v>
      </c>
      <c r="X1658" t="s">
        <v>957</v>
      </c>
      <c r="Y1658">
        <v>30</v>
      </c>
      <c r="AA1658" t="s">
        <v>184</v>
      </c>
      <c r="AB1658">
        <v>3</v>
      </c>
      <c r="AC1658" t="s">
        <v>85</v>
      </c>
      <c r="AI1658">
        <v>2</v>
      </c>
      <c r="AV1658" t="s">
        <v>256</v>
      </c>
      <c r="AZ1658">
        <v>0</v>
      </c>
      <c r="BA1658">
        <v>3</v>
      </c>
    </row>
    <row r="1659" spans="1:53" x14ac:dyDescent="0.3">
      <c r="A1659" t="s">
        <v>1579</v>
      </c>
      <c r="C1659" t="s">
        <v>1495</v>
      </c>
      <c r="H1659">
        <v>10</v>
      </c>
      <c r="I1659" t="s">
        <v>82</v>
      </c>
      <c r="J1659">
        <v>9.9999999999999991E-6</v>
      </c>
      <c r="K1659" t="s">
        <v>252</v>
      </c>
      <c r="O1659">
        <v>0.3</v>
      </c>
      <c r="P1659" t="s">
        <v>59</v>
      </c>
      <c r="S1659">
        <v>1</v>
      </c>
      <c r="T1659">
        <v>15</v>
      </c>
      <c r="V1659">
        <v>50</v>
      </c>
      <c r="W1659" t="s">
        <v>1057</v>
      </c>
      <c r="X1659" t="s">
        <v>957</v>
      </c>
      <c r="Y1659">
        <v>30</v>
      </c>
      <c r="AA1659" t="s">
        <v>184</v>
      </c>
      <c r="AB1659">
        <v>3</v>
      </c>
      <c r="AC1659" t="s">
        <v>85</v>
      </c>
      <c r="AI1659">
        <v>2</v>
      </c>
      <c r="AV1659" t="s">
        <v>256</v>
      </c>
      <c r="AZ1659">
        <v>0</v>
      </c>
      <c r="BA1659">
        <v>3</v>
      </c>
    </row>
    <row r="1660" spans="1:53" x14ac:dyDescent="0.3">
      <c r="A1660" t="s">
        <v>1579</v>
      </c>
      <c r="C1660" t="s">
        <v>1495</v>
      </c>
      <c r="H1660">
        <v>10</v>
      </c>
      <c r="I1660" t="s">
        <v>82</v>
      </c>
      <c r="J1660">
        <v>9.9999999999999991E-6</v>
      </c>
      <c r="K1660" t="s">
        <v>252</v>
      </c>
      <c r="O1660">
        <v>0.15</v>
      </c>
      <c r="P1660" t="s">
        <v>59</v>
      </c>
      <c r="S1660">
        <v>1</v>
      </c>
      <c r="T1660">
        <v>15</v>
      </c>
      <c r="V1660">
        <v>50</v>
      </c>
      <c r="W1660" t="s">
        <v>1057</v>
      </c>
      <c r="X1660" t="s">
        <v>957</v>
      </c>
      <c r="Y1660">
        <v>60</v>
      </c>
      <c r="AA1660" t="s">
        <v>184</v>
      </c>
      <c r="AB1660">
        <v>3</v>
      </c>
      <c r="AC1660" t="s">
        <v>85</v>
      </c>
      <c r="AI1660">
        <v>2</v>
      </c>
      <c r="AV1660" t="s">
        <v>256</v>
      </c>
      <c r="AZ1660">
        <v>0</v>
      </c>
      <c r="BA1660">
        <v>3</v>
      </c>
    </row>
    <row r="1661" spans="1:53" x14ac:dyDescent="0.3">
      <c r="A1661" t="s">
        <v>1579</v>
      </c>
      <c r="C1661" t="s">
        <v>1495</v>
      </c>
      <c r="H1661">
        <v>10</v>
      </c>
      <c r="I1661" t="s">
        <v>82</v>
      </c>
      <c r="J1661">
        <v>9.9999999999999991E-6</v>
      </c>
      <c r="K1661" t="s">
        <v>252</v>
      </c>
      <c r="O1661">
        <v>0.22499999999999901</v>
      </c>
      <c r="P1661" t="s">
        <v>59</v>
      </c>
      <c r="S1661">
        <v>1</v>
      </c>
      <c r="T1661">
        <v>15</v>
      </c>
      <c r="V1661">
        <v>50</v>
      </c>
      <c r="W1661" t="s">
        <v>1057</v>
      </c>
      <c r="X1661" t="s">
        <v>957</v>
      </c>
      <c r="Y1661">
        <v>60</v>
      </c>
      <c r="AA1661" t="s">
        <v>184</v>
      </c>
      <c r="AB1661">
        <v>3</v>
      </c>
      <c r="AC1661" t="s">
        <v>85</v>
      </c>
      <c r="AI1661">
        <v>2</v>
      </c>
      <c r="AV1661" t="s">
        <v>256</v>
      </c>
      <c r="AZ1661">
        <v>0</v>
      </c>
      <c r="BA1661">
        <v>3</v>
      </c>
    </row>
    <row r="1662" spans="1:53" x14ac:dyDescent="0.3">
      <c r="A1662" t="s">
        <v>1579</v>
      </c>
      <c r="B1662" t="s">
        <v>1548</v>
      </c>
      <c r="C1662" t="s">
        <v>1495</v>
      </c>
      <c r="H1662">
        <v>10</v>
      </c>
      <c r="I1662" t="s">
        <v>82</v>
      </c>
      <c r="J1662">
        <v>9.9999999999999991E-6</v>
      </c>
      <c r="K1662" t="s">
        <v>252</v>
      </c>
      <c r="O1662">
        <v>7.49999999999999E-2</v>
      </c>
      <c r="P1662" t="s">
        <v>59</v>
      </c>
      <c r="S1662">
        <v>1</v>
      </c>
      <c r="T1662">
        <v>20</v>
      </c>
      <c r="V1662">
        <v>50</v>
      </c>
      <c r="W1662" t="s">
        <v>1549</v>
      </c>
      <c r="X1662" t="s">
        <v>957</v>
      </c>
      <c r="Y1662">
        <v>60</v>
      </c>
      <c r="AA1662" t="s">
        <v>184</v>
      </c>
      <c r="AB1662">
        <v>3</v>
      </c>
      <c r="AC1662" t="s">
        <v>85</v>
      </c>
      <c r="AI1662">
        <v>2</v>
      </c>
      <c r="AV1662" t="s">
        <v>256</v>
      </c>
      <c r="AZ1662">
        <v>0</v>
      </c>
      <c r="BA1662">
        <v>3</v>
      </c>
    </row>
    <row r="1663" spans="1:53" x14ac:dyDescent="0.3">
      <c r="A1663" t="s">
        <v>1579</v>
      </c>
      <c r="B1663" t="s">
        <v>1548</v>
      </c>
      <c r="C1663" t="s">
        <v>1495</v>
      </c>
      <c r="H1663">
        <v>10</v>
      </c>
      <c r="I1663" t="s">
        <v>82</v>
      </c>
      <c r="J1663">
        <v>9.9999999999999991E-6</v>
      </c>
      <c r="K1663" t="s">
        <v>252</v>
      </c>
      <c r="O1663">
        <v>0.15</v>
      </c>
      <c r="P1663" t="s">
        <v>59</v>
      </c>
      <c r="S1663">
        <v>1</v>
      </c>
      <c r="T1663">
        <v>20</v>
      </c>
      <c r="V1663">
        <v>50</v>
      </c>
      <c r="W1663" t="s">
        <v>1549</v>
      </c>
      <c r="X1663" t="s">
        <v>957</v>
      </c>
      <c r="Y1663">
        <v>60</v>
      </c>
      <c r="AA1663" t="s">
        <v>184</v>
      </c>
      <c r="AB1663">
        <v>3</v>
      </c>
      <c r="AC1663" t="s">
        <v>85</v>
      </c>
      <c r="AI1663">
        <v>2</v>
      </c>
      <c r="AV1663" t="s">
        <v>256</v>
      </c>
      <c r="AZ1663">
        <v>0</v>
      </c>
      <c r="BA1663">
        <v>3</v>
      </c>
    </row>
    <row r="1664" spans="1:53" x14ac:dyDescent="0.3">
      <c r="A1664" t="s">
        <v>1579</v>
      </c>
      <c r="B1664" t="s">
        <v>1548</v>
      </c>
      <c r="C1664" t="s">
        <v>1495</v>
      </c>
      <c r="H1664">
        <v>10</v>
      </c>
      <c r="I1664" t="s">
        <v>82</v>
      </c>
      <c r="J1664">
        <v>9.9999999999999991E-6</v>
      </c>
      <c r="K1664" t="s">
        <v>252</v>
      </c>
      <c r="O1664">
        <v>0.3</v>
      </c>
      <c r="P1664" t="s">
        <v>59</v>
      </c>
      <c r="S1664">
        <v>1</v>
      </c>
      <c r="T1664">
        <v>20</v>
      </c>
      <c r="V1664">
        <v>50</v>
      </c>
      <c r="W1664" t="s">
        <v>1549</v>
      </c>
      <c r="X1664" t="s">
        <v>957</v>
      </c>
      <c r="Y1664">
        <v>30</v>
      </c>
      <c r="AB1664">
        <v>3</v>
      </c>
      <c r="AC1664" t="s">
        <v>85</v>
      </c>
      <c r="AI1664">
        <v>2</v>
      </c>
      <c r="AV1664" t="s">
        <v>256</v>
      </c>
    </row>
    <row r="1665" spans="1:53" x14ac:dyDescent="0.3">
      <c r="A1665" t="s">
        <v>1579</v>
      </c>
      <c r="B1665" t="s">
        <v>1548</v>
      </c>
      <c r="C1665" t="s">
        <v>1495</v>
      </c>
      <c r="H1665">
        <v>10</v>
      </c>
      <c r="I1665" t="s">
        <v>82</v>
      </c>
      <c r="J1665">
        <v>9.9999999999999991E-6</v>
      </c>
      <c r="K1665" t="s">
        <v>252</v>
      </c>
      <c r="O1665">
        <v>0.3</v>
      </c>
      <c r="P1665" t="s">
        <v>59</v>
      </c>
      <c r="S1665">
        <v>1</v>
      </c>
      <c r="T1665">
        <v>20</v>
      </c>
      <c r="V1665">
        <v>50</v>
      </c>
      <c r="W1665" t="s">
        <v>1549</v>
      </c>
      <c r="X1665" t="s">
        <v>957</v>
      </c>
      <c r="Y1665">
        <v>60</v>
      </c>
      <c r="AA1665" t="s">
        <v>184</v>
      </c>
      <c r="AB1665">
        <v>3</v>
      </c>
      <c r="AC1665" t="s">
        <v>85</v>
      </c>
      <c r="AI1665">
        <v>2</v>
      </c>
      <c r="AV1665" t="s">
        <v>256</v>
      </c>
      <c r="AZ1665">
        <v>0</v>
      </c>
      <c r="BA1665">
        <v>3</v>
      </c>
    </row>
    <row r="1666" spans="1:53" x14ac:dyDescent="0.3">
      <c r="A1666" t="s">
        <v>1579</v>
      </c>
      <c r="C1666" t="s">
        <v>1495</v>
      </c>
      <c r="H1666">
        <v>10</v>
      </c>
      <c r="I1666" t="s">
        <v>82</v>
      </c>
      <c r="J1666">
        <v>9.9999999999999991E-6</v>
      </c>
      <c r="K1666" t="s">
        <v>252</v>
      </c>
      <c r="O1666">
        <v>0.22499999999999901</v>
      </c>
      <c r="P1666" t="s">
        <v>59</v>
      </c>
      <c r="S1666">
        <v>1</v>
      </c>
      <c r="T1666">
        <v>20</v>
      </c>
      <c r="V1666">
        <v>50</v>
      </c>
      <c r="W1666" t="s">
        <v>1057</v>
      </c>
      <c r="X1666" t="s">
        <v>957</v>
      </c>
      <c r="Y1666">
        <v>60</v>
      </c>
      <c r="AA1666" t="s">
        <v>184</v>
      </c>
      <c r="AB1666">
        <v>3</v>
      </c>
      <c r="AC1666" t="s">
        <v>85</v>
      </c>
      <c r="AI1666">
        <v>2</v>
      </c>
      <c r="AV1666" t="s">
        <v>256</v>
      </c>
      <c r="AZ1666">
        <v>0</v>
      </c>
      <c r="BA1666">
        <v>3</v>
      </c>
    </row>
    <row r="1667" spans="1:53" x14ac:dyDescent="0.3">
      <c r="A1667" t="s">
        <v>1579</v>
      </c>
      <c r="C1667" t="s">
        <v>1495</v>
      </c>
      <c r="H1667">
        <v>10</v>
      </c>
      <c r="I1667" t="s">
        <v>82</v>
      </c>
      <c r="J1667">
        <v>9.9999999999999991E-6</v>
      </c>
      <c r="K1667" t="s">
        <v>252</v>
      </c>
      <c r="O1667">
        <v>0.3</v>
      </c>
      <c r="P1667" t="s">
        <v>59</v>
      </c>
      <c r="S1667">
        <v>1</v>
      </c>
      <c r="T1667">
        <v>20</v>
      </c>
      <c r="V1667">
        <v>50</v>
      </c>
      <c r="W1667" t="s">
        <v>1057</v>
      </c>
      <c r="X1667" t="s">
        <v>957</v>
      </c>
      <c r="Y1667">
        <v>60</v>
      </c>
      <c r="AA1667" t="s">
        <v>184</v>
      </c>
      <c r="AB1667">
        <v>3</v>
      </c>
      <c r="AC1667" t="s">
        <v>85</v>
      </c>
      <c r="AI1667">
        <v>2</v>
      </c>
      <c r="AV1667" t="s">
        <v>256</v>
      </c>
      <c r="AZ1667">
        <v>0</v>
      </c>
      <c r="BA1667">
        <v>3</v>
      </c>
    </row>
    <row r="1668" spans="1:53" x14ac:dyDescent="0.3">
      <c r="A1668" t="s">
        <v>1579</v>
      </c>
      <c r="B1668" t="s">
        <v>1548</v>
      </c>
      <c r="C1668" t="s">
        <v>1495</v>
      </c>
      <c r="H1668">
        <v>10</v>
      </c>
      <c r="I1668" t="s">
        <v>82</v>
      </c>
      <c r="J1668">
        <v>9.9999999999999991E-6</v>
      </c>
      <c r="K1668" t="s">
        <v>252</v>
      </c>
      <c r="O1668">
        <v>0.15</v>
      </c>
      <c r="P1668" t="s">
        <v>59</v>
      </c>
      <c r="S1668">
        <v>1</v>
      </c>
      <c r="T1668">
        <v>10</v>
      </c>
      <c r="V1668">
        <v>50</v>
      </c>
      <c r="W1668" t="s">
        <v>1549</v>
      </c>
      <c r="X1668" t="s">
        <v>957</v>
      </c>
      <c r="Y1668">
        <v>60</v>
      </c>
      <c r="AA1668" t="s">
        <v>184</v>
      </c>
      <c r="AB1668">
        <v>3</v>
      </c>
      <c r="AC1668" t="s">
        <v>85</v>
      </c>
      <c r="AI1668">
        <v>2</v>
      </c>
      <c r="AV1668" t="s">
        <v>256</v>
      </c>
      <c r="AZ1668">
        <v>0</v>
      </c>
      <c r="BA1668">
        <v>3</v>
      </c>
    </row>
    <row r="1669" spans="1:53" x14ac:dyDescent="0.3">
      <c r="A1669" t="s">
        <v>1579</v>
      </c>
      <c r="B1669" t="s">
        <v>1548</v>
      </c>
      <c r="C1669" t="s">
        <v>1495</v>
      </c>
      <c r="H1669">
        <v>10</v>
      </c>
      <c r="I1669" t="s">
        <v>82</v>
      </c>
      <c r="J1669">
        <v>9.9999999999999991E-6</v>
      </c>
      <c r="K1669" t="s">
        <v>252</v>
      </c>
      <c r="O1669">
        <v>0.15</v>
      </c>
      <c r="P1669" t="s">
        <v>59</v>
      </c>
      <c r="S1669">
        <v>1</v>
      </c>
      <c r="T1669">
        <v>15</v>
      </c>
      <c r="V1669">
        <v>50</v>
      </c>
      <c r="W1669" t="s">
        <v>1549</v>
      </c>
      <c r="X1669" t="s">
        <v>957</v>
      </c>
      <c r="Y1669">
        <v>30</v>
      </c>
      <c r="AA1669" t="s">
        <v>184</v>
      </c>
      <c r="AB1669">
        <v>3</v>
      </c>
      <c r="AC1669" t="s">
        <v>85</v>
      </c>
      <c r="AI1669">
        <v>2</v>
      </c>
      <c r="AV1669" t="s">
        <v>256</v>
      </c>
      <c r="AZ1669">
        <v>0</v>
      </c>
      <c r="BA1669">
        <v>3</v>
      </c>
    </row>
    <row r="1670" spans="1:53" x14ac:dyDescent="0.3">
      <c r="A1670" t="s">
        <v>1579</v>
      </c>
      <c r="B1670" t="s">
        <v>1548</v>
      </c>
      <c r="C1670" t="s">
        <v>1495</v>
      </c>
      <c r="H1670">
        <v>10</v>
      </c>
      <c r="I1670" t="s">
        <v>82</v>
      </c>
      <c r="J1670">
        <v>9.9999999999999991E-6</v>
      </c>
      <c r="K1670" t="s">
        <v>252</v>
      </c>
      <c r="O1670">
        <v>7.49999999999999E-2</v>
      </c>
      <c r="P1670" t="s">
        <v>59</v>
      </c>
      <c r="S1670">
        <v>1</v>
      </c>
      <c r="T1670">
        <v>15</v>
      </c>
      <c r="V1670">
        <v>50</v>
      </c>
      <c r="W1670" t="s">
        <v>1549</v>
      </c>
      <c r="X1670" t="s">
        <v>957</v>
      </c>
      <c r="Y1670">
        <v>60</v>
      </c>
      <c r="AA1670" t="s">
        <v>184</v>
      </c>
      <c r="AB1670">
        <v>3</v>
      </c>
      <c r="AC1670" t="s">
        <v>85</v>
      </c>
      <c r="AI1670">
        <v>2</v>
      </c>
      <c r="AV1670" t="s">
        <v>256</v>
      </c>
      <c r="AZ1670">
        <v>0</v>
      </c>
      <c r="BA1670">
        <v>3</v>
      </c>
    </row>
    <row r="1671" spans="1:53" x14ac:dyDescent="0.3">
      <c r="A1671" t="s">
        <v>1579</v>
      </c>
      <c r="B1671" t="s">
        <v>1548</v>
      </c>
      <c r="C1671" t="s">
        <v>1495</v>
      </c>
      <c r="H1671">
        <v>10</v>
      </c>
      <c r="I1671" t="s">
        <v>82</v>
      </c>
      <c r="J1671">
        <v>9.9999999999999991E-6</v>
      </c>
      <c r="K1671" t="s">
        <v>252</v>
      </c>
      <c r="O1671">
        <v>0.15</v>
      </c>
      <c r="P1671" t="s">
        <v>59</v>
      </c>
      <c r="S1671">
        <v>1</v>
      </c>
      <c r="T1671">
        <v>20</v>
      </c>
      <c r="V1671">
        <v>50</v>
      </c>
      <c r="W1671" t="s">
        <v>1549</v>
      </c>
      <c r="X1671" t="s">
        <v>957</v>
      </c>
      <c r="Y1671">
        <v>30</v>
      </c>
      <c r="AA1671" t="s">
        <v>184</v>
      </c>
      <c r="AB1671">
        <v>3</v>
      </c>
      <c r="AC1671" t="s">
        <v>85</v>
      </c>
      <c r="AI1671">
        <v>2</v>
      </c>
      <c r="AV1671" t="s">
        <v>256</v>
      </c>
      <c r="AZ1671">
        <v>0</v>
      </c>
      <c r="BA1671">
        <v>3</v>
      </c>
    </row>
    <row r="1672" spans="1:53" x14ac:dyDescent="0.3">
      <c r="A1672" t="s">
        <v>1579</v>
      </c>
      <c r="C1672" t="s">
        <v>1495</v>
      </c>
      <c r="H1672">
        <v>10</v>
      </c>
      <c r="I1672" t="s">
        <v>82</v>
      </c>
      <c r="J1672">
        <v>9.9999999999999991E-6</v>
      </c>
      <c r="K1672" t="s">
        <v>252</v>
      </c>
      <c r="O1672">
        <v>0.15</v>
      </c>
      <c r="P1672" t="s">
        <v>59</v>
      </c>
      <c r="S1672">
        <v>1</v>
      </c>
      <c r="T1672">
        <v>20</v>
      </c>
      <c r="V1672">
        <v>50</v>
      </c>
      <c r="W1672" t="s">
        <v>1057</v>
      </c>
      <c r="X1672" t="s">
        <v>957</v>
      </c>
      <c r="Y1672">
        <v>30</v>
      </c>
      <c r="AA1672" t="s">
        <v>184</v>
      </c>
      <c r="AB1672">
        <v>3</v>
      </c>
      <c r="AC1672" t="s">
        <v>85</v>
      </c>
      <c r="AI1672">
        <v>2</v>
      </c>
      <c r="AV1672" t="s">
        <v>256</v>
      </c>
      <c r="AZ1672">
        <v>0</v>
      </c>
      <c r="BA1672">
        <v>3</v>
      </c>
    </row>
    <row r="1673" spans="1:53" x14ac:dyDescent="0.3">
      <c r="A1673" t="s">
        <v>1579</v>
      </c>
      <c r="B1673" t="s">
        <v>1548</v>
      </c>
      <c r="C1673" t="s">
        <v>1495</v>
      </c>
      <c r="H1673">
        <v>10</v>
      </c>
      <c r="I1673" t="s">
        <v>82</v>
      </c>
      <c r="J1673">
        <v>9.9999999999999991E-6</v>
      </c>
      <c r="K1673" t="s">
        <v>252</v>
      </c>
      <c r="O1673">
        <v>0.22499999999999901</v>
      </c>
      <c r="P1673" t="s">
        <v>59</v>
      </c>
      <c r="S1673">
        <v>1</v>
      </c>
      <c r="T1673">
        <v>10</v>
      </c>
      <c r="V1673">
        <v>50</v>
      </c>
      <c r="W1673" t="s">
        <v>1549</v>
      </c>
      <c r="X1673" t="s">
        <v>957</v>
      </c>
      <c r="Y1673">
        <v>60</v>
      </c>
      <c r="AB1673">
        <v>3.01</v>
      </c>
      <c r="AC1673" t="s">
        <v>85</v>
      </c>
      <c r="AI1673">
        <v>2</v>
      </c>
      <c r="AV1673" t="s">
        <v>256</v>
      </c>
    </row>
    <row r="1674" spans="1:53" x14ac:dyDescent="0.3">
      <c r="A1674" t="s">
        <v>1579</v>
      </c>
      <c r="B1674" t="s">
        <v>1548</v>
      </c>
      <c r="C1674" t="s">
        <v>1495</v>
      </c>
      <c r="H1674">
        <v>10</v>
      </c>
      <c r="I1674" t="s">
        <v>82</v>
      </c>
      <c r="J1674">
        <v>9.9999999999999991E-6</v>
      </c>
      <c r="K1674" t="s">
        <v>252</v>
      </c>
      <c r="O1674">
        <v>0.15</v>
      </c>
      <c r="P1674" t="s">
        <v>59</v>
      </c>
      <c r="S1674">
        <v>1</v>
      </c>
      <c r="T1674">
        <v>20</v>
      </c>
      <c r="V1674">
        <v>50</v>
      </c>
      <c r="W1674" t="s">
        <v>1549</v>
      </c>
      <c r="X1674" t="s">
        <v>957</v>
      </c>
      <c r="Y1674">
        <v>30</v>
      </c>
      <c r="AB1674">
        <v>3.08</v>
      </c>
      <c r="AC1674" t="s">
        <v>85</v>
      </c>
      <c r="AI1674">
        <v>2</v>
      </c>
      <c r="AV1674" t="s">
        <v>256</v>
      </c>
    </row>
    <row r="1675" spans="1:53" x14ac:dyDescent="0.3">
      <c r="A1675" t="s">
        <v>1579</v>
      </c>
      <c r="B1675" t="s">
        <v>1548</v>
      </c>
      <c r="C1675" t="s">
        <v>1495</v>
      </c>
      <c r="H1675">
        <v>10</v>
      </c>
      <c r="I1675" t="s">
        <v>82</v>
      </c>
      <c r="J1675">
        <v>9.9999999999999991E-6</v>
      </c>
      <c r="K1675" t="s">
        <v>252</v>
      </c>
      <c r="O1675">
        <v>0.15</v>
      </c>
      <c r="P1675" t="s">
        <v>59</v>
      </c>
      <c r="S1675">
        <v>1</v>
      </c>
      <c r="T1675">
        <v>15</v>
      </c>
      <c r="V1675">
        <v>50</v>
      </c>
      <c r="W1675" t="s">
        <v>1549</v>
      </c>
      <c r="X1675" t="s">
        <v>957</v>
      </c>
      <c r="Y1675">
        <v>60</v>
      </c>
      <c r="AB1675">
        <v>3.16</v>
      </c>
      <c r="AC1675" t="s">
        <v>85</v>
      </c>
      <c r="AI1675">
        <v>2</v>
      </c>
      <c r="AV1675" t="s">
        <v>256</v>
      </c>
    </row>
    <row r="1676" spans="1:53" x14ac:dyDescent="0.3">
      <c r="A1676" t="s">
        <v>1579</v>
      </c>
      <c r="B1676" t="s">
        <v>1548</v>
      </c>
      <c r="C1676" t="s">
        <v>1495</v>
      </c>
      <c r="H1676">
        <v>10</v>
      </c>
      <c r="I1676" t="s">
        <v>82</v>
      </c>
      <c r="J1676">
        <v>9.9999999999999991E-6</v>
      </c>
      <c r="K1676" t="s">
        <v>252</v>
      </c>
      <c r="O1676">
        <v>0.15</v>
      </c>
      <c r="P1676" t="s">
        <v>59</v>
      </c>
      <c r="S1676">
        <v>1</v>
      </c>
      <c r="T1676">
        <v>15</v>
      </c>
      <c r="V1676">
        <v>50</v>
      </c>
      <c r="W1676" t="s">
        <v>1549</v>
      </c>
      <c r="X1676" t="s">
        <v>957</v>
      </c>
      <c r="Y1676">
        <v>60</v>
      </c>
      <c r="AB1676">
        <v>3.2050000000000001</v>
      </c>
      <c r="AC1676" t="s">
        <v>85</v>
      </c>
      <c r="AI1676">
        <v>2</v>
      </c>
      <c r="AV1676" t="s">
        <v>256</v>
      </c>
    </row>
    <row r="1677" spans="1:53" x14ac:dyDescent="0.3">
      <c r="A1677" t="s">
        <v>1579</v>
      </c>
      <c r="C1677" t="s">
        <v>1495</v>
      </c>
      <c r="H1677">
        <v>10</v>
      </c>
      <c r="I1677" t="s">
        <v>82</v>
      </c>
      <c r="J1677">
        <v>9.9999999999999991E-6</v>
      </c>
      <c r="K1677" t="s">
        <v>252</v>
      </c>
      <c r="O1677">
        <v>7.49999999999999E-2</v>
      </c>
      <c r="P1677" t="s">
        <v>59</v>
      </c>
      <c r="S1677">
        <v>1</v>
      </c>
      <c r="T1677">
        <v>20</v>
      </c>
      <c r="V1677">
        <v>50</v>
      </c>
      <c r="W1677" t="s">
        <v>1057</v>
      </c>
      <c r="X1677" t="s">
        <v>957</v>
      </c>
      <c r="Y1677">
        <v>60</v>
      </c>
      <c r="AB1677">
        <v>3.2250000000000001</v>
      </c>
      <c r="AC1677" t="s">
        <v>85</v>
      </c>
      <c r="AI1677">
        <v>2</v>
      </c>
      <c r="AV1677" t="s">
        <v>256</v>
      </c>
    </row>
    <row r="1678" spans="1:53" x14ac:dyDescent="0.3">
      <c r="A1678" t="s">
        <v>1579</v>
      </c>
      <c r="B1678" t="s">
        <v>1548</v>
      </c>
      <c r="C1678" t="s">
        <v>1495</v>
      </c>
      <c r="H1678">
        <v>10</v>
      </c>
      <c r="I1678" t="s">
        <v>82</v>
      </c>
      <c r="J1678">
        <v>9.9999999999999991E-6</v>
      </c>
      <c r="K1678" t="s">
        <v>252</v>
      </c>
      <c r="O1678">
        <v>0.3</v>
      </c>
      <c r="P1678" t="s">
        <v>59</v>
      </c>
      <c r="S1678">
        <v>1</v>
      </c>
      <c r="T1678">
        <v>10</v>
      </c>
      <c r="V1678">
        <v>50</v>
      </c>
      <c r="W1678" t="s">
        <v>1549</v>
      </c>
      <c r="X1678" t="s">
        <v>957</v>
      </c>
      <c r="Y1678">
        <v>30</v>
      </c>
      <c r="AB1678">
        <v>3.27</v>
      </c>
      <c r="AC1678" t="s">
        <v>85</v>
      </c>
      <c r="AI1678">
        <v>2</v>
      </c>
      <c r="AV1678" t="s">
        <v>256</v>
      </c>
    </row>
    <row r="1679" spans="1:53" x14ac:dyDescent="0.3">
      <c r="A1679" t="s">
        <v>1579</v>
      </c>
      <c r="B1679" t="s">
        <v>1548</v>
      </c>
      <c r="C1679" t="s">
        <v>1495</v>
      </c>
      <c r="H1679">
        <v>10</v>
      </c>
      <c r="I1679" t="s">
        <v>82</v>
      </c>
      <c r="J1679">
        <v>9.9999999999999991E-6</v>
      </c>
      <c r="K1679" t="s">
        <v>252</v>
      </c>
      <c r="O1679">
        <v>0.22499999999999901</v>
      </c>
      <c r="P1679" t="s">
        <v>59</v>
      </c>
      <c r="S1679">
        <v>1</v>
      </c>
      <c r="T1679">
        <v>10</v>
      </c>
      <c r="V1679">
        <v>50</v>
      </c>
      <c r="W1679" t="s">
        <v>1549</v>
      </c>
      <c r="X1679" t="s">
        <v>957</v>
      </c>
      <c r="Y1679">
        <v>60</v>
      </c>
      <c r="AB1679">
        <v>3.37</v>
      </c>
      <c r="AC1679" t="s">
        <v>85</v>
      </c>
      <c r="AI1679">
        <v>2</v>
      </c>
      <c r="AV1679" t="s">
        <v>256</v>
      </c>
    </row>
    <row r="1680" spans="1:53" x14ac:dyDescent="0.3">
      <c r="A1680" t="s">
        <v>1579</v>
      </c>
      <c r="B1680" t="s">
        <v>1548</v>
      </c>
      <c r="C1680" t="s">
        <v>1495</v>
      </c>
      <c r="H1680">
        <v>10</v>
      </c>
      <c r="I1680" t="s">
        <v>82</v>
      </c>
      <c r="J1680">
        <v>9.9999999999999991E-6</v>
      </c>
      <c r="K1680" t="s">
        <v>252</v>
      </c>
      <c r="O1680">
        <v>0.22499999999999901</v>
      </c>
      <c r="P1680" t="s">
        <v>59</v>
      </c>
      <c r="S1680">
        <v>1</v>
      </c>
      <c r="T1680">
        <v>20</v>
      </c>
      <c r="V1680">
        <v>50</v>
      </c>
      <c r="W1680" t="s">
        <v>1549</v>
      </c>
      <c r="X1680" t="s">
        <v>957</v>
      </c>
      <c r="Y1680">
        <v>60</v>
      </c>
      <c r="AB1680">
        <v>3.4950000000000001</v>
      </c>
      <c r="AC1680" t="s">
        <v>85</v>
      </c>
      <c r="AI1680">
        <v>2</v>
      </c>
      <c r="AV1680" t="s">
        <v>256</v>
      </c>
    </row>
    <row r="1681" spans="1:53" x14ac:dyDescent="0.3">
      <c r="A1681" t="s">
        <v>1579</v>
      </c>
      <c r="B1681" t="s">
        <v>1548</v>
      </c>
      <c r="C1681" t="s">
        <v>1495</v>
      </c>
      <c r="H1681">
        <v>10</v>
      </c>
      <c r="I1681" t="s">
        <v>82</v>
      </c>
      <c r="J1681">
        <v>9.9999999999999991E-6</v>
      </c>
      <c r="K1681" t="s">
        <v>252</v>
      </c>
      <c r="O1681">
        <v>0.15</v>
      </c>
      <c r="P1681" t="s">
        <v>59</v>
      </c>
      <c r="S1681">
        <v>1</v>
      </c>
      <c r="T1681">
        <v>20</v>
      </c>
      <c r="V1681">
        <v>50</v>
      </c>
      <c r="W1681" t="s">
        <v>1549</v>
      </c>
      <c r="X1681" t="s">
        <v>957</v>
      </c>
      <c r="Y1681">
        <v>30</v>
      </c>
      <c r="AA1681" t="s">
        <v>184</v>
      </c>
      <c r="AB1681">
        <v>3</v>
      </c>
      <c r="AC1681" t="s">
        <v>85</v>
      </c>
      <c r="AI1681">
        <v>2</v>
      </c>
      <c r="AV1681" t="s">
        <v>256</v>
      </c>
      <c r="AZ1681">
        <v>0</v>
      </c>
      <c r="BA1681">
        <v>3</v>
      </c>
    </row>
  </sheetData>
  <pageMargins left="0.75" right="0.75" top="1" bottom="1" header="0.5" footer="0.5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9"/>
  <sheetViews>
    <sheetView workbookViewId="0">
      <selection activeCell="C13" sqref="C13:F13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12.6640625" bestFit="1" customWidth="1"/>
    <col min="4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COUNTA(LiquidSuspensionMaster[Ref])</f>
        <v>1680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COUNTA(LiquidSuspensionMaster[GrimeDirt])</f>
        <v>315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COUNTA(LiquidSuspensionMaster[Rinsate])</f>
        <v>634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SuspensionMaster[ConvertedCoupAreaUn]),COUNTIF(LiquidSuspensionMaster[ConvertedCoupAreaUn],INDEX(LiquidSuspensionMaster[ConvertedCoupAreaUn],MATCH(TRUE,LiquidSuspensionMaster[ConvertedCoupAreaUn]&lt;&gt;"",0)))=COUNTIF(LiquidSuspensionMaster[ConvertedCoupAreaUn],"&lt;&gt;"),""),INDEX(LiquidSuspensionMaster[ConvertedCoupAreaUn],MATCH(TRUE,LiquidSuspensionMaster[ConvertedCoupAreaUn]&lt;&gt;"",0)), "multiple units given"),"NA")</f>
        <v>m^3</v>
      </c>
      <c r="C11" s="3">
        <f>IF(AND(ISNUMBER(E11),ISNUMBER(F11)),MIN(LiquidSuspensionMaster[ConvertedCoupArea]),"NA")</f>
        <v>6.0000000000000008E-8</v>
      </c>
      <c r="D11" s="3">
        <f>IF(AND(ISNUMBER(E11),ISNUMBER(F11)),MAX(LiquidSuspensionMaster[ConvertedCoupArea]),"NA")</f>
        <v>0.20819755000000001</v>
      </c>
      <c r="E11" s="3">
        <f>IFERROR(AVERAGE(LiquidSuspensionMaster[ConvertedCoupArea]),"NA")</f>
        <v>2.7780468846815777E-3</v>
      </c>
      <c r="F11" s="3">
        <f>IFERROR(STDEV(LiquidSuspensionMaster[ConvertedCoupArea]),"NA")</f>
        <v>2.2721388820942556E-2</v>
      </c>
    </row>
    <row r="12" spans="1:6" x14ac:dyDescent="0.3">
      <c r="A12" s="3" t="s">
        <v>1591</v>
      </c>
      <c r="B12" s="3" t="str" cm="1">
        <f t="array" ref="B12">IFERROR(IF(IF(COUNTA(LiquidSuspensionMaster[LoadingUn]),COUNTIF(LiquidSuspensionMaster[LoadingUn],INDEX(LiquidSuspensionMaster[LoadingUn],MATCH(TRUE,LiquidSuspensionMaster[LoadingUn]&lt;&gt;"",0)))=COUNTIF(LiquidSuspensionMaster[LoadingUn],"&lt;&gt;"),""),INDEX(LiquidSuspensionMaster[LoadingUn],MATCH(TRUE,LiquidSuspensionMaster[LoadingUn]&lt;&gt;"",0)), "multiple units given"),"NA")</f>
        <v>multiple units given</v>
      </c>
      <c r="C12" s="3">
        <f>IF(AND(ISNUMBER(E12),ISNUMBER(F12)),MIN(LiquidSuspensionMaster[LoadingNum]),"NA")</f>
        <v>109</v>
      </c>
      <c r="D12" s="3">
        <f>IF(AND(ISNUMBER(E12),ISNUMBER(F12)),MAX(LiquidSuspensionMaster[LoadingNum]),"NA")</f>
        <v>10000000000</v>
      </c>
      <c r="E12" s="3">
        <f>IFERROR(AVERAGE(LiquidSuspensionMaster[LoadingNum]),"NA")</f>
        <v>778589902.70795333</v>
      </c>
      <c r="F12" s="3">
        <f>IFERROR(STDEV(LiquidSuspensionMaster[LoadingNum]),"NA")</f>
        <v>2028164427.8186927</v>
      </c>
    </row>
    <row r="13" spans="1:6" x14ac:dyDescent="0.3">
      <c r="A13" s="3" t="s">
        <v>1592</v>
      </c>
      <c r="B13" s="3" t="str">
        <f>IF(E13 = "NA", "NA", "#")</f>
        <v>#</v>
      </c>
      <c r="C13" s="3">
        <f>IF(AND(ISNUMBER(E13),ISNUMBER(F13)),MIN(LiquidSuspensionMaster[TotalApp]),"NA")</f>
        <v>1</v>
      </c>
      <c r="D13" s="3">
        <f>IF(AND(ISNUMBER(E13),ISNUMBER(F13)),MAX(LiquidSuspensionMaster[TotalApp]),"NA")</f>
        <v>6</v>
      </c>
      <c r="E13" s="3">
        <f>IFERROR(AVERAGE(LiquidSuspensionMaster[TotalApp]),"NA")</f>
        <v>2.7897310513447433</v>
      </c>
      <c r="F13" s="3">
        <f>IFERROR(STDEV(LiquidSuspensionMaster[TotalApp]),"NA")</f>
        <v>1.2543227905062757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IF(AND(ISNUMBER(E14),ISNUMBER(F14)),MIN(LiquidSuspensionMaster[TempNum]),"NA")</f>
        <v>-5</v>
      </c>
      <c r="D14" s="3">
        <f>IF(AND(ISNUMBER(E14),ISNUMBER(F14)),MAX(LiquidSuspensionMaster[TempNum]),"NA")</f>
        <v>85</v>
      </c>
      <c r="E14" s="3">
        <f>IFERROR(AVERAGE(LiquidSuspensionMaster[TempNum]),"NA")</f>
        <v>27.257261904761911</v>
      </c>
      <c r="F14" s="3">
        <f>IFERROR(STDEV(LiquidSuspensionMaster[TempNum]),"NA")</f>
        <v>20.827673946647298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IF(AND(ISNUMBER(E15),ISNUMBER(F15)),MIN(LiquidSuspensionMaster[RHNum]),"NA")</f>
        <v>50</v>
      </c>
      <c r="D15" s="3">
        <f>IF(AND(ISNUMBER(E15),ISNUMBER(F15)),MAX(LiquidSuspensionMaster[RHNum]),"NA")</f>
        <v>50</v>
      </c>
      <c r="E15" s="3">
        <f>IFERROR(AVERAGE(LiquidSuspensionMaster[RHNum]),"NA")</f>
        <v>50</v>
      </c>
      <c r="F15" s="3">
        <f>IFERROR(STDEV(LiquidSuspensionMaster[RHNum]),"NA")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IF(AND(ISNUMBER(E16),ISNUMBER(F16)),MIN(LiquidSuspensionMaster[ContTimeNumMin]),"NA")</f>
        <v>0</v>
      </c>
      <c r="D16" s="3">
        <f>IF(AND(ISNUMBER(E16),ISNUMBER(F16)),MAX(LiquidSuspensionMaster[ContTimeNumMin]),"NA")</f>
        <v>20160</v>
      </c>
      <c r="E16" s="3">
        <f>IFERROR(AVERAGE(LiquidSuspensionMaster[ContTimeNumMin]),"NA")</f>
        <v>180.93656403949601</v>
      </c>
      <c r="F16" s="3">
        <f>IFERROR(STDEV(LiquidSuspensionMaster[ContTimeNumMin]),"NA")</f>
        <v>1412.305496761586</v>
      </c>
    </row>
    <row r="17" spans="1:6" x14ac:dyDescent="0.3">
      <c r="A17" s="3" t="s">
        <v>1598</v>
      </c>
      <c r="B17" s="3" t="str" cm="1">
        <f t="array" ref="B17">IFERROR(IF(IF(COUNTA(LiquidSuspensionMaster[ConcDoseUn]),COUNTIF(LiquidSuspensionMaster[ConcDoseUn],INDEX(LiquidSuspensionMaster[ConcDoseUn],MATCH(TRUE,LiquidSuspensionMaster[ConcDoseUn]&lt;&gt;"",0)))=COUNTIF(LiquidSuspensionMaster[ConcDoseUn],"&lt;&gt;"),""),INDEX(LiquidSuspensionMaster[ConcDoseUn],MATCH(TRUE,LiquidSuspensionMaster[ConcDoseUn]&lt;&gt;"",0)), "multiple units given"),"NA")</f>
        <v>multiple units given</v>
      </c>
      <c r="C17" s="3">
        <f>IF(AND(ISNUMBER(E17),ISNUMBER(F17)),MIN(LiquidSuspensionMaster[ConcDoseNum]),"NA")</f>
        <v>0</v>
      </c>
      <c r="D17" s="3">
        <f>IF(AND(ISNUMBER(E17),ISNUMBER(F17)),MAX(LiquidSuspensionMaster[ConcDoseNum]),"NA")</f>
        <v>7000</v>
      </c>
      <c r="E17" s="3">
        <f>IFERROR(AVERAGE(LiquidSuspensionMaster[ConcDoseNum]),"NA")</f>
        <v>202.75424065643722</v>
      </c>
      <c r="F17" s="3">
        <f>IFERROR(STDEV(LiquidSuspensionMaster[ConcDoseNum]),"NA")</f>
        <v>613.86467809622764</v>
      </c>
    </row>
    <row r="18" spans="1:6" x14ac:dyDescent="0.3">
      <c r="A18" s="3" t="s">
        <v>1599</v>
      </c>
      <c r="B18" s="3" t="str" cm="1">
        <f t="array" ref="B18">IFERROR(IF(IF(COUNTA(LiquidSuspensionMaster[EffMeas]),COUNTIF(LiquidSuspensionMaster[EffMeas],INDEX(LiquidSuspensionMaster[EffMeas],MATCH(TRUE,LiquidSuspensionMaster[EffMeas]&lt;&gt;"",0)))=COUNTIF(LiquidSuspensionMaster[EffMeas],"&lt;&gt;"),""),INDEX(LiquidSuspensionMaster[EffMeas],MATCH(TRUE,LiquidSuspensionMaster[EffMeas]&lt;&gt;"",0)), "multiple units given"),"NA")</f>
        <v>multiple units given</v>
      </c>
      <c r="C18" s="3">
        <f>IF(AND(ISNUMBER(E18),ISNUMBER(F18)),MIN(LiquidSuspensionMaster[Eff]),"NA")</f>
        <v>-0.16095890410958799</v>
      </c>
      <c r="D18" s="3">
        <f>IF(AND(ISNUMBER(E18),ISNUMBER(F18)),MAX(LiquidSuspensionMaster[Eff]),"NA")</f>
        <v>107.513002110439</v>
      </c>
      <c r="E18" s="3">
        <f>IFERROR(AVERAGE(LiquidSuspensionMaster[Eff]),"NA")</f>
        <v>6.8579366709105525</v>
      </c>
      <c r="F18" s="3">
        <f>IFERROR(STDEV(LiquidSuspensionMaster[Eff]),"NA")</f>
        <v>19.263610341604824</v>
      </c>
    </row>
    <row r="19" spans="1:6" x14ac:dyDescent="0.3">
      <c r="A19" s="3" t="s">
        <v>1600</v>
      </c>
      <c r="B19" s="3" t="str" cm="1">
        <f t="array" ref="B19">IFERROR(IF(IF(COUNTA(LiquidSuspensionMaster[ConvertedVolAppUn]),COUNTIF(LiquidSuspensionMaster[ConvertedVolAppUn],INDEX(LiquidSuspensionMaster[ConvertedVolAppUn],MATCH(TRUE,LiquidSuspensionMaster[ConvertedVolAppUn]&lt;&gt;"",0)))=COUNTIF(LiquidSuspensionMaster[ConvertedVolAppUn],"&lt;&gt;"),""),INDEX(LiquidSuspensionMaster[ConvertedVolAppUn],MATCH(TRUE,LiquidSuspensionMaster[ConvertedVolAppUn]&lt;&gt;"",0)), "multiple units given"),"NA")</f>
        <v>NA</v>
      </c>
      <c r="C19" s="3" t="str">
        <f>IF(AND(ISNUMBER(E19),ISNUMBER(F19)),MIN(LiquidSuspensionMaster[ConvertedVolApp]),"NA")</f>
        <v>NA</v>
      </c>
      <c r="D19" s="3" t="str">
        <f>IF(AND(ISNUMBER(E19),ISNUMBER(F19)),MAX(LiquidSuspensionMaster[ConvertedVolApp]),"NA")</f>
        <v>NA</v>
      </c>
      <c r="E19" s="3" t="str">
        <f>IFERROR(AVERAGE(LiquidSuspensionMaster[ConvertedVolApp]),"NA")</f>
        <v>NA</v>
      </c>
      <c r="F19" s="3" t="str">
        <f>IFERROR(STDEV(LiquidSuspensionMaster[ConvertedVolApp]),"NA")</f>
        <v>NA</v>
      </c>
    </row>
  </sheetData>
  <conditionalFormatting sqref="B11:B19">
    <cfRule type="cellIs" dxfId="16" priority="1" operator="equal">
      <formula>"multiple units given"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38"/>
  <sheetViews>
    <sheetView workbookViewId="0">
      <selection activeCell="G19" sqref="G19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118</v>
      </c>
      <c r="C2" t="s">
        <v>119</v>
      </c>
      <c r="L2" t="s">
        <v>120</v>
      </c>
      <c r="M2" t="s">
        <v>81</v>
      </c>
      <c r="O2">
        <v>6350</v>
      </c>
      <c r="P2" t="s">
        <v>121</v>
      </c>
      <c r="S2" t="s">
        <v>122</v>
      </c>
      <c r="T2">
        <v>22</v>
      </c>
      <c r="V2">
        <v>50</v>
      </c>
      <c r="W2" t="s">
        <v>123</v>
      </c>
      <c r="X2" t="s">
        <v>124</v>
      </c>
      <c r="Y2">
        <v>30</v>
      </c>
      <c r="AB2">
        <v>1.86</v>
      </c>
      <c r="AC2" t="s">
        <v>125</v>
      </c>
      <c r="AD2" t="s">
        <v>126</v>
      </c>
      <c r="AE2" t="s">
        <v>127</v>
      </c>
      <c r="AI2">
        <v>3</v>
      </c>
      <c r="AQ2" t="s">
        <v>128</v>
      </c>
      <c r="AT2" t="s">
        <v>79</v>
      </c>
      <c r="AV2" t="s">
        <v>129</v>
      </c>
    </row>
    <row r="3" spans="1:53" x14ac:dyDescent="0.3">
      <c r="A3" t="s">
        <v>118</v>
      </c>
      <c r="C3" t="s">
        <v>119</v>
      </c>
      <c r="L3" t="s">
        <v>58</v>
      </c>
      <c r="M3" t="s">
        <v>81</v>
      </c>
      <c r="O3">
        <v>0</v>
      </c>
      <c r="S3" t="s">
        <v>122</v>
      </c>
      <c r="T3">
        <v>22</v>
      </c>
      <c r="V3">
        <v>50</v>
      </c>
      <c r="W3" t="s">
        <v>123</v>
      </c>
      <c r="X3" t="s">
        <v>124</v>
      </c>
      <c r="Y3">
        <v>30</v>
      </c>
      <c r="AB3">
        <v>0.56999999999999895</v>
      </c>
      <c r="AC3" t="s">
        <v>125</v>
      </c>
      <c r="AD3" t="s">
        <v>130</v>
      </c>
      <c r="AE3" t="s">
        <v>127</v>
      </c>
      <c r="AI3">
        <v>3</v>
      </c>
      <c r="AT3" t="s">
        <v>79</v>
      </c>
      <c r="AV3" t="s">
        <v>129</v>
      </c>
    </row>
    <row r="4" spans="1:53" x14ac:dyDescent="0.3">
      <c r="A4" t="s">
        <v>118</v>
      </c>
      <c r="C4" t="s">
        <v>119</v>
      </c>
      <c r="L4" t="s">
        <v>58</v>
      </c>
      <c r="M4" t="s">
        <v>81</v>
      </c>
      <c r="O4">
        <v>0</v>
      </c>
      <c r="S4" t="s">
        <v>122</v>
      </c>
      <c r="T4">
        <v>22</v>
      </c>
      <c r="V4">
        <v>50</v>
      </c>
      <c r="W4" t="s">
        <v>123</v>
      </c>
      <c r="X4" t="s">
        <v>124</v>
      </c>
      <c r="Y4">
        <v>30</v>
      </c>
      <c r="AB4">
        <v>3.31</v>
      </c>
      <c r="AC4" t="s">
        <v>125</v>
      </c>
      <c r="AD4" t="s">
        <v>126</v>
      </c>
      <c r="AE4" t="s">
        <v>127</v>
      </c>
      <c r="AI4">
        <v>3</v>
      </c>
      <c r="AT4" t="s">
        <v>79</v>
      </c>
      <c r="AV4" t="s">
        <v>129</v>
      </c>
    </row>
    <row r="5" spans="1:53" x14ac:dyDescent="0.3">
      <c r="A5" t="s">
        <v>118</v>
      </c>
      <c r="C5" t="s">
        <v>119</v>
      </c>
      <c r="L5" t="s">
        <v>120</v>
      </c>
      <c r="M5" t="s">
        <v>81</v>
      </c>
      <c r="O5">
        <v>6350</v>
      </c>
      <c r="P5" t="s">
        <v>121</v>
      </c>
      <c r="S5" t="s">
        <v>122</v>
      </c>
      <c r="T5">
        <v>22</v>
      </c>
      <c r="V5">
        <v>50</v>
      </c>
      <c r="W5" t="s">
        <v>123</v>
      </c>
      <c r="X5" t="s">
        <v>124</v>
      </c>
      <c r="Y5">
        <v>30</v>
      </c>
      <c r="AB5">
        <v>2.4900000000000002</v>
      </c>
      <c r="AC5" t="s">
        <v>125</v>
      </c>
      <c r="AD5" t="s">
        <v>131</v>
      </c>
      <c r="AE5" t="s">
        <v>127</v>
      </c>
      <c r="AI5">
        <v>3</v>
      </c>
      <c r="AQ5" t="s">
        <v>128</v>
      </c>
      <c r="AT5" t="s">
        <v>79</v>
      </c>
      <c r="AV5" t="s">
        <v>129</v>
      </c>
    </row>
    <row r="6" spans="1:53" x14ac:dyDescent="0.3">
      <c r="A6" t="s">
        <v>132</v>
      </c>
      <c r="C6" t="s">
        <v>119</v>
      </c>
      <c r="H6">
        <v>1296</v>
      </c>
      <c r="I6" t="s">
        <v>56</v>
      </c>
      <c r="J6">
        <v>0.12959999999999999</v>
      </c>
      <c r="K6" t="s">
        <v>57</v>
      </c>
      <c r="L6" t="s">
        <v>112</v>
      </c>
      <c r="O6">
        <v>0.55000000000000004</v>
      </c>
      <c r="P6" t="s">
        <v>133</v>
      </c>
      <c r="T6">
        <v>22.5</v>
      </c>
      <c r="V6">
        <v>20333</v>
      </c>
      <c r="W6" t="s">
        <v>134</v>
      </c>
      <c r="X6" t="s">
        <v>135</v>
      </c>
      <c r="Y6">
        <v>3</v>
      </c>
      <c r="AA6" t="s">
        <v>94</v>
      </c>
      <c r="AB6" t="s">
        <v>136</v>
      </c>
      <c r="AC6" t="s">
        <v>85</v>
      </c>
      <c r="AD6" t="s">
        <v>137</v>
      </c>
      <c r="AE6" t="s">
        <v>138</v>
      </c>
      <c r="AI6">
        <v>5</v>
      </c>
      <c r="AT6" t="s">
        <v>65</v>
      </c>
      <c r="AV6" t="s">
        <v>88</v>
      </c>
      <c r="AZ6">
        <v>0</v>
      </c>
      <c r="BA6" t="s">
        <v>136</v>
      </c>
    </row>
    <row r="7" spans="1:53" x14ac:dyDescent="0.3">
      <c r="A7" t="s">
        <v>132</v>
      </c>
      <c r="C7" t="s">
        <v>119</v>
      </c>
      <c r="H7">
        <v>1296</v>
      </c>
      <c r="I7" t="s">
        <v>56</v>
      </c>
      <c r="J7">
        <v>0.12959999999999999</v>
      </c>
      <c r="K7" t="s">
        <v>57</v>
      </c>
      <c r="L7" t="s">
        <v>112</v>
      </c>
      <c r="O7">
        <v>1</v>
      </c>
      <c r="P7" t="s">
        <v>133</v>
      </c>
      <c r="T7">
        <v>22.5</v>
      </c>
      <c r="V7">
        <v>20333</v>
      </c>
      <c r="W7" t="s">
        <v>134</v>
      </c>
      <c r="X7" t="s">
        <v>135</v>
      </c>
      <c r="Y7">
        <v>4</v>
      </c>
      <c r="AA7" t="s">
        <v>94</v>
      </c>
      <c r="AB7" t="s">
        <v>139</v>
      </c>
      <c r="AC7" t="s">
        <v>85</v>
      </c>
      <c r="AD7" t="s">
        <v>140</v>
      </c>
      <c r="AE7" t="s">
        <v>138</v>
      </c>
      <c r="AI7">
        <v>5</v>
      </c>
      <c r="AT7" t="s">
        <v>65</v>
      </c>
      <c r="AV7" t="s">
        <v>88</v>
      </c>
      <c r="AZ7">
        <v>0</v>
      </c>
      <c r="BA7" t="s">
        <v>139</v>
      </c>
    </row>
    <row r="8" spans="1:53" x14ac:dyDescent="0.3">
      <c r="A8" t="s">
        <v>132</v>
      </c>
      <c r="C8" t="s">
        <v>119</v>
      </c>
      <c r="H8">
        <v>1296</v>
      </c>
      <c r="I8" t="s">
        <v>56</v>
      </c>
      <c r="J8">
        <v>0.12959999999999999</v>
      </c>
      <c r="K8" t="s">
        <v>57</v>
      </c>
      <c r="L8" t="s">
        <v>112</v>
      </c>
      <c r="O8">
        <v>1</v>
      </c>
      <c r="P8" t="s">
        <v>133</v>
      </c>
      <c r="T8">
        <v>22.5</v>
      </c>
      <c r="V8">
        <v>20333</v>
      </c>
      <c r="W8" t="s">
        <v>134</v>
      </c>
      <c r="X8" t="s">
        <v>135</v>
      </c>
      <c r="Y8">
        <v>5</v>
      </c>
      <c r="AA8" t="s">
        <v>94</v>
      </c>
      <c r="AB8" t="s">
        <v>141</v>
      </c>
      <c r="AC8" t="s">
        <v>85</v>
      </c>
      <c r="AD8" t="s">
        <v>142</v>
      </c>
      <c r="AE8" t="s">
        <v>138</v>
      </c>
      <c r="AI8">
        <v>5</v>
      </c>
      <c r="AT8" t="s">
        <v>65</v>
      </c>
      <c r="AV8" t="s">
        <v>88</v>
      </c>
      <c r="AZ8">
        <v>0</v>
      </c>
      <c r="BA8" t="s">
        <v>141</v>
      </c>
    </row>
    <row r="9" spans="1:53" x14ac:dyDescent="0.3">
      <c r="A9" t="s">
        <v>132</v>
      </c>
      <c r="C9" t="s">
        <v>119</v>
      </c>
      <c r="H9">
        <v>1296</v>
      </c>
      <c r="I9" t="s">
        <v>56</v>
      </c>
      <c r="J9">
        <v>0.12959999999999999</v>
      </c>
      <c r="K9" t="s">
        <v>57</v>
      </c>
      <c r="L9" t="s">
        <v>112</v>
      </c>
      <c r="O9">
        <v>0.52500000000000002</v>
      </c>
      <c r="P9" t="s">
        <v>133</v>
      </c>
      <c r="T9">
        <v>22.5</v>
      </c>
      <c r="V9">
        <v>20333</v>
      </c>
      <c r="W9" t="s">
        <v>134</v>
      </c>
      <c r="X9" t="s">
        <v>135</v>
      </c>
      <c r="Y9">
        <v>4</v>
      </c>
      <c r="AA9" t="s">
        <v>94</v>
      </c>
      <c r="AB9" t="s">
        <v>143</v>
      </c>
      <c r="AC9" t="s">
        <v>85</v>
      </c>
      <c r="AD9" t="s">
        <v>144</v>
      </c>
      <c r="AE9" t="s">
        <v>138</v>
      </c>
      <c r="AI9">
        <v>5</v>
      </c>
      <c r="AT9" t="s">
        <v>65</v>
      </c>
      <c r="AV9" t="s">
        <v>88</v>
      </c>
      <c r="AZ9">
        <v>0</v>
      </c>
      <c r="BA9" t="s">
        <v>143</v>
      </c>
    </row>
    <row r="10" spans="1:53" x14ac:dyDescent="0.3">
      <c r="A10" t="s">
        <v>132</v>
      </c>
      <c r="C10" t="s">
        <v>119</v>
      </c>
      <c r="H10">
        <v>1296</v>
      </c>
      <c r="I10" t="s">
        <v>56</v>
      </c>
      <c r="J10">
        <v>0.12959999999999999</v>
      </c>
      <c r="K10" t="s">
        <v>57</v>
      </c>
      <c r="L10" t="s">
        <v>112</v>
      </c>
      <c r="O10">
        <v>0.67749999999999999</v>
      </c>
      <c r="P10" t="s">
        <v>133</v>
      </c>
      <c r="T10">
        <v>22.5</v>
      </c>
      <c r="V10">
        <v>20333</v>
      </c>
      <c r="W10" t="s">
        <v>134</v>
      </c>
      <c r="X10" t="s">
        <v>135</v>
      </c>
      <c r="Y10">
        <v>5</v>
      </c>
      <c r="AB10" t="s">
        <v>145</v>
      </c>
      <c r="AC10" t="s">
        <v>85</v>
      </c>
      <c r="AD10" t="s">
        <v>146</v>
      </c>
      <c r="AE10" t="s">
        <v>138</v>
      </c>
      <c r="AI10">
        <v>5</v>
      </c>
      <c r="AT10" t="s">
        <v>65</v>
      </c>
      <c r="AV10" t="s">
        <v>88</v>
      </c>
    </row>
    <row r="11" spans="1:53" x14ac:dyDescent="0.3">
      <c r="A11" t="s">
        <v>132</v>
      </c>
      <c r="C11" t="s">
        <v>119</v>
      </c>
      <c r="H11">
        <v>1296</v>
      </c>
      <c r="I11" t="s">
        <v>56</v>
      </c>
      <c r="J11">
        <v>0.12959999999999999</v>
      </c>
      <c r="K11" t="s">
        <v>57</v>
      </c>
      <c r="L11" t="s">
        <v>112</v>
      </c>
      <c r="O11">
        <v>0.55000000000000004</v>
      </c>
      <c r="P11" t="s">
        <v>133</v>
      </c>
      <c r="T11">
        <v>22.5</v>
      </c>
      <c r="V11">
        <v>20333</v>
      </c>
      <c r="W11" t="s">
        <v>147</v>
      </c>
      <c r="X11" t="s">
        <v>135</v>
      </c>
      <c r="Y11">
        <v>3</v>
      </c>
      <c r="AA11" t="s">
        <v>94</v>
      </c>
      <c r="AB11" t="s">
        <v>148</v>
      </c>
      <c r="AC11" t="s">
        <v>85</v>
      </c>
      <c r="AD11" t="s">
        <v>149</v>
      </c>
      <c r="AE11" t="s">
        <v>138</v>
      </c>
      <c r="AI11">
        <v>5</v>
      </c>
      <c r="AT11" t="s">
        <v>150</v>
      </c>
      <c r="AV11" t="s">
        <v>88</v>
      </c>
      <c r="AZ11">
        <v>0</v>
      </c>
      <c r="BA11" t="s">
        <v>148</v>
      </c>
    </row>
    <row r="12" spans="1:53" x14ac:dyDescent="0.3">
      <c r="A12" t="s">
        <v>132</v>
      </c>
      <c r="C12" t="s">
        <v>119</v>
      </c>
      <c r="H12">
        <v>1296</v>
      </c>
      <c r="I12" t="s">
        <v>56</v>
      </c>
      <c r="J12">
        <v>0.12959999999999999</v>
      </c>
      <c r="K12" t="s">
        <v>57</v>
      </c>
      <c r="L12" t="s">
        <v>112</v>
      </c>
      <c r="O12">
        <v>1</v>
      </c>
      <c r="P12" t="s">
        <v>133</v>
      </c>
      <c r="T12">
        <v>22.5</v>
      </c>
      <c r="V12">
        <v>20333</v>
      </c>
      <c r="W12" t="s">
        <v>147</v>
      </c>
      <c r="X12" t="s">
        <v>135</v>
      </c>
      <c r="Y12">
        <v>4</v>
      </c>
      <c r="AA12" t="s">
        <v>94</v>
      </c>
      <c r="AB12" t="s">
        <v>151</v>
      </c>
      <c r="AC12" t="s">
        <v>85</v>
      </c>
      <c r="AD12" t="s">
        <v>152</v>
      </c>
      <c r="AE12" t="s">
        <v>138</v>
      </c>
      <c r="AI12">
        <v>5</v>
      </c>
      <c r="AT12" t="s">
        <v>150</v>
      </c>
      <c r="AV12" t="s">
        <v>88</v>
      </c>
      <c r="AZ12">
        <v>0</v>
      </c>
      <c r="BA12" t="s">
        <v>151</v>
      </c>
    </row>
    <row r="13" spans="1:53" x14ac:dyDescent="0.3">
      <c r="A13" t="s">
        <v>132</v>
      </c>
      <c r="C13" t="s">
        <v>119</v>
      </c>
      <c r="H13">
        <v>1296</v>
      </c>
      <c r="I13" t="s">
        <v>56</v>
      </c>
      <c r="J13">
        <v>0.12959999999999999</v>
      </c>
      <c r="K13" t="s">
        <v>57</v>
      </c>
      <c r="L13" t="s">
        <v>112</v>
      </c>
      <c r="O13">
        <v>1</v>
      </c>
      <c r="P13" t="s">
        <v>133</v>
      </c>
      <c r="T13">
        <v>22.5</v>
      </c>
      <c r="V13">
        <v>20333</v>
      </c>
      <c r="W13" t="s">
        <v>147</v>
      </c>
      <c r="X13" t="s">
        <v>135</v>
      </c>
      <c r="Y13">
        <v>5</v>
      </c>
      <c r="AB13">
        <v>7.38</v>
      </c>
      <c r="AC13" t="s">
        <v>85</v>
      </c>
      <c r="AD13" t="s">
        <v>153</v>
      </c>
      <c r="AE13" t="s">
        <v>138</v>
      </c>
      <c r="AI13">
        <v>5</v>
      </c>
      <c r="AT13" t="s">
        <v>150</v>
      </c>
      <c r="AV13" t="s">
        <v>88</v>
      </c>
    </row>
    <row r="14" spans="1:53" x14ac:dyDescent="0.3">
      <c r="A14" t="s">
        <v>132</v>
      </c>
      <c r="C14" t="s">
        <v>119</v>
      </c>
      <c r="H14">
        <v>1296</v>
      </c>
      <c r="I14" t="s">
        <v>56</v>
      </c>
      <c r="J14">
        <v>0.12959999999999999</v>
      </c>
      <c r="K14" t="s">
        <v>57</v>
      </c>
      <c r="L14" t="s">
        <v>112</v>
      </c>
      <c r="O14">
        <v>0.52500000000000002</v>
      </c>
      <c r="P14" t="s">
        <v>133</v>
      </c>
      <c r="T14">
        <v>22.5</v>
      </c>
      <c r="V14">
        <v>20333</v>
      </c>
      <c r="W14" t="s">
        <v>147</v>
      </c>
      <c r="X14" t="s">
        <v>135</v>
      </c>
      <c r="Y14">
        <v>4</v>
      </c>
      <c r="AA14" t="s">
        <v>94</v>
      </c>
      <c r="AB14" t="s">
        <v>154</v>
      </c>
      <c r="AC14" t="s">
        <v>85</v>
      </c>
      <c r="AD14" t="s">
        <v>155</v>
      </c>
      <c r="AE14" t="s">
        <v>138</v>
      </c>
      <c r="AI14">
        <v>5</v>
      </c>
      <c r="AT14" t="s">
        <v>150</v>
      </c>
      <c r="AV14" t="s">
        <v>88</v>
      </c>
      <c r="AZ14">
        <v>0</v>
      </c>
      <c r="BA14" t="s">
        <v>154</v>
      </c>
    </row>
    <row r="15" spans="1:53" x14ac:dyDescent="0.3">
      <c r="A15" t="s">
        <v>132</v>
      </c>
      <c r="C15" t="s">
        <v>119</v>
      </c>
      <c r="H15">
        <v>1296</v>
      </c>
      <c r="I15" t="s">
        <v>56</v>
      </c>
      <c r="J15">
        <v>0.12959999999999999</v>
      </c>
      <c r="K15" t="s">
        <v>57</v>
      </c>
      <c r="L15" t="s">
        <v>112</v>
      </c>
      <c r="O15">
        <v>0.67749999999999999</v>
      </c>
      <c r="P15" t="s">
        <v>133</v>
      </c>
      <c r="T15">
        <v>22.5</v>
      </c>
      <c r="V15">
        <v>20333</v>
      </c>
      <c r="W15" t="s">
        <v>147</v>
      </c>
      <c r="X15" t="s">
        <v>135</v>
      </c>
      <c r="Y15">
        <v>5</v>
      </c>
      <c r="AB15" t="s">
        <v>156</v>
      </c>
      <c r="AC15" t="s">
        <v>85</v>
      </c>
      <c r="AD15" t="s">
        <v>157</v>
      </c>
      <c r="AE15" t="s">
        <v>138</v>
      </c>
      <c r="AI15">
        <v>5</v>
      </c>
      <c r="AT15" t="s">
        <v>150</v>
      </c>
      <c r="AV15" t="s">
        <v>88</v>
      </c>
    </row>
    <row r="16" spans="1:53" x14ac:dyDescent="0.3">
      <c r="A16" t="s">
        <v>132</v>
      </c>
      <c r="C16" t="s">
        <v>119</v>
      </c>
      <c r="H16">
        <v>930</v>
      </c>
      <c r="I16" t="s">
        <v>56</v>
      </c>
      <c r="J16">
        <v>9.2999999999999999E-2</v>
      </c>
      <c r="K16" t="s">
        <v>57</v>
      </c>
      <c r="L16" t="s">
        <v>112</v>
      </c>
      <c r="O16">
        <v>0.55000000000000004</v>
      </c>
      <c r="P16" t="s">
        <v>133</v>
      </c>
      <c r="T16">
        <v>22.5</v>
      </c>
      <c r="V16">
        <v>20333</v>
      </c>
      <c r="W16" t="s">
        <v>158</v>
      </c>
      <c r="X16" t="s">
        <v>135</v>
      </c>
      <c r="Y16">
        <v>3</v>
      </c>
      <c r="AB16">
        <v>7.42</v>
      </c>
      <c r="AC16" t="s">
        <v>85</v>
      </c>
      <c r="AD16" t="s">
        <v>159</v>
      </c>
      <c r="AE16" t="s">
        <v>138</v>
      </c>
      <c r="AI16">
        <v>5</v>
      </c>
      <c r="AV16" t="s">
        <v>88</v>
      </c>
    </row>
    <row r="17" spans="1:53" x14ac:dyDescent="0.3">
      <c r="A17" t="s">
        <v>132</v>
      </c>
      <c r="C17" t="s">
        <v>119</v>
      </c>
      <c r="H17">
        <v>930</v>
      </c>
      <c r="I17" t="s">
        <v>56</v>
      </c>
      <c r="J17">
        <v>9.2999999999999999E-2</v>
      </c>
      <c r="K17" t="s">
        <v>57</v>
      </c>
      <c r="L17" t="s">
        <v>112</v>
      </c>
      <c r="O17">
        <v>1</v>
      </c>
      <c r="P17" t="s">
        <v>133</v>
      </c>
      <c r="T17">
        <v>22.5</v>
      </c>
      <c r="V17">
        <v>20333</v>
      </c>
      <c r="W17" t="s">
        <v>158</v>
      </c>
      <c r="X17" t="s">
        <v>135</v>
      </c>
      <c r="Y17">
        <v>4</v>
      </c>
      <c r="AA17" t="s">
        <v>94</v>
      </c>
      <c r="AB17" t="s">
        <v>160</v>
      </c>
      <c r="AC17" t="s">
        <v>85</v>
      </c>
      <c r="AD17" t="s">
        <v>161</v>
      </c>
      <c r="AE17" t="s">
        <v>138</v>
      </c>
      <c r="AI17">
        <v>5</v>
      </c>
      <c r="AV17" t="s">
        <v>88</v>
      </c>
      <c r="AZ17">
        <v>0</v>
      </c>
      <c r="BA17" t="s">
        <v>160</v>
      </c>
    </row>
    <row r="18" spans="1:53" x14ac:dyDescent="0.3">
      <c r="A18" t="s">
        <v>132</v>
      </c>
      <c r="C18" t="s">
        <v>119</v>
      </c>
      <c r="H18">
        <v>930</v>
      </c>
      <c r="I18" t="s">
        <v>56</v>
      </c>
      <c r="J18">
        <v>9.2999999999999999E-2</v>
      </c>
      <c r="K18" t="s">
        <v>57</v>
      </c>
      <c r="L18" t="s">
        <v>112</v>
      </c>
      <c r="O18">
        <v>1</v>
      </c>
      <c r="P18" t="s">
        <v>133</v>
      </c>
      <c r="T18">
        <v>22.5</v>
      </c>
      <c r="V18">
        <v>20333</v>
      </c>
      <c r="W18" t="s">
        <v>158</v>
      </c>
      <c r="X18" t="s">
        <v>135</v>
      </c>
      <c r="Y18">
        <v>5</v>
      </c>
      <c r="AB18">
        <v>7.42</v>
      </c>
      <c r="AC18" t="s">
        <v>85</v>
      </c>
      <c r="AD18" t="s">
        <v>144</v>
      </c>
      <c r="AE18" t="s">
        <v>138</v>
      </c>
      <c r="AI18">
        <v>5</v>
      </c>
      <c r="AV18" t="s">
        <v>88</v>
      </c>
    </row>
    <row r="19" spans="1:53" x14ac:dyDescent="0.3">
      <c r="A19" t="s">
        <v>132</v>
      </c>
      <c r="C19" t="s">
        <v>119</v>
      </c>
      <c r="H19">
        <v>930</v>
      </c>
      <c r="I19" t="s">
        <v>56</v>
      </c>
      <c r="J19">
        <v>9.2999999999999999E-2</v>
      </c>
      <c r="K19" t="s">
        <v>57</v>
      </c>
      <c r="L19" t="s">
        <v>112</v>
      </c>
      <c r="O19">
        <v>0.52500000000000002</v>
      </c>
      <c r="P19" t="s">
        <v>133</v>
      </c>
      <c r="T19">
        <v>22.5</v>
      </c>
      <c r="V19">
        <v>20333</v>
      </c>
      <c r="W19" t="s">
        <v>158</v>
      </c>
      <c r="X19" t="s">
        <v>135</v>
      </c>
      <c r="Y19">
        <v>4</v>
      </c>
      <c r="AA19" t="s">
        <v>94</v>
      </c>
      <c r="AB19" t="s">
        <v>162</v>
      </c>
      <c r="AC19" t="s">
        <v>85</v>
      </c>
      <c r="AD19" t="s">
        <v>163</v>
      </c>
      <c r="AE19" t="s">
        <v>138</v>
      </c>
      <c r="AI19">
        <v>5</v>
      </c>
      <c r="AV19" t="s">
        <v>88</v>
      </c>
      <c r="AZ19">
        <v>0</v>
      </c>
      <c r="BA19" t="s">
        <v>162</v>
      </c>
    </row>
    <row r="20" spans="1:53" x14ac:dyDescent="0.3">
      <c r="A20" t="s">
        <v>132</v>
      </c>
      <c r="C20" t="s">
        <v>119</v>
      </c>
      <c r="H20">
        <v>930</v>
      </c>
      <c r="I20" t="s">
        <v>56</v>
      </c>
      <c r="J20">
        <v>9.2999999999999999E-2</v>
      </c>
      <c r="K20" t="s">
        <v>57</v>
      </c>
      <c r="L20" t="s">
        <v>112</v>
      </c>
      <c r="O20">
        <v>0.67749999999999999</v>
      </c>
      <c r="P20" t="s">
        <v>133</v>
      </c>
      <c r="T20">
        <v>22.5</v>
      </c>
      <c r="V20">
        <v>20333</v>
      </c>
      <c r="W20" t="s">
        <v>158</v>
      </c>
      <c r="X20" t="s">
        <v>135</v>
      </c>
      <c r="Y20">
        <v>5</v>
      </c>
      <c r="AB20" t="s">
        <v>164</v>
      </c>
      <c r="AC20" t="s">
        <v>85</v>
      </c>
      <c r="AD20" t="s">
        <v>165</v>
      </c>
      <c r="AE20" t="s">
        <v>138</v>
      </c>
      <c r="AI20">
        <v>5</v>
      </c>
      <c r="AV20" t="s">
        <v>88</v>
      </c>
    </row>
    <row r="21" spans="1:53" x14ac:dyDescent="0.3">
      <c r="A21" t="s">
        <v>132</v>
      </c>
      <c r="C21" t="s">
        <v>119</v>
      </c>
      <c r="H21">
        <v>1296</v>
      </c>
      <c r="I21" t="s">
        <v>56</v>
      </c>
      <c r="J21">
        <v>0.12959999999999999</v>
      </c>
      <c r="K21" t="s">
        <v>57</v>
      </c>
      <c r="L21" t="s">
        <v>112</v>
      </c>
      <c r="O21">
        <v>0.55000000000000004</v>
      </c>
      <c r="P21" t="s">
        <v>133</v>
      </c>
      <c r="T21">
        <v>22.5</v>
      </c>
      <c r="V21">
        <v>20333</v>
      </c>
      <c r="W21" t="s">
        <v>166</v>
      </c>
      <c r="X21" t="s">
        <v>135</v>
      </c>
      <c r="Y21">
        <v>3</v>
      </c>
      <c r="AB21">
        <v>7.24</v>
      </c>
      <c r="AC21" t="s">
        <v>85</v>
      </c>
      <c r="AD21" t="s">
        <v>157</v>
      </c>
      <c r="AE21" t="s">
        <v>138</v>
      </c>
      <c r="AI21">
        <v>5</v>
      </c>
      <c r="AT21" t="s">
        <v>79</v>
      </c>
      <c r="AV21" t="s">
        <v>88</v>
      </c>
    </row>
    <row r="22" spans="1:53" x14ac:dyDescent="0.3">
      <c r="A22" t="s">
        <v>132</v>
      </c>
      <c r="C22" t="s">
        <v>119</v>
      </c>
      <c r="H22">
        <v>1296</v>
      </c>
      <c r="I22" t="s">
        <v>56</v>
      </c>
      <c r="J22">
        <v>0.12959999999999999</v>
      </c>
      <c r="K22" t="s">
        <v>57</v>
      </c>
      <c r="L22" t="s">
        <v>112</v>
      </c>
      <c r="O22">
        <v>1</v>
      </c>
      <c r="P22" t="s">
        <v>133</v>
      </c>
      <c r="T22">
        <v>22.5</v>
      </c>
      <c r="V22">
        <v>20333</v>
      </c>
      <c r="W22" t="s">
        <v>166</v>
      </c>
      <c r="X22" t="s">
        <v>135</v>
      </c>
      <c r="Y22">
        <v>4</v>
      </c>
      <c r="AA22" t="s">
        <v>94</v>
      </c>
      <c r="AB22" t="s">
        <v>167</v>
      </c>
      <c r="AC22" t="s">
        <v>85</v>
      </c>
      <c r="AD22" t="s">
        <v>168</v>
      </c>
      <c r="AE22" t="s">
        <v>138</v>
      </c>
      <c r="AI22">
        <v>5</v>
      </c>
      <c r="AT22" t="s">
        <v>79</v>
      </c>
      <c r="AV22" t="s">
        <v>88</v>
      </c>
      <c r="AZ22">
        <v>0</v>
      </c>
      <c r="BA22" t="s">
        <v>167</v>
      </c>
    </row>
    <row r="23" spans="1:53" x14ac:dyDescent="0.3">
      <c r="A23" t="s">
        <v>132</v>
      </c>
      <c r="C23" t="s">
        <v>119</v>
      </c>
      <c r="H23">
        <v>1296</v>
      </c>
      <c r="I23" t="s">
        <v>56</v>
      </c>
      <c r="J23">
        <v>0.12959999999999999</v>
      </c>
      <c r="K23" t="s">
        <v>57</v>
      </c>
      <c r="L23" t="s">
        <v>112</v>
      </c>
      <c r="O23">
        <v>1</v>
      </c>
      <c r="P23" t="s">
        <v>133</v>
      </c>
      <c r="T23">
        <v>22.5</v>
      </c>
      <c r="V23">
        <v>20333</v>
      </c>
      <c r="W23" t="s">
        <v>166</v>
      </c>
      <c r="X23" t="s">
        <v>135</v>
      </c>
      <c r="Y23">
        <v>5</v>
      </c>
      <c r="AB23" t="s">
        <v>169</v>
      </c>
      <c r="AC23" t="s">
        <v>85</v>
      </c>
      <c r="AD23" t="s">
        <v>170</v>
      </c>
      <c r="AE23" t="s">
        <v>138</v>
      </c>
      <c r="AI23">
        <v>5</v>
      </c>
      <c r="AT23" t="s">
        <v>79</v>
      </c>
      <c r="AV23" t="s">
        <v>88</v>
      </c>
    </row>
    <row r="24" spans="1:53" x14ac:dyDescent="0.3">
      <c r="A24" t="s">
        <v>132</v>
      </c>
      <c r="C24" t="s">
        <v>119</v>
      </c>
      <c r="H24">
        <v>1296</v>
      </c>
      <c r="I24" t="s">
        <v>56</v>
      </c>
      <c r="J24">
        <v>0.12959999999999999</v>
      </c>
      <c r="K24" t="s">
        <v>57</v>
      </c>
      <c r="L24" t="s">
        <v>112</v>
      </c>
      <c r="O24">
        <v>0.52500000000000002</v>
      </c>
      <c r="P24" t="s">
        <v>133</v>
      </c>
      <c r="T24">
        <v>22.5</v>
      </c>
      <c r="V24">
        <v>20333</v>
      </c>
      <c r="W24" t="s">
        <v>166</v>
      </c>
      <c r="X24" t="s">
        <v>135</v>
      </c>
      <c r="Y24">
        <v>4</v>
      </c>
      <c r="AA24" t="s">
        <v>94</v>
      </c>
      <c r="AB24" t="s">
        <v>171</v>
      </c>
      <c r="AC24" t="s">
        <v>85</v>
      </c>
      <c r="AD24" t="s">
        <v>172</v>
      </c>
      <c r="AE24" t="s">
        <v>138</v>
      </c>
      <c r="AI24">
        <v>5</v>
      </c>
      <c r="AT24" t="s">
        <v>79</v>
      </c>
      <c r="AV24" t="s">
        <v>88</v>
      </c>
      <c r="AZ24">
        <v>0</v>
      </c>
      <c r="BA24" t="s">
        <v>171</v>
      </c>
    </row>
    <row r="25" spans="1:53" x14ac:dyDescent="0.3">
      <c r="A25" t="s">
        <v>132</v>
      </c>
      <c r="C25" t="s">
        <v>119</v>
      </c>
      <c r="H25">
        <v>1296</v>
      </c>
      <c r="I25" t="s">
        <v>56</v>
      </c>
      <c r="J25">
        <v>0.12959999999999999</v>
      </c>
      <c r="K25" t="s">
        <v>57</v>
      </c>
      <c r="L25" t="s">
        <v>112</v>
      </c>
      <c r="O25">
        <v>0.67749999999999999</v>
      </c>
      <c r="P25" t="s">
        <v>133</v>
      </c>
      <c r="T25">
        <v>22.5</v>
      </c>
      <c r="V25">
        <v>20333</v>
      </c>
      <c r="W25" t="s">
        <v>166</v>
      </c>
      <c r="X25" t="s">
        <v>135</v>
      </c>
      <c r="Y25">
        <v>5</v>
      </c>
      <c r="AB25" t="s">
        <v>173</v>
      </c>
      <c r="AC25" t="s">
        <v>85</v>
      </c>
      <c r="AD25" t="s">
        <v>174</v>
      </c>
      <c r="AE25" t="s">
        <v>138</v>
      </c>
      <c r="AI25">
        <v>5</v>
      </c>
      <c r="AT25" t="s">
        <v>79</v>
      </c>
      <c r="AV25" t="s">
        <v>88</v>
      </c>
    </row>
    <row r="26" spans="1:53" x14ac:dyDescent="0.3">
      <c r="A26" t="s">
        <v>132</v>
      </c>
      <c r="C26" t="s">
        <v>119</v>
      </c>
      <c r="H26">
        <v>1296</v>
      </c>
      <c r="I26" t="s">
        <v>56</v>
      </c>
      <c r="J26">
        <v>0.12959999999999999</v>
      </c>
      <c r="K26" t="s">
        <v>57</v>
      </c>
      <c r="L26" t="s">
        <v>112</v>
      </c>
      <c r="O26">
        <v>0.55000000000000004</v>
      </c>
      <c r="P26" t="s">
        <v>133</v>
      </c>
      <c r="T26">
        <v>22.5</v>
      </c>
      <c r="V26">
        <v>20333</v>
      </c>
      <c r="W26" t="s">
        <v>175</v>
      </c>
      <c r="X26" t="s">
        <v>135</v>
      </c>
      <c r="Y26">
        <v>3</v>
      </c>
      <c r="AA26" t="s">
        <v>94</v>
      </c>
      <c r="AB26" t="s">
        <v>171</v>
      </c>
      <c r="AC26" t="s">
        <v>85</v>
      </c>
      <c r="AD26" t="s">
        <v>176</v>
      </c>
      <c r="AE26" t="s">
        <v>138</v>
      </c>
      <c r="AI26">
        <v>5</v>
      </c>
      <c r="AV26" t="s">
        <v>88</v>
      </c>
      <c r="AZ26">
        <v>0</v>
      </c>
      <c r="BA26" t="s">
        <v>171</v>
      </c>
    </row>
    <row r="27" spans="1:53" x14ac:dyDescent="0.3">
      <c r="A27" t="s">
        <v>132</v>
      </c>
      <c r="C27" t="s">
        <v>119</v>
      </c>
      <c r="H27">
        <v>1296</v>
      </c>
      <c r="I27" t="s">
        <v>56</v>
      </c>
      <c r="J27">
        <v>0.12959999999999999</v>
      </c>
      <c r="K27" t="s">
        <v>57</v>
      </c>
      <c r="L27" t="s">
        <v>112</v>
      </c>
      <c r="O27">
        <v>1</v>
      </c>
      <c r="P27" t="s">
        <v>133</v>
      </c>
      <c r="T27">
        <v>22.5</v>
      </c>
      <c r="V27">
        <v>20333</v>
      </c>
      <c r="W27" t="s">
        <v>175</v>
      </c>
      <c r="X27" t="s">
        <v>135</v>
      </c>
      <c r="Y27">
        <v>4</v>
      </c>
      <c r="AA27" t="s">
        <v>94</v>
      </c>
      <c r="AB27" t="s">
        <v>177</v>
      </c>
      <c r="AC27" t="s">
        <v>85</v>
      </c>
      <c r="AD27" t="s">
        <v>178</v>
      </c>
      <c r="AE27" t="s">
        <v>138</v>
      </c>
      <c r="AI27">
        <v>5</v>
      </c>
      <c r="AV27" t="s">
        <v>88</v>
      </c>
      <c r="AZ27">
        <v>0</v>
      </c>
      <c r="BA27" t="s">
        <v>177</v>
      </c>
    </row>
    <row r="28" spans="1:53" x14ac:dyDescent="0.3">
      <c r="A28" t="s">
        <v>132</v>
      </c>
      <c r="C28" t="s">
        <v>119</v>
      </c>
      <c r="H28">
        <v>1296</v>
      </c>
      <c r="I28" t="s">
        <v>56</v>
      </c>
      <c r="J28">
        <v>0.12959999999999999</v>
      </c>
      <c r="K28" t="s">
        <v>57</v>
      </c>
      <c r="L28" t="s">
        <v>112</v>
      </c>
      <c r="O28">
        <v>1</v>
      </c>
      <c r="P28" t="s">
        <v>133</v>
      </c>
      <c r="T28">
        <v>22.5</v>
      </c>
      <c r="V28">
        <v>20333</v>
      </c>
      <c r="W28" t="s">
        <v>175</v>
      </c>
      <c r="X28" t="s">
        <v>135</v>
      </c>
      <c r="Y28">
        <v>5</v>
      </c>
      <c r="AA28" t="s">
        <v>94</v>
      </c>
      <c r="AB28" t="s">
        <v>179</v>
      </c>
      <c r="AC28" t="s">
        <v>85</v>
      </c>
      <c r="AD28" t="s">
        <v>180</v>
      </c>
      <c r="AE28" t="s">
        <v>138</v>
      </c>
      <c r="AI28">
        <v>5</v>
      </c>
      <c r="AV28" t="s">
        <v>88</v>
      </c>
      <c r="AZ28">
        <v>0</v>
      </c>
      <c r="BA28" t="s">
        <v>179</v>
      </c>
    </row>
    <row r="29" spans="1:53" x14ac:dyDescent="0.3">
      <c r="A29" t="s">
        <v>132</v>
      </c>
      <c r="C29" t="s">
        <v>119</v>
      </c>
      <c r="H29">
        <v>1296</v>
      </c>
      <c r="I29" t="s">
        <v>56</v>
      </c>
      <c r="J29">
        <v>0.12959999999999999</v>
      </c>
      <c r="K29" t="s">
        <v>57</v>
      </c>
      <c r="L29" t="s">
        <v>112</v>
      </c>
      <c r="O29">
        <v>0.52500000000000002</v>
      </c>
      <c r="P29" t="s">
        <v>133</v>
      </c>
      <c r="T29">
        <v>22.5</v>
      </c>
      <c r="V29">
        <v>20333</v>
      </c>
      <c r="W29" t="s">
        <v>175</v>
      </c>
      <c r="X29" t="s">
        <v>135</v>
      </c>
      <c r="Y29">
        <v>4</v>
      </c>
      <c r="AA29" t="s">
        <v>94</v>
      </c>
      <c r="AB29" t="s">
        <v>151</v>
      </c>
      <c r="AC29" t="s">
        <v>85</v>
      </c>
      <c r="AD29" t="s">
        <v>159</v>
      </c>
      <c r="AE29" t="s">
        <v>138</v>
      </c>
      <c r="AI29">
        <v>5</v>
      </c>
      <c r="AV29" t="s">
        <v>88</v>
      </c>
      <c r="AZ29">
        <v>0</v>
      </c>
      <c r="BA29" t="s">
        <v>151</v>
      </c>
    </row>
    <row r="30" spans="1:53" x14ac:dyDescent="0.3">
      <c r="A30" t="s">
        <v>132</v>
      </c>
      <c r="C30" t="s">
        <v>119</v>
      </c>
      <c r="H30">
        <v>1296</v>
      </c>
      <c r="I30" t="s">
        <v>56</v>
      </c>
      <c r="J30">
        <v>0.12959999999999999</v>
      </c>
      <c r="K30" t="s">
        <v>57</v>
      </c>
      <c r="L30" t="s">
        <v>112</v>
      </c>
      <c r="O30">
        <v>0.67749999999999999</v>
      </c>
      <c r="P30" t="s">
        <v>133</v>
      </c>
      <c r="T30">
        <v>22.5</v>
      </c>
      <c r="V30">
        <v>20333</v>
      </c>
      <c r="W30" t="s">
        <v>175</v>
      </c>
      <c r="X30" t="s">
        <v>135</v>
      </c>
      <c r="Y30">
        <v>5</v>
      </c>
      <c r="AB30" t="s">
        <v>181</v>
      </c>
      <c r="AC30" t="s">
        <v>85</v>
      </c>
      <c r="AD30" t="s">
        <v>182</v>
      </c>
      <c r="AE30" t="s">
        <v>138</v>
      </c>
      <c r="AI30">
        <v>5</v>
      </c>
      <c r="AV30" t="s">
        <v>88</v>
      </c>
    </row>
    <row r="31" spans="1:53" x14ac:dyDescent="0.3">
      <c r="A31" t="s">
        <v>132</v>
      </c>
      <c r="C31" t="s">
        <v>119</v>
      </c>
      <c r="H31">
        <v>177</v>
      </c>
      <c r="I31" t="s">
        <v>56</v>
      </c>
      <c r="J31">
        <v>1.77E-2</v>
      </c>
      <c r="K31" t="s">
        <v>57</v>
      </c>
      <c r="L31" t="s">
        <v>112</v>
      </c>
      <c r="O31">
        <v>1</v>
      </c>
      <c r="P31" t="s">
        <v>133</v>
      </c>
      <c r="T31">
        <v>22.5</v>
      </c>
      <c r="V31">
        <v>20333</v>
      </c>
      <c r="W31" t="s">
        <v>183</v>
      </c>
      <c r="X31" t="s">
        <v>135</v>
      </c>
      <c r="Y31">
        <v>5</v>
      </c>
      <c r="AA31" t="s">
        <v>184</v>
      </c>
      <c r="AB31" t="s">
        <v>185</v>
      </c>
      <c r="AC31" t="s">
        <v>85</v>
      </c>
      <c r="AD31" t="s">
        <v>178</v>
      </c>
      <c r="AE31" t="s">
        <v>138</v>
      </c>
      <c r="AI31">
        <v>5</v>
      </c>
      <c r="AT31" t="s">
        <v>150</v>
      </c>
      <c r="AV31" t="s">
        <v>88</v>
      </c>
      <c r="AZ31">
        <v>0</v>
      </c>
      <c r="BA31" t="s">
        <v>185</v>
      </c>
    </row>
    <row r="32" spans="1:53" x14ac:dyDescent="0.3">
      <c r="A32" t="s">
        <v>132</v>
      </c>
      <c r="C32" t="s">
        <v>119</v>
      </c>
      <c r="H32">
        <v>177</v>
      </c>
      <c r="I32" t="s">
        <v>56</v>
      </c>
      <c r="J32">
        <v>1.77E-2</v>
      </c>
      <c r="K32" t="s">
        <v>57</v>
      </c>
      <c r="L32" t="s">
        <v>112</v>
      </c>
      <c r="O32">
        <v>0.55000000000000004</v>
      </c>
      <c r="P32" t="s">
        <v>133</v>
      </c>
      <c r="T32">
        <v>22.5</v>
      </c>
      <c r="V32">
        <v>20333</v>
      </c>
      <c r="W32" t="s">
        <v>183</v>
      </c>
      <c r="X32" t="s">
        <v>135</v>
      </c>
      <c r="Y32">
        <v>3</v>
      </c>
      <c r="AA32" t="s">
        <v>184</v>
      </c>
      <c r="AB32" t="s">
        <v>186</v>
      </c>
      <c r="AC32" t="s">
        <v>85</v>
      </c>
      <c r="AD32" t="s">
        <v>187</v>
      </c>
      <c r="AE32" t="s">
        <v>138</v>
      </c>
      <c r="AI32">
        <v>5</v>
      </c>
      <c r="AT32" t="s">
        <v>150</v>
      </c>
      <c r="AV32" t="s">
        <v>88</v>
      </c>
      <c r="AZ32">
        <v>0</v>
      </c>
      <c r="BA32" t="s">
        <v>186</v>
      </c>
    </row>
    <row r="33" spans="1:53" x14ac:dyDescent="0.3">
      <c r="A33" t="s">
        <v>132</v>
      </c>
      <c r="C33" t="s">
        <v>119</v>
      </c>
      <c r="H33">
        <v>177</v>
      </c>
      <c r="I33" t="s">
        <v>56</v>
      </c>
      <c r="J33">
        <v>1.77E-2</v>
      </c>
      <c r="K33" t="s">
        <v>57</v>
      </c>
      <c r="L33" t="s">
        <v>112</v>
      </c>
      <c r="O33">
        <v>1</v>
      </c>
      <c r="P33" t="s">
        <v>133</v>
      </c>
      <c r="T33">
        <v>22.5</v>
      </c>
      <c r="V33">
        <v>20333</v>
      </c>
      <c r="W33" t="s">
        <v>183</v>
      </c>
      <c r="X33" t="s">
        <v>135</v>
      </c>
      <c r="Y33">
        <v>4</v>
      </c>
      <c r="AA33" t="s">
        <v>184</v>
      </c>
      <c r="AB33" t="s">
        <v>188</v>
      </c>
      <c r="AC33" t="s">
        <v>85</v>
      </c>
      <c r="AD33" t="s">
        <v>161</v>
      </c>
      <c r="AE33" t="s">
        <v>138</v>
      </c>
      <c r="AI33">
        <v>5</v>
      </c>
      <c r="AT33" t="s">
        <v>150</v>
      </c>
      <c r="AV33" t="s">
        <v>88</v>
      </c>
      <c r="AZ33">
        <v>0</v>
      </c>
      <c r="BA33" t="s">
        <v>188</v>
      </c>
    </row>
    <row r="34" spans="1:53" x14ac:dyDescent="0.3">
      <c r="A34" t="s">
        <v>132</v>
      </c>
      <c r="C34" t="s">
        <v>119</v>
      </c>
      <c r="H34">
        <v>177</v>
      </c>
      <c r="I34" t="s">
        <v>56</v>
      </c>
      <c r="J34">
        <v>1.77E-2</v>
      </c>
      <c r="K34" t="s">
        <v>57</v>
      </c>
      <c r="L34" t="s">
        <v>112</v>
      </c>
      <c r="O34">
        <v>0.52500000000000002</v>
      </c>
      <c r="P34" t="s">
        <v>133</v>
      </c>
      <c r="T34">
        <v>22.5</v>
      </c>
      <c r="V34">
        <v>20333</v>
      </c>
      <c r="W34" t="s">
        <v>183</v>
      </c>
      <c r="X34" t="s">
        <v>135</v>
      </c>
      <c r="Y34">
        <v>4</v>
      </c>
      <c r="AA34" t="s">
        <v>184</v>
      </c>
      <c r="AB34" t="s">
        <v>189</v>
      </c>
      <c r="AC34" t="s">
        <v>85</v>
      </c>
      <c r="AD34" t="s">
        <v>190</v>
      </c>
      <c r="AE34" t="s">
        <v>138</v>
      </c>
      <c r="AI34">
        <v>5</v>
      </c>
      <c r="AT34" t="s">
        <v>150</v>
      </c>
      <c r="AV34" t="s">
        <v>88</v>
      </c>
      <c r="AZ34">
        <v>0</v>
      </c>
      <c r="BA34" t="s">
        <v>189</v>
      </c>
    </row>
    <row r="35" spans="1:53" x14ac:dyDescent="0.3">
      <c r="A35" t="s">
        <v>132</v>
      </c>
      <c r="C35" t="s">
        <v>119</v>
      </c>
      <c r="H35">
        <v>177</v>
      </c>
      <c r="I35" t="s">
        <v>56</v>
      </c>
      <c r="J35">
        <v>1.77E-2</v>
      </c>
      <c r="K35" t="s">
        <v>57</v>
      </c>
      <c r="L35" t="s">
        <v>112</v>
      </c>
      <c r="O35">
        <v>0.67749999999999999</v>
      </c>
      <c r="P35" t="s">
        <v>133</v>
      </c>
      <c r="T35">
        <v>22.5</v>
      </c>
      <c r="V35">
        <v>20333</v>
      </c>
      <c r="W35" t="s">
        <v>183</v>
      </c>
      <c r="X35" t="s">
        <v>135</v>
      </c>
      <c r="Y35">
        <v>5</v>
      </c>
      <c r="AB35" t="s">
        <v>191</v>
      </c>
      <c r="AC35" t="s">
        <v>85</v>
      </c>
      <c r="AD35" t="s">
        <v>192</v>
      </c>
      <c r="AE35" t="s">
        <v>138</v>
      </c>
      <c r="AI35">
        <v>5</v>
      </c>
      <c r="AT35" t="s">
        <v>150</v>
      </c>
      <c r="AV35" t="s">
        <v>88</v>
      </c>
    </row>
    <row r="36" spans="1:53" x14ac:dyDescent="0.3">
      <c r="A36" t="s">
        <v>132</v>
      </c>
      <c r="C36" t="s">
        <v>119</v>
      </c>
      <c r="H36">
        <v>177</v>
      </c>
      <c r="I36" t="s">
        <v>56</v>
      </c>
      <c r="J36">
        <v>1.77E-2</v>
      </c>
      <c r="K36" t="s">
        <v>57</v>
      </c>
      <c r="L36" t="s">
        <v>112</v>
      </c>
      <c r="O36">
        <v>0.14499999999999999</v>
      </c>
      <c r="P36" t="s">
        <v>133</v>
      </c>
      <c r="T36">
        <v>22.5</v>
      </c>
      <c r="V36">
        <v>20333</v>
      </c>
      <c r="W36" t="s">
        <v>183</v>
      </c>
      <c r="X36" t="s">
        <v>135</v>
      </c>
      <c r="Y36">
        <v>4</v>
      </c>
      <c r="AB36" t="s">
        <v>193</v>
      </c>
      <c r="AC36" t="s">
        <v>85</v>
      </c>
      <c r="AD36" t="s">
        <v>140</v>
      </c>
      <c r="AE36" t="s">
        <v>138</v>
      </c>
      <c r="AI36">
        <v>5</v>
      </c>
      <c r="AT36" t="s">
        <v>150</v>
      </c>
      <c r="AV36" t="s">
        <v>88</v>
      </c>
    </row>
    <row r="37" spans="1:53" x14ac:dyDescent="0.3">
      <c r="A37" t="s">
        <v>132</v>
      </c>
      <c r="C37" t="s">
        <v>119</v>
      </c>
      <c r="H37">
        <v>177</v>
      </c>
      <c r="I37" t="s">
        <v>56</v>
      </c>
      <c r="J37">
        <v>1.77E-2</v>
      </c>
      <c r="K37" t="s">
        <v>57</v>
      </c>
      <c r="L37" t="s">
        <v>112</v>
      </c>
      <c r="O37">
        <v>0.15</v>
      </c>
      <c r="P37" t="s">
        <v>133</v>
      </c>
      <c r="T37">
        <v>22.5</v>
      </c>
      <c r="V37">
        <v>20333</v>
      </c>
      <c r="W37" t="s">
        <v>183</v>
      </c>
      <c r="X37" t="s">
        <v>135</v>
      </c>
      <c r="Y37">
        <v>5</v>
      </c>
      <c r="AB37">
        <v>0</v>
      </c>
      <c r="AC37" t="s">
        <v>85</v>
      </c>
      <c r="AD37" t="s">
        <v>194</v>
      </c>
      <c r="AE37" t="s">
        <v>138</v>
      </c>
      <c r="AI37">
        <v>5</v>
      </c>
      <c r="AT37" t="s">
        <v>150</v>
      </c>
      <c r="AV37" t="s">
        <v>88</v>
      </c>
    </row>
    <row r="38" spans="1:53" x14ac:dyDescent="0.3">
      <c r="A38" t="s">
        <v>132</v>
      </c>
      <c r="C38" t="s">
        <v>119</v>
      </c>
      <c r="H38">
        <v>177</v>
      </c>
      <c r="I38" t="s">
        <v>56</v>
      </c>
      <c r="J38">
        <v>1.77E-2</v>
      </c>
      <c r="K38" t="s">
        <v>57</v>
      </c>
      <c r="L38" t="s">
        <v>112</v>
      </c>
      <c r="O38">
        <v>0.55000000000000004</v>
      </c>
      <c r="P38" t="s">
        <v>133</v>
      </c>
      <c r="T38">
        <v>22.5</v>
      </c>
      <c r="V38">
        <v>20333</v>
      </c>
      <c r="W38" t="s">
        <v>183</v>
      </c>
      <c r="X38" t="s">
        <v>135</v>
      </c>
      <c r="Y38">
        <v>10</v>
      </c>
      <c r="AB38">
        <v>0</v>
      </c>
      <c r="AC38" t="s">
        <v>85</v>
      </c>
      <c r="AD38" t="s">
        <v>194</v>
      </c>
      <c r="AE38" t="s">
        <v>138</v>
      </c>
      <c r="AI38">
        <v>5</v>
      </c>
      <c r="AT38" t="s">
        <v>150</v>
      </c>
      <c r="AV38" t="s">
        <v>88</v>
      </c>
    </row>
  </sheetData>
  <pageMargins left="0.75" right="0.75" top="1" bottom="1" header="0.5" footer="0.5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workbookViewId="0">
      <selection activeCell="C11" sqref="C11:F11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8.6640625" bestFit="1" customWidth="1"/>
    <col min="4" max="4" width="9.109375" bestFit="1" customWidth="1"/>
    <col min="5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COUNTA(LiquidWipeMaster[Ref])</f>
        <v>37</v>
      </c>
      <c r="C2" s="3"/>
      <c r="D2" s="3"/>
      <c r="E2" s="3"/>
      <c r="F2" s="3"/>
    </row>
    <row r="3" spans="1:6" x14ac:dyDescent="0.3">
      <c r="A3" s="3" t="s">
        <v>1583</v>
      </c>
      <c r="B3" s="3">
        <f>COUNTA(LiquidWipeMaster[GrimeDirt])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COUNTA(LiquidWipeMaster[Rinsate])</f>
        <v>37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LiquidWipeMaster[ConvertedCoupAreaUn]),COUNTIF(LiquidWipeMaster[ConvertedCoupAreaUn],INDEX(LiquidWipeMaster[ConvertedCoupAreaUn],MATCH(TRUE,LiquidWipeMaster[ConvertedCoupAreaUn]&lt;&gt;"",0)))=COUNTIF(LiquidWipeMaster[ConvertedCoupAreaUn],"&lt;&gt;"),""),INDEX(LiquidWipeMaster[ConvertedCoupAreaUn],MATCH(TRUE,LiquidWipeMaster[ConvertedCoupAreaUn]&lt;&gt;"",0)), "multiple units given"),"NA")</f>
        <v>m^2</v>
      </c>
      <c r="C11" s="3">
        <f>IF(AND(ISNUMBER(E11),ISNUMBER(F11)),MIN(LiquidWipeMaster[ConvertedCoupArea]),"NA")</f>
        <v>1.77E-2</v>
      </c>
      <c r="D11" s="3">
        <f>IF(AND(ISNUMBER(E11),ISNUMBER(F11)),MAX(LiquidWipeMaster[ConvertedCoupArea]),"NA")</f>
        <v>0.12959999999999999</v>
      </c>
      <c r="E11" s="3">
        <f>IFERROR(AVERAGE(LiquidWipeMaster[ConvertedCoupArea]),"NA")</f>
        <v>9.6927272727272709E-2</v>
      </c>
      <c r="F11" s="3">
        <f>IFERROR(STDEV(LiquidWipeMaster[ConvertedCoupArea]),"NA")</f>
        <v>4.7316403555791885E-2</v>
      </c>
    </row>
    <row r="12" spans="1:6" x14ac:dyDescent="0.3">
      <c r="A12" s="3" t="s">
        <v>1591</v>
      </c>
      <c r="B12" s="3" t="str" cm="1">
        <f t="array" ref="B12">IFERROR(IF(IF(COUNTA(LiquidWipeMaster[LoadingUn]),COUNTIF(LiquidWipeMaster[LoadingUn],INDEX(LiquidWipeMaster[LoadingUn],MATCH(TRUE,LiquidWipeMaster[LoadingUn]&lt;&gt;"",0)))=COUNTIF(LiquidWipeMaster[LoadingUn],"&lt;&gt;"),""),INDEX(LiquidWipeMaster[LoadingUn],MATCH(TRUE,LiquidWipeMaster[LoadingUn]&lt;&gt;"",0)), "multiple units given"),"NA")</f>
        <v>NA</v>
      </c>
      <c r="C12" s="3" t="str">
        <f>IF(AND(ISNUMBER(E12),ISNUMBER(F12)),MIN(LiquidWipeMaster[LoadingNum]),"NA")</f>
        <v>NA</v>
      </c>
      <c r="D12" s="3" t="str">
        <f>IF(AND(ISNUMBER(E12),ISNUMBER(F12)),MAX(LiquidWipeMaster[LoadingNum]),"NA")</f>
        <v>NA</v>
      </c>
      <c r="E12" s="3" t="str">
        <f>IFERROR(AVERAGE(LiquidWipeMaster[LoadingNum]),"NA")</f>
        <v>NA</v>
      </c>
      <c r="F12" s="3" t="str">
        <f>IFERROR(STDEV(LiquidWipeMaster[LoadingNum]),"NA")</f>
        <v>NA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IF(AND(ISNUMBER(E13),ISNUMBER(F13)),MIN(LiquidWipeMaster[TotalApp]),"NA")</f>
        <v>NA</v>
      </c>
      <c r="D13" s="3" t="str">
        <f>IF(AND(ISNUMBER(E13),ISNUMBER(F13)),MAX(LiquidWipeMaster[TotalApp]),"NA")</f>
        <v>NA</v>
      </c>
      <c r="E13" s="3" t="str">
        <f>IFERROR(AVERAGE(LiquidWipeMaster[TotalApp]),"NA")</f>
        <v>NA</v>
      </c>
      <c r="F13" s="3" t="str">
        <f>IFERROR(STDEV(LiquidWipeMaster[TotalApp]),"NA")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IF(AND(ISNUMBER(E14),ISNUMBER(F14)),MIN(LiquidWipeMaster[TempNum]),"NA")</f>
        <v>22</v>
      </c>
      <c r="D14" s="3">
        <f>IF(AND(ISNUMBER(E14),ISNUMBER(F14)),MAX(LiquidWipeMaster[TempNum]),"NA")</f>
        <v>22.5</v>
      </c>
      <c r="E14" s="3">
        <f>IFERROR(AVERAGE(LiquidWipeMaster[TempNum]),"NA")</f>
        <v>22.445945945945947</v>
      </c>
      <c r="F14" s="3">
        <f>IFERROR(STDEV(LiquidWipeMaster[TempNum]),"NA")</f>
        <v>0.15740004693383933</v>
      </c>
    </row>
    <row r="15" spans="1:6" x14ac:dyDescent="0.3">
      <c r="A15" s="3" t="s">
        <v>1595</v>
      </c>
      <c r="B15" s="3" t="s">
        <v>1527</v>
      </c>
      <c r="C15" s="3">
        <f>IF(AND(ISNUMBER(E15),ISNUMBER(F15)),MIN(LiquidWipeMaster[RHNum]),"NA")</f>
        <v>50</v>
      </c>
      <c r="D15" s="3">
        <f>IF(AND(ISNUMBER(E15),ISNUMBER(F15)),MAX(LiquidWipeMaster[RHNum]),"NA")</f>
        <v>20333</v>
      </c>
      <c r="E15" s="3">
        <f>IFERROR(AVERAGE(LiquidWipeMaster[RHNum]),"NA")</f>
        <v>18140.243243243243</v>
      </c>
      <c r="F15" s="3">
        <f>IFERROR(STDEV(LiquidWipeMaster[RHNum]),"NA")</f>
        <v>6385.0903039181185</v>
      </c>
    </row>
    <row r="16" spans="1:6" x14ac:dyDescent="0.3">
      <c r="A16" s="3" t="s">
        <v>1596</v>
      </c>
      <c r="B16" s="3" t="s">
        <v>1597</v>
      </c>
      <c r="C16" s="3">
        <f>IF(AND(ISNUMBER(E16),ISNUMBER(F16)),MIN(LiquidWipeMaster[ContTimeNumMin]),"NA")</f>
        <v>3</v>
      </c>
      <c r="D16" s="3">
        <f>IF(AND(ISNUMBER(E16),ISNUMBER(F16)),MAX(LiquidWipeMaster[ContTimeNumMin]),"NA")</f>
        <v>30</v>
      </c>
      <c r="E16" s="3">
        <f>IFERROR(AVERAGE(LiquidWipeMaster[ContTimeNumMin]),"NA")</f>
        <v>7.1621621621621623</v>
      </c>
      <c r="F16" s="3">
        <f>IFERROR(STDEV(LiquidWipeMaster[ContTimeNumMin]),"NA")</f>
        <v>8.1462790193966388</v>
      </c>
    </row>
    <row r="17" spans="1:6" x14ac:dyDescent="0.3">
      <c r="A17" s="3" t="s">
        <v>1598</v>
      </c>
      <c r="B17" s="3" t="str" cm="1">
        <f t="array" ref="B17">IFERROR(IF(IF(COUNTA(LiquidWipeMaster[ConcDoseUn]),COUNTIF(LiquidWipeMaster[ConcDoseUn],INDEX(LiquidWipeMaster[ConcDoseUn],MATCH(TRUE,LiquidWipeMaster[ConcDoseUn]&lt;&gt;"",0)))=COUNTIF(LiquidWipeMaster[ConcDoseUn],"&lt;&gt;"),""),INDEX(LiquidWipeMaster[ConcDoseUn],MATCH(TRUE,LiquidWipeMaster[ConcDoseUn]&lt;&gt;"",0)), "multiple units given"),"NA")</f>
        <v>multiple units given</v>
      </c>
      <c r="C17" s="3">
        <f>IF(AND(ISNUMBER(E17),ISNUMBER(F17)),MIN(LiquidWipeMaster[ConcDoseNum]),"NA")</f>
        <v>0</v>
      </c>
      <c r="D17" s="3">
        <f>IF(AND(ISNUMBER(E17),ISNUMBER(F17)),MAX(LiquidWipeMaster[ConcDoseNum]),"NA")</f>
        <v>6350</v>
      </c>
      <c r="E17" s="3">
        <f>IFERROR(AVERAGE(LiquidWipeMaster[ConcDoseNum]),"NA")</f>
        <v>343.87459459459438</v>
      </c>
      <c r="F17" s="3">
        <f>IFERROR(STDEV(LiquidWipeMaster[ConcDoseNum]),"NA")</f>
        <v>1455.5428379028619</v>
      </c>
    </row>
    <row r="18" spans="1:6" x14ac:dyDescent="0.3">
      <c r="A18" s="3" t="s">
        <v>1599</v>
      </c>
      <c r="B18" s="3" t="str" cm="1">
        <f t="array" ref="B18">IFERROR(IF(IF(COUNTA(LiquidWipeMaster[EffMeas]),COUNTIF(LiquidWipeMaster[EffMeas],INDEX(LiquidWipeMaster[EffMeas],MATCH(TRUE,LiquidWipeMaster[EffMeas]&lt;&gt;"",0)))=COUNTIF(LiquidWipeMaster[EffMeas],"&lt;&gt;"),""),INDEX(LiquidWipeMaster[EffMeas],MATCH(TRUE,LiquidWipeMaster[EffMeas]&lt;&gt;"",0)), "multiple units given"),"NA")</f>
        <v>multiple units given</v>
      </c>
      <c r="C18" s="3">
        <f>IF(AND(ISNUMBER(E18),ISNUMBER(F18)),MIN(LiquidWipeMaster[Eff]),"NA")</f>
        <v>0</v>
      </c>
      <c r="D18" s="3">
        <f>IF(AND(ISNUMBER(E18),ISNUMBER(F18)),MAX(LiquidWipeMaster[Eff]),"NA")</f>
        <v>7.42</v>
      </c>
      <c r="E18" s="3">
        <f>IFERROR(AVERAGE(LiquidWipeMaster[Eff]),"NA")</f>
        <v>3.7690000000000006</v>
      </c>
      <c r="F18" s="3">
        <f>IFERROR(STDEV(LiquidWipeMaster[Eff]),"NA")</f>
        <v>3.263976613478309</v>
      </c>
    </row>
    <row r="19" spans="1:6" x14ac:dyDescent="0.3">
      <c r="A19" s="3" t="s">
        <v>1600</v>
      </c>
      <c r="B19" s="3" t="str" cm="1">
        <f t="array" ref="B19">IFERROR(IF(IF(COUNTA(LiquidWipeMaster[ConvertedVolAppUn]),COUNTIF(LiquidWipeMaster[ConvertedVolAppUn],INDEX(LiquidWipeMaster[ConvertedVolAppUn],MATCH(TRUE,LiquidWipeMaster[ConvertedVolAppUn]&lt;&gt;"",0)))=COUNTIF(LiquidWipeMaster[ConvertedVolAppUn],"&lt;&gt;"),""),INDEX(LiquidWipeMaster[ConvertedVolAppUn],MATCH(TRUE,LiquidWipeMaster[ConvertedVolAppUn]&lt;&gt;"",0)), "multiple units given"),"NA")</f>
        <v>NA</v>
      </c>
      <c r="C19" s="3" t="str">
        <f>IF(AND(ISNUMBER(E19),ISNUMBER(F19)),MIN(LiquidWipeMaster[ConvertedVolApp]),"NA")</f>
        <v>NA</v>
      </c>
      <c r="D19" s="3" t="str">
        <f>IF(AND(ISNUMBER(E19),ISNUMBER(F19)),MAX(LiquidWipeMaster[ConvertedVolApp]),"NA")</f>
        <v>NA</v>
      </c>
      <c r="E19" s="3" t="str">
        <f>IFERROR(AVERAGE(LiquidWipeMaster[ConvertedVolApp]),"NA")</f>
        <v>NA</v>
      </c>
      <c r="F19" s="3" t="str">
        <f>IFERROR(STDEV(LiquidWipeMaster[ConvertedVolApp]),"NA")</f>
        <v>NA</v>
      </c>
    </row>
  </sheetData>
  <conditionalFormatting sqref="B11:B19">
    <cfRule type="cellIs" dxfId="12" priority="1" operator="equal">
      <formula>"multiple units given"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A1102"/>
  <sheetViews>
    <sheetView topLeftCell="A959" workbookViewId="0">
      <selection activeCell="J20" sqref="J20:J1051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idden="1" x14ac:dyDescent="0.3">
      <c r="A2" t="s">
        <v>1051</v>
      </c>
      <c r="C2" t="s">
        <v>1052</v>
      </c>
      <c r="D2" t="s">
        <v>81</v>
      </c>
      <c r="E2">
        <v>1700000</v>
      </c>
      <c r="L2" t="s">
        <v>58</v>
      </c>
      <c r="O2">
        <v>67</v>
      </c>
      <c r="P2" t="s">
        <v>1053</v>
      </c>
      <c r="T2">
        <v>25</v>
      </c>
      <c r="V2">
        <v>50</v>
      </c>
      <c r="W2" t="s">
        <v>1054</v>
      </c>
      <c r="X2" t="s">
        <v>280</v>
      </c>
      <c r="Y2">
        <v>5</v>
      </c>
      <c r="AB2">
        <v>0.52983926792196723</v>
      </c>
      <c r="AC2" t="s">
        <v>85</v>
      </c>
      <c r="AD2">
        <v>0.16</v>
      </c>
      <c r="AE2" t="s">
        <v>63</v>
      </c>
      <c r="AI2">
        <v>3</v>
      </c>
    </row>
    <row r="3" spans="1:53" hidden="1" x14ac:dyDescent="0.3">
      <c r="A3" t="s">
        <v>1051</v>
      </c>
      <c r="C3" t="s">
        <v>1052</v>
      </c>
      <c r="D3" t="s">
        <v>81</v>
      </c>
      <c r="E3">
        <v>1300000</v>
      </c>
      <c r="L3" t="s">
        <v>58</v>
      </c>
      <c r="O3">
        <v>67</v>
      </c>
      <c r="P3" t="s">
        <v>1053</v>
      </c>
      <c r="T3">
        <v>25</v>
      </c>
      <c r="V3">
        <v>50</v>
      </c>
      <c r="W3" t="s">
        <v>1054</v>
      </c>
      <c r="X3" t="s">
        <v>280</v>
      </c>
      <c r="Y3">
        <v>10</v>
      </c>
      <c r="AB3">
        <v>1.0292779221107069</v>
      </c>
      <c r="AC3" t="s">
        <v>85</v>
      </c>
      <c r="AD3">
        <v>0.08</v>
      </c>
      <c r="AE3" t="s">
        <v>63</v>
      </c>
      <c r="AI3">
        <v>3</v>
      </c>
    </row>
    <row r="4" spans="1:53" hidden="1" x14ac:dyDescent="0.3">
      <c r="A4" t="s">
        <v>1051</v>
      </c>
      <c r="C4" t="s">
        <v>1052</v>
      </c>
      <c r="D4" t="s">
        <v>81</v>
      </c>
      <c r="E4">
        <v>1200000</v>
      </c>
      <c r="L4" t="s">
        <v>58</v>
      </c>
      <c r="O4">
        <v>67</v>
      </c>
      <c r="P4" t="s">
        <v>1053</v>
      </c>
      <c r="T4">
        <v>25</v>
      </c>
      <c r="V4">
        <v>50</v>
      </c>
      <c r="W4" t="s">
        <v>1054</v>
      </c>
      <c r="X4" t="s">
        <v>280</v>
      </c>
      <c r="Y4">
        <v>15</v>
      </c>
      <c r="AB4">
        <v>1.6894055346036501</v>
      </c>
      <c r="AC4" t="s">
        <v>85</v>
      </c>
      <c r="AD4">
        <v>0.11</v>
      </c>
      <c r="AE4" t="s">
        <v>63</v>
      </c>
      <c r="AI4">
        <v>3</v>
      </c>
    </row>
    <row r="5" spans="1:53" hidden="1" x14ac:dyDescent="0.3">
      <c r="A5" t="s">
        <v>1051</v>
      </c>
      <c r="C5" t="s">
        <v>1052</v>
      </c>
      <c r="D5" t="s">
        <v>81</v>
      </c>
      <c r="E5">
        <v>990000</v>
      </c>
      <c r="L5" t="s">
        <v>58</v>
      </c>
      <c r="O5">
        <v>67</v>
      </c>
      <c r="P5" t="s">
        <v>1053</v>
      </c>
      <c r="T5">
        <v>25</v>
      </c>
      <c r="V5">
        <v>50</v>
      </c>
      <c r="W5" t="s">
        <v>1054</v>
      </c>
      <c r="X5" t="s">
        <v>280</v>
      </c>
      <c r="Y5">
        <v>20</v>
      </c>
      <c r="AB5">
        <v>2.353876091915625</v>
      </c>
      <c r="AC5" t="s">
        <v>85</v>
      </c>
      <c r="AD5">
        <v>0.05</v>
      </c>
      <c r="AE5" t="s">
        <v>63</v>
      </c>
      <c r="AI5">
        <v>3</v>
      </c>
    </row>
    <row r="6" spans="1:53" hidden="1" x14ac:dyDescent="0.3">
      <c r="A6" t="s">
        <v>1051</v>
      </c>
      <c r="C6" t="s">
        <v>1052</v>
      </c>
      <c r="D6" t="s">
        <v>81</v>
      </c>
      <c r="E6">
        <v>1600000</v>
      </c>
      <c r="L6" t="s">
        <v>58</v>
      </c>
      <c r="O6">
        <v>67</v>
      </c>
      <c r="P6" t="s">
        <v>1053</v>
      </c>
      <c r="T6">
        <v>25</v>
      </c>
      <c r="V6">
        <v>50</v>
      </c>
      <c r="W6" t="s">
        <v>1054</v>
      </c>
      <c r="X6" t="s">
        <v>280</v>
      </c>
      <c r="Y6">
        <v>25</v>
      </c>
      <c r="AB6">
        <v>3.3397245658360069</v>
      </c>
      <c r="AC6" t="s">
        <v>85</v>
      </c>
      <c r="AD6">
        <v>0.38</v>
      </c>
      <c r="AE6" t="s">
        <v>63</v>
      </c>
      <c r="AI6">
        <v>3</v>
      </c>
    </row>
    <row r="7" spans="1:53" hidden="1" x14ac:dyDescent="0.3">
      <c r="A7" t="s">
        <v>1051</v>
      </c>
      <c r="C7" t="s">
        <v>1052</v>
      </c>
      <c r="D7" t="s">
        <v>81</v>
      </c>
      <c r="E7">
        <v>1400000</v>
      </c>
      <c r="L7" t="s">
        <v>58</v>
      </c>
      <c r="O7">
        <v>67</v>
      </c>
      <c r="P7" t="s">
        <v>1053</v>
      </c>
      <c r="T7">
        <v>25</v>
      </c>
      <c r="V7">
        <v>50</v>
      </c>
      <c r="W7" t="s">
        <v>1054</v>
      </c>
      <c r="X7" t="s">
        <v>280</v>
      </c>
      <c r="Y7">
        <v>30</v>
      </c>
      <c r="AB7">
        <v>4.3212300949373557</v>
      </c>
      <c r="AC7" t="s">
        <v>85</v>
      </c>
      <c r="AD7">
        <v>0.11</v>
      </c>
      <c r="AE7" t="s">
        <v>63</v>
      </c>
      <c r="AI7">
        <v>3</v>
      </c>
    </row>
    <row r="8" spans="1:53" hidden="1" x14ac:dyDescent="0.3">
      <c r="A8" t="s">
        <v>1051</v>
      </c>
      <c r="C8" t="s">
        <v>1052</v>
      </c>
      <c r="D8" t="s">
        <v>81</v>
      </c>
      <c r="E8">
        <v>1700000</v>
      </c>
      <c r="L8" t="s">
        <v>58</v>
      </c>
      <c r="O8">
        <v>111</v>
      </c>
      <c r="P8" t="s">
        <v>1053</v>
      </c>
      <c r="T8">
        <v>25</v>
      </c>
      <c r="V8">
        <v>50</v>
      </c>
      <c r="W8" t="s">
        <v>1054</v>
      </c>
      <c r="X8" t="s">
        <v>280</v>
      </c>
      <c r="Y8">
        <v>5</v>
      </c>
      <c r="AB8">
        <v>0.55155399201712985</v>
      </c>
      <c r="AC8" t="s">
        <v>85</v>
      </c>
      <c r="AD8">
        <v>7.0000000000000007E-2</v>
      </c>
      <c r="AE8" t="s">
        <v>63</v>
      </c>
      <c r="AI8">
        <v>3</v>
      </c>
    </row>
    <row r="9" spans="1:53" hidden="1" x14ac:dyDescent="0.3">
      <c r="A9" t="s">
        <v>1051</v>
      </c>
      <c r="C9" t="s">
        <v>1052</v>
      </c>
      <c r="D9" t="s">
        <v>81</v>
      </c>
      <c r="E9">
        <v>1300000</v>
      </c>
      <c r="L9" t="s">
        <v>58</v>
      </c>
      <c r="O9">
        <v>111</v>
      </c>
      <c r="P9" t="s">
        <v>1053</v>
      </c>
      <c r="T9">
        <v>25</v>
      </c>
      <c r="V9">
        <v>50</v>
      </c>
      <c r="W9" t="s">
        <v>1054</v>
      </c>
      <c r="X9" t="s">
        <v>280</v>
      </c>
      <c r="Y9">
        <v>10</v>
      </c>
      <c r="AB9">
        <v>1.1465374322245849</v>
      </c>
      <c r="AC9" t="s">
        <v>85</v>
      </c>
      <c r="AD9">
        <v>0.14000000000000001</v>
      </c>
      <c r="AE9" t="s">
        <v>63</v>
      </c>
      <c r="AI9">
        <v>3</v>
      </c>
    </row>
    <row r="10" spans="1:53" hidden="1" x14ac:dyDescent="0.3">
      <c r="A10" t="s">
        <v>1051</v>
      </c>
      <c r="C10" t="s">
        <v>1052</v>
      </c>
      <c r="D10" t="s">
        <v>81</v>
      </c>
      <c r="E10">
        <v>1200000</v>
      </c>
      <c r="L10" t="s">
        <v>58</v>
      </c>
      <c r="O10">
        <v>111</v>
      </c>
      <c r="P10" t="s">
        <v>1053</v>
      </c>
      <c r="T10">
        <v>25</v>
      </c>
      <c r="V10">
        <v>50</v>
      </c>
      <c r="W10" t="s">
        <v>1054</v>
      </c>
      <c r="X10" t="s">
        <v>280</v>
      </c>
      <c r="Y10">
        <v>15</v>
      </c>
      <c r="AB10">
        <v>1.7111202586988119</v>
      </c>
      <c r="AC10" t="s">
        <v>85</v>
      </c>
      <c r="AD10">
        <v>0.08</v>
      </c>
      <c r="AE10" t="s">
        <v>63</v>
      </c>
      <c r="AI10">
        <v>3</v>
      </c>
    </row>
    <row r="11" spans="1:53" hidden="1" x14ac:dyDescent="0.3">
      <c r="A11" t="s">
        <v>1051</v>
      </c>
      <c r="C11" t="s">
        <v>1052</v>
      </c>
      <c r="D11" t="s">
        <v>81</v>
      </c>
      <c r="E11">
        <v>1300000</v>
      </c>
      <c r="L11" t="s">
        <v>58</v>
      </c>
      <c r="O11">
        <v>111</v>
      </c>
      <c r="P11" t="s">
        <v>1053</v>
      </c>
      <c r="T11">
        <v>25</v>
      </c>
      <c r="V11">
        <v>50</v>
      </c>
      <c r="W11" t="s">
        <v>1054</v>
      </c>
      <c r="X11" t="s">
        <v>280</v>
      </c>
      <c r="Y11">
        <v>20</v>
      </c>
      <c r="AB11">
        <v>2.6405104499717709</v>
      </c>
      <c r="AC11" t="s">
        <v>85</v>
      </c>
      <c r="AD11">
        <v>0.35</v>
      </c>
      <c r="AE11" t="s">
        <v>63</v>
      </c>
      <c r="AI11">
        <v>3</v>
      </c>
    </row>
    <row r="12" spans="1:53" hidden="1" x14ac:dyDescent="0.3">
      <c r="A12" t="s">
        <v>1051</v>
      </c>
      <c r="C12" t="s">
        <v>1052</v>
      </c>
      <c r="D12" t="s">
        <v>81</v>
      </c>
      <c r="E12">
        <v>1600000</v>
      </c>
      <c r="L12" t="s">
        <v>58</v>
      </c>
      <c r="O12">
        <v>111</v>
      </c>
      <c r="P12" t="s">
        <v>1053</v>
      </c>
      <c r="T12">
        <v>25</v>
      </c>
      <c r="V12">
        <v>50</v>
      </c>
      <c r="W12" t="s">
        <v>1054</v>
      </c>
      <c r="X12" t="s">
        <v>280</v>
      </c>
      <c r="Y12">
        <v>25</v>
      </c>
      <c r="AB12">
        <v>3.5829294757018282</v>
      </c>
      <c r="AC12" t="s">
        <v>85</v>
      </c>
      <c r="AD12">
        <v>0.16</v>
      </c>
      <c r="AE12" t="s">
        <v>63</v>
      </c>
      <c r="AI12">
        <v>3</v>
      </c>
    </row>
    <row r="13" spans="1:53" hidden="1" x14ac:dyDescent="0.3">
      <c r="A13" t="s">
        <v>1051</v>
      </c>
      <c r="C13" t="s">
        <v>1052</v>
      </c>
      <c r="D13" t="s">
        <v>81</v>
      </c>
      <c r="E13">
        <v>1400000</v>
      </c>
      <c r="L13" t="s">
        <v>58</v>
      </c>
      <c r="O13">
        <v>111</v>
      </c>
      <c r="P13" t="s">
        <v>1053</v>
      </c>
      <c r="T13">
        <v>25</v>
      </c>
      <c r="V13">
        <v>50</v>
      </c>
      <c r="W13" t="s">
        <v>1054</v>
      </c>
      <c r="X13" t="s">
        <v>280</v>
      </c>
      <c r="Y13">
        <v>30</v>
      </c>
      <c r="AB13">
        <v>4.4949478876986566</v>
      </c>
      <c r="AC13" t="s">
        <v>85</v>
      </c>
      <c r="AD13">
        <v>0.1</v>
      </c>
      <c r="AE13" t="s">
        <v>63</v>
      </c>
      <c r="AI13">
        <v>3</v>
      </c>
    </row>
    <row r="14" spans="1:53" hidden="1" x14ac:dyDescent="0.3">
      <c r="A14" t="s">
        <v>1051</v>
      </c>
      <c r="C14" t="s">
        <v>1052</v>
      </c>
      <c r="D14" t="s">
        <v>81</v>
      </c>
      <c r="E14">
        <v>1700000</v>
      </c>
      <c r="L14" t="s">
        <v>58</v>
      </c>
      <c r="O14">
        <v>178</v>
      </c>
      <c r="P14" t="s">
        <v>1053</v>
      </c>
      <c r="T14">
        <v>25</v>
      </c>
      <c r="V14">
        <v>50</v>
      </c>
      <c r="W14" t="s">
        <v>1054</v>
      </c>
      <c r="X14" t="s">
        <v>280</v>
      </c>
      <c r="Y14">
        <v>5</v>
      </c>
      <c r="AB14">
        <v>0.69921411586423543</v>
      </c>
      <c r="AC14" t="s">
        <v>85</v>
      </c>
      <c r="AD14">
        <v>7.0000000000000007E-2</v>
      </c>
      <c r="AE14" t="s">
        <v>63</v>
      </c>
      <c r="AI14">
        <v>3</v>
      </c>
    </row>
    <row r="15" spans="1:53" hidden="1" x14ac:dyDescent="0.3">
      <c r="A15" t="s">
        <v>1051</v>
      </c>
      <c r="C15" t="s">
        <v>1052</v>
      </c>
      <c r="D15" t="s">
        <v>81</v>
      </c>
      <c r="E15">
        <v>1300000</v>
      </c>
      <c r="L15" t="s">
        <v>58</v>
      </c>
      <c r="O15">
        <v>178</v>
      </c>
      <c r="P15" t="s">
        <v>1053</v>
      </c>
      <c r="T15">
        <v>25</v>
      </c>
      <c r="V15">
        <v>50</v>
      </c>
      <c r="W15" t="s">
        <v>1054</v>
      </c>
      <c r="X15" t="s">
        <v>280</v>
      </c>
      <c r="Y15">
        <v>10</v>
      </c>
      <c r="AB15">
        <v>1.315912280166853</v>
      </c>
      <c r="AC15" t="s">
        <v>85</v>
      </c>
      <c r="AD15">
        <v>0.14000000000000001</v>
      </c>
      <c r="AE15" t="s">
        <v>63</v>
      </c>
      <c r="AI15">
        <v>3</v>
      </c>
    </row>
    <row r="16" spans="1:53" hidden="1" x14ac:dyDescent="0.3">
      <c r="A16" t="s">
        <v>1051</v>
      </c>
      <c r="C16" t="s">
        <v>1052</v>
      </c>
      <c r="D16" t="s">
        <v>81</v>
      </c>
      <c r="E16">
        <v>1200000</v>
      </c>
      <c r="L16" t="s">
        <v>58</v>
      </c>
      <c r="O16">
        <v>178</v>
      </c>
      <c r="P16" t="s">
        <v>1053</v>
      </c>
      <c r="T16">
        <v>25</v>
      </c>
      <c r="V16">
        <v>50</v>
      </c>
      <c r="W16" t="s">
        <v>1054</v>
      </c>
      <c r="X16" t="s">
        <v>280</v>
      </c>
      <c r="Y16">
        <v>15</v>
      </c>
      <c r="AB16">
        <v>1.91523866519334</v>
      </c>
      <c r="AC16" t="s">
        <v>85</v>
      </c>
      <c r="AD16">
        <v>0.06</v>
      </c>
      <c r="AE16" t="s">
        <v>63</v>
      </c>
      <c r="AI16">
        <v>3</v>
      </c>
    </row>
    <row r="17" spans="1:48" hidden="1" x14ac:dyDescent="0.3">
      <c r="A17" t="s">
        <v>1051</v>
      </c>
      <c r="C17" t="s">
        <v>1052</v>
      </c>
      <c r="D17" t="s">
        <v>81</v>
      </c>
      <c r="E17">
        <v>1300000</v>
      </c>
      <c r="L17" t="s">
        <v>58</v>
      </c>
      <c r="O17">
        <v>178</v>
      </c>
      <c r="P17" t="s">
        <v>1053</v>
      </c>
      <c r="T17">
        <v>25</v>
      </c>
      <c r="V17">
        <v>50</v>
      </c>
      <c r="W17" t="s">
        <v>1054</v>
      </c>
      <c r="X17" t="s">
        <v>280</v>
      </c>
      <c r="Y17">
        <v>20</v>
      </c>
      <c r="AB17">
        <v>2.8663435805614621</v>
      </c>
      <c r="AC17" t="s">
        <v>85</v>
      </c>
      <c r="AD17">
        <v>0.12</v>
      </c>
      <c r="AE17" t="s">
        <v>63</v>
      </c>
      <c r="AI17">
        <v>3</v>
      </c>
    </row>
    <row r="18" spans="1:48" hidden="1" x14ac:dyDescent="0.3">
      <c r="A18" t="s">
        <v>1051</v>
      </c>
      <c r="C18" t="s">
        <v>1052</v>
      </c>
      <c r="D18" t="s">
        <v>81</v>
      </c>
      <c r="E18">
        <v>1600000</v>
      </c>
      <c r="L18" t="s">
        <v>58</v>
      </c>
      <c r="O18">
        <v>178</v>
      </c>
      <c r="P18" t="s">
        <v>1053</v>
      </c>
      <c r="T18">
        <v>25</v>
      </c>
      <c r="V18">
        <v>50</v>
      </c>
      <c r="W18" t="s">
        <v>1054</v>
      </c>
      <c r="X18" t="s">
        <v>280</v>
      </c>
      <c r="Y18">
        <v>25</v>
      </c>
      <c r="AB18">
        <v>4.1171116884428267</v>
      </c>
      <c r="AC18" t="s">
        <v>85</v>
      </c>
      <c r="AD18">
        <v>0.16</v>
      </c>
      <c r="AE18" t="s">
        <v>63</v>
      </c>
      <c r="AI18">
        <v>3</v>
      </c>
    </row>
    <row r="19" spans="1:48" hidden="1" x14ac:dyDescent="0.3">
      <c r="A19" t="s">
        <v>1051</v>
      </c>
      <c r="C19" t="s">
        <v>1052</v>
      </c>
      <c r="D19" t="s">
        <v>81</v>
      </c>
      <c r="E19">
        <v>1400000</v>
      </c>
      <c r="L19" t="s">
        <v>58</v>
      </c>
      <c r="O19">
        <v>178</v>
      </c>
      <c r="P19" t="s">
        <v>1053</v>
      </c>
      <c r="T19">
        <v>25</v>
      </c>
      <c r="V19">
        <v>50</v>
      </c>
      <c r="W19" t="s">
        <v>1054</v>
      </c>
      <c r="X19" t="s">
        <v>280</v>
      </c>
      <c r="Y19">
        <v>30</v>
      </c>
      <c r="AB19">
        <v>5.3939374652383876</v>
      </c>
      <c r="AC19" t="s">
        <v>85</v>
      </c>
      <c r="AD19">
        <v>0.12</v>
      </c>
      <c r="AE19" t="s">
        <v>63</v>
      </c>
      <c r="AI19">
        <v>3</v>
      </c>
    </row>
    <row r="20" spans="1:48" x14ac:dyDescent="0.3">
      <c r="A20" t="s">
        <v>1055</v>
      </c>
      <c r="C20" t="s">
        <v>1052</v>
      </c>
      <c r="H20">
        <v>10</v>
      </c>
      <c r="I20" t="s">
        <v>82</v>
      </c>
      <c r="J20">
        <v>9.9999999999999991E-6</v>
      </c>
      <c r="K20" t="s">
        <v>252</v>
      </c>
      <c r="L20" t="s">
        <v>58</v>
      </c>
      <c r="O20">
        <v>1690</v>
      </c>
      <c r="P20" t="s">
        <v>1056</v>
      </c>
      <c r="T20">
        <v>25</v>
      </c>
      <c r="V20">
        <v>50</v>
      </c>
      <c r="W20" t="s">
        <v>1057</v>
      </c>
      <c r="X20" t="s">
        <v>1058</v>
      </c>
      <c r="Y20">
        <v>1.666666666666667E-2</v>
      </c>
      <c r="AB20">
        <v>3.5</v>
      </c>
      <c r="AC20" t="s">
        <v>85</v>
      </c>
      <c r="AI20">
        <v>3</v>
      </c>
      <c r="AV20" t="s">
        <v>256</v>
      </c>
    </row>
    <row r="21" spans="1:48" x14ac:dyDescent="0.3">
      <c r="A21" t="s">
        <v>1055</v>
      </c>
      <c r="C21" t="s">
        <v>1052</v>
      </c>
      <c r="H21">
        <v>10</v>
      </c>
      <c r="I21" t="s">
        <v>82</v>
      </c>
      <c r="J21">
        <v>9.9999999999999991E-6</v>
      </c>
      <c r="K21" t="s">
        <v>252</v>
      </c>
      <c r="L21" t="s">
        <v>58</v>
      </c>
      <c r="O21">
        <v>1690</v>
      </c>
      <c r="P21" t="s">
        <v>1056</v>
      </c>
      <c r="T21">
        <v>25</v>
      </c>
      <c r="V21">
        <v>50</v>
      </c>
      <c r="W21" t="s">
        <v>1057</v>
      </c>
      <c r="X21" t="s">
        <v>1058</v>
      </c>
      <c r="Y21">
        <v>3.3333333333333333E-2</v>
      </c>
      <c r="AB21">
        <v>3.5</v>
      </c>
      <c r="AC21" t="s">
        <v>85</v>
      </c>
      <c r="AI21">
        <v>3</v>
      </c>
      <c r="AV21" t="s">
        <v>256</v>
      </c>
    </row>
    <row r="22" spans="1:48" x14ac:dyDescent="0.3">
      <c r="A22" t="s">
        <v>1055</v>
      </c>
      <c r="C22" t="s">
        <v>1052</v>
      </c>
      <c r="H22">
        <v>10</v>
      </c>
      <c r="I22" t="s">
        <v>82</v>
      </c>
      <c r="J22">
        <v>9.9999999999999991E-6</v>
      </c>
      <c r="K22" t="s">
        <v>252</v>
      </c>
      <c r="L22" t="s">
        <v>58</v>
      </c>
      <c r="O22">
        <v>1690</v>
      </c>
      <c r="P22" t="s">
        <v>1056</v>
      </c>
      <c r="T22">
        <v>25</v>
      </c>
      <c r="V22">
        <v>50</v>
      </c>
      <c r="W22" t="s">
        <v>1057</v>
      </c>
      <c r="X22" t="s">
        <v>1058</v>
      </c>
      <c r="Y22">
        <v>6.6666666666666666E-2</v>
      </c>
      <c r="AB22">
        <v>3.5</v>
      </c>
      <c r="AC22" t="s">
        <v>85</v>
      </c>
      <c r="AI22">
        <v>3</v>
      </c>
      <c r="AV22" t="s">
        <v>256</v>
      </c>
    </row>
    <row r="23" spans="1:48" x14ac:dyDescent="0.3">
      <c r="A23" t="s">
        <v>1055</v>
      </c>
      <c r="C23" t="s">
        <v>1052</v>
      </c>
      <c r="H23">
        <v>10</v>
      </c>
      <c r="I23" t="s">
        <v>82</v>
      </c>
      <c r="J23">
        <v>9.9999999999999991E-6</v>
      </c>
      <c r="K23" t="s">
        <v>252</v>
      </c>
      <c r="L23" t="s">
        <v>58</v>
      </c>
      <c r="O23">
        <v>1690</v>
      </c>
      <c r="P23" t="s">
        <v>1056</v>
      </c>
      <c r="T23">
        <v>25</v>
      </c>
      <c r="V23">
        <v>50</v>
      </c>
      <c r="W23" t="s">
        <v>1057</v>
      </c>
      <c r="X23" t="s">
        <v>1058</v>
      </c>
      <c r="Y23">
        <v>1.666666666666667E-2</v>
      </c>
      <c r="AB23">
        <v>1</v>
      </c>
      <c r="AC23" t="s">
        <v>85</v>
      </c>
      <c r="AI23">
        <v>3</v>
      </c>
      <c r="AV23" t="s">
        <v>256</v>
      </c>
    </row>
    <row r="24" spans="1:48" x14ac:dyDescent="0.3">
      <c r="A24" t="s">
        <v>1055</v>
      </c>
      <c r="C24" t="s">
        <v>1052</v>
      </c>
      <c r="H24">
        <v>10</v>
      </c>
      <c r="I24" t="s">
        <v>82</v>
      </c>
      <c r="J24">
        <v>9.9999999999999991E-6</v>
      </c>
      <c r="K24" t="s">
        <v>252</v>
      </c>
      <c r="L24" t="s">
        <v>58</v>
      </c>
      <c r="O24">
        <v>1690</v>
      </c>
      <c r="P24" t="s">
        <v>1056</v>
      </c>
      <c r="T24">
        <v>25</v>
      </c>
      <c r="V24">
        <v>50</v>
      </c>
      <c r="W24" t="s">
        <v>1057</v>
      </c>
      <c r="X24" t="s">
        <v>1058</v>
      </c>
      <c r="Y24">
        <v>3.3333333333333333E-2</v>
      </c>
      <c r="AB24">
        <v>1</v>
      </c>
      <c r="AC24" t="s">
        <v>85</v>
      </c>
      <c r="AI24">
        <v>3</v>
      </c>
      <c r="AV24" t="s">
        <v>256</v>
      </c>
    </row>
    <row r="25" spans="1:48" x14ac:dyDescent="0.3">
      <c r="A25" t="s">
        <v>1055</v>
      </c>
      <c r="C25" t="s">
        <v>1052</v>
      </c>
      <c r="H25">
        <v>10</v>
      </c>
      <c r="I25" t="s">
        <v>82</v>
      </c>
      <c r="J25">
        <v>9.9999999999999991E-6</v>
      </c>
      <c r="K25" t="s">
        <v>252</v>
      </c>
      <c r="L25" t="s">
        <v>58</v>
      </c>
      <c r="O25">
        <v>1690</v>
      </c>
      <c r="P25" t="s">
        <v>1056</v>
      </c>
      <c r="T25">
        <v>25</v>
      </c>
      <c r="V25">
        <v>50</v>
      </c>
      <c r="W25" t="s">
        <v>1057</v>
      </c>
      <c r="X25" t="s">
        <v>1058</v>
      </c>
      <c r="Y25">
        <v>6.6666666666666666E-2</v>
      </c>
      <c r="AB25">
        <v>1</v>
      </c>
      <c r="AC25" t="s">
        <v>85</v>
      </c>
      <c r="AI25">
        <v>3</v>
      </c>
      <c r="AV25" t="s">
        <v>256</v>
      </c>
    </row>
    <row r="26" spans="1:48" hidden="1" x14ac:dyDescent="0.3">
      <c r="A26" t="s">
        <v>270</v>
      </c>
      <c r="C26" t="s">
        <v>1052</v>
      </c>
      <c r="O26">
        <v>0</v>
      </c>
      <c r="T26">
        <v>40</v>
      </c>
      <c r="V26">
        <v>50</v>
      </c>
      <c r="W26" t="s">
        <v>273</v>
      </c>
      <c r="X26" t="s">
        <v>1059</v>
      </c>
      <c r="Y26">
        <v>10</v>
      </c>
      <c r="AB26">
        <v>5.4129376421371802</v>
      </c>
      <c r="AC26" t="s">
        <v>210</v>
      </c>
      <c r="AI26">
        <v>3</v>
      </c>
      <c r="AJ26" t="s">
        <v>201</v>
      </c>
      <c r="AO26">
        <v>0</v>
      </c>
    </row>
    <row r="27" spans="1:48" hidden="1" x14ac:dyDescent="0.3">
      <c r="A27" t="s">
        <v>270</v>
      </c>
      <c r="C27" t="s">
        <v>1052</v>
      </c>
      <c r="O27">
        <v>0</v>
      </c>
      <c r="T27">
        <v>40</v>
      </c>
      <c r="V27">
        <v>50</v>
      </c>
      <c r="W27" t="s">
        <v>271</v>
      </c>
      <c r="X27" t="s">
        <v>1059</v>
      </c>
      <c r="Y27">
        <v>10</v>
      </c>
      <c r="AB27">
        <v>5.85262655473508</v>
      </c>
      <c r="AC27" t="s">
        <v>210</v>
      </c>
      <c r="AI27">
        <v>3</v>
      </c>
    </row>
    <row r="28" spans="1:48" hidden="1" x14ac:dyDescent="0.3">
      <c r="A28" t="s">
        <v>270</v>
      </c>
      <c r="C28" t="s">
        <v>1052</v>
      </c>
      <c r="O28">
        <v>0</v>
      </c>
      <c r="T28">
        <v>40</v>
      </c>
      <c r="V28">
        <v>50</v>
      </c>
      <c r="W28" t="s">
        <v>275</v>
      </c>
      <c r="X28" t="s">
        <v>1059</v>
      </c>
      <c r="Y28">
        <v>10</v>
      </c>
      <c r="AB28">
        <v>3.3563916107476701</v>
      </c>
      <c r="AC28" t="s">
        <v>210</v>
      </c>
      <c r="AI28">
        <v>3</v>
      </c>
      <c r="AT28" t="s">
        <v>150</v>
      </c>
    </row>
    <row r="29" spans="1:48" hidden="1" x14ac:dyDescent="0.3">
      <c r="A29" t="s">
        <v>270</v>
      </c>
      <c r="C29" t="s">
        <v>1052</v>
      </c>
      <c r="O29">
        <v>0</v>
      </c>
      <c r="T29">
        <v>40</v>
      </c>
      <c r="V29">
        <v>50</v>
      </c>
      <c r="W29" t="s">
        <v>274</v>
      </c>
      <c r="X29" t="s">
        <v>1059</v>
      </c>
      <c r="Y29">
        <v>10</v>
      </c>
      <c r="AB29">
        <v>4.40986045989274</v>
      </c>
      <c r="AC29" t="s">
        <v>210</v>
      </c>
      <c r="AI29">
        <v>3</v>
      </c>
      <c r="AT29" t="s">
        <v>150</v>
      </c>
    </row>
    <row r="30" spans="1:48" hidden="1" x14ac:dyDescent="0.3">
      <c r="A30" t="s">
        <v>1060</v>
      </c>
      <c r="C30" t="s">
        <v>1052</v>
      </c>
      <c r="D30" t="s">
        <v>260</v>
      </c>
      <c r="E30">
        <v>69183097.091893628</v>
      </c>
      <c r="H30">
        <v>30</v>
      </c>
      <c r="I30" t="s">
        <v>409</v>
      </c>
      <c r="O30">
        <v>5</v>
      </c>
      <c r="P30" t="s">
        <v>1061</v>
      </c>
      <c r="T30">
        <v>25</v>
      </c>
      <c r="V30">
        <v>50</v>
      </c>
      <c r="W30" t="s">
        <v>1062</v>
      </c>
      <c r="X30" t="s">
        <v>1058</v>
      </c>
      <c r="Y30">
        <v>9</v>
      </c>
      <c r="AB30">
        <v>7.16</v>
      </c>
      <c r="AC30" t="s">
        <v>62</v>
      </c>
      <c r="AD30">
        <v>0.08</v>
      </c>
      <c r="AE30" t="s">
        <v>63</v>
      </c>
      <c r="AI30">
        <v>3</v>
      </c>
      <c r="AJ30" t="s">
        <v>1063</v>
      </c>
      <c r="AV30" t="s">
        <v>412</v>
      </c>
    </row>
    <row r="31" spans="1:48" hidden="1" x14ac:dyDescent="0.3">
      <c r="A31" t="s">
        <v>1060</v>
      </c>
      <c r="C31" t="s">
        <v>1052</v>
      </c>
      <c r="D31" t="s">
        <v>260</v>
      </c>
      <c r="E31">
        <v>69183097.091893628</v>
      </c>
      <c r="H31">
        <v>30</v>
      </c>
      <c r="I31" t="s">
        <v>409</v>
      </c>
      <c r="O31">
        <v>11</v>
      </c>
      <c r="P31" t="s">
        <v>1061</v>
      </c>
      <c r="T31">
        <v>25</v>
      </c>
      <c r="V31">
        <v>50</v>
      </c>
      <c r="W31" t="s">
        <v>1062</v>
      </c>
      <c r="X31" t="s">
        <v>1058</v>
      </c>
      <c r="Y31">
        <v>8</v>
      </c>
      <c r="AB31">
        <v>6.95</v>
      </c>
      <c r="AC31" t="s">
        <v>62</v>
      </c>
      <c r="AD31">
        <v>0.06</v>
      </c>
      <c r="AE31" t="s">
        <v>63</v>
      </c>
      <c r="AI31">
        <v>3</v>
      </c>
      <c r="AJ31" t="s">
        <v>1063</v>
      </c>
      <c r="AV31" t="s">
        <v>412</v>
      </c>
    </row>
    <row r="32" spans="1:48" hidden="1" x14ac:dyDescent="0.3">
      <c r="A32" t="s">
        <v>1060</v>
      </c>
      <c r="C32" t="s">
        <v>1052</v>
      </c>
      <c r="D32" t="s">
        <v>260</v>
      </c>
      <c r="E32">
        <v>69183097.091893628</v>
      </c>
      <c r="H32">
        <v>30</v>
      </c>
      <c r="I32" t="s">
        <v>409</v>
      </c>
      <c r="O32">
        <v>5</v>
      </c>
      <c r="P32" t="s">
        <v>1061</v>
      </c>
      <c r="T32">
        <v>25</v>
      </c>
      <c r="V32">
        <v>50</v>
      </c>
      <c r="W32" t="s">
        <v>1064</v>
      </c>
      <c r="X32" t="s">
        <v>1058</v>
      </c>
      <c r="Y32">
        <v>10</v>
      </c>
      <c r="AB32">
        <v>7.01</v>
      </c>
      <c r="AC32" t="s">
        <v>62</v>
      </c>
      <c r="AD32">
        <v>0.45</v>
      </c>
      <c r="AE32" t="s">
        <v>63</v>
      </c>
      <c r="AI32">
        <v>3</v>
      </c>
      <c r="AJ32" t="s">
        <v>1063</v>
      </c>
      <c r="AV32" t="s">
        <v>412</v>
      </c>
    </row>
    <row r="33" spans="1:53" hidden="1" x14ac:dyDescent="0.3">
      <c r="A33" t="s">
        <v>1060</v>
      </c>
      <c r="C33" t="s">
        <v>1052</v>
      </c>
      <c r="D33" t="s">
        <v>260</v>
      </c>
      <c r="E33">
        <v>69183097.091893628</v>
      </c>
      <c r="H33">
        <v>30</v>
      </c>
      <c r="I33" t="s">
        <v>409</v>
      </c>
      <c r="O33">
        <v>11</v>
      </c>
      <c r="P33" t="s">
        <v>1061</v>
      </c>
      <c r="T33">
        <v>25</v>
      </c>
      <c r="V33">
        <v>50</v>
      </c>
      <c r="W33" t="s">
        <v>1064</v>
      </c>
      <c r="X33" t="s">
        <v>1058</v>
      </c>
      <c r="Y33">
        <v>9</v>
      </c>
      <c r="AB33">
        <v>6.23</v>
      </c>
      <c r="AC33" t="s">
        <v>62</v>
      </c>
      <c r="AD33">
        <v>0.3</v>
      </c>
      <c r="AE33" t="s">
        <v>63</v>
      </c>
      <c r="AI33">
        <v>3</v>
      </c>
      <c r="AJ33" t="s">
        <v>1063</v>
      </c>
      <c r="AV33" t="s">
        <v>412</v>
      </c>
    </row>
    <row r="34" spans="1:53" hidden="1" x14ac:dyDescent="0.3">
      <c r="A34" t="s">
        <v>1060</v>
      </c>
      <c r="C34" t="s">
        <v>1052</v>
      </c>
      <c r="D34" t="s">
        <v>260</v>
      </c>
      <c r="E34">
        <v>69183097.091893628</v>
      </c>
      <c r="H34">
        <v>30</v>
      </c>
      <c r="I34" t="s">
        <v>409</v>
      </c>
      <c r="O34">
        <v>5</v>
      </c>
      <c r="P34" t="s">
        <v>1061</v>
      </c>
      <c r="T34">
        <v>25</v>
      </c>
      <c r="V34">
        <v>50</v>
      </c>
      <c r="W34" t="s">
        <v>1065</v>
      </c>
      <c r="X34" t="s">
        <v>1058</v>
      </c>
      <c r="Y34">
        <v>28</v>
      </c>
      <c r="AB34">
        <v>6.98</v>
      </c>
      <c r="AC34" t="s">
        <v>62</v>
      </c>
      <c r="AD34">
        <v>0.19</v>
      </c>
      <c r="AE34" t="s">
        <v>63</v>
      </c>
      <c r="AI34">
        <v>3</v>
      </c>
      <c r="AJ34" t="s">
        <v>1063</v>
      </c>
      <c r="AV34" t="s">
        <v>412</v>
      </c>
    </row>
    <row r="35" spans="1:53" hidden="1" x14ac:dyDescent="0.3">
      <c r="A35" t="s">
        <v>1060</v>
      </c>
      <c r="C35" t="s">
        <v>1052</v>
      </c>
      <c r="D35" t="s">
        <v>260</v>
      </c>
      <c r="E35">
        <v>69183097.091893628</v>
      </c>
      <c r="H35">
        <v>30</v>
      </c>
      <c r="I35" t="s">
        <v>409</v>
      </c>
      <c r="O35">
        <v>5</v>
      </c>
      <c r="P35" t="s">
        <v>1061</v>
      </c>
      <c r="T35">
        <v>25</v>
      </c>
      <c r="V35">
        <v>50</v>
      </c>
      <c r="W35" t="s">
        <v>1066</v>
      </c>
      <c r="X35" t="s">
        <v>1058</v>
      </c>
      <c r="Y35">
        <v>28</v>
      </c>
      <c r="AB35">
        <v>2.11</v>
      </c>
      <c r="AC35" t="s">
        <v>62</v>
      </c>
      <c r="AD35">
        <v>0.38</v>
      </c>
      <c r="AE35" t="s">
        <v>63</v>
      </c>
      <c r="AI35">
        <v>3</v>
      </c>
      <c r="AJ35" t="s">
        <v>1063</v>
      </c>
      <c r="AV35" t="s">
        <v>412</v>
      </c>
    </row>
    <row r="36" spans="1:53" hidden="1" x14ac:dyDescent="0.3">
      <c r="A36" t="s">
        <v>1060</v>
      </c>
      <c r="C36" t="s">
        <v>1052</v>
      </c>
      <c r="D36" t="s">
        <v>260</v>
      </c>
      <c r="E36">
        <v>69183097.091893628</v>
      </c>
      <c r="H36">
        <v>30</v>
      </c>
      <c r="I36" t="s">
        <v>409</v>
      </c>
      <c r="O36">
        <v>5</v>
      </c>
      <c r="P36" t="s">
        <v>1061</v>
      </c>
      <c r="T36">
        <v>25</v>
      </c>
      <c r="V36">
        <v>50</v>
      </c>
      <c r="W36" t="s">
        <v>1067</v>
      </c>
      <c r="X36" t="s">
        <v>1058</v>
      </c>
      <c r="Y36">
        <v>28</v>
      </c>
      <c r="AB36">
        <v>6.05</v>
      </c>
      <c r="AC36" t="s">
        <v>62</v>
      </c>
      <c r="AD36">
        <v>0.27</v>
      </c>
      <c r="AE36" t="s">
        <v>63</v>
      </c>
      <c r="AI36">
        <v>3</v>
      </c>
      <c r="AJ36" t="s">
        <v>1063</v>
      </c>
      <c r="AV36" t="s">
        <v>412</v>
      </c>
    </row>
    <row r="37" spans="1:53" hidden="1" x14ac:dyDescent="0.3">
      <c r="A37" t="s">
        <v>1060</v>
      </c>
      <c r="C37" t="s">
        <v>1052</v>
      </c>
      <c r="D37" t="s">
        <v>260</v>
      </c>
      <c r="E37">
        <v>69183097.091893628</v>
      </c>
      <c r="H37">
        <v>30</v>
      </c>
      <c r="I37" t="s">
        <v>409</v>
      </c>
      <c r="O37">
        <v>11</v>
      </c>
      <c r="P37" t="s">
        <v>1061</v>
      </c>
      <c r="T37">
        <v>25</v>
      </c>
      <c r="V37">
        <v>50</v>
      </c>
      <c r="W37" t="s">
        <v>1065</v>
      </c>
      <c r="X37" t="s">
        <v>1058</v>
      </c>
      <c r="Y37">
        <v>15</v>
      </c>
      <c r="AB37">
        <v>6.5</v>
      </c>
      <c r="AC37" t="s">
        <v>62</v>
      </c>
      <c r="AD37">
        <v>0.42</v>
      </c>
      <c r="AE37" t="s">
        <v>63</v>
      </c>
      <c r="AI37">
        <v>3</v>
      </c>
      <c r="AJ37" t="s">
        <v>1063</v>
      </c>
      <c r="AV37" t="s">
        <v>412</v>
      </c>
    </row>
    <row r="38" spans="1:53" hidden="1" x14ac:dyDescent="0.3">
      <c r="A38" t="s">
        <v>1060</v>
      </c>
      <c r="C38" t="s">
        <v>1052</v>
      </c>
      <c r="D38" t="s">
        <v>260</v>
      </c>
      <c r="E38">
        <v>69183097.091893628</v>
      </c>
      <c r="H38">
        <v>30</v>
      </c>
      <c r="I38" t="s">
        <v>409</v>
      </c>
      <c r="O38">
        <v>11</v>
      </c>
      <c r="P38" t="s">
        <v>1061</v>
      </c>
      <c r="T38">
        <v>25</v>
      </c>
      <c r="V38">
        <v>50</v>
      </c>
      <c r="W38" t="s">
        <v>1066</v>
      </c>
      <c r="X38" t="s">
        <v>1058</v>
      </c>
      <c r="Y38">
        <v>15</v>
      </c>
      <c r="AA38" t="s">
        <v>128</v>
      </c>
      <c r="AB38">
        <v>1</v>
      </c>
      <c r="AC38" t="s">
        <v>62</v>
      </c>
      <c r="AI38">
        <v>3</v>
      </c>
      <c r="AJ38" t="s">
        <v>1063</v>
      </c>
      <c r="AV38" t="s">
        <v>412</v>
      </c>
      <c r="AZ38">
        <v>0</v>
      </c>
    </row>
    <row r="39" spans="1:53" hidden="1" x14ac:dyDescent="0.3">
      <c r="A39" t="s">
        <v>1060</v>
      </c>
      <c r="C39" t="s">
        <v>1052</v>
      </c>
      <c r="D39" t="s">
        <v>260</v>
      </c>
      <c r="E39">
        <v>69183097.091893628</v>
      </c>
      <c r="H39">
        <v>30</v>
      </c>
      <c r="I39" t="s">
        <v>409</v>
      </c>
      <c r="O39">
        <v>11</v>
      </c>
      <c r="P39" t="s">
        <v>1061</v>
      </c>
      <c r="T39">
        <v>25</v>
      </c>
      <c r="V39">
        <v>50</v>
      </c>
      <c r="W39" t="s">
        <v>1067</v>
      </c>
      <c r="X39" t="s">
        <v>1058</v>
      </c>
      <c r="Y39">
        <v>15</v>
      </c>
      <c r="AB39">
        <v>5.71</v>
      </c>
      <c r="AC39" t="s">
        <v>62</v>
      </c>
      <c r="AD39">
        <v>0.17</v>
      </c>
      <c r="AE39" t="s">
        <v>63</v>
      </c>
      <c r="AI39">
        <v>3</v>
      </c>
      <c r="AJ39" t="s">
        <v>1063</v>
      </c>
      <c r="AV39" t="s">
        <v>412</v>
      </c>
    </row>
    <row r="40" spans="1:53" hidden="1" x14ac:dyDescent="0.3">
      <c r="A40" t="s">
        <v>1068</v>
      </c>
      <c r="C40" t="s">
        <v>1052</v>
      </c>
      <c r="T40">
        <v>25</v>
      </c>
      <c r="V40">
        <v>50</v>
      </c>
      <c r="W40" t="s">
        <v>1069</v>
      </c>
      <c r="X40" t="s">
        <v>255</v>
      </c>
      <c r="Y40">
        <v>25</v>
      </c>
      <c r="AB40">
        <v>0.65</v>
      </c>
      <c r="AC40" t="s">
        <v>1070</v>
      </c>
      <c r="AD40" t="s">
        <v>1071</v>
      </c>
      <c r="AE40" t="s">
        <v>1072</v>
      </c>
      <c r="AO40">
        <v>25</v>
      </c>
      <c r="AP40" t="s">
        <v>1073</v>
      </c>
    </row>
    <row r="41" spans="1:53" hidden="1" x14ac:dyDescent="0.3">
      <c r="A41" t="s">
        <v>1068</v>
      </c>
      <c r="C41" t="s">
        <v>1052</v>
      </c>
      <c r="T41">
        <v>25</v>
      </c>
      <c r="V41">
        <v>50</v>
      </c>
      <c r="W41" t="s">
        <v>1069</v>
      </c>
      <c r="X41" t="s">
        <v>1074</v>
      </c>
      <c r="Y41">
        <v>63</v>
      </c>
      <c r="AB41">
        <v>0.85</v>
      </c>
      <c r="AC41" t="s">
        <v>1070</v>
      </c>
      <c r="AD41" t="s">
        <v>1075</v>
      </c>
      <c r="AE41" t="s">
        <v>1072</v>
      </c>
      <c r="AO41">
        <v>63</v>
      </c>
      <c r="AP41" t="s">
        <v>1073</v>
      </c>
    </row>
    <row r="42" spans="1:53" hidden="1" x14ac:dyDescent="0.3">
      <c r="A42" t="s">
        <v>1076</v>
      </c>
      <c r="C42" t="s">
        <v>1052</v>
      </c>
      <c r="D42" t="s">
        <v>81</v>
      </c>
      <c r="E42">
        <v>10000000</v>
      </c>
      <c r="H42">
        <v>0.6</v>
      </c>
      <c r="I42" t="s">
        <v>56</v>
      </c>
      <c r="J42">
        <v>6.0000000000000002E-5</v>
      </c>
      <c r="K42" t="s">
        <v>57</v>
      </c>
      <c r="O42">
        <v>1.47</v>
      </c>
      <c r="P42" t="s">
        <v>1077</v>
      </c>
      <c r="T42">
        <v>31</v>
      </c>
      <c r="V42">
        <v>50</v>
      </c>
      <c r="W42" t="s">
        <v>1078</v>
      </c>
      <c r="X42" t="s">
        <v>1079</v>
      </c>
      <c r="Y42">
        <v>0</v>
      </c>
      <c r="AB42">
        <v>7.1016042780748601</v>
      </c>
      <c r="AC42" t="s">
        <v>62</v>
      </c>
      <c r="AH42">
        <v>7.1016042780748601</v>
      </c>
      <c r="AI42" t="s">
        <v>1080</v>
      </c>
      <c r="AV42" t="s">
        <v>88</v>
      </c>
      <c r="BA42">
        <v>7.1016042780748601</v>
      </c>
    </row>
    <row r="43" spans="1:53" hidden="1" x14ac:dyDescent="0.3">
      <c r="A43" t="s">
        <v>1076</v>
      </c>
      <c r="C43" t="s">
        <v>1052</v>
      </c>
      <c r="D43" t="s">
        <v>81</v>
      </c>
      <c r="E43">
        <v>10000000</v>
      </c>
      <c r="H43">
        <v>0.6</v>
      </c>
      <c r="I43" t="s">
        <v>56</v>
      </c>
      <c r="J43">
        <v>6.0000000000000002E-5</v>
      </c>
      <c r="K43" t="s">
        <v>57</v>
      </c>
      <c r="O43">
        <v>1.47</v>
      </c>
      <c r="P43" t="s">
        <v>1077</v>
      </c>
      <c r="T43">
        <v>31</v>
      </c>
      <c r="V43">
        <v>50</v>
      </c>
      <c r="W43" t="s">
        <v>1078</v>
      </c>
      <c r="X43" t="s">
        <v>1079</v>
      </c>
      <c r="Y43">
        <v>19.946380697050891</v>
      </c>
      <c r="AB43">
        <v>6.9251336898395701</v>
      </c>
      <c r="AC43" t="s">
        <v>62</v>
      </c>
      <c r="AH43">
        <v>7.1016042780748601</v>
      </c>
      <c r="AI43" t="s">
        <v>1080</v>
      </c>
      <c r="AV43" t="s">
        <v>88</v>
      </c>
      <c r="BA43">
        <v>7.1016042780748601</v>
      </c>
    </row>
    <row r="44" spans="1:53" hidden="1" x14ac:dyDescent="0.3">
      <c r="A44" t="s">
        <v>1076</v>
      </c>
      <c r="C44" t="s">
        <v>1052</v>
      </c>
      <c r="D44" t="s">
        <v>81</v>
      </c>
      <c r="E44">
        <v>10000000</v>
      </c>
      <c r="H44">
        <v>0.6</v>
      </c>
      <c r="I44" t="s">
        <v>56</v>
      </c>
      <c r="J44">
        <v>6.0000000000000002E-5</v>
      </c>
      <c r="K44" t="s">
        <v>57</v>
      </c>
      <c r="O44">
        <v>1.47</v>
      </c>
      <c r="P44" t="s">
        <v>1077</v>
      </c>
      <c r="T44">
        <v>31</v>
      </c>
      <c r="V44">
        <v>50</v>
      </c>
      <c r="W44" t="s">
        <v>1078</v>
      </c>
      <c r="X44" t="s">
        <v>1079</v>
      </c>
      <c r="Y44">
        <v>40</v>
      </c>
      <c r="AB44">
        <v>6.8288770053475902</v>
      </c>
      <c r="AC44" t="s">
        <v>62</v>
      </c>
      <c r="AH44">
        <v>7.1016042780748601</v>
      </c>
      <c r="AI44" t="s">
        <v>1080</v>
      </c>
      <c r="AV44" t="s">
        <v>88</v>
      </c>
      <c r="BA44">
        <v>7.1016042780748601</v>
      </c>
    </row>
    <row r="45" spans="1:53" hidden="1" x14ac:dyDescent="0.3">
      <c r="A45" t="s">
        <v>1076</v>
      </c>
      <c r="C45" t="s">
        <v>1052</v>
      </c>
      <c r="D45" t="s">
        <v>81</v>
      </c>
      <c r="E45">
        <v>10000000</v>
      </c>
      <c r="H45">
        <v>0.6</v>
      </c>
      <c r="I45" t="s">
        <v>56</v>
      </c>
      <c r="J45">
        <v>6.0000000000000002E-5</v>
      </c>
      <c r="K45" t="s">
        <v>57</v>
      </c>
      <c r="O45">
        <v>1.47</v>
      </c>
      <c r="P45" t="s">
        <v>1077</v>
      </c>
      <c r="T45">
        <v>31</v>
      </c>
      <c r="V45">
        <v>50</v>
      </c>
      <c r="W45" t="s">
        <v>1078</v>
      </c>
      <c r="X45" t="s">
        <v>1079</v>
      </c>
      <c r="Y45">
        <v>60.160857908847099</v>
      </c>
      <c r="AB45">
        <v>6.7807486631016003</v>
      </c>
      <c r="AC45" t="s">
        <v>62</v>
      </c>
      <c r="AH45">
        <v>7.1016042780748601</v>
      </c>
      <c r="AI45" t="s">
        <v>1080</v>
      </c>
      <c r="AV45" t="s">
        <v>88</v>
      </c>
      <c r="BA45">
        <v>7.1016042780748601</v>
      </c>
    </row>
    <row r="46" spans="1:53" hidden="1" x14ac:dyDescent="0.3">
      <c r="A46" t="s">
        <v>1076</v>
      </c>
      <c r="C46" t="s">
        <v>1052</v>
      </c>
      <c r="D46" t="s">
        <v>81</v>
      </c>
      <c r="E46">
        <v>10000000</v>
      </c>
      <c r="H46">
        <v>0.6</v>
      </c>
      <c r="I46" t="s">
        <v>56</v>
      </c>
      <c r="J46">
        <v>6.0000000000000002E-5</v>
      </c>
      <c r="K46" t="s">
        <v>57</v>
      </c>
      <c r="O46">
        <v>4.21</v>
      </c>
      <c r="P46" t="s">
        <v>1077</v>
      </c>
      <c r="T46">
        <v>43</v>
      </c>
      <c r="V46">
        <v>50</v>
      </c>
      <c r="W46" t="s">
        <v>1078</v>
      </c>
      <c r="X46" t="s">
        <v>1079</v>
      </c>
      <c r="Y46">
        <v>0</v>
      </c>
      <c r="AB46">
        <v>7.1016042780748601</v>
      </c>
      <c r="AC46" t="s">
        <v>62</v>
      </c>
      <c r="AH46">
        <v>7.1016042780748601</v>
      </c>
      <c r="AI46" t="s">
        <v>1080</v>
      </c>
      <c r="AV46" t="s">
        <v>88</v>
      </c>
      <c r="BA46">
        <v>7.1016042780748601</v>
      </c>
    </row>
    <row r="47" spans="1:53" hidden="1" x14ac:dyDescent="0.3">
      <c r="A47" t="s">
        <v>1076</v>
      </c>
      <c r="C47" t="s">
        <v>1052</v>
      </c>
      <c r="D47" t="s">
        <v>81</v>
      </c>
      <c r="E47">
        <v>10000000</v>
      </c>
      <c r="H47">
        <v>0.6</v>
      </c>
      <c r="I47" t="s">
        <v>56</v>
      </c>
      <c r="J47">
        <v>6.0000000000000002E-5</v>
      </c>
      <c r="K47" t="s">
        <v>57</v>
      </c>
      <c r="O47">
        <v>4.21</v>
      </c>
      <c r="P47" t="s">
        <v>1077</v>
      </c>
      <c r="T47">
        <v>43</v>
      </c>
      <c r="V47">
        <v>50</v>
      </c>
      <c r="W47" t="s">
        <v>1078</v>
      </c>
      <c r="X47" t="s">
        <v>1079</v>
      </c>
      <c r="Y47">
        <v>20.053619302948999</v>
      </c>
      <c r="AB47">
        <v>6.6684491978609604</v>
      </c>
      <c r="AC47" t="s">
        <v>62</v>
      </c>
      <c r="AH47">
        <v>7.1016042780748601</v>
      </c>
      <c r="AI47" t="s">
        <v>1080</v>
      </c>
      <c r="AV47" t="s">
        <v>88</v>
      </c>
      <c r="BA47">
        <v>7.1016042780748601</v>
      </c>
    </row>
    <row r="48" spans="1:53" hidden="1" x14ac:dyDescent="0.3">
      <c r="A48" t="s">
        <v>1076</v>
      </c>
      <c r="C48" t="s">
        <v>1052</v>
      </c>
      <c r="D48" t="s">
        <v>81</v>
      </c>
      <c r="E48">
        <v>10000000</v>
      </c>
      <c r="H48">
        <v>0.6</v>
      </c>
      <c r="I48" t="s">
        <v>56</v>
      </c>
      <c r="J48">
        <v>6.0000000000000002E-5</v>
      </c>
      <c r="K48" t="s">
        <v>57</v>
      </c>
      <c r="O48">
        <v>4.21</v>
      </c>
      <c r="P48" t="s">
        <v>1077</v>
      </c>
      <c r="T48">
        <v>43</v>
      </c>
      <c r="V48">
        <v>50</v>
      </c>
      <c r="W48" t="s">
        <v>1078</v>
      </c>
      <c r="X48" t="s">
        <v>1079</v>
      </c>
      <c r="Y48">
        <v>40.107238605898097</v>
      </c>
      <c r="AB48">
        <v>6.4919786096256598</v>
      </c>
      <c r="AC48" t="s">
        <v>62</v>
      </c>
      <c r="AH48">
        <v>7.1016042780748601</v>
      </c>
      <c r="AI48" t="s">
        <v>1080</v>
      </c>
      <c r="AV48" t="s">
        <v>88</v>
      </c>
      <c r="BA48">
        <v>7.1016042780748601</v>
      </c>
    </row>
    <row r="49" spans="1:53" hidden="1" x14ac:dyDescent="0.3">
      <c r="A49" t="s">
        <v>1076</v>
      </c>
      <c r="C49" t="s">
        <v>1052</v>
      </c>
      <c r="D49" t="s">
        <v>81</v>
      </c>
      <c r="E49">
        <v>10000000</v>
      </c>
      <c r="H49">
        <v>0.6</v>
      </c>
      <c r="I49" t="s">
        <v>56</v>
      </c>
      <c r="J49">
        <v>6.0000000000000002E-5</v>
      </c>
      <c r="K49" t="s">
        <v>57</v>
      </c>
      <c r="O49">
        <v>4.21</v>
      </c>
      <c r="P49" t="s">
        <v>1077</v>
      </c>
      <c r="T49">
        <v>43</v>
      </c>
      <c r="V49">
        <v>50</v>
      </c>
      <c r="W49" t="s">
        <v>1078</v>
      </c>
      <c r="X49" t="s">
        <v>1079</v>
      </c>
      <c r="Y49">
        <v>59.946380697050898</v>
      </c>
      <c r="AB49">
        <v>6.3475935828876997</v>
      </c>
      <c r="AC49" t="s">
        <v>62</v>
      </c>
      <c r="AH49">
        <v>7.1016042780748601</v>
      </c>
      <c r="AI49" t="s">
        <v>1080</v>
      </c>
      <c r="AV49" t="s">
        <v>88</v>
      </c>
      <c r="BA49">
        <v>7.1016042780748601</v>
      </c>
    </row>
    <row r="50" spans="1:53" hidden="1" x14ac:dyDescent="0.3">
      <c r="A50" t="s">
        <v>1076</v>
      </c>
      <c r="C50" t="s">
        <v>1052</v>
      </c>
      <c r="D50" t="s">
        <v>81</v>
      </c>
      <c r="E50">
        <v>10000000</v>
      </c>
      <c r="H50">
        <v>0.6</v>
      </c>
      <c r="I50" t="s">
        <v>56</v>
      </c>
      <c r="J50">
        <v>6.0000000000000002E-5</v>
      </c>
      <c r="K50" t="s">
        <v>57</v>
      </c>
      <c r="O50">
        <v>1.47</v>
      </c>
      <c r="P50" t="s">
        <v>1077</v>
      </c>
      <c r="T50">
        <v>31</v>
      </c>
      <c r="V50">
        <v>50</v>
      </c>
      <c r="W50" t="s">
        <v>1078</v>
      </c>
      <c r="X50" t="s">
        <v>1079</v>
      </c>
      <c r="Y50">
        <v>0.23121387283237299</v>
      </c>
      <c r="AB50">
        <v>7.1477272727272698</v>
      </c>
      <c r="AC50" t="s">
        <v>62</v>
      </c>
      <c r="AH50">
        <v>7.1477272727272698</v>
      </c>
      <c r="AI50" t="s">
        <v>1080</v>
      </c>
      <c r="AV50" t="s">
        <v>88</v>
      </c>
      <c r="BA50">
        <v>7.1477272727272698</v>
      </c>
    </row>
    <row r="51" spans="1:53" hidden="1" x14ac:dyDescent="0.3">
      <c r="A51" t="s">
        <v>1076</v>
      </c>
      <c r="C51" t="s">
        <v>1052</v>
      </c>
      <c r="D51" t="s">
        <v>81</v>
      </c>
      <c r="E51">
        <v>10000000</v>
      </c>
      <c r="H51">
        <v>0.6</v>
      </c>
      <c r="I51" t="s">
        <v>56</v>
      </c>
      <c r="J51">
        <v>6.0000000000000002E-5</v>
      </c>
      <c r="K51" t="s">
        <v>57</v>
      </c>
      <c r="O51">
        <v>1.47</v>
      </c>
      <c r="P51" t="s">
        <v>1077</v>
      </c>
      <c r="T51">
        <v>31</v>
      </c>
      <c r="V51">
        <v>50</v>
      </c>
      <c r="W51" t="s">
        <v>1078</v>
      </c>
      <c r="X51" t="s">
        <v>1079</v>
      </c>
      <c r="Y51">
        <v>20</v>
      </c>
      <c r="AB51">
        <v>6.3806818181818103</v>
      </c>
      <c r="AC51" t="s">
        <v>62</v>
      </c>
      <c r="AH51">
        <v>7.1477272727272698</v>
      </c>
      <c r="AI51" t="s">
        <v>1080</v>
      </c>
      <c r="AV51" t="s">
        <v>88</v>
      </c>
      <c r="BA51">
        <v>7.1477272727272698</v>
      </c>
    </row>
    <row r="52" spans="1:53" hidden="1" x14ac:dyDescent="0.3">
      <c r="A52" t="s">
        <v>1076</v>
      </c>
      <c r="C52" t="s">
        <v>1052</v>
      </c>
      <c r="D52" t="s">
        <v>81</v>
      </c>
      <c r="E52">
        <v>10000000</v>
      </c>
      <c r="H52">
        <v>0.6</v>
      </c>
      <c r="I52" t="s">
        <v>56</v>
      </c>
      <c r="J52">
        <v>6.0000000000000002E-5</v>
      </c>
      <c r="K52" t="s">
        <v>57</v>
      </c>
      <c r="O52">
        <v>1.47</v>
      </c>
      <c r="P52" t="s">
        <v>1077</v>
      </c>
      <c r="T52">
        <v>31</v>
      </c>
      <c r="V52">
        <v>50</v>
      </c>
      <c r="W52" t="s">
        <v>1078</v>
      </c>
      <c r="X52" t="s">
        <v>1079</v>
      </c>
      <c r="Y52">
        <v>40</v>
      </c>
      <c r="AB52">
        <v>6.0909090909090899</v>
      </c>
      <c r="AC52" t="s">
        <v>62</v>
      </c>
      <c r="AH52">
        <v>7.1477272727272698</v>
      </c>
      <c r="AI52" t="s">
        <v>1080</v>
      </c>
      <c r="AV52" t="s">
        <v>88</v>
      </c>
      <c r="BA52">
        <v>7.1477272727272698</v>
      </c>
    </row>
    <row r="53" spans="1:53" hidden="1" x14ac:dyDescent="0.3">
      <c r="A53" t="s">
        <v>1076</v>
      </c>
      <c r="C53" t="s">
        <v>1052</v>
      </c>
      <c r="D53" t="s">
        <v>81</v>
      </c>
      <c r="E53">
        <v>10000000</v>
      </c>
      <c r="H53">
        <v>0.6</v>
      </c>
      <c r="I53" t="s">
        <v>56</v>
      </c>
      <c r="J53">
        <v>6.0000000000000002E-5</v>
      </c>
      <c r="K53" t="s">
        <v>57</v>
      </c>
      <c r="O53">
        <v>1.47</v>
      </c>
      <c r="P53" t="s">
        <v>1077</v>
      </c>
      <c r="T53">
        <v>31</v>
      </c>
      <c r="V53">
        <v>50</v>
      </c>
      <c r="W53" t="s">
        <v>1078</v>
      </c>
      <c r="X53" t="s">
        <v>1079</v>
      </c>
      <c r="Y53">
        <v>60.346820809248499</v>
      </c>
      <c r="AB53">
        <v>5.9204545454545396</v>
      </c>
      <c r="AC53" t="s">
        <v>62</v>
      </c>
      <c r="AH53">
        <v>7.1477272727272698</v>
      </c>
      <c r="AI53" t="s">
        <v>1080</v>
      </c>
      <c r="AV53" t="s">
        <v>88</v>
      </c>
      <c r="BA53">
        <v>7.1477272727272698</v>
      </c>
    </row>
    <row r="54" spans="1:53" hidden="1" x14ac:dyDescent="0.3">
      <c r="A54" t="s">
        <v>1076</v>
      </c>
      <c r="C54" t="s">
        <v>1052</v>
      </c>
      <c r="D54" t="s">
        <v>81</v>
      </c>
      <c r="E54">
        <v>10000000</v>
      </c>
      <c r="H54">
        <v>0.6</v>
      </c>
      <c r="I54" t="s">
        <v>56</v>
      </c>
      <c r="J54">
        <v>6.0000000000000002E-5</v>
      </c>
      <c r="K54" t="s">
        <v>57</v>
      </c>
      <c r="O54">
        <v>4.21</v>
      </c>
      <c r="P54" t="s">
        <v>1077</v>
      </c>
      <c r="T54">
        <v>43</v>
      </c>
      <c r="V54">
        <v>50</v>
      </c>
      <c r="W54" t="s">
        <v>1078</v>
      </c>
      <c r="X54" t="s">
        <v>1079</v>
      </c>
      <c r="AB54">
        <v>7.1477272727272698</v>
      </c>
      <c r="AC54" t="s">
        <v>62</v>
      </c>
      <c r="AH54">
        <v>7.1477272727272698</v>
      </c>
      <c r="AI54" t="s">
        <v>1080</v>
      </c>
      <c r="AV54" t="s">
        <v>88</v>
      </c>
      <c r="BA54">
        <v>7.1477272727272698</v>
      </c>
    </row>
    <row r="55" spans="1:53" hidden="1" x14ac:dyDescent="0.3">
      <c r="A55" t="s">
        <v>1076</v>
      </c>
      <c r="C55" t="s">
        <v>1052</v>
      </c>
      <c r="D55" t="s">
        <v>81</v>
      </c>
      <c r="E55">
        <v>10000000</v>
      </c>
      <c r="H55">
        <v>0.6</v>
      </c>
      <c r="I55" t="s">
        <v>56</v>
      </c>
      <c r="J55">
        <v>6.0000000000000002E-5</v>
      </c>
      <c r="K55" t="s">
        <v>57</v>
      </c>
      <c r="O55">
        <v>4.21</v>
      </c>
      <c r="P55" t="s">
        <v>1077</v>
      </c>
      <c r="T55">
        <v>43</v>
      </c>
      <c r="V55">
        <v>50</v>
      </c>
      <c r="W55" t="s">
        <v>1078</v>
      </c>
      <c r="X55" t="s">
        <v>1079</v>
      </c>
      <c r="Y55">
        <v>20.1156069364161</v>
      </c>
      <c r="AB55">
        <v>5.8181818181818103</v>
      </c>
      <c r="AC55" t="s">
        <v>62</v>
      </c>
      <c r="AH55">
        <v>7.1477272727272698</v>
      </c>
      <c r="AI55" t="s">
        <v>1080</v>
      </c>
      <c r="AV55" t="s">
        <v>88</v>
      </c>
      <c r="BA55">
        <v>7.1477272727272698</v>
      </c>
    </row>
    <row r="56" spans="1:53" hidden="1" x14ac:dyDescent="0.3">
      <c r="A56" t="s">
        <v>1076</v>
      </c>
      <c r="C56" t="s">
        <v>1052</v>
      </c>
      <c r="D56" t="s">
        <v>81</v>
      </c>
      <c r="E56">
        <v>10000000</v>
      </c>
      <c r="H56">
        <v>0.6</v>
      </c>
      <c r="I56" t="s">
        <v>56</v>
      </c>
      <c r="J56">
        <v>6.0000000000000002E-5</v>
      </c>
      <c r="K56" t="s">
        <v>57</v>
      </c>
      <c r="O56">
        <v>4.21</v>
      </c>
      <c r="P56" t="s">
        <v>1077</v>
      </c>
      <c r="T56">
        <v>43</v>
      </c>
      <c r="V56">
        <v>50</v>
      </c>
      <c r="W56" t="s">
        <v>1078</v>
      </c>
      <c r="X56" t="s">
        <v>1079</v>
      </c>
      <c r="Y56">
        <v>40</v>
      </c>
      <c r="AB56">
        <v>5.6818181818181799</v>
      </c>
      <c r="AC56" t="s">
        <v>62</v>
      </c>
      <c r="AH56">
        <v>7.1477272727272698</v>
      </c>
      <c r="AI56" t="s">
        <v>1080</v>
      </c>
      <c r="AV56" t="s">
        <v>88</v>
      </c>
      <c r="BA56">
        <v>7.1477272727272698</v>
      </c>
    </row>
    <row r="57" spans="1:53" hidden="1" x14ac:dyDescent="0.3">
      <c r="A57" t="s">
        <v>1076</v>
      </c>
      <c r="C57" t="s">
        <v>1052</v>
      </c>
      <c r="D57" t="s">
        <v>81</v>
      </c>
      <c r="E57">
        <v>10000000</v>
      </c>
      <c r="H57">
        <v>0.6</v>
      </c>
      <c r="I57" t="s">
        <v>56</v>
      </c>
      <c r="J57">
        <v>6.0000000000000002E-5</v>
      </c>
      <c r="K57" t="s">
        <v>57</v>
      </c>
      <c r="O57">
        <v>4.21</v>
      </c>
      <c r="P57" t="s">
        <v>1077</v>
      </c>
      <c r="T57">
        <v>43</v>
      </c>
      <c r="V57">
        <v>50</v>
      </c>
      <c r="W57" t="s">
        <v>1078</v>
      </c>
      <c r="X57" t="s">
        <v>1079</v>
      </c>
      <c r="Y57">
        <v>60.115606936416199</v>
      </c>
      <c r="AB57">
        <v>5.1875</v>
      </c>
      <c r="AC57" t="s">
        <v>62</v>
      </c>
      <c r="AH57">
        <v>7.1477272727272698</v>
      </c>
      <c r="AI57" t="s">
        <v>1080</v>
      </c>
      <c r="AV57" t="s">
        <v>88</v>
      </c>
      <c r="BA57">
        <v>7.1477272727272698</v>
      </c>
    </row>
    <row r="58" spans="1:53" hidden="1" x14ac:dyDescent="0.3">
      <c r="A58" t="s">
        <v>1081</v>
      </c>
      <c r="C58" t="s">
        <v>1052</v>
      </c>
      <c r="L58" t="s">
        <v>58</v>
      </c>
      <c r="O58">
        <v>62.992302184031502</v>
      </c>
      <c r="P58" t="s">
        <v>1082</v>
      </c>
      <c r="T58">
        <v>25</v>
      </c>
      <c r="V58">
        <v>50</v>
      </c>
      <c r="W58" t="s">
        <v>1083</v>
      </c>
      <c r="X58" t="s">
        <v>1084</v>
      </c>
      <c r="Y58">
        <v>0.48333333333333328</v>
      </c>
      <c r="AB58">
        <v>4.1578947368421</v>
      </c>
      <c r="AC58" t="s">
        <v>85</v>
      </c>
      <c r="AI58">
        <v>20</v>
      </c>
    </row>
    <row r="59" spans="1:53" hidden="1" x14ac:dyDescent="0.3">
      <c r="A59" t="s">
        <v>1081</v>
      </c>
      <c r="C59" t="s">
        <v>1052</v>
      </c>
      <c r="L59" t="s">
        <v>58</v>
      </c>
      <c r="O59">
        <v>96.379341210168207</v>
      </c>
      <c r="P59" t="s">
        <v>1082</v>
      </c>
      <c r="T59">
        <v>25</v>
      </c>
      <c r="V59">
        <v>50</v>
      </c>
      <c r="W59" t="s">
        <v>1083</v>
      </c>
      <c r="X59" t="s">
        <v>1084</v>
      </c>
      <c r="Y59">
        <v>0.48333333333333328</v>
      </c>
      <c r="AB59">
        <v>4.6090225563909701</v>
      </c>
      <c r="AC59" t="s">
        <v>85</v>
      </c>
      <c r="AI59">
        <v>20</v>
      </c>
    </row>
    <row r="60" spans="1:53" hidden="1" x14ac:dyDescent="0.3">
      <c r="A60" t="s">
        <v>1081</v>
      </c>
      <c r="C60" t="s">
        <v>1052</v>
      </c>
      <c r="L60" t="s">
        <v>58</v>
      </c>
      <c r="O60">
        <v>126.159147869674</v>
      </c>
      <c r="P60" t="s">
        <v>1082</v>
      </c>
      <c r="T60">
        <v>25</v>
      </c>
      <c r="V60">
        <v>50</v>
      </c>
      <c r="W60" t="s">
        <v>1083</v>
      </c>
      <c r="X60" t="s">
        <v>1084</v>
      </c>
      <c r="Y60">
        <v>0.48333333333333328</v>
      </c>
      <c r="AB60">
        <v>4.7593984962405997</v>
      </c>
      <c r="AC60" t="s">
        <v>85</v>
      </c>
      <c r="AI60">
        <v>20</v>
      </c>
    </row>
    <row r="61" spans="1:53" hidden="1" x14ac:dyDescent="0.3">
      <c r="A61" t="s">
        <v>1081</v>
      </c>
      <c r="C61" t="s">
        <v>1052</v>
      </c>
      <c r="L61" t="s">
        <v>58</v>
      </c>
      <c r="O61">
        <v>158.45417114214101</v>
      </c>
      <c r="P61" t="s">
        <v>1082</v>
      </c>
      <c r="T61">
        <v>25</v>
      </c>
      <c r="V61">
        <v>50</v>
      </c>
      <c r="W61" t="s">
        <v>1083</v>
      </c>
      <c r="X61" t="s">
        <v>1084</v>
      </c>
      <c r="Y61">
        <v>0.48333333333333328</v>
      </c>
      <c r="AB61">
        <v>6.0375939849623999</v>
      </c>
      <c r="AC61" t="s">
        <v>85</v>
      </c>
      <c r="AI61">
        <v>20</v>
      </c>
    </row>
    <row r="62" spans="1:53" hidden="1" x14ac:dyDescent="0.3">
      <c r="A62" t="s">
        <v>1081</v>
      </c>
      <c r="C62" t="s">
        <v>1052</v>
      </c>
      <c r="L62" t="s">
        <v>58</v>
      </c>
      <c r="O62">
        <v>210.81722162549201</v>
      </c>
      <c r="P62" t="s">
        <v>1082</v>
      </c>
      <c r="T62">
        <v>25</v>
      </c>
      <c r="V62">
        <v>50</v>
      </c>
      <c r="W62" t="s">
        <v>1083</v>
      </c>
      <c r="X62" t="s">
        <v>1084</v>
      </c>
      <c r="Y62">
        <v>0.48333333333333328</v>
      </c>
      <c r="AB62">
        <v>5.88721804511278</v>
      </c>
      <c r="AC62" t="s">
        <v>85</v>
      </c>
      <c r="AI62">
        <v>20</v>
      </c>
    </row>
    <row r="63" spans="1:53" hidden="1" x14ac:dyDescent="0.3">
      <c r="A63" t="s">
        <v>1081</v>
      </c>
      <c r="C63" t="s">
        <v>1052</v>
      </c>
      <c r="L63" t="s">
        <v>58</v>
      </c>
      <c r="O63">
        <v>15.341926244181799</v>
      </c>
      <c r="P63" t="s">
        <v>1082</v>
      </c>
      <c r="T63">
        <v>25</v>
      </c>
      <c r="V63">
        <v>50</v>
      </c>
      <c r="W63" t="s">
        <v>1083</v>
      </c>
      <c r="X63" t="s">
        <v>1084</v>
      </c>
      <c r="Y63">
        <v>0.48333333333333328</v>
      </c>
      <c r="AB63">
        <v>3.8947368421052602</v>
      </c>
      <c r="AC63" t="s">
        <v>85</v>
      </c>
      <c r="AI63">
        <v>20</v>
      </c>
    </row>
    <row r="64" spans="1:53" hidden="1" x14ac:dyDescent="0.3">
      <c r="A64" t="s">
        <v>1081</v>
      </c>
      <c r="C64" t="s">
        <v>1052</v>
      </c>
      <c r="L64" t="s">
        <v>58</v>
      </c>
      <c r="O64">
        <v>30.880773361976299</v>
      </c>
      <c r="P64" t="s">
        <v>1082</v>
      </c>
      <c r="T64">
        <v>25</v>
      </c>
      <c r="V64">
        <v>50</v>
      </c>
      <c r="W64" t="s">
        <v>1083</v>
      </c>
      <c r="X64" t="s">
        <v>1084</v>
      </c>
      <c r="Y64">
        <v>0.48333333333333328</v>
      </c>
      <c r="AB64">
        <v>4.4210526315789398</v>
      </c>
      <c r="AC64" t="s">
        <v>85</v>
      </c>
      <c r="AI64">
        <v>20</v>
      </c>
    </row>
    <row r="65" spans="1:48" hidden="1" x14ac:dyDescent="0.3">
      <c r="A65" t="s">
        <v>1081</v>
      </c>
      <c r="C65" t="s">
        <v>1052</v>
      </c>
      <c r="L65" t="s">
        <v>58</v>
      </c>
      <c r="O65">
        <v>60.114572144647298</v>
      </c>
      <c r="P65" t="s">
        <v>1082</v>
      </c>
      <c r="T65">
        <v>25</v>
      </c>
      <c r="V65">
        <v>50</v>
      </c>
      <c r="W65" t="s">
        <v>1083</v>
      </c>
      <c r="X65" t="s">
        <v>1084</v>
      </c>
      <c r="Y65">
        <v>0.48333333333333328</v>
      </c>
      <c r="AB65">
        <v>4.9849624060150299</v>
      </c>
      <c r="AC65" t="s">
        <v>85</v>
      </c>
      <c r="AI65">
        <v>20</v>
      </c>
    </row>
    <row r="66" spans="1:48" hidden="1" x14ac:dyDescent="0.3">
      <c r="A66" t="s">
        <v>1081</v>
      </c>
      <c r="C66" t="s">
        <v>1052</v>
      </c>
      <c r="L66" t="s">
        <v>58</v>
      </c>
      <c r="O66">
        <v>120.242570712495</v>
      </c>
      <c r="P66" t="s">
        <v>1082</v>
      </c>
      <c r="T66">
        <v>25</v>
      </c>
      <c r="V66">
        <v>50</v>
      </c>
      <c r="W66" t="s">
        <v>1083</v>
      </c>
      <c r="X66" t="s">
        <v>1084</v>
      </c>
      <c r="Y66">
        <v>0.48333333333333328</v>
      </c>
      <c r="AB66">
        <v>5.0601503759398501</v>
      </c>
      <c r="AC66" t="s">
        <v>85</v>
      </c>
      <c r="AI66">
        <v>20</v>
      </c>
    </row>
    <row r="67" spans="1:48" hidden="1" x14ac:dyDescent="0.3">
      <c r="A67" t="s">
        <v>1081</v>
      </c>
      <c r="C67" t="s">
        <v>1052</v>
      </c>
      <c r="L67" t="s">
        <v>58</v>
      </c>
      <c r="O67">
        <v>149.413712853562</v>
      </c>
      <c r="P67" t="s">
        <v>1082</v>
      </c>
      <c r="T67">
        <v>25</v>
      </c>
      <c r="V67">
        <v>50</v>
      </c>
      <c r="W67" t="s">
        <v>1083</v>
      </c>
      <c r="X67" t="s">
        <v>1084</v>
      </c>
      <c r="Y67">
        <v>0.48333333333333328</v>
      </c>
      <c r="AB67">
        <v>5.0977443609022499</v>
      </c>
      <c r="AC67" t="s">
        <v>85</v>
      </c>
      <c r="AI67">
        <v>20</v>
      </c>
    </row>
    <row r="68" spans="1:48" hidden="1" x14ac:dyDescent="0.3">
      <c r="A68" t="s">
        <v>1081</v>
      </c>
      <c r="C68" t="s">
        <v>1052</v>
      </c>
      <c r="L68" t="s">
        <v>58</v>
      </c>
      <c r="O68">
        <v>185.13247404224799</v>
      </c>
      <c r="P68" t="s">
        <v>1082</v>
      </c>
      <c r="T68">
        <v>25</v>
      </c>
      <c r="V68">
        <v>50</v>
      </c>
      <c r="W68" t="s">
        <v>1083</v>
      </c>
      <c r="X68" t="s">
        <v>1084</v>
      </c>
      <c r="Y68">
        <v>0.48333333333333328</v>
      </c>
      <c r="AB68">
        <v>5.1353383458646604</v>
      </c>
      <c r="AC68" t="s">
        <v>85</v>
      </c>
      <c r="AI68">
        <v>20</v>
      </c>
    </row>
    <row r="69" spans="1:48" hidden="1" x14ac:dyDescent="0.3">
      <c r="A69" t="s">
        <v>1081</v>
      </c>
      <c r="C69" t="s">
        <v>1052</v>
      </c>
      <c r="L69" t="s">
        <v>58</v>
      </c>
      <c r="O69">
        <v>62.929645542427401</v>
      </c>
      <c r="P69" t="s">
        <v>1082</v>
      </c>
      <c r="T69">
        <v>25</v>
      </c>
      <c r="V69">
        <v>50</v>
      </c>
      <c r="W69" t="s">
        <v>1085</v>
      </c>
      <c r="X69" t="s">
        <v>1084</v>
      </c>
      <c r="Y69">
        <v>0.48333333333333328</v>
      </c>
      <c r="AB69">
        <v>3.6315789473684199</v>
      </c>
      <c r="AC69" t="s">
        <v>85</v>
      </c>
      <c r="AI69">
        <v>20</v>
      </c>
    </row>
    <row r="70" spans="1:48" hidden="1" x14ac:dyDescent="0.3">
      <c r="A70" t="s">
        <v>1081</v>
      </c>
      <c r="C70" t="s">
        <v>1052</v>
      </c>
      <c r="L70" t="s">
        <v>58</v>
      </c>
      <c r="O70">
        <v>96.894020766201194</v>
      </c>
      <c r="P70" t="s">
        <v>1082</v>
      </c>
      <c r="T70">
        <v>25</v>
      </c>
      <c r="V70">
        <v>50</v>
      </c>
      <c r="W70" t="s">
        <v>1085</v>
      </c>
      <c r="X70" t="s">
        <v>1084</v>
      </c>
      <c r="Y70">
        <v>0.48333333333333328</v>
      </c>
      <c r="AB70">
        <v>3.9323308270676698</v>
      </c>
      <c r="AC70" t="s">
        <v>85</v>
      </c>
      <c r="AI70">
        <v>20</v>
      </c>
    </row>
    <row r="71" spans="1:48" hidden="1" x14ac:dyDescent="0.3">
      <c r="A71" t="s">
        <v>1081</v>
      </c>
      <c r="C71" t="s">
        <v>1052</v>
      </c>
      <c r="L71" t="s">
        <v>58</v>
      </c>
      <c r="O71">
        <v>125.48335123523</v>
      </c>
      <c r="P71" t="s">
        <v>1082</v>
      </c>
      <c r="T71">
        <v>25</v>
      </c>
      <c r="V71">
        <v>50</v>
      </c>
      <c r="W71" t="s">
        <v>1085</v>
      </c>
      <c r="X71" t="s">
        <v>1084</v>
      </c>
      <c r="Y71">
        <v>0.48333333333333328</v>
      </c>
      <c r="AB71">
        <v>4.0827067669172896</v>
      </c>
      <c r="AC71" t="s">
        <v>85</v>
      </c>
      <c r="AI71">
        <v>20</v>
      </c>
    </row>
    <row r="72" spans="1:48" hidden="1" x14ac:dyDescent="0.3">
      <c r="A72" t="s">
        <v>1081</v>
      </c>
      <c r="C72" t="s">
        <v>1052</v>
      </c>
      <c r="L72" t="s">
        <v>58</v>
      </c>
      <c r="O72">
        <v>157.05782312925101</v>
      </c>
      <c r="P72" t="s">
        <v>1082</v>
      </c>
      <c r="T72">
        <v>25</v>
      </c>
      <c r="V72">
        <v>50</v>
      </c>
      <c r="W72" t="s">
        <v>1085</v>
      </c>
      <c r="X72" t="s">
        <v>1084</v>
      </c>
      <c r="Y72">
        <v>0.48333333333333328</v>
      </c>
      <c r="AB72">
        <v>4.3082706766917296</v>
      </c>
      <c r="AC72" t="s">
        <v>85</v>
      </c>
      <c r="AI72">
        <v>20</v>
      </c>
    </row>
    <row r="73" spans="1:48" hidden="1" x14ac:dyDescent="0.3">
      <c r="A73" t="s">
        <v>1081</v>
      </c>
      <c r="C73" t="s">
        <v>1052</v>
      </c>
      <c r="L73" t="s">
        <v>58</v>
      </c>
      <c r="O73">
        <v>210.11457214464701</v>
      </c>
      <c r="P73" t="s">
        <v>1082</v>
      </c>
      <c r="T73">
        <v>25</v>
      </c>
      <c r="V73">
        <v>50</v>
      </c>
      <c r="W73" t="s">
        <v>1085</v>
      </c>
      <c r="X73" t="s">
        <v>1084</v>
      </c>
      <c r="Y73">
        <v>0.48333333333333328</v>
      </c>
      <c r="AB73">
        <v>4.9849624060150299</v>
      </c>
      <c r="AC73" t="s">
        <v>85</v>
      </c>
      <c r="AI73">
        <v>20</v>
      </c>
    </row>
    <row r="74" spans="1:48" x14ac:dyDescent="0.3">
      <c r="A74" t="s">
        <v>1086</v>
      </c>
      <c r="C74" t="s">
        <v>1052</v>
      </c>
      <c r="D74" t="s">
        <v>470</v>
      </c>
      <c r="E74">
        <v>1000000</v>
      </c>
      <c r="H74">
        <v>40</v>
      </c>
      <c r="I74" t="s">
        <v>82</v>
      </c>
      <c r="J74">
        <v>4.0000000000000003E-5</v>
      </c>
      <c r="K74" t="s">
        <v>252</v>
      </c>
      <c r="O74">
        <v>28.3</v>
      </c>
      <c r="P74" t="s">
        <v>1087</v>
      </c>
      <c r="T74">
        <v>25</v>
      </c>
      <c r="V74">
        <v>50</v>
      </c>
      <c r="W74" t="s">
        <v>1057</v>
      </c>
      <c r="X74" t="s">
        <v>1058</v>
      </c>
      <c r="Y74">
        <v>2.0151097744360902</v>
      </c>
      <c r="AB74">
        <v>0.45023759398496199</v>
      </c>
      <c r="AC74" t="s">
        <v>85</v>
      </c>
      <c r="AE74" t="s">
        <v>63</v>
      </c>
      <c r="AI74">
        <v>3</v>
      </c>
      <c r="AV74" t="s">
        <v>256</v>
      </c>
    </row>
    <row r="75" spans="1:48" x14ac:dyDescent="0.3">
      <c r="A75" t="s">
        <v>1086</v>
      </c>
      <c r="C75" t="s">
        <v>1052</v>
      </c>
      <c r="D75" t="s">
        <v>470</v>
      </c>
      <c r="E75">
        <v>1000000</v>
      </c>
      <c r="H75">
        <v>40</v>
      </c>
      <c r="I75" t="s">
        <v>82</v>
      </c>
      <c r="J75">
        <v>4.0000000000000003E-5</v>
      </c>
      <c r="K75" t="s">
        <v>252</v>
      </c>
      <c r="O75">
        <v>28.3</v>
      </c>
      <c r="P75" t="s">
        <v>1087</v>
      </c>
      <c r="T75">
        <v>25</v>
      </c>
      <c r="V75">
        <v>50</v>
      </c>
      <c r="W75" t="s">
        <v>1057</v>
      </c>
      <c r="X75" t="s">
        <v>1058</v>
      </c>
      <c r="Y75">
        <v>3.97158496240601</v>
      </c>
      <c r="AB75">
        <v>1.0940150375939801</v>
      </c>
      <c r="AC75" t="s">
        <v>85</v>
      </c>
      <c r="AE75" t="s">
        <v>63</v>
      </c>
      <c r="AI75">
        <v>3</v>
      </c>
      <c r="AV75" t="s">
        <v>256</v>
      </c>
    </row>
    <row r="76" spans="1:48" x14ac:dyDescent="0.3">
      <c r="A76" t="s">
        <v>1086</v>
      </c>
      <c r="C76" t="s">
        <v>1052</v>
      </c>
      <c r="D76" t="s">
        <v>470</v>
      </c>
      <c r="E76">
        <v>1000000</v>
      </c>
      <c r="H76">
        <v>40</v>
      </c>
      <c r="I76" t="s">
        <v>82</v>
      </c>
      <c r="J76">
        <v>4.0000000000000003E-5</v>
      </c>
      <c r="K76" t="s">
        <v>252</v>
      </c>
      <c r="O76">
        <v>28.3</v>
      </c>
      <c r="P76" t="s">
        <v>1087</v>
      </c>
      <c r="T76">
        <v>25</v>
      </c>
      <c r="V76">
        <v>50</v>
      </c>
      <c r="W76" t="s">
        <v>1057</v>
      </c>
      <c r="X76" t="s">
        <v>1058</v>
      </c>
      <c r="Y76">
        <v>5.9986045112781801</v>
      </c>
      <c r="AB76">
        <v>1.7540691729323199</v>
      </c>
      <c r="AC76" t="s">
        <v>85</v>
      </c>
      <c r="AE76" t="s">
        <v>63</v>
      </c>
      <c r="AI76">
        <v>3</v>
      </c>
      <c r="AV76" t="s">
        <v>256</v>
      </c>
    </row>
    <row r="77" spans="1:48" x14ac:dyDescent="0.3">
      <c r="A77" t="s">
        <v>1086</v>
      </c>
      <c r="C77" t="s">
        <v>1052</v>
      </c>
      <c r="D77" t="s">
        <v>470</v>
      </c>
      <c r="E77">
        <v>1000000</v>
      </c>
      <c r="H77">
        <v>40</v>
      </c>
      <c r="I77" t="s">
        <v>82</v>
      </c>
      <c r="J77">
        <v>4.0000000000000003E-5</v>
      </c>
      <c r="K77" t="s">
        <v>252</v>
      </c>
      <c r="O77">
        <v>28.3</v>
      </c>
      <c r="P77" t="s">
        <v>1087</v>
      </c>
      <c r="T77">
        <v>25</v>
      </c>
      <c r="V77">
        <v>50</v>
      </c>
      <c r="W77" t="s">
        <v>1057</v>
      </c>
      <c r="X77" t="s">
        <v>1058</v>
      </c>
      <c r="Y77">
        <v>7.955079699248099</v>
      </c>
      <c r="AB77">
        <v>2.3978466165413401</v>
      </c>
      <c r="AC77" t="s">
        <v>85</v>
      </c>
      <c r="AE77" t="s">
        <v>63</v>
      </c>
      <c r="AI77">
        <v>3</v>
      </c>
      <c r="AV77" t="s">
        <v>256</v>
      </c>
    </row>
    <row r="78" spans="1:48" x14ac:dyDescent="0.3">
      <c r="A78" t="s">
        <v>1086</v>
      </c>
      <c r="C78" t="s">
        <v>1052</v>
      </c>
      <c r="D78" t="s">
        <v>470</v>
      </c>
      <c r="E78">
        <v>1000000</v>
      </c>
      <c r="H78">
        <v>40</v>
      </c>
      <c r="I78" t="s">
        <v>82</v>
      </c>
      <c r="J78">
        <v>4.0000000000000003E-5</v>
      </c>
      <c r="K78" t="s">
        <v>252</v>
      </c>
      <c r="O78">
        <v>28.3</v>
      </c>
      <c r="P78" t="s">
        <v>1087</v>
      </c>
      <c r="T78">
        <v>25</v>
      </c>
      <c r="V78">
        <v>50</v>
      </c>
      <c r="W78" t="s">
        <v>1057</v>
      </c>
      <c r="X78" t="s">
        <v>1058</v>
      </c>
      <c r="Y78">
        <v>9.9320541353383405</v>
      </c>
      <c r="AB78">
        <v>2.5593142857142701</v>
      </c>
      <c r="AC78" t="s">
        <v>85</v>
      </c>
      <c r="AE78" t="s">
        <v>63</v>
      </c>
      <c r="AI78">
        <v>3</v>
      </c>
      <c r="AV78" t="s">
        <v>256</v>
      </c>
    </row>
    <row r="79" spans="1:48" x14ac:dyDescent="0.3">
      <c r="A79" t="s">
        <v>1086</v>
      </c>
      <c r="C79" t="s">
        <v>1052</v>
      </c>
      <c r="D79" t="s">
        <v>470</v>
      </c>
      <c r="E79">
        <v>1000000</v>
      </c>
      <c r="H79">
        <v>40</v>
      </c>
      <c r="I79" t="s">
        <v>82</v>
      </c>
      <c r="J79">
        <v>4.0000000000000003E-5</v>
      </c>
      <c r="K79" t="s">
        <v>252</v>
      </c>
      <c r="O79">
        <v>56.5</v>
      </c>
      <c r="P79" t="s">
        <v>1087</v>
      </c>
      <c r="T79">
        <v>25</v>
      </c>
      <c r="V79">
        <v>50</v>
      </c>
      <c r="W79" t="s">
        <v>1057</v>
      </c>
      <c r="X79" t="s">
        <v>1058</v>
      </c>
      <c r="AB79">
        <v>3.5416541353383103E-2</v>
      </c>
      <c r="AC79" t="s">
        <v>85</v>
      </c>
      <c r="AE79" t="s">
        <v>63</v>
      </c>
      <c r="AI79">
        <v>3</v>
      </c>
      <c r="AV79" t="s">
        <v>256</v>
      </c>
    </row>
    <row r="80" spans="1:48" x14ac:dyDescent="0.3">
      <c r="A80" t="s">
        <v>1086</v>
      </c>
      <c r="C80" t="s">
        <v>1052</v>
      </c>
      <c r="D80" t="s">
        <v>470</v>
      </c>
      <c r="E80">
        <v>1000000</v>
      </c>
      <c r="H80">
        <v>40</v>
      </c>
      <c r="I80" t="s">
        <v>82</v>
      </c>
      <c r="J80">
        <v>4.0000000000000003E-5</v>
      </c>
      <c r="K80" t="s">
        <v>252</v>
      </c>
      <c r="O80">
        <v>56.5</v>
      </c>
      <c r="P80" t="s">
        <v>1087</v>
      </c>
      <c r="T80">
        <v>25</v>
      </c>
      <c r="V80">
        <v>50</v>
      </c>
      <c r="W80" t="s">
        <v>1057</v>
      </c>
      <c r="X80" t="s">
        <v>1058</v>
      </c>
      <c r="Y80">
        <v>0.48055338345864712</v>
      </c>
      <c r="AB80">
        <v>0.13300451127819601</v>
      </c>
      <c r="AC80" t="s">
        <v>85</v>
      </c>
      <c r="AE80" t="s">
        <v>63</v>
      </c>
      <c r="AI80">
        <v>3</v>
      </c>
      <c r="AV80" t="s">
        <v>256</v>
      </c>
    </row>
    <row r="81" spans="1:48" x14ac:dyDescent="0.3">
      <c r="A81" t="s">
        <v>1086</v>
      </c>
      <c r="C81" t="s">
        <v>1052</v>
      </c>
      <c r="D81" t="s">
        <v>470</v>
      </c>
      <c r="E81">
        <v>1000000</v>
      </c>
      <c r="H81">
        <v>40</v>
      </c>
      <c r="I81" t="s">
        <v>82</v>
      </c>
      <c r="J81">
        <v>4.0000000000000003E-5</v>
      </c>
      <c r="K81" t="s">
        <v>252</v>
      </c>
      <c r="O81">
        <v>56.5</v>
      </c>
      <c r="P81" t="s">
        <v>1087</v>
      </c>
      <c r="T81">
        <v>25</v>
      </c>
      <c r="V81">
        <v>50</v>
      </c>
      <c r="W81" t="s">
        <v>1057</v>
      </c>
      <c r="X81" t="s">
        <v>1058</v>
      </c>
      <c r="Y81">
        <v>0.97407518796992498</v>
      </c>
      <c r="AB81">
        <v>0.29598796992481102</v>
      </c>
      <c r="AC81" t="s">
        <v>85</v>
      </c>
      <c r="AE81" t="s">
        <v>63</v>
      </c>
      <c r="AI81">
        <v>3</v>
      </c>
      <c r="AV81" t="s">
        <v>256</v>
      </c>
    </row>
    <row r="82" spans="1:48" x14ac:dyDescent="0.3">
      <c r="A82" t="s">
        <v>1086</v>
      </c>
      <c r="C82" t="s">
        <v>1052</v>
      </c>
      <c r="D82" t="s">
        <v>470</v>
      </c>
      <c r="E82">
        <v>1000000</v>
      </c>
      <c r="H82">
        <v>40</v>
      </c>
      <c r="I82" t="s">
        <v>82</v>
      </c>
      <c r="J82">
        <v>4.0000000000000003E-5</v>
      </c>
      <c r="K82" t="s">
        <v>252</v>
      </c>
      <c r="O82">
        <v>56.5</v>
      </c>
      <c r="P82" t="s">
        <v>1087</v>
      </c>
      <c r="T82">
        <v>25</v>
      </c>
      <c r="V82">
        <v>50</v>
      </c>
      <c r="W82" t="s">
        <v>1057</v>
      </c>
      <c r="X82" t="s">
        <v>1058</v>
      </c>
      <c r="Y82">
        <v>1.94244812030075</v>
      </c>
      <c r="AB82">
        <v>0.79363609022556503</v>
      </c>
      <c r="AC82" t="s">
        <v>85</v>
      </c>
      <c r="AE82" t="s">
        <v>63</v>
      </c>
      <c r="AI82">
        <v>3</v>
      </c>
      <c r="AV82" t="s">
        <v>256</v>
      </c>
    </row>
    <row r="83" spans="1:48" x14ac:dyDescent="0.3">
      <c r="A83" t="s">
        <v>1086</v>
      </c>
      <c r="C83" t="s">
        <v>1052</v>
      </c>
      <c r="D83" t="s">
        <v>470</v>
      </c>
      <c r="E83">
        <v>1000000</v>
      </c>
      <c r="H83">
        <v>40</v>
      </c>
      <c r="I83" t="s">
        <v>82</v>
      </c>
      <c r="J83">
        <v>4.0000000000000003E-5</v>
      </c>
      <c r="K83" t="s">
        <v>252</v>
      </c>
      <c r="O83">
        <v>56.5</v>
      </c>
      <c r="P83" t="s">
        <v>1087</v>
      </c>
      <c r="T83">
        <v>25</v>
      </c>
      <c r="V83">
        <v>50</v>
      </c>
      <c r="W83" t="s">
        <v>1057</v>
      </c>
      <c r="X83" t="s">
        <v>1058</v>
      </c>
      <c r="Y83">
        <v>3.9335218045112601</v>
      </c>
      <c r="AB83">
        <v>1.5599939849624</v>
      </c>
      <c r="AC83" t="s">
        <v>85</v>
      </c>
      <c r="AE83" t="s">
        <v>63</v>
      </c>
      <c r="AI83">
        <v>3</v>
      </c>
      <c r="AV83" t="s">
        <v>256</v>
      </c>
    </row>
    <row r="84" spans="1:48" x14ac:dyDescent="0.3">
      <c r="A84" t="s">
        <v>1086</v>
      </c>
      <c r="C84" t="s">
        <v>1052</v>
      </c>
      <c r="D84" t="s">
        <v>470</v>
      </c>
      <c r="E84">
        <v>1000000</v>
      </c>
      <c r="H84">
        <v>40</v>
      </c>
      <c r="I84" t="s">
        <v>82</v>
      </c>
      <c r="J84">
        <v>4.0000000000000003E-5</v>
      </c>
      <c r="K84" t="s">
        <v>252</v>
      </c>
      <c r="O84">
        <v>56.5</v>
      </c>
      <c r="P84" t="s">
        <v>1087</v>
      </c>
      <c r="T84">
        <v>25</v>
      </c>
      <c r="V84">
        <v>50</v>
      </c>
      <c r="W84" t="s">
        <v>1057</v>
      </c>
      <c r="X84" t="s">
        <v>1058</v>
      </c>
      <c r="Y84">
        <v>5.9959097744360799</v>
      </c>
      <c r="AB84">
        <v>2.2118375939849502</v>
      </c>
      <c r="AC84" t="s">
        <v>85</v>
      </c>
      <c r="AE84" t="s">
        <v>63</v>
      </c>
      <c r="AI84">
        <v>3</v>
      </c>
      <c r="AV84" t="s">
        <v>256</v>
      </c>
    </row>
    <row r="85" spans="1:48" x14ac:dyDescent="0.3">
      <c r="A85" t="s">
        <v>1086</v>
      </c>
      <c r="C85" t="s">
        <v>1052</v>
      </c>
      <c r="D85" t="s">
        <v>470</v>
      </c>
      <c r="E85">
        <v>1000000</v>
      </c>
      <c r="H85">
        <v>40</v>
      </c>
      <c r="I85" t="s">
        <v>82</v>
      </c>
      <c r="J85">
        <v>4.0000000000000003E-5</v>
      </c>
      <c r="K85" t="s">
        <v>252</v>
      </c>
      <c r="O85">
        <v>56.5</v>
      </c>
      <c r="P85" t="s">
        <v>1087</v>
      </c>
      <c r="T85">
        <v>25</v>
      </c>
      <c r="V85">
        <v>50</v>
      </c>
      <c r="W85" t="s">
        <v>1057</v>
      </c>
      <c r="X85" t="s">
        <v>1058</v>
      </c>
      <c r="Y85">
        <v>7.9889082706766894</v>
      </c>
      <c r="AB85">
        <v>2.65121804511277</v>
      </c>
      <c r="AC85" t="s">
        <v>85</v>
      </c>
      <c r="AE85" t="s">
        <v>63</v>
      </c>
      <c r="AI85">
        <v>3</v>
      </c>
      <c r="AV85" t="s">
        <v>256</v>
      </c>
    </row>
    <row r="86" spans="1:48" x14ac:dyDescent="0.3">
      <c r="A86" t="s">
        <v>1086</v>
      </c>
      <c r="C86" t="s">
        <v>1052</v>
      </c>
      <c r="D86" t="s">
        <v>470</v>
      </c>
      <c r="E86">
        <v>1000000</v>
      </c>
      <c r="H86">
        <v>40</v>
      </c>
      <c r="I86" t="s">
        <v>82</v>
      </c>
      <c r="J86">
        <v>4.0000000000000003E-5</v>
      </c>
      <c r="K86" t="s">
        <v>252</v>
      </c>
      <c r="O86">
        <v>56.5</v>
      </c>
      <c r="P86" t="s">
        <v>1087</v>
      </c>
      <c r="T86">
        <v>25</v>
      </c>
      <c r="V86">
        <v>50</v>
      </c>
      <c r="W86" t="s">
        <v>1057</v>
      </c>
      <c r="X86" t="s">
        <v>1058</v>
      </c>
      <c r="Y86">
        <v>9.9646796992481104</v>
      </c>
      <c r="AB86">
        <v>3.0170466165413501</v>
      </c>
      <c r="AC86" t="s">
        <v>85</v>
      </c>
      <c r="AE86" t="s">
        <v>63</v>
      </c>
      <c r="AI86">
        <v>3</v>
      </c>
      <c r="AV86" t="s">
        <v>256</v>
      </c>
    </row>
    <row r="87" spans="1:48" x14ac:dyDescent="0.3">
      <c r="A87" t="s">
        <v>1086</v>
      </c>
      <c r="C87" t="s">
        <v>1052</v>
      </c>
      <c r="D87" t="s">
        <v>470</v>
      </c>
      <c r="E87">
        <v>1000000</v>
      </c>
      <c r="H87">
        <v>40</v>
      </c>
      <c r="I87" t="s">
        <v>82</v>
      </c>
      <c r="J87">
        <v>4.0000000000000003E-5</v>
      </c>
      <c r="K87" t="s">
        <v>252</v>
      </c>
      <c r="O87">
        <v>113</v>
      </c>
      <c r="P87" t="s">
        <v>1087</v>
      </c>
      <c r="T87">
        <v>25</v>
      </c>
      <c r="V87">
        <v>50</v>
      </c>
      <c r="W87" t="s">
        <v>1057</v>
      </c>
      <c r="X87" t="s">
        <v>1058</v>
      </c>
      <c r="Y87">
        <v>4.3548872180463301E-3</v>
      </c>
      <c r="AB87">
        <v>2.7224060150375599E-2</v>
      </c>
      <c r="AC87" t="s">
        <v>85</v>
      </c>
      <c r="AE87" t="s">
        <v>63</v>
      </c>
      <c r="AI87">
        <v>3</v>
      </c>
      <c r="AV87" t="s">
        <v>256</v>
      </c>
    </row>
    <row r="88" spans="1:48" x14ac:dyDescent="0.3">
      <c r="A88" t="s">
        <v>1086</v>
      </c>
      <c r="C88" t="s">
        <v>1052</v>
      </c>
      <c r="D88" t="s">
        <v>470</v>
      </c>
      <c r="E88">
        <v>1000000</v>
      </c>
      <c r="H88">
        <v>40</v>
      </c>
      <c r="I88" t="s">
        <v>82</v>
      </c>
      <c r="J88">
        <v>4.0000000000000003E-5</v>
      </c>
      <c r="K88" t="s">
        <v>252</v>
      </c>
      <c r="O88">
        <v>113</v>
      </c>
      <c r="P88" t="s">
        <v>1087</v>
      </c>
      <c r="T88">
        <v>25</v>
      </c>
      <c r="V88">
        <v>50</v>
      </c>
      <c r="W88" t="s">
        <v>1057</v>
      </c>
      <c r="X88" t="s">
        <v>1058</v>
      </c>
      <c r="Y88">
        <v>0.445136842105265</v>
      </c>
      <c r="AB88">
        <v>0.14938947368420999</v>
      </c>
      <c r="AC88" t="s">
        <v>85</v>
      </c>
      <c r="AE88" t="s">
        <v>63</v>
      </c>
      <c r="AI88">
        <v>3</v>
      </c>
      <c r="AV88" t="s">
        <v>256</v>
      </c>
    </row>
    <row r="89" spans="1:48" x14ac:dyDescent="0.3">
      <c r="A89" t="s">
        <v>1086</v>
      </c>
      <c r="C89" t="s">
        <v>1052</v>
      </c>
      <c r="D89" t="s">
        <v>470</v>
      </c>
      <c r="E89">
        <v>1000000</v>
      </c>
      <c r="H89">
        <v>40</v>
      </c>
      <c r="I89" t="s">
        <v>82</v>
      </c>
      <c r="J89">
        <v>4.0000000000000003E-5</v>
      </c>
      <c r="K89" t="s">
        <v>252</v>
      </c>
      <c r="O89">
        <v>113</v>
      </c>
      <c r="P89" t="s">
        <v>1087</v>
      </c>
      <c r="T89">
        <v>25</v>
      </c>
      <c r="V89">
        <v>50</v>
      </c>
      <c r="W89" t="s">
        <v>1057</v>
      </c>
      <c r="X89" t="s">
        <v>1058</v>
      </c>
      <c r="Y89">
        <v>0.99173533834586614</v>
      </c>
      <c r="AB89">
        <v>0.29596992481202899</v>
      </c>
      <c r="AC89" t="s">
        <v>85</v>
      </c>
      <c r="AE89" t="s">
        <v>63</v>
      </c>
      <c r="AI89">
        <v>3</v>
      </c>
      <c r="AV89" t="s">
        <v>256</v>
      </c>
    </row>
    <row r="90" spans="1:48" x14ac:dyDescent="0.3">
      <c r="A90" t="s">
        <v>1086</v>
      </c>
      <c r="C90" t="s">
        <v>1052</v>
      </c>
      <c r="D90" t="s">
        <v>470</v>
      </c>
      <c r="E90">
        <v>1000000</v>
      </c>
      <c r="H90">
        <v>40</v>
      </c>
      <c r="I90" t="s">
        <v>82</v>
      </c>
      <c r="J90">
        <v>4.0000000000000003E-5</v>
      </c>
      <c r="K90" t="s">
        <v>252</v>
      </c>
      <c r="O90">
        <v>113</v>
      </c>
      <c r="P90" t="s">
        <v>1087</v>
      </c>
      <c r="T90">
        <v>25</v>
      </c>
      <c r="V90">
        <v>50</v>
      </c>
      <c r="W90" t="s">
        <v>1057</v>
      </c>
      <c r="X90" t="s">
        <v>1058</v>
      </c>
      <c r="Y90">
        <v>1.97632481203007</v>
      </c>
      <c r="AB90">
        <v>1.03883308270676</v>
      </c>
      <c r="AC90" t="s">
        <v>85</v>
      </c>
      <c r="AE90" t="s">
        <v>63</v>
      </c>
      <c r="AI90">
        <v>3</v>
      </c>
      <c r="AV90" t="s">
        <v>256</v>
      </c>
    </row>
    <row r="91" spans="1:48" x14ac:dyDescent="0.3">
      <c r="A91" t="s">
        <v>1086</v>
      </c>
      <c r="C91" t="s">
        <v>1052</v>
      </c>
      <c r="D91" t="s">
        <v>470</v>
      </c>
      <c r="E91">
        <v>1000000</v>
      </c>
      <c r="H91">
        <v>40</v>
      </c>
      <c r="I91" t="s">
        <v>82</v>
      </c>
      <c r="J91">
        <v>4.0000000000000003E-5</v>
      </c>
      <c r="K91" t="s">
        <v>252</v>
      </c>
      <c r="O91">
        <v>113</v>
      </c>
      <c r="P91" t="s">
        <v>1087</v>
      </c>
      <c r="T91">
        <v>25</v>
      </c>
      <c r="V91">
        <v>50</v>
      </c>
      <c r="W91" t="s">
        <v>1057</v>
      </c>
      <c r="X91" t="s">
        <v>1058</v>
      </c>
      <c r="Y91">
        <v>3.949930827067651</v>
      </c>
      <c r="AB91">
        <v>1.7725112781954699</v>
      </c>
      <c r="AC91" t="s">
        <v>85</v>
      </c>
      <c r="AE91" t="s">
        <v>63</v>
      </c>
      <c r="AI91">
        <v>3</v>
      </c>
      <c r="AV91" t="s">
        <v>256</v>
      </c>
    </row>
    <row r="92" spans="1:48" x14ac:dyDescent="0.3">
      <c r="A92" t="s">
        <v>1086</v>
      </c>
      <c r="C92" t="s">
        <v>1052</v>
      </c>
      <c r="D92" t="s">
        <v>470</v>
      </c>
      <c r="E92">
        <v>1000000</v>
      </c>
      <c r="H92">
        <v>40</v>
      </c>
      <c r="I92" t="s">
        <v>82</v>
      </c>
      <c r="J92">
        <v>4.0000000000000003E-5</v>
      </c>
      <c r="K92" t="s">
        <v>252</v>
      </c>
      <c r="O92">
        <v>113</v>
      </c>
      <c r="P92" t="s">
        <v>1087</v>
      </c>
      <c r="T92">
        <v>25</v>
      </c>
      <c r="V92">
        <v>50</v>
      </c>
      <c r="W92" t="s">
        <v>1057</v>
      </c>
      <c r="X92" t="s">
        <v>1058</v>
      </c>
      <c r="Y92">
        <v>5.9766616541353201</v>
      </c>
      <c r="AB92">
        <v>2.4816120300751701</v>
      </c>
      <c r="AC92" t="s">
        <v>85</v>
      </c>
      <c r="AE92" t="s">
        <v>63</v>
      </c>
      <c r="AI92">
        <v>3</v>
      </c>
      <c r="AV92" t="s">
        <v>256</v>
      </c>
    </row>
    <row r="93" spans="1:48" x14ac:dyDescent="0.3">
      <c r="A93" t="s">
        <v>1086</v>
      </c>
      <c r="C93" t="s">
        <v>1052</v>
      </c>
      <c r="D93" t="s">
        <v>470</v>
      </c>
      <c r="E93">
        <v>1000000</v>
      </c>
      <c r="H93">
        <v>40</v>
      </c>
      <c r="I93" t="s">
        <v>82</v>
      </c>
      <c r="J93">
        <v>4.0000000000000003E-5</v>
      </c>
      <c r="K93" t="s">
        <v>252</v>
      </c>
      <c r="O93">
        <v>113</v>
      </c>
      <c r="P93" t="s">
        <v>1087</v>
      </c>
      <c r="T93">
        <v>25</v>
      </c>
      <c r="V93">
        <v>50</v>
      </c>
      <c r="W93" t="s">
        <v>1057</v>
      </c>
      <c r="X93" t="s">
        <v>1058</v>
      </c>
      <c r="Y93">
        <v>7.951085714285699</v>
      </c>
      <c r="AB93">
        <v>3.0763248120300601</v>
      </c>
      <c r="AC93" t="s">
        <v>85</v>
      </c>
      <c r="AE93" t="s">
        <v>63</v>
      </c>
      <c r="AI93">
        <v>3</v>
      </c>
      <c r="AV93" t="s">
        <v>256</v>
      </c>
    </row>
    <row r="94" spans="1:48" x14ac:dyDescent="0.3">
      <c r="A94" t="s">
        <v>1086</v>
      </c>
      <c r="C94" t="s">
        <v>1052</v>
      </c>
      <c r="D94" t="s">
        <v>470</v>
      </c>
      <c r="E94">
        <v>1000000</v>
      </c>
      <c r="H94">
        <v>40</v>
      </c>
      <c r="I94" t="s">
        <v>82</v>
      </c>
      <c r="J94">
        <v>4.0000000000000003E-5</v>
      </c>
      <c r="K94" t="s">
        <v>252</v>
      </c>
      <c r="O94">
        <v>113</v>
      </c>
      <c r="P94" t="s">
        <v>1087</v>
      </c>
      <c r="T94">
        <v>25</v>
      </c>
      <c r="V94">
        <v>50</v>
      </c>
      <c r="W94" t="s">
        <v>1057</v>
      </c>
      <c r="X94" t="s">
        <v>1058</v>
      </c>
      <c r="Y94">
        <v>9.9950917293233008</v>
      </c>
      <c r="AB94">
        <v>3.85080300751879</v>
      </c>
      <c r="AC94" t="s">
        <v>85</v>
      </c>
      <c r="AE94" t="s">
        <v>63</v>
      </c>
      <c r="AI94">
        <v>3</v>
      </c>
      <c r="AV94" t="s">
        <v>256</v>
      </c>
    </row>
    <row r="95" spans="1:48" x14ac:dyDescent="0.3">
      <c r="A95" t="s">
        <v>1086</v>
      </c>
      <c r="C95" t="s">
        <v>1052</v>
      </c>
      <c r="D95" t="s">
        <v>470</v>
      </c>
      <c r="E95">
        <v>1000000</v>
      </c>
      <c r="H95">
        <v>40</v>
      </c>
      <c r="I95" t="s">
        <v>82</v>
      </c>
      <c r="J95">
        <v>4.0000000000000003E-5</v>
      </c>
      <c r="K95" t="s">
        <v>252</v>
      </c>
      <c r="O95">
        <v>113</v>
      </c>
      <c r="P95" t="s">
        <v>1087</v>
      </c>
      <c r="T95">
        <v>25</v>
      </c>
      <c r="V95">
        <v>50</v>
      </c>
      <c r="W95" t="s">
        <v>1057</v>
      </c>
      <c r="X95" t="s">
        <v>1058</v>
      </c>
      <c r="Y95">
        <v>4.1818343247802703E-2</v>
      </c>
      <c r="AB95">
        <v>-1.86562194797135E-2</v>
      </c>
      <c r="AC95" t="s">
        <v>85</v>
      </c>
      <c r="AE95" t="s">
        <v>63</v>
      </c>
      <c r="AI95">
        <v>3</v>
      </c>
      <c r="AV95" t="s">
        <v>256</v>
      </c>
    </row>
    <row r="96" spans="1:48" x14ac:dyDescent="0.3">
      <c r="A96" t="s">
        <v>1086</v>
      </c>
      <c r="C96" t="s">
        <v>1052</v>
      </c>
      <c r="D96" t="s">
        <v>470</v>
      </c>
      <c r="E96">
        <v>1000000</v>
      </c>
      <c r="H96">
        <v>40</v>
      </c>
      <c r="I96" t="s">
        <v>82</v>
      </c>
      <c r="J96">
        <v>4.0000000000000003E-5</v>
      </c>
      <c r="K96" t="s">
        <v>252</v>
      </c>
      <c r="O96">
        <v>113</v>
      </c>
      <c r="P96" t="s">
        <v>1087</v>
      </c>
      <c r="T96">
        <v>25</v>
      </c>
      <c r="V96">
        <v>50</v>
      </c>
      <c r="W96" t="s">
        <v>1057</v>
      </c>
      <c r="X96" t="s">
        <v>1058</v>
      </c>
      <c r="Y96">
        <v>0.42750599307466902</v>
      </c>
      <c r="AB96">
        <v>0.11585501198614701</v>
      </c>
      <c r="AC96" t="s">
        <v>85</v>
      </c>
      <c r="AE96" t="s">
        <v>63</v>
      </c>
      <c r="AI96">
        <v>3</v>
      </c>
      <c r="AV96" t="s">
        <v>256</v>
      </c>
    </row>
    <row r="97" spans="1:48" x14ac:dyDescent="0.3">
      <c r="A97" t="s">
        <v>1086</v>
      </c>
      <c r="C97" t="s">
        <v>1052</v>
      </c>
      <c r="D97" t="s">
        <v>470</v>
      </c>
      <c r="E97">
        <v>1000000</v>
      </c>
      <c r="H97">
        <v>40</v>
      </c>
      <c r="I97" t="s">
        <v>82</v>
      </c>
      <c r="J97">
        <v>4.0000000000000003E-5</v>
      </c>
      <c r="K97" t="s">
        <v>252</v>
      </c>
      <c r="O97">
        <v>113</v>
      </c>
      <c r="P97" t="s">
        <v>1087</v>
      </c>
      <c r="T97">
        <v>25</v>
      </c>
      <c r="V97">
        <v>50</v>
      </c>
      <c r="W97" t="s">
        <v>1057</v>
      </c>
      <c r="X97" t="s">
        <v>1058</v>
      </c>
      <c r="Y97">
        <v>0.98086655420403102</v>
      </c>
      <c r="AB97">
        <v>0.30573559442421899</v>
      </c>
      <c r="AC97" t="s">
        <v>85</v>
      </c>
      <c r="AE97" t="s">
        <v>63</v>
      </c>
      <c r="AI97">
        <v>3</v>
      </c>
      <c r="AV97" t="s">
        <v>256</v>
      </c>
    </row>
    <row r="98" spans="1:48" x14ac:dyDescent="0.3">
      <c r="A98" t="s">
        <v>1086</v>
      </c>
      <c r="C98" t="s">
        <v>1052</v>
      </c>
      <c r="D98" t="s">
        <v>470</v>
      </c>
      <c r="E98">
        <v>1000000</v>
      </c>
      <c r="H98">
        <v>40</v>
      </c>
      <c r="I98" t="s">
        <v>82</v>
      </c>
      <c r="J98">
        <v>4.0000000000000003E-5</v>
      </c>
      <c r="K98" t="s">
        <v>252</v>
      </c>
      <c r="O98">
        <v>113</v>
      </c>
      <c r="P98" t="s">
        <v>1087</v>
      </c>
      <c r="T98">
        <v>25</v>
      </c>
      <c r="V98">
        <v>50</v>
      </c>
      <c r="W98" t="s">
        <v>1057</v>
      </c>
      <c r="X98" t="s">
        <v>1058</v>
      </c>
      <c r="Y98">
        <v>1.9239989345645001</v>
      </c>
      <c r="AB98">
        <v>1.3622147740388699</v>
      </c>
      <c r="AC98" t="s">
        <v>85</v>
      </c>
      <c r="AE98" t="s">
        <v>63</v>
      </c>
      <c r="AI98">
        <v>3</v>
      </c>
      <c r="AV98" t="s">
        <v>256</v>
      </c>
    </row>
    <row r="99" spans="1:48" x14ac:dyDescent="0.3">
      <c r="A99" t="s">
        <v>1086</v>
      </c>
      <c r="C99" t="s">
        <v>1052</v>
      </c>
      <c r="D99" t="s">
        <v>470</v>
      </c>
      <c r="E99">
        <v>1000000</v>
      </c>
      <c r="H99">
        <v>40</v>
      </c>
      <c r="I99" t="s">
        <v>82</v>
      </c>
      <c r="J99">
        <v>4.0000000000000003E-5</v>
      </c>
      <c r="K99" t="s">
        <v>252</v>
      </c>
      <c r="O99">
        <v>113</v>
      </c>
      <c r="P99" t="s">
        <v>1087</v>
      </c>
      <c r="T99">
        <v>25</v>
      </c>
      <c r="V99">
        <v>50</v>
      </c>
      <c r="W99" t="s">
        <v>1057</v>
      </c>
      <c r="X99" t="s">
        <v>1058</v>
      </c>
      <c r="Y99">
        <v>3.9865932699991</v>
      </c>
      <c r="AB99">
        <v>2.0822494006925201</v>
      </c>
      <c r="AC99" t="s">
        <v>85</v>
      </c>
      <c r="AE99" t="s">
        <v>63</v>
      </c>
      <c r="AI99">
        <v>3</v>
      </c>
      <c r="AV99" t="s">
        <v>256</v>
      </c>
    </row>
    <row r="100" spans="1:48" x14ac:dyDescent="0.3">
      <c r="A100" t="s">
        <v>1086</v>
      </c>
      <c r="C100" t="s">
        <v>1052</v>
      </c>
      <c r="D100" t="s">
        <v>470</v>
      </c>
      <c r="E100">
        <v>1000000</v>
      </c>
      <c r="H100">
        <v>40</v>
      </c>
      <c r="I100" t="s">
        <v>82</v>
      </c>
      <c r="J100">
        <v>4.0000000000000003E-5</v>
      </c>
      <c r="K100" t="s">
        <v>252</v>
      </c>
      <c r="O100">
        <v>113</v>
      </c>
      <c r="P100" t="s">
        <v>1087</v>
      </c>
      <c r="T100">
        <v>25</v>
      </c>
      <c r="V100">
        <v>50</v>
      </c>
      <c r="W100" t="s">
        <v>1057</v>
      </c>
      <c r="X100" t="s">
        <v>1058</v>
      </c>
      <c r="Y100">
        <v>5.94890348930124</v>
      </c>
      <c r="AB100">
        <v>2.8263562106010802</v>
      </c>
      <c r="AC100" t="s">
        <v>85</v>
      </c>
      <c r="AE100" t="s">
        <v>63</v>
      </c>
      <c r="AI100">
        <v>3</v>
      </c>
      <c r="AV100" t="s">
        <v>256</v>
      </c>
    </row>
    <row r="101" spans="1:48" x14ac:dyDescent="0.3">
      <c r="A101" t="s">
        <v>1086</v>
      </c>
      <c r="C101" t="s">
        <v>1052</v>
      </c>
      <c r="D101" t="s">
        <v>470</v>
      </c>
      <c r="E101">
        <v>1000000</v>
      </c>
      <c r="H101">
        <v>40</v>
      </c>
      <c r="I101" t="s">
        <v>82</v>
      </c>
      <c r="J101">
        <v>4.0000000000000003E-5</v>
      </c>
      <c r="K101" t="s">
        <v>252</v>
      </c>
      <c r="O101">
        <v>113</v>
      </c>
      <c r="P101" t="s">
        <v>1087</v>
      </c>
      <c r="T101">
        <v>25</v>
      </c>
      <c r="V101">
        <v>50</v>
      </c>
      <c r="W101" t="s">
        <v>1057</v>
      </c>
      <c r="X101" t="s">
        <v>1058</v>
      </c>
      <c r="Y101">
        <v>8.0102992098019907</v>
      </c>
      <c r="AB101">
        <v>3.3315391103613501</v>
      </c>
      <c r="AC101" t="s">
        <v>85</v>
      </c>
      <c r="AE101" t="s">
        <v>63</v>
      </c>
      <c r="AI101">
        <v>3</v>
      </c>
      <c r="AV101" t="s">
        <v>256</v>
      </c>
    </row>
    <row r="102" spans="1:48" x14ac:dyDescent="0.3">
      <c r="A102" t="s">
        <v>1086</v>
      </c>
      <c r="C102" t="s">
        <v>1052</v>
      </c>
      <c r="D102" t="s">
        <v>470</v>
      </c>
      <c r="E102">
        <v>1000000</v>
      </c>
      <c r="H102">
        <v>40</v>
      </c>
      <c r="I102" t="s">
        <v>82</v>
      </c>
      <c r="J102">
        <v>4.0000000000000003E-5</v>
      </c>
      <c r="K102" t="s">
        <v>252</v>
      </c>
      <c r="O102">
        <v>113</v>
      </c>
      <c r="P102" t="s">
        <v>1087</v>
      </c>
      <c r="T102">
        <v>25</v>
      </c>
      <c r="V102">
        <v>50</v>
      </c>
      <c r="W102" t="s">
        <v>1057</v>
      </c>
      <c r="X102" t="s">
        <v>1058</v>
      </c>
      <c r="Y102">
        <v>10.0235727603658</v>
      </c>
      <c r="AB102">
        <v>4.2108230489212302</v>
      </c>
      <c r="AC102" t="s">
        <v>85</v>
      </c>
      <c r="AE102" t="s">
        <v>63</v>
      </c>
      <c r="AI102">
        <v>3</v>
      </c>
      <c r="AV102" t="s">
        <v>256</v>
      </c>
    </row>
    <row r="103" spans="1:48" x14ac:dyDescent="0.3">
      <c r="A103" t="s">
        <v>1086</v>
      </c>
      <c r="C103" t="s">
        <v>1052</v>
      </c>
      <c r="D103" t="s">
        <v>470</v>
      </c>
      <c r="E103">
        <v>1000000</v>
      </c>
      <c r="H103">
        <v>40</v>
      </c>
      <c r="I103" t="s">
        <v>82</v>
      </c>
      <c r="J103">
        <v>4.0000000000000003E-5</v>
      </c>
      <c r="K103" t="s">
        <v>252</v>
      </c>
      <c r="O103">
        <v>113</v>
      </c>
      <c r="P103" t="s">
        <v>1087</v>
      </c>
      <c r="T103">
        <v>25</v>
      </c>
      <c r="V103">
        <v>50</v>
      </c>
      <c r="W103" t="s">
        <v>1057</v>
      </c>
      <c r="X103" t="s">
        <v>1058</v>
      </c>
      <c r="Y103">
        <v>8.5234839740748608E-3</v>
      </c>
      <c r="AB103">
        <v>1.32402557045185E-2</v>
      </c>
      <c r="AC103" t="s">
        <v>85</v>
      </c>
      <c r="AE103" t="s">
        <v>63</v>
      </c>
      <c r="AI103">
        <v>3</v>
      </c>
      <c r="AV103" t="s">
        <v>256</v>
      </c>
    </row>
    <row r="104" spans="1:48" x14ac:dyDescent="0.3">
      <c r="A104" t="s">
        <v>1086</v>
      </c>
      <c r="C104" t="s">
        <v>1052</v>
      </c>
      <c r="D104" t="s">
        <v>470</v>
      </c>
      <c r="E104">
        <v>1000000</v>
      </c>
      <c r="H104">
        <v>40</v>
      </c>
      <c r="I104" t="s">
        <v>82</v>
      </c>
      <c r="J104">
        <v>4.0000000000000003E-5</v>
      </c>
      <c r="K104" t="s">
        <v>252</v>
      </c>
      <c r="O104">
        <v>113</v>
      </c>
      <c r="P104" t="s">
        <v>1087</v>
      </c>
      <c r="T104">
        <v>25</v>
      </c>
      <c r="V104">
        <v>50</v>
      </c>
      <c r="W104" t="s">
        <v>1057</v>
      </c>
      <c r="X104" t="s">
        <v>1058</v>
      </c>
      <c r="Y104">
        <v>0.477980999733641</v>
      </c>
      <c r="AB104">
        <v>0.16349995560685199</v>
      </c>
      <c r="AC104" t="s">
        <v>85</v>
      </c>
      <c r="AE104" t="s">
        <v>63</v>
      </c>
      <c r="AI104">
        <v>3</v>
      </c>
      <c r="AV104" t="s">
        <v>256</v>
      </c>
    </row>
    <row r="105" spans="1:48" x14ac:dyDescent="0.3">
      <c r="A105" t="s">
        <v>1086</v>
      </c>
      <c r="C105" t="s">
        <v>1052</v>
      </c>
      <c r="D105" t="s">
        <v>470</v>
      </c>
      <c r="E105">
        <v>1000000</v>
      </c>
      <c r="H105">
        <v>40</v>
      </c>
      <c r="I105" t="s">
        <v>82</v>
      </c>
      <c r="J105">
        <v>4.0000000000000003E-5</v>
      </c>
      <c r="K105" t="s">
        <v>252</v>
      </c>
      <c r="O105">
        <v>113</v>
      </c>
      <c r="P105" t="s">
        <v>1087</v>
      </c>
      <c r="T105">
        <v>25</v>
      </c>
      <c r="V105">
        <v>50</v>
      </c>
      <c r="W105" t="s">
        <v>1057</v>
      </c>
      <c r="X105" t="s">
        <v>1058</v>
      </c>
      <c r="Y105">
        <v>0.96350883423599298</v>
      </c>
      <c r="AB105">
        <v>0.19436429015359799</v>
      </c>
      <c r="AC105" t="s">
        <v>85</v>
      </c>
      <c r="AE105" t="s">
        <v>63</v>
      </c>
      <c r="AI105">
        <v>3</v>
      </c>
      <c r="AV105" t="s">
        <v>256</v>
      </c>
    </row>
    <row r="106" spans="1:48" x14ac:dyDescent="0.3">
      <c r="A106" t="s">
        <v>1086</v>
      </c>
      <c r="C106" t="s">
        <v>1052</v>
      </c>
      <c r="D106" t="s">
        <v>470</v>
      </c>
      <c r="E106">
        <v>1000000</v>
      </c>
      <c r="H106">
        <v>40</v>
      </c>
      <c r="I106" t="s">
        <v>82</v>
      </c>
      <c r="J106">
        <v>4.0000000000000003E-5</v>
      </c>
      <c r="K106" t="s">
        <v>252</v>
      </c>
      <c r="O106">
        <v>113</v>
      </c>
      <c r="P106" t="s">
        <v>1087</v>
      </c>
      <c r="T106">
        <v>25</v>
      </c>
      <c r="V106">
        <v>50</v>
      </c>
      <c r="W106" t="s">
        <v>1057</v>
      </c>
      <c r="X106" t="s">
        <v>1058</v>
      </c>
      <c r="Y106">
        <v>2.00878984284825</v>
      </c>
      <c r="AB106">
        <v>1.5609850839030299</v>
      </c>
      <c r="AC106" t="s">
        <v>85</v>
      </c>
      <c r="AE106" t="s">
        <v>63</v>
      </c>
      <c r="AI106">
        <v>3</v>
      </c>
      <c r="AV106" t="s">
        <v>256</v>
      </c>
    </row>
    <row r="107" spans="1:48" x14ac:dyDescent="0.3">
      <c r="A107" t="s">
        <v>1086</v>
      </c>
      <c r="C107" t="s">
        <v>1052</v>
      </c>
      <c r="D107" t="s">
        <v>470</v>
      </c>
      <c r="E107">
        <v>1000000</v>
      </c>
      <c r="H107">
        <v>40</v>
      </c>
      <c r="I107" t="s">
        <v>82</v>
      </c>
      <c r="J107">
        <v>4.0000000000000003E-5</v>
      </c>
      <c r="K107" t="s">
        <v>252</v>
      </c>
      <c r="O107">
        <v>113</v>
      </c>
      <c r="P107" t="s">
        <v>1087</v>
      </c>
      <c r="T107">
        <v>25</v>
      </c>
      <c r="V107">
        <v>50</v>
      </c>
      <c r="W107" t="s">
        <v>1057</v>
      </c>
      <c r="X107" t="s">
        <v>1058</v>
      </c>
      <c r="Y107">
        <v>3.9725650359584401</v>
      </c>
      <c r="AB107">
        <v>2.5676884489034801</v>
      </c>
      <c r="AC107" t="s">
        <v>85</v>
      </c>
      <c r="AE107" t="s">
        <v>63</v>
      </c>
      <c r="AI107">
        <v>3</v>
      </c>
      <c r="AV107" t="s">
        <v>256</v>
      </c>
    </row>
    <row r="108" spans="1:48" x14ac:dyDescent="0.3">
      <c r="A108" t="s">
        <v>1086</v>
      </c>
      <c r="C108" t="s">
        <v>1052</v>
      </c>
      <c r="D108" t="s">
        <v>470</v>
      </c>
      <c r="E108">
        <v>1000000</v>
      </c>
      <c r="H108">
        <v>40</v>
      </c>
      <c r="I108" t="s">
        <v>82</v>
      </c>
      <c r="J108">
        <v>4.0000000000000003E-5</v>
      </c>
      <c r="K108" t="s">
        <v>252</v>
      </c>
      <c r="O108">
        <v>113</v>
      </c>
      <c r="P108" t="s">
        <v>1087</v>
      </c>
      <c r="T108">
        <v>25</v>
      </c>
      <c r="V108">
        <v>50</v>
      </c>
      <c r="W108" t="s">
        <v>1057</v>
      </c>
      <c r="X108" t="s">
        <v>1058</v>
      </c>
      <c r="Y108">
        <v>5.9834413566545201</v>
      </c>
      <c r="AB108">
        <v>3.0172689336766201</v>
      </c>
      <c r="AC108" t="s">
        <v>85</v>
      </c>
      <c r="AE108" t="s">
        <v>63</v>
      </c>
      <c r="AI108">
        <v>3</v>
      </c>
      <c r="AV108" t="s">
        <v>256</v>
      </c>
    </row>
    <row r="109" spans="1:48" x14ac:dyDescent="0.3">
      <c r="A109" t="s">
        <v>1086</v>
      </c>
      <c r="C109" t="s">
        <v>1052</v>
      </c>
      <c r="D109" t="s">
        <v>470</v>
      </c>
      <c r="E109">
        <v>1000000</v>
      </c>
      <c r="H109">
        <v>40</v>
      </c>
      <c r="I109" t="s">
        <v>82</v>
      </c>
      <c r="J109">
        <v>4.0000000000000003E-5</v>
      </c>
      <c r="K109" t="s">
        <v>252</v>
      </c>
      <c r="O109">
        <v>113</v>
      </c>
      <c r="P109" t="s">
        <v>1087</v>
      </c>
      <c r="T109">
        <v>25</v>
      </c>
      <c r="V109">
        <v>50</v>
      </c>
      <c r="W109" t="s">
        <v>1057</v>
      </c>
      <c r="X109" t="s">
        <v>1058</v>
      </c>
      <c r="Y109">
        <v>7.9954275059930611</v>
      </c>
      <c r="AB109">
        <v>3.6657862026103101</v>
      </c>
      <c r="AC109" t="s">
        <v>85</v>
      </c>
      <c r="AE109" t="s">
        <v>63</v>
      </c>
      <c r="AI109">
        <v>3</v>
      </c>
      <c r="AV109" t="s">
        <v>256</v>
      </c>
    </row>
    <row r="110" spans="1:48" x14ac:dyDescent="0.3">
      <c r="A110" t="s">
        <v>1086</v>
      </c>
      <c r="C110" t="s">
        <v>1052</v>
      </c>
      <c r="D110" t="s">
        <v>470</v>
      </c>
      <c r="E110">
        <v>1000000</v>
      </c>
      <c r="H110">
        <v>40</v>
      </c>
      <c r="I110" t="s">
        <v>82</v>
      </c>
      <c r="J110">
        <v>4.0000000000000003E-5</v>
      </c>
      <c r="K110" t="s">
        <v>252</v>
      </c>
      <c r="O110">
        <v>113</v>
      </c>
      <c r="P110" t="s">
        <v>1087</v>
      </c>
      <c r="T110">
        <v>25</v>
      </c>
      <c r="V110">
        <v>50</v>
      </c>
      <c r="W110" t="s">
        <v>1057</v>
      </c>
      <c r="X110" t="s">
        <v>1058</v>
      </c>
      <c r="Y110">
        <v>10.0413300186451</v>
      </c>
      <c r="AB110">
        <v>4.3938115954896402</v>
      </c>
      <c r="AC110" t="s">
        <v>85</v>
      </c>
      <c r="AE110" t="s">
        <v>63</v>
      </c>
      <c r="AI110">
        <v>3</v>
      </c>
      <c r="AV110" t="s">
        <v>256</v>
      </c>
    </row>
    <row r="111" spans="1:48" x14ac:dyDescent="0.3">
      <c r="A111" t="s">
        <v>1086</v>
      </c>
      <c r="C111" t="s">
        <v>1052</v>
      </c>
      <c r="D111" t="s">
        <v>470</v>
      </c>
      <c r="E111">
        <v>1000000</v>
      </c>
      <c r="H111">
        <v>40</v>
      </c>
      <c r="I111" t="s">
        <v>82</v>
      </c>
      <c r="J111">
        <v>4.0000000000000003E-5</v>
      </c>
      <c r="K111" t="s">
        <v>252</v>
      </c>
      <c r="O111">
        <v>113</v>
      </c>
      <c r="P111" t="s">
        <v>1087</v>
      </c>
      <c r="T111">
        <v>25</v>
      </c>
      <c r="V111">
        <v>50</v>
      </c>
      <c r="W111" t="s">
        <v>1057</v>
      </c>
      <c r="X111" t="s">
        <v>1058</v>
      </c>
      <c r="Y111">
        <v>8.3604064616404905E-3</v>
      </c>
      <c r="AB111">
        <v>1.86510007238203E-2</v>
      </c>
      <c r="AC111" t="s">
        <v>85</v>
      </c>
      <c r="AE111" t="s">
        <v>63</v>
      </c>
      <c r="AI111">
        <v>3</v>
      </c>
      <c r="AV111" t="s">
        <v>256</v>
      </c>
    </row>
    <row r="112" spans="1:48" x14ac:dyDescent="0.3">
      <c r="A112" t="s">
        <v>1086</v>
      </c>
      <c r="C112" t="s">
        <v>1052</v>
      </c>
      <c r="D112" t="s">
        <v>470</v>
      </c>
      <c r="E112">
        <v>1000000</v>
      </c>
      <c r="H112">
        <v>40</v>
      </c>
      <c r="I112" t="s">
        <v>82</v>
      </c>
      <c r="J112">
        <v>4.0000000000000003E-5</v>
      </c>
      <c r="K112" t="s">
        <v>252</v>
      </c>
      <c r="O112">
        <v>113</v>
      </c>
      <c r="P112" t="s">
        <v>1087</v>
      </c>
      <c r="T112">
        <v>25</v>
      </c>
      <c r="V112">
        <v>50</v>
      </c>
      <c r="W112" t="s">
        <v>1057</v>
      </c>
      <c r="X112" t="s">
        <v>1058</v>
      </c>
      <c r="Y112">
        <v>0.51384516976113903</v>
      </c>
      <c r="AB112">
        <v>0.16873432423788401</v>
      </c>
      <c r="AC112" t="s">
        <v>85</v>
      </c>
      <c r="AE112" t="s">
        <v>63</v>
      </c>
      <c r="AI112">
        <v>3</v>
      </c>
      <c r="AV112" t="s">
        <v>256</v>
      </c>
    </row>
    <row r="113" spans="1:48" x14ac:dyDescent="0.3">
      <c r="A113" t="s">
        <v>1086</v>
      </c>
      <c r="C113" t="s">
        <v>1052</v>
      </c>
      <c r="D113" t="s">
        <v>470</v>
      </c>
      <c r="E113">
        <v>1000000</v>
      </c>
      <c r="H113">
        <v>40</v>
      </c>
      <c r="I113" t="s">
        <v>82</v>
      </c>
      <c r="J113">
        <v>4.0000000000000003E-5</v>
      </c>
      <c r="K113" t="s">
        <v>252</v>
      </c>
      <c r="O113">
        <v>113</v>
      </c>
      <c r="P113" t="s">
        <v>1087</v>
      </c>
      <c r="T113">
        <v>25</v>
      </c>
      <c r="V113">
        <v>50</v>
      </c>
      <c r="W113" t="s">
        <v>1057</v>
      </c>
      <c r="X113" t="s">
        <v>1058</v>
      </c>
      <c r="Y113">
        <v>1.01861172364648</v>
      </c>
      <c r="AB113">
        <v>0.446479371117881</v>
      </c>
      <c r="AC113" t="s">
        <v>85</v>
      </c>
      <c r="AE113" t="s">
        <v>63</v>
      </c>
      <c r="AI113">
        <v>3</v>
      </c>
      <c r="AV113" t="s">
        <v>256</v>
      </c>
    </row>
    <row r="114" spans="1:48" x14ac:dyDescent="0.3">
      <c r="A114" t="s">
        <v>1086</v>
      </c>
      <c r="C114" t="s">
        <v>1052</v>
      </c>
      <c r="D114" t="s">
        <v>470</v>
      </c>
      <c r="E114">
        <v>1000000</v>
      </c>
      <c r="H114">
        <v>40</v>
      </c>
      <c r="I114" t="s">
        <v>82</v>
      </c>
      <c r="J114">
        <v>4.0000000000000003E-5</v>
      </c>
      <c r="K114" t="s">
        <v>252</v>
      </c>
      <c r="O114">
        <v>113</v>
      </c>
      <c r="P114" t="s">
        <v>1087</v>
      </c>
      <c r="T114">
        <v>25</v>
      </c>
      <c r="V114">
        <v>50</v>
      </c>
      <c r="W114" t="s">
        <v>1057</v>
      </c>
      <c r="X114" t="s">
        <v>1058</v>
      </c>
      <c r="Y114">
        <v>1.9932218986539101</v>
      </c>
      <c r="AB114">
        <v>1.2095207635463801</v>
      </c>
      <c r="AC114" t="s">
        <v>85</v>
      </c>
      <c r="AE114" t="s">
        <v>63</v>
      </c>
      <c r="AI114">
        <v>3</v>
      </c>
      <c r="AV114" t="s">
        <v>256</v>
      </c>
    </row>
    <row r="115" spans="1:48" x14ac:dyDescent="0.3">
      <c r="A115" t="s">
        <v>1086</v>
      </c>
      <c r="C115" t="s">
        <v>1052</v>
      </c>
      <c r="D115" t="s">
        <v>470</v>
      </c>
      <c r="E115">
        <v>1000000</v>
      </c>
      <c r="H115">
        <v>40</v>
      </c>
      <c r="I115" t="s">
        <v>82</v>
      </c>
      <c r="J115">
        <v>4.0000000000000003E-5</v>
      </c>
      <c r="K115" t="s">
        <v>252</v>
      </c>
      <c r="O115">
        <v>113</v>
      </c>
      <c r="P115" t="s">
        <v>1087</v>
      </c>
      <c r="T115">
        <v>25</v>
      </c>
      <c r="V115">
        <v>50</v>
      </c>
      <c r="W115" t="s">
        <v>1057</v>
      </c>
      <c r="X115" t="s">
        <v>1058</v>
      </c>
      <c r="Y115">
        <v>3.946257736181471</v>
      </c>
      <c r="AB115">
        <v>2.0574006430218601</v>
      </c>
      <c r="AC115" t="s">
        <v>85</v>
      </c>
      <c r="AE115" t="s">
        <v>63</v>
      </c>
      <c r="AI115">
        <v>3</v>
      </c>
      <c r="AV115" t="s">
        <v>256</v>
      </c>
    </row>
    <row r="116" spans="1:48" x14ac:dyDescent="0.3">
      <c r="A116" t="s">
        <v>1086</v>
      </c>
      <c r="C116" t="s">
        <v>1052</v>
      </c>
      <c r="D116" t="s">
        <v>470</v>
      </c>
      <c r="E116">
        <v>1000000</v>
      </c>
      <c r="H116">
        <v>40</v>
      </c>
      <c r="I116" t="s">
        <v>82</v>
      </c>
      <c r="J116">
        <v>4.0000000000000003E-5</v>
      </c>
      <c r="K116" t="s">
        <v>252</v>
      </c>
      <c r="O116">
        <v>113</v>
      </c>
      <c r="P116" t="s">
        <v>1087</v>
      </c>
      <c r="T116">
        <v>25</v>
      </c>
      <c r="V116">
        <v>50</v>
      </c>
      <c r="W116" t="s">
        <v>1057</v>
      </c>
      <c r="X116" t="s">
        <v>1058</v>
      </c>
      <c r="Y116">
        <v>6.00132419860733</v>
      </c>
      <c r="AB116">
        <v>2.7693369468244402</v>
      </c>
      <c r="AC116" t="s">
        <v>85</v>
      </c>
      <c r="AE116" t="s">
        <v>63</v>
      </c>
      <c r="AI116">
        <v>3</v>
      </c>
      <c r="AV116" t="s">
        <v>256</v>
      </c>
    </row>
    <row r="117" spans="1:48" x14ac:dyDescent="0.3">
      <c r="A117" t="s">
        <v>1086</v>
      </c>
      <c r="C117" t="s">
        <v>1052</v>
      </c>
      <c r="D117" t="s">
        <v>470</v>
      </c>
      <c r="E117">
        <v>1000000</v>
      </c>
      <c r="H117">
        <v>40</v>
      </c>
      <c r="I117" t="s">
        <v>82</v>
      </c>
      <c r="J117">
        <v>4.0000000000000003E-5</v>
      </c>
      <c r="K117" t="s">
        <v>252</v>
      </c>
      <c r="O117">
        <v>113</v>
      </c>
      <c r="P117" t="s">
        <v>1087</v>
      </c>
      <c r="T117">
        <v>25</v>
      </c>
      <c r="V117">
        <v>50</v>
      </c>
      <c r="W117" t="s">
        <v>1057</v>
      </c>
      <c r="X117" t="s">
        <v>1058</v>
      </c>
      <c r="Y117">
        <v>7.9570084333495901</v>
      </c>
      <c r="AB117">
        <v>3.14646422138805</v>
      </c>
      <c r="AC117" t="s">
        <v>85</v>
      </c>
      <c r="AE117" t="s">
        <v>63</v>
      </c>
      <c r="AI117">
        <v>3</v>
      </c>
      <c r="AV117" t="s">
        <v>256</v>
      </c>
    </row>
    <row r="118" spans="1:48" x14ac:dyDescent="0.3">
      <c r="A118" t="s">
        <v>1086</v>
      </c>
      <c r="C118" t="s">
        <v>1052</v>
      </c>
      <c r="D118" t="s">
        <v>470</v>
      </c>
      <c r="E118">
        <v>1000000</v>
      </c>
      <c r="H118">
        <v>40</v>
      </c>
      <c r="I118" t="s">
        <v>82</v>
      </c>
      <c r="J118">
        <v>4.0000000000000003E-5</v>
      </c>
      <c r="K118" t="s">
        <v>252</v>
      </c>
      <c r="O118">
        <v>113</v>
      </c>
      <c r="P118" t="s">
        <v>1087</v>
      </c>
      <c r="T118">
        <v>25</v>
      </c>
      <c r="V118">
        <v>50</v>
      </c>
      <c r="W118" t="s">
        <v>1057</v>
      </c>
      <c r="X118" t="s">
        <v>1058</v>
      </c>
      <c r="Y118">
        <v>9.9266079754911001</v>
      </c>
      <c r="AB118">
        <v>4.05014560573668</v>
      </c>
      <c r="AC118" t="s">
        <v>85</v>
      </c>
      <c r="AE118" t="s">
        <v>63</v>
      </c>
      <c r="AI118">
        <v>3</v>
      </c>
      <c r="AV118" t="s">
        <v>256</v>
      </c>
    </row>
    <row r="119" spans="1:48" x14ac:dyDescent="0.3">
      <c r="A119" t="s">
        <v>1086</v>
      </c>
      <c r="C119" t="s">
        <v>1052</v>
      </c>
      <c r="D119" t="s">
        <v>470</v>
      </c>
      <c r="E119">
        <v>1000000</v>
      </c>
      <c r="H119">
        <v>40</v>
      </c>
      <c r="I119" t="s">
        <v>82</v>
      </c>
      <c r="J119">
        <v>4.0000000000000003E-5</v>
      </c>
      <c r="K119" t="s">
        <v>252</v>
      </c>
      <c r="O119">
        <v>113</v>
      </c>
      <c r="P119" t="s">
        <v>1087</v>
      </c>
      <c r="T119">
        <v>25</v>
      </c>
      <c r="V119">
        <v>50</v>
      </c>
      <c r="W119" t="s">
        <v>1057</v>
      </c>
      <c r="X119" t="s">
        <v>1058</v>
      </c>
      <c r="Y119">
        <v>8.4501826384100094E-3</v>
      </c>
      <c r="AB119">
        <v>2.6932853030787701E-3</v>
      </c>
      <c r="AC119" t="s">
        <v>85</v>
      </c>
      <c r="AE119" t="s">
        <v>63</v>
      </c>
      <c r="AI119">
        <v>3</v>
      </c>
      <c r="AV119" t="s">
        <v>256</v>
      </c>
    </row>
    <row r="120" spans="1:48" x14ac:dyDescent="0.3">
      <c r="A120" t="s">
        <v>1086</v>
      </c>
      <c r="C120" t="s">
        <v>1052</v>
      </c>
      <c r="D120" t="s">
        <v>470</v>
      </c>
      <c r="E120">
        <v>1000000</v>
      </c>
      <c r="H120">
        <v>40</v>
      </c>
      <c r="I120" t="s">
        <v>82</v>
      </c>
      <c r="J120">
        <v>4.0000000000000003E-5</v>
      </c>
      <c r="K120" t="s">
        <v>252</v>
      </c>
      <c r="O120">
        <v>113</v>
      </c>
      <c r="P120" t="s">
        <v>1087</v>
      </c>
      <c r="T120">
        <v>25</v>
      </c>
      <c r="V120">
        <v>50</v>
      </c>
      <c r="W120" t="s">
        <v>1057</v>
      </c>
      <c r="X120" t="s">
        <v>1058</v>
      </c>
      <c r="Y120">
        <v>0.479505782146885</v>
      </c>
      <c r="AB120">
        <v>0.27256047267156902</v>
      </c>
      <c r="AC120" t="s">
        <v>85</v>
      </c>
      <c r="AE120" t="s">
        <v>63</v>
      </c>
      <c r="AI120">
        <v>3</v>
      </c>
      <c r="AV120" t="s">
        <v>256</v>
      </c>
    </row>
    <row r="121" spans="1:48" x14ac:dyDescent="0.3">
      <c r="A121" t="s">
        <v>1086</v>
      </c>
      <c r="C121" t="s">
        <v>1052</v>
      </c>
      <c r="D121" t="s">
        <v>470</v>
      </c>
      <c r="E121">
        <v>1000000</v>
      </c>
      <c r="H121">
        <v>40</v>
      </c>
      <c r="I121" t="s">
        <v>82</v>
      </c>
      <c r="J121">
        <v>4.0000000000000003E-5</v>
      </c>
      <c r="K121" t="s">
        <v>252</v>
      </c>
      <c r="O121">
        <v>113</v>
      </c>
      <c r="P121" t="s">
        <v>1087</v>
      </c>
      <c r="T121">
        <v>25</v>
      </c>
      <c r="V121">
        <v>50</v>
      </c>
      <c r="W121" t="s">
        <v>1057</v>
      </c>
      <c r="X121" t="s">
        <v>1058</v>
      </c>
      <c r="Y121">
        <v>1.99218947262107</v>
      </c>
      <c r="AB121">
        <v>1.3930344908848999</v>
      </c>
      <c r="AC121" t="s">
        <v>85</v>
      </c>
      <c r="AE121" t="s">
        <v>63</v>
      </c>
      <c r="AI121">
        <v>3</v>
      </c>
      <c r="AV121" t="s">
        <v>256</v>
      </c>
    </row>
    <row r="122" spans="1:48" x14ac:dyDescent="0.3">
      <c r="A122" t="s">
        <v>1086</v>
      </c>
      <c r="C122" t="s">
        <v>1052</v>
      </c>
      <c r="D122" t="s">
        <v>470</v>
      </c>
      <c r="E122">
        <v>1000000</v>
      </c>
      <c r="H122">
        <v>40</v>
      </c>
      <c r="I122" t="s">
        <v>82</v>
      </c>
      <c r="J122">
        <v>4.0000000000000003E-5</v>
      </c>
      <c r="K122" t="s">
        <v>252</v>
      </c>
      <c r="O122">
        <v>113</v>
      </c>
      <c r="P122" t="s">
        <v>1087</v>
      </c>
      <c r="T122">
        <v>25</v>
      </c>
      <c r="V122">
        <v>50</v>
      </c>
      <c r="W122" t="s">
        <v>1057</v>
      </c>
      <c r="X122" t="s">
        <v>1058</v>
      </c>
      <c r="Y122">
        <v>4.0129614355210501</v>
      </c>
      <c r="AB122">
        <v>2.2008180854108002</v>
      </c>
      <c r="AC122" t="s">
        <v>85</v>
      </c>
      <c r="AE122" t="s">
        <v>63</v>
      </c>
      <c r="AI122">
        <v>3</v>
      </c>
      <c r="AV122" t="s">
        <v>256</v>
      </c>
    </row>
    <row r="123" spans="1:48" x14ac:dyDescent="0.3">
      <c r="A123" t="s">
        <v>1086</v>
      </c>
      <c r="C123" t="s">
        <v>1052</v>
      </c>
      <c r="D123" t="s">
        <v>470</v>
      </c>
      <c r="E123">
        <v>1000000</v>
      </c>
      <c r="H123">
        <v>40</v>
      </c>
      <c r="I123" t="s">
        <v>82</v>
      </c>
      <c r="J123">
        <v>4.0000000000000003E-5</v>
      </c>
      <c r="K123" t="s">
        <v>252</v>
      </c>
      <c r="O123">
        <v>113</v>
      </c>
      <c r="P123" t="s">
        <v>1087</v>
      </c>
      <c r="T123">
        <v>25</v>
      </c>
      <c r="V123">
        <v>50</v>
      </c>
      <c r="W123" t="s">
        <v>1057</v>
      </c>
      <c r="X123" t="s">
        <v>1058</v>
      </c>
      <c r="Y123">
        <v>5.9838627322256999</v>
      </c>
      <c r="AB123">
        <v>2.8731125961587001</v>
      </c>
      <c r="AC123" t="s">
        <v>85</v>
      </c>
      <c r="AE123" t="s">
        <v>63</v>
      </c>
      <c r="AI123">
        <v>3</v>
      </c>
      <c r="AV123" t="s">
        <v>256</v>
      </c>
    </row>
    <row r="124" spans="1:48" x14ac:dyDescent="0.3">
      <c r="A124" t="s">
        <v>1086</v>
      </c>
      <c r="C124" t="s">
        <v>1052</v>
      </c>
      <c r="D124" t="s">
        <v>470</v>
      </c>
      <c r="E124">
        <v>1000000</v>
      </c>
      <c r="H124">
        <v>40</v>
      </c>
      <c r="I124" t="s">
        <v>82</v>
      </c>
      <c r="J124">
        <v>4.0000000000000003E-5</v>
      </c>
      <c r="K124" t="s">
        <v>252</v>
      </c>
      <c r="O124">
        <v>113</v>
      </c>
      <c r="P124" t="s">
        <v>1087</v>
      </c>
      <c r="T124">
        <v>25</v>
      </c>
      <c r="V124">
        <v>50</v>
      </c>
      <c r="W124" t="s">
        <v>1057</v>
      </c>
      <c r="X124" t="s">
        <v>1058</v>
      </c>
      <c r="Y124">
        <v>7.9893727450749292</v>
      </c>
      <c r="AB124">
        <v>3.3937078122106801</v>
      </c>
      <c r="AC124" t="s">
        <v>85</v>
      </c>
      <c r="AE124" t="s">
        <v>63</v>
      </c>
      <c r="AI124">
        <v>3</v>
      </c>
      <c r="AV124" t="s">
        <v>256</v>
      </c>
    </row>
    <row r="125" spans="1:48" x14ac:dyDescent="0.3">
      <c r="A125" t="s">
        <v>1086</v>
      </c>
      <c r="C125" t="s">
        <v>1052</v>
      </c>
      <c r="D125" t="s">
        <v>470</v>
      </c>
      <c r="E125">
        <v>1000000</v>
      </c>
      <c r="H125">
        <v>40</v>
      </c>
      <c r="I125" t="s">
        <v>82</v>
      </c>
      <c r="J125">
        <v>4.0000000000000003E-5</v>
      </c>
      <c r="K125" t="s">
        <v>252</v>
      </c>
      <c r="O125">
        <v>113</v>
      </c>
      <c r="P125" t="s">
        <v>1087</v>
      </c>
      <c r="T125">
        <v>25</v>
      </c>
      <c r="V125">
        <v>50</v>
      </c>
      <c r="W125" t="s">
        <v>1057</v>
      </c>
      <c r="X125" t="s">
        <v>1058</v>
      </c>
      <c r="Y125">
        <v>9.9596904966305804</v>
      </c>
      <c r="AB125">
        <v>4.1697274731933902</v>
      </c>
      <c r="AC125" t="s">
        <v>85</v>
      </c>
      <c r="AE125" t="s">
        <v>63</v>
      </c>
      <c r="AI125">
        <v>3</v>
      </c>
      <c r="AV125" t="s">
        <v>256</v>
      </c>
    </row>
    <row r="126" spans="1:48" x14ac:dyDescent="0.3">
      <c r="A126" t="s">
        <v>1086</v>
      </c>
      <c r="C126" t="s">
        <v>1052</v>
      </c>
      <c r="D126" t="s">
        <v>470</v>
      </c>
      <c r="E126">
        <v>1000000</v>
      </c>
      <c r="H126">
        <v>40</v>
      </c>
      <c r="I126" t="s">
        <v>82</v>
      </c>
      <c r="J126">
        <v>4.0000000000000003E-5</v>
      </c>
      <c r="K126" t="s">
        <v>252</v>
      </c>
      <c r="O126">
        <v>113</v>
      </c>
      <c r="P126" t="s">
        <v>1087</v>
      </c>
      <c r="T126">
        <v>25</v>
      </c>
      <c r="V126">
        <v>50</v>
      </c>
      <c r="W126" t="s">
        <v>1057</v>
      </c>
      <c r="X126" t="s">
        <v>1058</v>
      </c>
      <c r="Y126">
        <v>1.13058224985973E-4</v>
      </c>
      <c r="AB126">
        <v>6.5573770491802403E-3</v>
      </c>
      <c r="AC126" t="s">
        <v>85</v>
      </c>
      <c r="AE126" t="s">
        <v>63</v>
      </c>
      <c r="AI126">
        <v>3</v>
      </c>
      <c r="AV126" t="s">
        <v>256</v>
      </c>
    </row>
    <row r="127" spans="1:48" x14ac:dyDescent="0.3">
      <c r="A127" t="s">
        <v>1086</v>
      </c>
      <c r="C127" t="s">
        <v>1052</v>
      </c>
      <c r="D127" t="s">
        <v>470</v>
      </c>
      <c r="E127">
        <v>1000000</v>
      </c>
      <c r="H127">
        <v>40</v>
      </c>
      <c r="I127" t="s">
        <v>82</v>
      </c>
      <c r="J127">
        <v>4.0000000000000003E-5</v>
      </c>
      <c r="K127" t="s">
        <v>252</v>
      </c>
      <c r="O127">
        <v>113</v>
      </c>
      <c r="P127" t="s">
        <v>1087</v>
      </c>
      <c r="T127">
        <v>25</v>
      </c>
      <c r="V127">
        <v>50</v>
      </c>
      <c r="W127" t="s">
        <v>1057</v>
      </c>
      <c r="X127" t="s">
        <v>1058</v>
      </c>
      <c r="Y127">
        <v>0.48400226116449901</v>
      </c>
      <c r="AB127">
        <v>0.20327868852459</v>
      </c>
      <c r="AC127" t="s">
        <v>85</v>
      </c>
      <c r="AE127" t="s">
        <v>63</v>
      </c>
      <c r="AI127">
        <v>3</v>
      </c>
      <c r="AV127" t="s">
        <v>256</v>
      </c>
    </row>
    <row r="128" spans="1:48" x14ac:dyDescent="0.3">
      <c r="A128" t="s">
        <v>1086</v>
      </c>
      <c r="C128" t="s">
        <v>1052</v>
      </c>
      <c r="D128" t="s">
        <v>470</v>
      </c>
      <c r="E128">
        <v>1000000</v>
      </c>
      <c r="H128">
        <v>40</v>
      </c>
      <c r="I128" t="s">
        <v>82</v>
      </c>
      <c r="J128">
        <v>4.0000000000000003E-5</v>
      </c>
      <c r="K128" t="s">
        <v>252</v>
      </c>
      <c r="O128">
        <v>113</v>
      </c>
      <c r="P128" t="s">
        <v>1087</v>
      </c>
      <c r="T128">
        <v>25</v>
      </c>
      <c r="V128">
        <v>50</v>
      </c>
      <c r="W128" t="s">
        <v>1057</v>
      </c>
      <c r="X128" t="s">
        <v>1058</v>
      </c>
      <c r="Y128">
        <v>1.03629169022046</v>
      </c>
      <c r="AB128">
        <v>0.301639344262294</v>
      </c>
      <c r="AC128" t="s">
        <v>85</v>
      </c>
      <c r="AE128" t="s">
        <v>63</v>
      </c>
      <c r="AI128">
        <v>3</v>
      </c>
      <c r="AV128" t="s">
        <v>256</v>
      </c>
    </row>
    <row r="129" spans="1:48" x14ac:dyDescent="0.3">
      <c r="A129" t="s">
        <v>1086</v>
      </c>
      <c r="C129" t="s">
        <v>1052</v>
      </c>
      <c r="D129" t="s">
        <v>470</v>
      </c>
      <c r="E129">
        <v>1000000</v>
      </c>
      <c r="H129">
        <v>40</v>
      </c>
      <c r="I129" t="s">
        <v>82</v>
      </c>
      <c r="J129">
        <v>4.0000000000000003E-5</v>
      </c>
      <c r="K129" t="s">
        <v>252</v>
      </c>
      <c r="O129">
        <v>113</v>
      </c>
      <c r="P129" t="s">
        <v>1087</v>
      </c>
      <c r="T129">
        <v>25</v>
      </c>
      <c r="V129">
        <v>50</v>
      </c>
      <c r="W129" t="s">
        <v>1057</v>
      </c>
      <c r="X129" t="s">
        <v>1058</v>
      </c>
      <c r="Y129">
        <v>2.00808366308648</v>
      </c>
      <c r="AB129">
        <v>1.3934426229507999</v>
      </c>
      <c r="AC129" t="s">
        <v>85</v>
      </c>
      <c r="AE129" t="s">
        <v>63</v>
      </c>
      <c r="AI129">
        <v>3</v>
      </c>
      <c r="AV129" t="s">
        <v>256</v>
      </c>
    </row>
    <row r="130" spans="1:48" x14ac:dyDescent="0.3">
      <c r="A130" t="s">
        <v>1086</v>
      </c>
      <c r="C130" t="s">
        <v>1052</v>
      </c>
      <c r="D130" t="s">
        <v>470</v>
      </c>
      <c r="E130">
        <v>1000000</v>
      </c>
      <c r="H130">
        <v>40</v>
      </c>
      <c r="I130" t="s">
        <v>82</v>
      </c>
      <c r="J130">
        <v>4.0000000000000003E-5</v>
      </c>
      <c r="K130" t="s">
        <v>252</v>
      </c>
      <c r="O130">
        <v>113</v>
      </c>
      <c r="P130" t="s">
        <v>1087</v>
      </c>
      <c r="T130">
        <v>25</v>
      </c>
      <c r="V130">
        <v>50</v>
      </c>
      <c r="W130" t="s">
        <v>1057</v>
      </c>
      <c r="X130" t="s">
        <v>1058</v>
      </c>
      <c r="Y130">
        <v>3.9795364612775401</v>
      </c>
      <c r="AB130">
        <v>2.42622950819672</v>
      </c>
      <c r="AC130" t="s">
        <v>85</v>
      </c>
      <c r="AE130" t="s">
        <v>63</v>
      </c>
      <c r="AI130">
        <v>3</v>
      </c>
      <c r="AV130" t="s">
        <v>256</v>
      </c>
    </row>
    <row r="131" spans="1:48" x14ac:dyDescent="0.3">
      <c r="A131" t="s">
        <v>1086</v>
      </c>
      <c r="C131" t="s">
        <v>1052</v>
      </c>
      <c r="D131" t="s">
        <v>470</v>
      </c>
      <c r="E131">
        <v>1000000</v>
      </c>
      <c r="H131">
        <v>40</v>
      </c>
      <c r="I131" t="s">
        <v>82</v>
      </c>
      <c r="J131">
        <v>4.0000000000000003E-5</v>
      </c>
      <c r="K131" t="s">
        <v>252</v>
      </c>
      <c r="O131">
        <v>113</v>
      </c>
      <c r="P131" t="s">
        <v>1087</v>
      </c>
      <c r="T131">
        <v>25</v>
      </c>
      <c r="V131">
        <v>50</v>
      </c>
      <c r="W131" t="s">
        <v>1057</v>
      </c>
      <c r="X131" t="s">
        <v>1058</v>
      </c>
      <c r="Y131">
        <v>6.0197851893725201</v>
      </c>
      <c r="AB131">
        <v>3.4295081967213101</v>
      </c>
      <c r="AC131" t="s">
        <v>85</v>
      </c>
      <c r="AE131" t="s">
        <v>63</v>
      </c>
      <c r="AI131">
        <v>3</v>
      </c>
      <c r="AV131" t="s">
        <v>256</v>
      </c>
    </row>
    <row r="132" spans="1:48" x14ac:dyDescent="0.3">
      <c r="A132" t="s">
        <v>1086</v>
      </c>
      <c r="C132" t="s">
        <v>1052</v>
      </c>
      <c r="D132" t="s">
        <v>470</v>
      </c>
      <c r="E132">
        <v>1000000</v>
      </c>
      <c r="H132">
        <v>40</v>
      </c>
      <c r="I132" t="s">
        <v>82</v>
      </c>
      <c r="J132">
        <v>4.0000000000000003E-5</v>
      </c>
      <c r="K132" t="s">
        <v>252</v>
      </c>
      <c r="O132">
        <v>113</v>
      </c>
      <c r="P132" t="s">
        <v>1087</v>
      </c>
      <c r="T132">
        <v>25</v>
      </c>
      <c r="V132">
        <v>50</v>
      </c>
      <c r="W132" t="s">
        <v>1057</v>
      </c>
      <c r="X132" t="s">
        <v>1058</v>
      </c>
      <c r="Y132">
        <v>8.0407574901073904</v>
      </c>
      <c r="AB132">
        <v>4.0786885245901603</v>
      </c>
      <c r="AC132" t="s">
        <v>85</v>
      </c>
      <c r="AE132" t="s">
        <v>63</v>
      </c>
      <c r="AI132">
        <v>3</v>
      </c>
      <c r="AV132" t="s">
        <v>256</v>
      </c>
    </row>
    <row r="133" spans="1:48" x14ac:dyDescent="0.3">
      <c r="A133" t="s">
        <v>1086</v>
      </c>
      <c r="C133" t="s">
        <v>1052</v>
      </c>
      <c r="D133" t="s">
        <v>470</v>
      </c>
      <c r="E133">
        <v>1000000</v>
      </c>
      <c r="H133">
        <v>40</v>
      </c>
      <c r="I133" t="s">
        <v>82</v>
      </c>
      <c r="J133">
        <v>4.0000000000000003E-5</v>
      </c>
      <c r="K133" t="s">
        <v>252</v>
      </c>
      <c r="O133">
        <v>113</v>
      </c>
      <c r="P133" t="s">
        <v>1087</v>
      </c>
      <c r="T133">
        <v>25</v>
      </c>
      <c r="V133">
        <v>50</v>
      </c>
      <c r="W133" t="s">
        <v>1057</v>
      </c>
      <c r="X133" t="s">
        <v>1058</v>
      </c>
      <c r="Y133">
        <v>10.0456755228942</v>
      </c>
      <c r="AB133">
        <v>4.9344262295081904</v>
      </c>
      <c r="AC133" t="s">
        <v>85</v>
      </c>
      <c r="AE133" t="s">
        <v>63</v>
      </c>
      <c r="AI133">
        <v>3</v>
      </c>
      <c r="AV133" t="s">
        <v>256</v>
      </c>
    </row>
    <row r="134" spans="1:48" x14ac:dyDescent="0.3">
      <c r="A134" t="s">
        <v>1086</v>
      </c>
      <c r="C134" t="s">
        <v>1052</v>
      </c>
      <c r="D134" t="s">
        <v>470</v>
      </c>
      <c r="E134">
        <v>1000000</v>
      </c>
      <c r="H134">
        <v>40</v>
      </c>
      <c r="I134" t="s">
        <v>82</v>
      </c>
      <c r="J134">
        <v>4.0000000000000003E-5</v>
      </c>
      <c r="K134" t="s">
        <v>252</v>
      </c>
      <c r="O134">
        <v>113</v>
      </c>
      <c r="P134" t="s">
        <v>1087</v>
      </c>
      <c r="T134">
        <v>25</v>
      </c>
      <c r="V134">
        <v>50</v>
      </c>
      <c r="W134" t="s">
        <v>1057</v>
      </c>
      <c r="X134" t="s">
        <v>1058</v>
      </c>
      <c r="Y134">
        <v>4.4408920985006202E-16</v>
      </c>
      <c r="AB134">
        <v>-1.31147540983595E-2</v>
      </c>
      <c r="AC134" t="s">
        <v>85</v>
      </c>
      <c r="AE134" t="s">
        <v>63</v>
      </c>
      <c r="AI134">
        <v>3</v>
      </c>
      <c r="AV134" t="s">
        <v>256</v>
      </c>
    </row>
    <row r="135" spans="1:48" x14ac:dyDescent="0.3">
      <c r="A135" t="s">
        <v>1086</v>
      </c>
      <c r="C135" t="s">
        <v>1052</v>
      </c>
      <c r="D135" t="s">
        <v>470</v>
      </c>
      <c r="E135">
        <v>1000000</v>
      </c>
      <c r="H135">
        <v>40</v>
      </c>
      <c r="I135" t="s">
        <v>82</v>
      </c>
      <c r="J135">
        <v>4.0000000000000003E-5</v>
      </c>
      <c r="K135" t="s">
        <v>252</v>
      </c>
      <c r="O135">
        <v>113</v>
      </c>
      <c r="P135" t="s">
        <v>1087</v>
      </c>
      <c r="T135">
        <v>25</v>
      </c>
      <c r="V135">
        <v>50</v>
      </c>
      <c r="W135" t="s">
        <v>1057</v>
      </c>
      <c r="X135" t="s">
        <v>1058</v>
      </c>
      <c r="Y135">
        <v>0.518541548897682</v>
      </c>
      <c r="AB135">
        <v>0.21311475409836</v>
      </c>
      <c r="AC135" t="s">
        <v>85</v>
      </c>
      <c r="AE135" t="s">
        <v>63</v>
      </c>
      <c r="AI135">
        <v>3</v>
      </c>
      <c r="AV135" t="s">
        <v>256</v>
      </c>
    </row>
    <row r="136" spans="1:48" x14ac:dyDescent="0.3">
      <c r="A136" t="s">
        <v>1086</v>
      </c>
      <c r="C136" t="s">
        <v>1052</v>
      </c>
      <c r="D136" t="s">
        <v>470</v>
      </c>
      <c r="E136">
        <v>1000000</v>
      </c>
      <c r="H136">
        <v>40</v>
      </c>
      <c r="I136" t="s">
        <v>82</v>
      </c>
      <c r="J136">
        <v>4.0000000000000003E-5</v>
      </c>
      <c r="K136" t="s">
        <v>252</v>
      </c>
      <c r="O136">
        <v>113</v>
      </c>
      <c r="P136" t="s">
        <v>1087</v>
      </c>
      <c r="T136">
        <v>25</v>
      </c>
      <c r="V136">
        <v>50</v>
      </c>
      <c r="W136" t="s">
        <v>1057</v>
      </c>
      <c r="X136" t="s">
        <v>1058</v>
      </c>
      <c r="Y136">
        <v>1.01972866026003</v>
      </c>
      <c r="AB136">
        <v>0.41967213114753998</v>
      </c>
      <c r="AC136" t="s">
        <v>85</v>
      </c>
      <c r="AE136" t="s">
        <v>63</v>
      </c>
      <c r="AI136">
        <v>3</v>
      </c>
      <c r="AV136" t="s">
        <v>256</v>
      </c>
    </row>
    <row r="137" spans="1:48" x14ac:dyDescent="0.3">
      <c r="A137" t="s">
        <v>1086</v>
      </c>
      <c r="C137" t="s">
        <v>1052</v>
      </c>
      <c r="D137" t="s">
        <v>470</v>
      </c>
      <c r="E137">
        <v>1000000</v>
      </c>
      <c r="H137">
        <v>40</v>
      </c>
      <c r="I137" t="s">
        <v>82</v>
      </c>
      <c r="J137">
        <v>4.0000000000000003E-5</v>
      </c>
      <c r="K137" t="s">
        <v>252</v>
      </c>
      <c r="O137">
        <v>113</v>
      </c>
      <c r="P137" t="s">
        <v>1087</v>
      </c>
      <c r="T137">
        <v>25</v>
      </c>
      <c r="V137">
        <v>50</v>
      </c>
      <c r="W137" t="s">
        <v>1057</v>
      </c>
      <c r="X137" t="s">
        <v>1058</v>
      </c>
      <c r="Y137">
        <v>2.01091011871112</v>
      </c>
      <c r="AB137">
        <v>1.8852459016393299</v>
      </c>
      <c r="AC137" t="s">
        <v>85</v>
      </c>
      <c r="AE137" t="s">
        <v>63</v>
      </c>
      <c r="AI137">
        <v>3</v>
      </c>
      <c r="AV137" t="s">
        <v>256</v>
      </c>
    </row>
    <row r="138" spans="1:48" x14ac:dyDescent="0.3">
      <c r="A138" t="s">
        <v>1086</v>
      </c>
      <c r="C138" t="s">
        <v>1052</v>
      </c>
      <c r="D138" t="s">
        <v>470</v>
      </c>
      <c r="E138">
        <v>1000000</v>
      </c>
      <c r="H138">
        <v>40</v>
      </c>
      <c r="I138" t="s">
        <v>82</v>
      </c>
      <c r="J138">
        <v>4.0000000000000003E-5</v>
      </c>
      <c r="K138" t="s">
        <v>252</v>
      </c>
      <c r="O138">
        <v>113</v>
      </c>
      <c r="P138" t="s">
        <v>1087</v>
      </c>
      <c r="T138">
        <v>25</v>
      </c>
      <c r="V138">
        <v>50</v>
      </c>
      <c r="W138" t="s">
        <v>1057</v>
      </c>
      <c r="X138" t="s">
        <v>1058</v>
      </c>
      <c r="Y138">
        <v>4.01808931599773</v>
      </c>
      <c r="AB138">
        <v>3.1344262295081902</v>
      </c>
      <c r="AC138" t="s">
        <v>85</v>
      </c>
      <c r="AE138" t="s">
        <v>63</v>
      </c>
      <c r="AI138">
        <v>3</v>
      </c>
      <c r="AV138" t="s">
        <v>256</v>
      </c>
    </row>
    <row r="139" spans="1:48" x14ac:dyDescent="0.3">
      <c r="A139" t="s">
        <v>1086</v>
      </c>
      <c r="C139" t="s">
        <v>1052</v>
      </c>
      <c r="D139" t="s">
        <v>470</v>
      </c>
      <c r="E139">
        <v>1000000</v>
      </c>
      <c r="H139">
        <v>40</v>
      </c>
      <c r="I139" t="s">
        <v>82</v>
      </c>
      <c r="J139">
        <v>4.0000000000000003E-5</v>
      </c>
      <c r="K139" t="s">
        <v>252</v>
      </c>
      <c r="O139">
        <v>113</v>
      </c>
      <c r="P139" t="s">
        <v>1087</v>
      </c>
      <c r="T139">
        <v>25</v>
      </c>
      <c r="V139">
        <v>50</v>
      </c>
      <c r="W139" t="s">
        <v>1057</v>
      </c>
      <c r="X139" t="s">
        <v>1058</v>
      </c>
      <c r="Y139">
        <v>6.02396834369699</v>
      </c>
      <c r="AB139">
        <v>4.1573770491803099</v>
      </c>
      <c r="AC139" t="s">
        <v>85</v>
      </c>
      <c r="AE139" t="s">
        <v>63</v>
      </c>
      <c r="AI139">
        <v>3</v>
      </c>
      <c r="AV139" t="s">
        <v>256</v>
      </c>
    </row>
    <row r="140" spans="1:48" x14ac:dyDescent="0.3">
      <c r="A140" t="s">
        <v>1086</v>
      </c>
      <c r="C140" t="s">
        <v>1052</v>
      </c>
      <c r="D140" t="s">
        <v>470</v>
      </c>
      <c r="E140">
        <v>1000000</v>
      </c>
      <c r="H140">
        <v>40</v>
      </c>
      <c r="I140" t="s">
        <v>82</v>
      </c>
      <c r="J140">
        <v>4.0000000000000003E-5</v>
      </c>
      <c r="K140" t="s">
        <v>252</v>
      </c>
      <c r="O140">
        <v>113</v>
      </c>
      <c r="P140" t="s">
        <v>1087</v>
      </c>
      <c r="T140">
        <v>25</v>
      </c>
      <c r="V140">
        <v>50</v>
      </c>
      <c r="W140" t="s">
        <v>1057</v>
      </c>
      <c r="X140" t="s">
        <v>1058</v>
      </c>
      <c r="Y140">
        <v>8.0458451102317508</v>
      </c>
      <c r="AB140">
        <v>4.96393442622949</v>
      </c>
      <c r="AC140" t="s">
        <v>85</v>
      </c>
      <c r="AE140" t="s">
        <v>63</v>
      </c>
      <c r="AI140">
        <v>3</v>
      </c>
      <c r="AV140" t="s">
        <v>256</v>
      </c>
    </row>
    <row r="141" spans="1:48" x14ac:dyDescent="0.3">
      <c r="A141" t="s">
        <v>1086</v>
      </c>
      <c r="C141" t="s">
        <v>1052</v>
      </c>
      <c r="D141" t="s">
        <v>470</v>
      </c>
      <c r="E141">
        <v>1000000</v>
      </c>
      <c r="H141">
        <v>40</v>
      </c>
      <c r="I141" t="s">
        <v>82</v>
      </c>
      <c r="J141">
        <v>4.0000000000000003E-5</v>
      </c>
      <c r="K141" t="s">
        <v>252</v>
      </c>
      <c r="O141">
        <v>113</v>
      </c>
      <c r="P141" t="s">
        <v>1087</v>
      </c>
      <c r="T141">
        <v>25</v>
      </c>
      <c r="V141">
        <v>50</v>
      </c>
      <c r="W141" t="s">
        <v>1057</v>
      </c>
      <c r="X141" t="s">
        <v>1058</v>
      </c>
      <c r="Y141">
        <v>10.051045788581</v>
      </c>
      <c r="AB141">
        <v>5.86885245901638</v>
      </c>
      <c r="AC141" t="s">
        <v>85</v>
      </c>
      <c r="AE141" t="s">
        <v>63</v>
      </c>
      <c r="AI141">
        <v>3</v>
      </c>
      <c r="AV141" t="s">
        <v>256</v>
      </c>
    </row>
    <row r="142" spans="1:48" x14ac:dyDescent="0.3">
      <c r="A142" t="s">
        <v>1088</v>
      </c>
      <c r="C142" t="s">
        <v>1052</v>
      </c>
      <c r="D142" t="s">
        <v>470</v>
      </c>
      <c r="E142">
        <v>100000</v>
      </c>
      <c r="H142">
        <v>0.1</v>
      </c>
      <c r="I142" t="s">
        <v>82</v>
      </c>
      <c r="J142">
        <v>9.9999999999999995E-8</v>
      </c>
      <c r="K142" t="s">
        <v>252</v>
      </c>
      <c r="L142" t="s">
        <v>58</v>
      </c>
      <c r="O142">
        <v>0</v>
      </c>
      <c r="T142">
        <v>37</v>
      </c>
      <c r="V142">
        <v>50</v>
      </c>
      <c r="W142" t="s">
        <v>1089</v>
      </c>
      <c r="X142" t="s">
        <v>1079</v>
      </c>
      <c r="Y142">
        <v>8.2872928176795164E-5</v>
      </c>
      <c r="AB142">
        <v>100.101522842639</v>
      </c>
      <c r="AC142" t="s">
        <v>1090</v>
      </c>
      <c r="AJ142" t="s">
        <v>201</v>
      </c>
      <c r="AV142" t="s">
        <v>256</v>
      </c>
    </row>
    <row r="143" spans="1:48" x14ac:dyDescent="0.3">
      <c r="A143" t="s">
        <v>1088</v>
      </c>
      <c r="C143" t="s">
        <v>1052</v>
      </c>
      <c r="D143" t="s">
        <v>470</v>
      </c>
      <c r="E143">
        <v>100000</v>
      </c>
      <c r="H143">
        <v>0.1</v>
      </c>
      <c r="I143" t="s">
        <v>82</v>
      </c>
      <c r="J143">
        <v>9.9999999999999995E-8</v>
      </c>
      <c r="K143" t="s">
        <v>252</v>
      </c>
      <c r="L143" t="s">
        <v>58</v>
      </c>
      <c r="O143">
        <v>0</v>
      </c>
      <c r="T143">
        <v>37</v>
      </c>
      <c r="V143">
        <v>50</v>
      </c>
      <c r="W143" t="s">
        <v>1089</v>
      </c>
      <c r="X143" t="s">
        <v>1079</v>
      </c>
      <c r="Y143">
        <v>3.3149171270718172E-3</v>
      </c>
      <c r="AB143">
        <v>57.055837563451703</v>
      </c>
      <c r="AC143" t="s">
        <v>1090</v>
      </c>
      <c r="AJ143" t="s">
        <v>201</v>
      </c>
      <c r="AV143" t="s">
        <v>256</v>
      </c>
    </row>
    <row r="144" spans="1:48" x14ac:dyDescent="0.3">
      <c r="A144" t="s">
        <v>1088</v>
      </c>
      <c r="C144" t="s">
        <v>1052</v>
      </c>
      <c r="D144" t="s">
        <v>470</v>
      </c>
      <c r="E144">
        <v>100000</v>
      </c>
      <c r="H144">
        <v>0.1</v>
      </c>
      <c r="I144" t="s">
        <v>82</v>
      </c>
      <c r="J144">
        <v>9.9999999999999995E-8</v>
      </c>
      <c r="K144" t="s">
        <v>252</v>
      </c>
      <c r="L144" t="s">
        <v>58</v>
      </c>
      <c r="O144">
        <v>0</v>
      </c>
      <c r="T144">
        <v>37</v>
      </c>
      <c r="V144">
        <v>50</v>
      </c>
      <c r="W144" t="s">
        <v>1089</v>
      </c>
      <c r="X144" t="s">
        <v>1079</v>
      </c>
      <c r="Y144">
        <v>9.9861878453038656E-3</v>
      </c>
      <c r="AB144">
        <v>3.2487309644670002</v>
      </c>
      <c r="AC144" t="s">
        <v>1090</v>
      </c>
      <c r="AJ144" t="s">
        <v>201</v>
      </c>
      <c r="AV144" t="s">
        <v>256</v>
      </c>
    </row>
    <row r="145" spans="1:48" x14ac:dyDescent="0.3">
      <c r="A145" t="s">
        <v>1088</v>
      </c>
      <c r="C145" t="s">
        <v>1052</v>
      </c>
      <c r="D145" t="s">
        <v>470</v>
      </c>
      <c r="E145">
        <v>100000</v>
      </c>
      <c r="H145">
        <v>0.1</v>
      </c>
      <c r="I145" t="s">
        <v>82</v>
      </c>
      <c r="J145">
        <v>9.9999999999999995E-8</v>
      </c>
      <c r="K145" t="s">
        <v>252</v>
      </c>
      <c r="L145" t="s">
        <v>58</v>
      </c>
      <c r="O145">
        <v>0</v>
      </c>
      <c r="T145">
        <v>37</v>
      </c>
      <c r="V145">
        <v>50</v>
      </c>
      <c r="W145" t="s">
        <v>1089</v>
      </c>
      <c r="X145" t="s">
        <v>1079</v>
      </c>
      <c r="Y145">
        <v>1.6698895027624169E-2</v>
      </c>
      <c r="AB145">
        <v>0.20304568527919201</v>
      </c>
      <c r="AC145" t="s">
        <v>1090</v>
      </c>
      <c r="AJ145" t="s">
        <v>201</v>
      </c>
      <c r="AV145" t="s">
        <v>256</v>
      </c>
    </row>
    <row r="146" spans="1:48" x14ac:dyDescent="0.3">
      <c r="A146" t="s">
        <v>1088</v>
      </c>
      <c r="C146" t="s">
        <v>1052</v>
      </c>
      <c r="D146" t="s">
        <v>470</v>
      </c>
      <c r="E146">
        <v>100000</v>
      </c>
      <c r="H146">
        <v>0.1</v>
      </c>
      <c r="I146" t="s">
        <v>82</v>
      </c>
      <c r="J146">
        <v>9.9999999999999995E-8</v>
      </c>
      <c r="K146" t="s">
        <v>252</v>
      </c>
      <c r="L146" t="s">
        <v>58</v>
      </c>
      <c r="O146">
        <v>0</v>
      </c>
      <c r="T146">
        <v>37</v>
      </c>
      <c r="V146">
        <v>50</v>
      </c>
      <c r="W146" t="s">
        <v>1089</v>
      </c>
      <c r="X146" t="s">
        <v>1079</v>
      </c>
      <c r="Y146">
        <v>2.337016574585633E-2</v>
      </c>
      <c r="AB146">
        <v>0.20304568527919201</v>
      </c>
      <c r="AC146" t="s">
        <v>1090</v>
      </c>
      <c r="AJ146" t="s">
        <v>201</v>
      </c>
      <c r="AV146" t="s">
        <v>256</v>
      </c>
    </row>
    <row r="147" spans="1:48" x14ac:dyDescent="0.3">
      <c r="A147" t="s">
        <v>1088</v>
      </c>
      <c r="C147" t="s">
        <v>1052</v>
      </c>
      <c r="D147" t="s">
        <v>470</v>
      </c>
      <c r="E147">
        <v>100000</v>
      </c>
      <c r="H147">
        <v>0.1</v>
      </c>
      <c r="I147" t="s">
        <v>82</v>
      </c>
      <c r="J147">
        <v>9.9999999999999995E-8</v>
      </c>
      <c r="K147" t="s">
        <v>252</v>
      </c>
      <c r="L147" t="s">
        <v>58</v>
      </c>
      <c r="O147">
        <v>0</v>
      </c>
      <c r="T147">
        <v>37</v>
      </c>
      <c r="V147">
        <v>50</v>
      </c>
      <c r="W147" t="s">
        <v>1089</v>
      </c>
      <c r="X147" t="s">
        <v>1079</v>
      </c>
      <c r="Y147">
        <v>3.0041436464088331E-2</v>
      </c>
      <c r="AB147">
        <v>0.20304568527919201</v>
      </c>
      <c r="AC147" t="s">
        <v>1090</v>
      </c>
      <c r="AJ147" t="s">
        <v>201</v>
      </c>
      <c r="AV147" t="s">
        <v>256</v>
      </c>
    </row>
    <row r="148" spans="1:48" x14ac:dyDescent="0.3">
      <c r="A148" t="s">
        <v>1088</v>
      </c>
      <c r="C148" t="s">
        <v>1052</v>
      </c>
      <c r="D148" t="s">
        <v>470</v>
      </c>
      <c r="E148">
        <v>1000000</v>
      </c>
      <c r="H148">
        <v>0.1</v>
      </c>
      <c r="I148" t="s">
        <v>82</v>
      </c>
      <c r="J148">
        <v>9.9999999999999995E-8</v>
      </c>
      <c r="K148" t="s">
        <v>252</v>
      </c>
      <c r="L148" t="s">
        <v>58</v>
      </c>
      <c r="O148">
        <v>0</v>
      </c>
      <c r="T148">
        <v>37</v>
      </c>
      <c r="V148">
        <v>50</v>
      </c>
      <c r="W148" t="s">
        <v>1089</v>
      </c>
      <c r="X148" t="s">
        <v>1079</v>
      </c>
      <c r="Y148">
        <v>0</v>
      </c>
      <c r="AB148">
        <v>99.695431472081196</v>
      </c>
      <c r="AC148" t="s">
        <v>1090</v>
      </c>
      <c r="AJ148" t="s">
        <v>201</v>
      </c>
      <c r="AV148" t="s">
        <v>256</v>
      </c>
    </row>
    <row r="149" spans="1:48" x14ac:dyDescent="0.3">
      <c r="A149" t="s">
        <v>1088</v>
      </c>
      <c r="C149" t="s">
        <v>1052</v>
      </c>
      <c r="D149" t="s">
        <v>470</v>
      </c>
      <c r="E149">
        <v>1000000</v>
      </c>
      <c r="H149">
        <v>0.1</v>
      </c>
      <c r="I149" t="s">
        <v>82</v>
      </c>
      <c r="J149">
        <v>9.9999999999999995E-8</v>
      </c>
      <c r="K149" t="s">
        <v>252</v>
      </c>
      <c r="L149" t="s">
        <v>58</v>
      </c>
      <c r="O149">
        <v>0</v>
      </c>
      <c r="T149">
        <v>37</v>
      </c>
      <c r="V149">
        <v>50</v>
      </c>
      <c r="W149" t="s">
        <v>1089</v>
      </c>
      <c r="X149" t="s">
        <v>1079</v>
      </c>
      <c r="Y149">
        <v>3.2320441988950171E-3</v>
      </c>
      <c r="AB149">
        <v>98.274111675126889</v>
      </c>
      <c r="AC149" t="s">
        <v>1090</v>
      </c>
      <c r="AJ149" t="s">
        <v>201</v>
      </c>
      <c r="AV149" t="s">
        <v>256</v>
      </c>
    </row>
    <row r="150" spans="1:48" x14ac:dyDescent="0.3">
      <c r="A150" t="s">
        <v>1088</v>
      </c>
      <c r="C150" t="s">
        <v>1052</v>
      </c>
      <c r="D150" t="s">
        <v>470</v>
      </c>
      <c r="E150">
        <v>1000000</v>
      </c>
      <c r="H150">
        <v>0.1</v>
      </c>
      <c r="I150" t="s">
        <v>82</v>
      </c>
      <c r="J150">
        <v>9.9999999999999995E-8</v>
      </c>
      <c r="K150" t="s">
        <v>252</v>
      </c>
      <c r="L150" t="s">
        <v>58</v>
      </c>
      <c r="O150">
        <v>0</v>
      </c>
      <c r="T150">
        <v>37</v>
      </c>
      <c r="V150">
        <v>50</v>
      </c>
      <c r="W150" t="s">
        <v>1089</v>
      </c>
      <c r="X150" t="s">
        <v>1079</v>
      </c>
      <c r="Y150">
        <v>9.9861878453038656E-3</v>
      </c>
      <c r="AB150">
        <v>23.350253807106501</v>
      </c>
      <c r="AC150" t="s">
        <v>1090</v>
      </c>
      <c r="AJ150" t="s">
        <v>201</v>
      </c>
      <c r="AV150" t="s">
        <v>256</v>
      </c>
    </row>
    <row r="151" spans="1:48" x14ac:dyDescent="0.3">
      <c r="A151" t="s">
        <v>1088</v>
      </c>
      <c r="C151" t="s">
        <v>1052</v>
      </c>
      <c r="D151" t="s">
        <v>470</v>
      </c>
      <c r="E151">
        <v>1000000</v>
      </c>
      <c r="H151">
        <v>0.1</v>
      </c>
      <c r="I151" t="s">
        <v>82</v>
      </c>
      <c r="J151">
        <v>9.9999999999999995E-8</v>
      </c>
      <c r="K151" t="s">
        <v>252</v>
      </c>
      <c r="L151" t="s">
        <v>58</v>
      </c>
      <c r="O151">
        <v>0</v>
      </c>
      <c r="T151">
        <v>37</v>
      </c>
      <c r="V151">
        <v>50</v>
      </c>
      <c r="W151" t="s">
        <v>1089</v>
      </c>
      <c r="X151" t="s">
        <v>1079</v>
      </c>
      <c r="Y151">
        <v>1.6698895027624169E-2</v>
      </c>
      <c r="AB151">
        <v>0.20304568527919201</v>
      </c>
      <c r="AC151" t="s">
        <v>1090</v>
      </c>
      <c r="AJ151" t="s">
        <v>201</v>
      </c>
      <c r="AV151" t="s">
        <v>256</v>
      </c>
    </row>
    <row r="152" spans="1:48" x14ac:dyDescent="0.3">
      <c r="A152" t="s">
        <v>1088</v>
      </c>
      <c r="C152" t="s">
        <v>1052</v>
      </c>
      <c r="D152" t="s">
        <v>470</v>
      </c>
      <c r="E152">
        <v>1000000</v>
      </c>
      <c r="H152">
        <v>0.1</v>
      </c>
      <c r="I152" t="s">
        <v>82</v>
      </c>
      <c r="J152">
        <v>9.9999999999999995E-8</v>
      </c>
      <c r="K152" t="s">
        <v>252</v>
      </c>
      <c r="L152" t="s">
        <v>58</v>
      </c>
      <c r="O152">
        <v>0</v>
      </c>
      <c r="T152">
        <v>37</v>
      </c>
      <c r="V152">
        <v>50</v>
      </c>
      <c r="W152" t="s">
        <v>1089</v>
      </c>
      <c r="X152" t="s">
        <v>1079</v>
      </c>
      <c r="Y152">
        <v>2.337016574585633E-2</v>
      </c>
      <c r="AB152">
        <v>0.20304568527919201</v>
      </c>
      <c r="AC152" t="s">
        <v>1090</v>
      </c>
      <c r="AJ152" t="s">
        <v>201</v>
      </c>
      <c r="AV152" t="s">
        <v>256</v>
      </c>
    </row>
    <row r="153" spans="1:48" x14ac:dyDescent="0.3">
      <c r="A153" t="s">
        <v>1088</v>
      </c>
      <c r="C153" t="s">
        <v>1052</v>
      </c>
      <c r="D153" t="s">
        <v>470</v>
      </c>
      <c r="E153">
        <v>1000000</v>
      </c>
      <c r="H153">
        <v>0.1</v>
      </c>
      <c r="I153" t="s">
        <v>82</v>
      </c>
      <c r="J153">
        <v>9.9999999999999995E-8</v>
      </c>
      <c r="K153" t="s">
        <v>252</v>
      </c>
      <c r="L153" t="s">
        <v>58</v>
      </c>
      <c r="O153">
        <v>0</v>
      </c>
      <c r="T153">
        <v>37</v>
      </c>
      <c r="V153">
        <v>50</v>
      </c>
      <c r="W153" t="s">
        <v>1089</v>
      </c>
      <c r="X153" t="s">
        <v>1079</v>
      </c>
      <c r="Y153">
        <v>3.0041436464088331E-2</v>
      </c>
      <c r="AB153">
        <v>0.20304568527919201</v>
      </c>
      <c r="AC153" t="s">
        <v>1090</v>
      </c>
      <c r="AJ153" t="s">
        <v>201</v>
      </c>
      <c r="AV153" t="s">
        <v>256</v>
      </c>
    </row>
    <row r="154" spans="1:48" x14ac:dyDescent="0.3">
      <c r="A154" t="s">
        <v>1088</v>
      </c>
      <c r="C154" t="s">
        <v>1052</v>
      </c>
      <c r="D154" t="s">
        <v>470</v>
      </c>
      <c r="E154">
        <v>10000000</v>
      </c>
      <c r="H154">
        <v>0.1</v>
      </c>
      <c r="I154" t="s">
        <v>82</v>
      </c>
      <c r="J154">
        <v>9.9999999999999995E-8</v>
      </c>
      <c r="K154" t="s">
        <v>252</v>
      </c>
      <c r="L154" t="s">
        <v>58</v>
      </c>
      <c r="O154">
        <v>0</v>
      </c>
      <c r="T154">
        <v>37</v>
      </c>
      <c r="V154">
        <v>50</v>
      </c>
      <c r="W154" t="s">
        <v>1089</v>
      </c>
      <c r="X154" t="s">
        <v>1079</v>
      </c>
      <c r="Y154">
        <v>1.2430939226519371E-4</v>
      </c>
      <c r="AB154">
        <v>100.101522842639</v>
      </c>
      <c r="AC154" t="s">
        <v>1090</v>
      </c>
      <c r="AJ154" t="s">
        <v>201</v>
      </c>
      <c r="AV154" t="s">
        <v>256</v>
      </c>
    </row>
    <row r="155" spans="1:48" x14ac:dyDescent="0.3">
      <c r="A155" t="s">
        <v>1088</v>
      </c>
      <c r="C155" t="s">
        <v>1052</v>
      </c>
      <c r="D155" t="s">
        <v>470</v>
      </c>
      <c r="E155">
        <v>10000000</v>
      </c>
      <c r="H155">
        <v>0.1</v>
      </c>
      <c r="I155" t="s">
        <v>82</v>
      </c>
      <c r="J155">
        <v>9.9999999999999995E-8</v>
      </c>
      <c r="K155" t="s">
        <v>252</v>
      </c>
      <c r="L155" t="s">
        <v>58</v>
      </c>
      <c r="O155">
        <v>0</v>
      </c>
      <c r="T155">
        <v>37</v>
      </c>
      <c r="V155">
        <v>50</v>
      </c>
      <c r="W155" t="s">
        <v>1089</v>
      </c>
      <c r="X155" t="s">
        <v>1079</v>
      </c>
      <c r="Y155">
        <v>3.3149171270718172E-3</v>
      </c>
      <c r="AB155">
        <v>96.040609137055796</v>
      </c>
      <c r="AC155" t="s">
        <v>1090</v>
      </c>
      <c r="AJ155" t="s">
        <v>201</v>
      </c>
      <c r="AV155" t="s">
        <v>256</v>
      </c>
    </row>
    <row r="156" spans="1:48" x14ac:dyDescent="0.3">
      <c r="A156" t="s">
        <v>1088</v>
      </c>
      <c r="C156" t="s">
        <v>1052</v>
      </c>
      <c r="D156" t="s">
        <v>470</v>
      </c>
      <c r="E156">
        <v>10000000</v>
      </c>
      <c r="H156">
        <v>0.1</v>
      </c>
      <c r="I156" t="s">
        <v>82</v>
      </c>
      <c r="J156">
        <v>9.9999999999999995E-8</v>
      </c>
      <c r="K156" t="s">
        <v>252</v>
      </c>
      <c r="L156" t="s">
        <v>58</v>
      </c>
      <c r="O156">
        <v>0</v>
      </c>
      <c r="T156">
        <v>37</v>
      </c>
      <c r="V156">
        <v>50</v>
      </c>
      <c r="W156" t="s">
        <v>1089</v>
      </c>
      <c r="X156" t="s">
        <v>1079</v>
      </c>
      <c r="Y156">
        <v>1.002762430939225E-2</v>
      </c>
      <c r="AB156">
        <v>9.1370558375634303</v>
      </c>
      <c r="AC156" t="s">
        <v>1090</v>
      </c>
      <c r="AJ156" t="s">
        <v>201</v>
      </c>
      <c r="AV156" t="s">
        <v>256</v>
      </c>
    </row>
    <row r="157" spans="1:48" x14ac:dyDescent="0.3">
      <c r="A157" t="s">
        <v>1088</v>
      </c>
      <c r="C157" t="s">
        <v>1052</v>
      </c>
      <c r="D157" t="s">
        <v>470</v>
      </c>
      <c r="E157">
        <v>10000000</v>
      </c>
      <c r="H157">
        <v>0.1</v>
      </c>
      <c r="I157" t="s">
        <v>82</v>
      </c>
      <c r="J157">
        <v>9.9999999999999995E-8</v>
      </c>
      <c r="K157" t="s">
        <v>252</v>
      </c>
      <c r="L157" t="s">
        <v>58</v>
      </c>
      <c r="O157">
        <v>0</v>
      </c>
      <c r="T157">
        <v>37</v>
      </c>
      <c r="V157">
        <v>50</v>
      </c>
      <c r="W157" t="s">
        <v>1089</v>
      </c>
      <c r="X157" t="s">
        <v>1079</v>
      </c>
      <c r="Y157">
        <v>1.6657458563535898E-2</v>
      </c>
      <c r="AB157">
        <v>0.20304568527919201</v>
      </c>
      <c r="AC157" t="s">
        <v>1090</v>
      </c>
      <c r="AJ157" t="s">
        <v>201</v>
      </c>
      <c r="AV157" t="s">
        <v>256</v>
      </c>
    </row>
    <row r="158" spans="1:48" x14ac:dyDescent="0.3">
      <c r="A158" t="s">
        <v>1088</v>
      </c>
      <c r="C158" t="s">
        <v>1052</v>
      </c>
      <c r="D158" t="s">
        <v>470</v>
      </c>
      <c r="E158">
        <v>10000000</v>
      </c>
      <c r="H158">
        <v>0.1</v>
      </c>
      <c r="I158" t="s">
        <v>82</v>
      </c>
      <c r="J158">
        <v>9.9999999999999995E-8</v>
      </c>
      <c r="K158" t="s">
        <v>252</v>
      </c>
      <c r="L158" t="s">
        <v>58</v>
      </c>
      <c r="O158">
        <v>0</v>
      </c>
      <c r="T158">
        <v>37</v>
      </c>
      <c r="V158">
        <v>50</v>
      </c>
      <c r="W158" t="s">
        <v>1089</v>
      </c>
      <c r="X158" t="s">
        <v>1079</v>
      </c>
      <c r="Y158">
        <v>2.3287292817679491E-2</v>
      </c>
      <c r="AB158">
        <v>0.20304568527919201</v>
      </c>
      <c r="AC158" t="s">
        <v>1090</v>
      </c>
      <c r="AJ158" t="s">
        <v>201</v>
      </c>
      <c r="AV158" t="s">
        <v>256</v>
      </c>
    </row>
    <row r="159" spans="1:48" x14ac:dyDescent="0.3">
      <c r="A159" t="s">
        <v>1088</v>
      </c>
      <c r="C159" t="s">
        <v>1052</v>
      </c>
      <c r="D159" t="s">
        <v>470</v>
      </c>
      <c r="E159">
        <v>10000000</v>
      </c>
      <c r="H159">
        <v>0.1</v>
      </c>
      <c r="I159" t="s">
        <v>82</v>
      </c>
      <c r="J159">
        <v>9.9999999999999995E-8</v>
      </c>
      <c r="K159" t="s">
        <v>252</v>
      </c>
      <c r="L159" t="s">
        <v>58</v>
      </c>
      <c r="O159">
        <v>0</v>
      </c>
      <c r="T159">
        <v>37</v>
      </c>
      <c r="V159">
        <v>50</v>
      </c>
      <c r="W159" t="s">
        <v>1089</v>
      </c>
      <c r="X159" t="s">
        <v>1079</v>
      </c>
      <c r="Y159">
        <v>3.012430939226517E-2</v>
      </c>
      <c r="AB159">
        <v>0</v>
      </c>
      <c r="AC159" t="s">
        <v>1090</v>
      </c>
      <c r="AJ159" t="s">
        <v>201</v>
      </c>
      <c r="AV159" t="s">
        <v>256</v>
      </c>
    </row>
    <row r="160" spans="1:48" x14ac:dyDescent="0.3">
      <c r="A160" t="s">
        <v>1088</v>
      </c>
      <c r="C160" t="s">
        <v>1052</v>
      </c>
      <c r="D160" t="s">
        <v>470</v>
      </c>
      <c r="E160">
        <v>100000</v>
      </c>
      <c r="H160">
        <v>0.1</v>
      </c>
      <c r="I160" t="s">
        <v>82</v>
      </c>
      <c r="J160">
        <v>9.9999999999999995E-8</v>
      </c>
      <c r="K160" t="s">
        <v>252</v>
      </c>
      <c r="L160" t="s">
        <v>58</v>
      </c>
      <c r="O160">
        <v>0</v>
      </c>
      <c r="T160">
        <v>37</v>
      </c>
      <c r="V160">
        <v>50</v>
      </c>
      <c r="W160" t="s">
        <v>1089</v>
      </c>
      <c r="X160" t="s">
        <v>1079</v>
      </c>
      <c r="Y160">
        <v>1.2430939226519371E-4</v>
      </c>
      <c r="AB160">
        <v>100.30456852791799</v>
      </c>
      <c r="AC160" t="s">
        <v>1090</v>
      </c>
      <c r="AJ160" t="s">
        <v>201</v>
      </c>
      <c r="AV160" t="s">
        <v>256</v>
      </c>
    </row>
    <row r="161" spans="1:48" x14ac:dyDescent="0.3">
      <c r="A161" t="s">
        <v>1088</v>
      </c>
      <c r="C161" t="s">
        <v>1052</v>
      </c>
      <c r="D161" t="s">
        <v>470</v>
      </c>
      <c r="E161">
        <v>100000</v>
      </c>
      <c r="H161">
        <v>0.1</v>
      </c>
      <c r="I161" t="s">
        <v>82</v>
      </c>
      <c r="J161">
        <v>9.9999999999999995E-8</v>
      </c>
      <c r="K161" t="s">
        <v>252</v>
      </c>
      <c r="L161" t="s">
        <v>58</v>
      </c>
      <c r="O161">
        <v>0</v>
      </c>
      <c r="T161">
        <v>37</v>
      </c>
      <c r="V161">
        <v>50</v>
      </c>
      <c r="W161" t="s">
        <v>1089</v>
      </c>
      <c r="X161" t="s">
        <v>1079</v>
      </c>
      <c r="Y161">
        <v>3.356353591160217E-3</v>
      </c>
      <c r="AB161">
        <v>92.588832487309602</v>
      </c>
      <c r="AC161" t="s">
        <v>1090</v>
      </c>
      <c r="AJ161" t="s">
        <v>201</v>
      </c>
      <c r="AV161" t="s">
        <v>256</v>
      </c>
    </row>
    <row r="162" spans="1:48" x14ac:dyDescent="0.3">
      <c r="A162" t="s">
        <v>1088</v>
      </c>
      <c r="C162" t="s">
        <v>1052</v>
      </c>
      <c r="D162" t="s">
        <v>470</v>
      </c>
      <c r="E162">
        <v>100000</v>
      </c>
      <c r="H162">
        <v>0.1</v>
      </c>
      <c r="I162" t="s">
        <v>82</v>
      </c>
      <c r="J162">
        <v>9.9999999999999995E-8</v>
      </c>
      <c r="K162" t="s">
        <v>252</v>
      </c>
      <c r="L162" t="s">
        <v>58</v>
      </c>
      <c r="O162">
        <v>0</v>
      </c>
      <c r="T162">
        <v>37</v>
      </c>
      <c r="V162">
        <v>50</v>
      </c>
      <c r="W162" t="s">
        <v>1089</v>
      </c>
      <c r="X162" t="s">
        <v>1079</v>
      </c>
      <c r="Y162">
        <v>9.9447513812154671E-3</v>
      </c>
      <c r="AB162">
        <v>95.837563451776603</v>
      </c>
      <c r="AC162" t="s">
        <v>1090</v>
      </c>
      <c r="AJ162" t="s">
        <v>201</v>
      </c>
      <c r="AV162" t="s">
        <v>256</v>
      </c>
    </row>
    <row r="163" spans="1:48" x14ac:dyDescent="0.3">
      <c r="A163" t="s">
        <v>1088</v>
      </c>
      <c r="C163" t="s">
        <v>1052</v>
      </c>
      <c r="D163" t="s">
        <v>470</v>
      </c>
      <c r="E163">
        <v>100000</v>
      </c>
      <c r="H163">
        <v>0.1</v>
      </c>
      <c r="I163" t="s">
        <v>82</v>
      </c>
      <c r="J163">
        <v>9.9999999999999995E-8</v>
      </c>
      <c r="K163" t="s">
        <v>252</v>
      </c>
      <c r="L163" t="s">
        <v>58</v>
      </c>
      <c r="O163">
        <v>0</v>
      </c>
      <c r="T163">
        <v>37</v>
      </c>
      <c r="V163">
        <v>50</v>
      </c>
      <c r="W163" t="s">
        <v>1089</v>
      </c>
      <c r="X163" t="s">
        <v>1079</v>
      </c>
      <c r="Y163">
        <v>1.6657458563535898E-2</v>
      </c>
      <c r="AB163">
        <v>81.015228426395893</v>
      </c>
      <c r="AC163" t="s">
        <v>1090</v>
      </c>
      <c r="AJ163" t="s">
        <v>201</v>
      </c>
      <c r="AV163" t="s">
        <v>256</v>
      </c>
    </row>
    <row r="164" spans="1:48" x14ac:dyDescent="0.3">
      <c r="A164" t="s">
        <v>1088</v>
      </c>
      <c r="C164" t="s">
        <v>1052</v>
      </c>
      <c r="D164" t="s">
        <v>470</v>
      </c>
      <c r="E164">
        <v>100000</v>
      </c>
      <c r="H164">
        <v>0.1</v>
      </c>
      <c r="I164" t="s">
        <v>82</v>
      </c>
      <c r="J164">
        <v>9.9999999999999995E-8</v>
      </c>
      <c r="K164" t="s">
        <v>252</v>
      </c>
      <c r="L164" t="s">
        <v>58</v>
      </c>
      <c r="O164">
        <v>0</v>
      </c>
      <c r="T164">
        <v>37</v>
      </c>
      <c r="V164">
        <v>50</v>
      </c>
      <c r="W164" t="s">
        <v>1089</v>
      </c>
      <c r="X164" t="s">
        <v>1079</v>
      </c>
      <c r="Y164">
        <v>2.337016574585633E-2</v>
      </c>
      <c r="AB164">
        <v>80.203045685279093</v>
      </c>
      <c r="AC164" t="s">
        <v>1090</v>
      </c>
      <c r="AJ164" t="s">
        <v>201</v>
      </c>
      <c r="AV164" t="s">
        <v>256</v>
      </c>
    </row>
    <row r="165" spans="1:48" x14ac:dyDescent="0.3">
      <c r="A165" t="s">
        <v>1088</v>
      </c>
      <c r="C165" t="s">
        <v>1052</v>
      </c>
      <c r="D165" t="s">
        <v>470</v>
      </c>
      <c r="E165">
        <v>100000</v>
      </c>
      <c r="H165">
        <v>0.1</v>
      </c>
      <c r="I165" t="s">
        <v>82</v>
      </c>
      <c r="J165">
        <v>9.9999999999999995E-8</v>
      </c>
      <c r="K165" t="s">
        <v>252</v>
      </c>
      <c r="L165" t="s">
        <v>58</v>
      </c>
      <c r="O165">
        <v>0</v>
      </c>
      <c r="T165">
        <v>37</v>
      </c>
      <c r="V165">
        <v>50</v>
      </c>
      <c r="W165" t="s">
        <v>1089</v>
      </c>
      <c r="X165" t="s">
        <v>1079</v>
      </c>
      <c r="Y165">
        <v>2.99585635359115E-2</v>
      </c>
      <c r="AB165">
        <v>80</v>
      </c>
      <c r="AC165" t="s">
        <v>1090</v>
      </c>
      <c r="AJ165" t="s">
        <v>201</v>
      </c>
      <c r="AV165" t="s">
        <v>256</v>
      </c>
    </row>
    <row r="166" spans="1:48" x14ac:dyDescent="0.3">
      <c r="A166" t="s">
        <v>1088</v>
      </c>
      <c r="C166" t="s">
        <v>1052</v>
      </c>
      <c r="D166" t="s">
        <v>470</v>
      </c>
      <c r="E166">
        <v>1000000</v>
      </c>
      <c r="H166">
        <v>0.1</v>
      </c>
      <c r="I166" t="s">
        <v>82</v>
      </c>
      <c r="J166">
        <v>9.9999999999999995E-8</v>
      </c>
      <c r="K166" t="s">
        <v>252</v>
      </c>
      <c r="L166" t="s">
        <v>58</v>
      </c>
      <c r="O166">
        <v>0</v>
      </c>
      <c r="T166">
        <v>37</v>
      </c>
      <c r="V166">
        <v>50</v>
      </c>
      <c r="W166" t="s">
        <v>1089</v>
      </c>
      <c r="X166" t="s">
        <v>1079</v>
      </c>
      <c r="Y166">
        <v>1.2430939226519371E-4</v>
      </c>
      <c r="AB166">
        <v>99.898477157360404</v>
      </c>
      <c r="AC166" t="s">
        <v>1090</v>
      </c>
      <c r="AJ166" t="s">
        <v>201</v>
      </c>
      <c r="AV166" t="s">
        <v>256</v>
      </c>
    </row>
    <row r="167" spans="1:48" x14ac:dyDescent="0.3">
      <c r="A167" t="s">
        <v>1088</v>
      </c>
      <c r="C167" t="s">
        <v>1052</v>
      </c>
      <c r="D167" t="s">
        <v>470</v>
      </c>
      <c r="E167">
        <v>1000000</v>
      </c>
      <c r="H167">
        <v>0.1</v>
      </c>
      <c r="I167" t="s">
        <v>82</v>
      </c>
      <c r="J167">
        <v>9.9999999999999995E-8</v>
      </c>
      <c r="K167" t="s">
        <v>252</v>
      </c>
      <c r="L167" t="s">
        <v>58</v>
      </c>
      <c r="O167">
        <v>0</v>
      </c>
      <c r="T167">
        <v>37</v>
      </c>
      <c r="V167">
        <v>50</v>
      </c>
      <c r="W167" t="s">
        <v>1089</v>
      </c>
      <c r="X167" t="s">
        <v>1079</v>
      </c>
      <c r="Y167">
        <v>3.3149171270718172E-3</v>
      </c>
      <c r="AB167">
        <v>91.167512690355295</v>
      </c>
      <c r="AC167" t="s">
        <v>1090</v>
      </c>
      <c r="AJ167" t="s">
        <v>201</v>
      </c>
      <c r="AV167" t="s">
        <v>256</v>
      </c>
    </row>
    <row r="168" spans="1:48" x14ac:dyDescent="0.3">
      <c r="A168" t="s">
        <v>1088</v>
      </c>
      <c r="C168" t="s">
        <v>1052</v>
      </c>
      <c r="D168" t="s">
        <v>470</v>
      </c>
      <c r="E168">
        <v>1000000</v>
      </c>
      <c r="H168">
        <v>0.1</v>
      </c>
      <c r="I168" t="s">
        <v>82</v>
      </c>
      <c r="J168">
        <v>9.9999999999999995E-8</v>
      </c>
      <c r="K168" t="s">
        <v>252</v>
      </c>
      <c r="L168" t="s">
        <v>58</v>
      </c>
      <c r="O168">
        <v>0</v>
      </c>
      <c r="T168">
        <v>37</v>
      </c>
      <c r="V168">
        <v>50</v>
      </c>
      <c r="W168" t="s">
        <v>1089</v>
      </c>
      <c r="X168" t="s">
        <v>1079</v>
      </c>
      <c r="Y168">
        <v>1.0069060773480651E-2</v>
      </c>
      <c r="AB168">
        <v>97.258883248730896</v>
      </c>
      <c r="AC168" t="s">
        <v>1090</v>
      </c>
      <c r="AJ168" t="s">
        <v>201</v>
      </c>
      <c r="AV168" t="s">
        <v>256</v>
      </c>
    </row>
    <row r="169" spans="1:48" x14ac:dyDescent="0.3">
      <c r="A169" t="s">
        <v>1088</v>
      </c>
      <c r="C169" t="s">
        <v>1052</v>
      </c>
      <c r="D169" t="s">
        <v>470</v>
      </c>
      <c r="E169">
        <v>1000000</v>
      </c>
      <c r="H169">
        <v>0.1</v>
      </c>
      <c r="I169" t="s">
        <v>82</v>
      </c>
      <c r="J169">
        <v>9.9999999999999995E-8</v>
      </c>
      <c r="K169" t="s">
        <v>252</v>
      </c>
      <c r="L169" t="s">
        <v>58</v>
      </c>
      <c r="O169">
        <v>0</v>
      </c>
      <c r="T169">
        <v>37</v>
      </c>
      <c r="V169">
        <v>50</v>
      </c>
      <c r="W169" t="s">
        <v>1089</v>
      </c>
      <c r="X169" t="s">
        <v>1079</v>
      </c>
      <c r="Y169">
        <v>1.6740331491712671E-2</v>
      </c>
      <c r="AB169">
        <v>98.071065989847696</v>
      </c>
      <c r="AC169" t="s">
        <v>1090</v>
      </c>
      <c r="AJ169" t="s">
        <v>201</v>
      </c>
      <c r="AV169" t="s">
        <v>256</v>
      </c>
    </row>
    <row r="170" spans="1:48" x14ac:dyDescent="0.3">
      <c r="A170" t="s">
        <v>1088</v>
      </c>
      <c r="C170" t="s">
        <v>1052</v>
      </c>
      <c r="D170" t="s">
        <v>470</v>
      </c>
      <c r="E170">
        <v>1000000</v>
      </c>
      <c r="H170">
        <v>0.1</v>
      </c>
      <c r="I170" t="s">
        <v>82</v>
      </c>
      <c r="J170">
        <v>9.9999999999999995E-8</v>
      </c>
      <c r="K170" t="s">
        <v>252</v>
      </c>
      <c r="L170" t="s">
        <v>58</v>
      </c>
      <c r="O170">
        <v>0</v>
      </c>
      <c r="T170">
        <v>37</v>
      </c>
      <c r="V170">
        <v>50</v>
      </c>
      <c r="W170" t="s">
        <v>1089</v>
      </c>
      <c r="X170" t="s">
        <v>1079</v>
      </c>
      <c r="Y170">
        <v>2.337016574585633E-2</v>
      </c>
      <c r="AB170">
        <v>98.274111675126889</v>
      </c>
      <c r="AC170" t="s">
        <v>1090</v>
      </c>
      <c r="AJ170" t="s">
        <v>201</v>
      </c>
      <c r="AV170" t="s">
        <v>256</v>
      </c>
    </row>
    <row r="171" spans="1:48" x14ac:dyDescent="0.3">
      <c r="A171" t="s">
        <v>1088</v>
      </c>
      <c r="C171" t="s">
        <v>1052</v>
      </c>
      <c r="D171" t="s">
        <v>470</v>
      </c>
      <c r="E171">
        <v>1000000</v>
      </c>
      <c r="H171">
        <v>0.1</v>
      </c>
      <c r="I171" t="s">
        <v>82</v>
      </c>
      <c r="J171">
        <v>9.9999999999999995E-8</v>
      </c>
      <c r="K171" t="s">
        <v>252</v>
      </c>
      <c r="L171" t="s">
        <v>58</v>
      </c>
      <c r="O171">
        <v>0</v>
      </c>
      <c r="T171">
        <v>37</v>
      </c>
      <c r="V171">
        <v>50</v>
      </c>
      <c r="W171" t="s">
        <v>1089</v>
      </c>
      <c r="X171" t="s">
        <v>1079</v>
      </c>
      <c r="Y171">
        <v>3.0041436464088331E-2</v>
      </c>
      <c r="AB171">
        <v>98.680203045685204</v>
      </c>
      <c r="AC171" t="s">
        <v>1090</v>
      </c>
      <c r="AJ171" t="s">
        <v>201</v>
      </c>
      <c r="AV171" t="s">
        <v>256</v>
      </c>
    </row>
    <row r="172" spans="1:48" x14ac:dyDescent="0.3">
      <c r="A172" t="s">
        <v>1088</v>
      </c>
      <c r="C172" t="s">
        <v>1052</v>
      </c>
      <c r="D172" t="s">
        <v>470</v>
      </c>
      <c r="E172">
        <v>10000000</v>
      </c>
      <c r="H172">
        <v>0.1</v>
      </c>
      <c r="I172" t="s">
        <v>82</v>
      </c>
      <c r="J172">
        <v>9.9999999999999995E-8</v>
      </c>
      <c r="K172" t="s">
        <v>252</v>
      </c>
      <c r="L172" t="s">
        <v>58</v>
      </c>
      <c r="O172">
        <v>0</v>
      </c>
      <c r="T172">
        <v>37</v>
      </c>
      <c r="V172">
        <v>50</v>
      </c>
      <c r="W172" t="s">
        <v>1089</v>
      </c>
      <c r="X172" t="s">
        <v>1079</v>
      </c>
      <c r="Y172">
        <v>4.14364640883975E-5</v>
      </c>
      <c r="AB172">
        <v>100.101522842639</v>
      </c>
      <c r="AC172" t="s">
        <v>1090</v>
      </c>
      <c r="AJ172" t="s">
        <v>201</v>
      </c>
      <c r="AV172" t="s">
        <v>256</v>
      </c>
    </row>
    <row r="173" spans="1:48" x14ac:dyDescent="0.3">
      <c r="A173" t="s">
        <v>1088</v>
      </c>
      <c r="C173" t="s">
        <v>1052</v>
      </c>
      <c r="D173" t="s">
        <v>470</v>
      </c>
      <c r="E173">
        <v>10000000</v>
      </c>
      <c r="H173">
        <v>0.1</v>
      </c>
      <c r="I173" t="s">
        <v>82</v>
      </c>
      <c r="J173">
        <v>9.9999999999999995E-8</v>
      </c>
      <c r="K173" t="s">
        <v>252</v>
      </c>
      <c r="L173" t="s">
        <v>58</v>
      </c>
      <c r="O173">
        <v>0</v>
      </c>
      <c r="T173">
        <v>37</v>
      </c>
      <c r="V173">
        <v>50</v>
      </c>
      <c r="W173" t="s">
        <v>1089</v>
      </c>
      <c r="X173" t="s">
        <v>1079</v>
      </c>
      <c r="Y173">
        <v>3.3149171270718172E-3</v>
      </c>
      <c r="Z173">
        <v>1</v>
      </c>
      <c r="AB173">
        <v>99.289340101522797</v>
      </c>
      <c r="AC173" t="s">
        <v>1090</v>
      </c>
      <c r="AJ173" t="s">
        <v>201</v>
      </c>
      <c r="AV173" t="s">
        <v>256</v>
      </c>
    </row>
    <row r="174" spans="1:48" x14ac:dyDescent="0.3">
      <c r="A174" t="s">
        <v>1088</v>
      </c>
      <c r="C174" t="s">
        <v>1052</v>
      </c>
      <c r="D174" t="s">
        <v>470</v>
      </c>
      <c r="E174">
        <v>10000000</v>
      </c>
      <c r="H174">
        <v>0.1</v>
      </c>
      <c r="I174" t="s">
        <v>82</v>
      </c>
      <c r="J174">
        <v>9.9999999999999995E-8</v>
      </c>
      <c r="K174" t="s">
        <v>252</v>
      </c>
      <c r="L174" t="s">
        <v>58</v>
      </c>
      <c r="O174">
        <v>0</v>
      </c>
      <c r="T174">
        <v>37</v>
      </c>
      <c r="V174">
        <v>50</v>
      </c>
      <c r="W174" t="s">
        <v>1089</v>
      </c>
      <c r="X174" t="s">
        <v>1079</v>
      </c>
      <c r="Y174">
        <v>9.9447513812154671E-3</v>
      </c>
      <c r="Z174">
        <v>1</v>
      </c>
      <c r="AB174">
        <v>97.258883248730896</v>
      </c>
      <c r="AC174" t="s">
        <v>1090</v>
      </c>
      <c r="AJ174" t="s">
        <v>201</v>
      </c>
      <c r="AV174" t="s">
        <v>256</v>
      </c>
    </row>
    <row r="175" spans="1:48" x14ac:dyDescent="0.3">
      <c r="A175" t="s">
        <v>1088</v>
      </c>
      <c r="C175" t="s">
        <v>1052</v>
      </c>
      <c r="D175" t="s">
        <v>470</v>
      </c>
      <c r="E175">
        <v>10000000</v>
      </c>
      <c r="H175">
        <v>0.1</v>
      </c>
      <c r="I175" t="s">
        <v>82</v>
      </c>
      <c r="J175">
        <v>9.9999999999999995E-8</v>
      </c>
      <c r="K175" t="s">
        <v>252</v>
      </c>
      <c r="L175" t="s">
        <v>58</v>
      </c>
      <c r="O175">
        <v>0</v>
      </c>
      <c r="T175">
        <v>37</v>
      </c>
      <c r="V175">
        <v>50</v>
      </c>
      <c r="W175" t="s">
        <v>1089</v>
      </c>
      <c r="X175" t="s">
        <v>1079</v>
      </c>
      <c r="Y175">
        <v>1.6698895027624169E-2</v>
      </c>
      <c r="Z175">
        <v>1</v>
      </c>
      <c r="AB175">
        <v>97.258883248730896</v>
      </c>
      <c r="AC175" t="s">
        <v>1090</v>
      </c>
      <c r="AJ175" t="s">
        <v>201</v>
      </c>
      <c r="AV175" t="s">
        <v>256</v>
      </c>
    </row>
    <row r="176" spans="1:48" x14ac:dyDescent="0.3">
      <c r="A176" t="s">
        <v>1088</v>
      </c>
      <c r="C176" t="s">
        <v>1052</v>
      </c>
      <c r="D176" t="s">
        <v>470</v>
      </c>
      <c r="E176">
        <v>10000000</v>
      </c>
      <c r="H176">
        <v>0.1</v>
      </c>
      <c r="I176" t="s">
        <v>82</v>
      </c>
      <c r="J176">
        <v>9.9999999999999995E-8</v>
      </c>
      <c r="K176" t="s">
        <v>252</v>
      </c>
      <c r="L176" t="s">
        <v>58</v>
      </c>
      <c r="O176">
        <v>0</v>
      </c>
      <c r="T176">
        <v>37</v>
      </c>
      <c r="V176">
        <v>50</v>
      </c>
      <c r="W176" t="s">
        <v>1089</v>
      </c>
      <c r="X176" t="s">
        <v>1079</v>
      </c>
      <c r="Y176">
        <v>2.337016574585633E-2</v>
      </c>
      <c r="Z176">
        <v>1</v>
      </c>
      <c r="AB176">
        <v>97.055837563451689</v>
      </c>
      <c r="AC176" t="s">
        <v>1090</v>
      </c>
      <c r="AJ176" t="s">
        <v>201</v>
      </c>
      <c r="AV176" t="s">
        <v>256</v>
      </c>
    </row>
    <row r="177" spans="1:48" x14ac:dyDescent="0.3">
      <c r="A177" t="s">
        <v>1088</v>
      </c>
      <c r="C177" t="s">
        <v>1052</v>
      </c>
      <c r="D177" t="s">
        <v>470</v>
      </c>
      <c r="E177">
        <v>10000000</v>
      </c>
      <c r="H177">
        <v>0.1</v>
      </c>
      <c r="I177" t="s">
        <v>82</v>
      </c>
      <c r="J177">
        <v>9.9999999999999995E-8</v>
      </c>
      <c r="K177" t="s">
        <v>252</v>
      </c>
      <c r="L177" t="s">
        <v>58</v>
      </c>
      <c r="O177">
        <v>0</v>
      </c>
      <c r="T177">
        <v>37</v>
      </c>
      <c r="V177">
        <v>50</v>
      </c>
      <c r="W177" t="s">
        <v>1089</v>
      </c>
      <c r="X177" t="s">
        <v>1079</v>
      </c>
      <c r="Y177">
        <v>0.03</v>
      </c>
      <c r="Z177">
        <v>1</v>
      </c>
      <c r="AB177">
        <v>96.852791878172596</v>
      </c>
      <c r="AC177" t="s">
        <v>1090</v>
      </c>
      <c r="AJ177" t="s">
        <v>201</v>
      </c>
      <c r="AV177" t="s">
        <v>256</v>
      </c>
    </row>
    <row r="178" spans="1:48" hidden="1" x14ac:dyDescent="0.3">
      <c r="A178" t="s">
        <v>1091</v>
      </c>
      <c r="C178" t="s">
        <v>1052</v>
      </c>
      <c r="L178" t="s">
        <v>58</v>
      </c>
      <c r="S178">
        <v>0</v>
      </c>
      <c r="T178">
        <v>50</v>
      </c>
      <c r="V178">
        <v>50</v>
      </c>
      <c r="W178" t="s">
        <v>1092</v>
      </c>
      <c r="X178" t="s">
        <v>135</v>
      </c>
      <c r="Y178">
        <v>0</v>
      </c>
      <c r="Z178">
        <v>1</v>
      </c>
      <c r="AB178">
        <v>6.64</v>
      </c>
      <c r="AC178" t="s">
        <v>85</v>
      </c>
      <c r="AI178">
        <v>2</v>
      </c>
      <c r="AV178" t="s">
        <v>256</v>
      </c>
    </row>
    <row r="179" spans="1:48" hidden="1" x14ac:dyDescent="0.3">
      <c r="A179" t="s">
        <v>1091</v>
      </c>
      <c r="C179" t="s">
        <v>1052</v>
      </c>
      <c r="L179" t="s">
        <v>58</v>
      </c>
      <c r="S179">
        <v>0</v>
      </c>
      <c r="T179">
        <v>50</v>
      </c>
      <c r="V179">
        <v>50</v>
      </c>
      <c r="W179" t="s">
        <v>1092</v>
      </c>
      <c r="X179" t="s">
        <v>135</v>
      </c>
      <c r="Y179">
        <v>15</v>
      </c>
      <c r="Z179">
        <v>1</v>
      </c>
      <c r="AB179">
        <v>6.23</v>
      </c>
      <c r="AC179" t="s">
        <v>85</v>
      </c>
      <c r="AI179">
        <v>2</v>
      </c>
      <c r="AV179" t="s">
        <v>256</v>
      </c>
    </row>
    <row r="180" spans="1:48" hidden="1" x14ac:dyDescent="0.3">
      <c r="A180" t="s">
        <v>1091</v>
      </c>
      <c r="C180" t="s">
        <v>1052</v>
      </c>
      <c r="L180" t="s">
        <v>58</v>
      </c>
      <c r="S180">
        <v>0</v>
      </c>
      <c r="T180">
        <v>50</v>
      </c>
      <c r="V180">
        <v>50</v>
      </c>
      <c r="W180" t="s">
        <v>1092</v>
      </c>
      <c r="X180" t="s">
        <v>135</v>
      </c>
      <c r="Y180">
        <v>30</v>
      </c>
      <c r="Z180">
        <v>1</v>
      </c>
      <c r="AB180">
        <v>5.84</v>
      </c>
      <c r="AC180" t="s">
        <v>85</v>
      </c>
      <c r="AI180">
        <v>2</v>
      </c>
      <c r="AV180" t="s">
        <v>256</v>
      </c>
    </row>
    <row r="181" spans="1:48" hidden="1" x14ac:dyDescent="0.3">
      <c r="A181" t="s">
        <v>1091</v>
      </c>
      <c r="C181" t="s">
        <v>1052</v>
      </c>
      <c r="L181" t="s">
        <v>58</v>
      </c>
      <c r="S181">
        <v>0</v>
      </c>
      <c r="T181">
        <v>50</v>
      </c>
      <c r="V181">
        <v>50</v>
      </c>
      <c r="W181" t="s">
        <v>1092</v>
      </c>
      <c r="X181" t="s">
        <v>135</v>
      </c>
      <c r="Y181">
        <v>45</v>
      </c>
      <c r="Z181">
        <v>1</v>
      </c>
      <c r="AB181">
        <v>5.55</v>
      </c>
      <c r="AC181" t="s">
        <v>85</v>
      </c>
      <c r="AI181">
        <v>2</v>
      </c>
      <c r="AV181" t="s">
        <v>256</v>
      </c>
    </row>
    <row r="182" spans="1:48" hidden="1" x14ac:dyDescent="0.3">
      <c r="A182" t="s">
        <v>1091</v>
      </c>
      <c r="C182" t="s">
        <v>1052</v>
      </c>
      <c r="L182" t="s">
        <v>58</v>
      </c>
      <c r="S182">
        <v>0</v>
      </c>
      <c r="T182">
        <v>50</v>
      </c>
      <c r="V182">
        <v>50</v>
      </c>
      <c r="W182" t="s">
        <v>1092</v>
      </c>
      <c r="X182" t="s">
        <v>135</v>
      </c>
      <c r="Y182">
        <v>60</v>
      </c>
      <c r="Z182">
        <v>1</v>
      </c>
      <c r="AB182">
        <v>5.52</v>
      </c>
      <c r="AC182" t="s">
        <v>85</v>
      </c>
      <c r="AI182">
        <v>2</v>
      </c>
      <c r="AV182" t="s">
        <v>256</v>
      </c>
    </row>
    <row r="183" spans="1:48" hidden="1" x14ac:dyDescent="0.3">
      <c r="A183" t="s">
        <v>1091</v>
      </c>
      <c r="C183" t="s">
        <v>1052</v>
      </c>
      <c r="L183" t="s">
        <v>58</v>
      </c>
      <c r="S183">
        <v>0</v>
      </c>
      <c r="T183">
        <v>50</v>
      </c>
      <c r="V183">
        <v>50</v>
      </c>
      <c r="W183" t="s">
        <v>1092</v>
      </c>
      <c r="X183" t="s">
        <v>135</v>
      </c>
      <c r="Y183">
        <v>75</v>
      </c>
      <c r="Z183">
        <v>1</v>
      </c>
      <c r="AB183">
        <v>5.32</v>
      </c>
      <c r="AC183" t="s">
        <v>85</v>
      </c>
      <c r="AI183">
        <v>2</v>
      </c>
      <c r="AV183" t="s">
        <v>256</v>
      </c>
    </row>
    <row r="184" spans="1:48" hidden="1" x14ac:dyDescent="0.3">
      <c r="A184" t="s">
        <v>1091</v>
      </c>
      <c r="C184" t="s">
        <v>1052</v>
      </c>
      <c r="L184" t="s">
        <v>58</v>
      </c>
      <c r="S184">
        <v>0</v>
      </c>
      <c r="T184">
        <v>50</v>
      </c>
      <c r="V184">
        <v>50</v>
      </c>
      <c r="W184" t="s">
        <v>1092</v>
      </c>
      <c r="X184" t="s">
        <v>135</v>
      </c>
      <c r="Y184">
        <v>90</v>
      </c>
      <c r="Z184">
        <v>1</v>
      </c>
      <c r="AB184">
        <v>5.36</v>
      </c>
      <c r="AC184" t="s">
        <v>85</v>
      </c>
      <c r="AI184">
        <v>2</v>
      </c>
      <c r="AV184" t="s">
        <v>256</v>
      </c>
    </row>
    <row r="185" spans="1:48" hidden="1" x14ac:dyDescent="0.3">
      <c r="A185" t="s">
        <v>1091</v>
      </c>
      <c r="C185" t="s">
        <v>1052</v>
      </c>
      <c r="L185" t="s">
        <v>58</v>
      </c>
      <c r="S185">
        <v>0</v>
      </c>
      <c r="T185">
        <v>50</v>
      </c>
      <c r="V185">
        <v>50</v>
      </c>
      <c r="W185" t="s">
        <v>1092</v>
      </c>
      <c r="X185" t="s">
        <v>135</v>
      </c>
      <c r="Y185">
        <v>105</v>
      </c>
      <c r="Z185">
        <v>1</v>
      </c>
      <c r="AB185">
        <v>5.43</v>
      </c>
      <c r="AC185" t="s">
        <v>85</v>
      </c>
      <c r="AI185">
        <v>2</v>
      </c>
      <c r="AV185" t="s">
        <v>256</v>
      </c>
    </row>
    <row r="186" spans="1:48" hidden="1" x14ac:dyDescent="0.3">
      <c r="A186" t="s">
        <v>1091</v>
      </c>
      <c r="C186" t="s">
        <v>1052</v>
      </c>
      <c r="L186" t="s">
        <v>58</v>
      </c>
      <c r="S186">
        <v>0</v>
      </c>
      <c r="T186">
        <v>50</v>
      </c>
      <c r="V186">
        <v>50</v>
      </c>
      <c r="W186" t="s">
        <v>1092</v>
      </c>
      <c r="X186" t="s">
        <v>135</v>
      </c>
      <c r="Y186">
        <v>120</v>
      </c>
      <c r="Z186">
        <v>1</v>
      </c>
      <c r="AB186">
        <v>6.61</v>
      </c>
      <c r="AC186" t="s">
        <v>85</v>
      </c>
      <c r="AI186">
        <v>2</v>
      </c>
      <c r="AV186" t="s">
        <v>256</v>
      </c>
    </row>
    <row r="187" spans="1:48" hidden="1" x14ac:dyDescent="0.3">
      <c r="A187" t="s">
        <v>1091</v>
      </c>
      <c r="C187" t="s">
        <v>1052</v>
      </c>
      <c r="L187" t="s">
        <v>58</v>
      </c>
      <c r="S187">
        <v>0</v>
      </c>
      <c r="T187">
        <v>50</v>
      </c>
      <c r="V187">
        <v>50</v>
      </c>
      <c r="W187" t="s">
        <v>1092</v>
      </c>
      <c r="X187" t="s">
        <v>135</v>
      </c>
      <c r="Y187">
        <v>0</v>
      </c>
      <c r="Z187">
        <v>2</v>
      </c>
      <c r="AB187">
        <v>6.48</v>
      </c>
      <c r="AC187" t="s">
        <v>85</v>
      </c>
      <c r="AI187">
        <v>2</v>
      </c>
      <c r="AV187" t="s">
        <v>256</v>
      </c>
    </row>
    <row r="188" spans="1:48" hidden="1" x14ac:dyDescent="0.3">
      <c r="A188" t="s">
        <v>1091</v>
      </c>
      <c r="C188" t="s">
        <v>1052</v>
      </c>
      <c r="L188" t="s">
        <v>58</v>
      </c>
      <c r="S188">
        <v>0</v>
      </c>
      <c r="T188">
        <v>50</v>
      </c>
      <c r="V188">
        <v>50</v>
      </c>
      <c r="W188" t="s">
        <v>1092</v>
      </c>
      <c r="X188" t="s">
        <v>135</v>
      </c>
      <c r="Y188">
        <v>15</v>
      </c>
      <c r="Z188">
        <v>1</v>
      </c>
      <c r="AB188">
        <v>4.99</v>
      </c>
      <c r="AC188" t="s">
        <v>85</v>
      </c>
      <c r="AI188">
        <v>2</v>
      </c>
      <c r="AV188" t="s">
        <v>256</v>
      </c>
    </row>
    <row r="189" spans="1:48" hidden="1" x14ac:dyDescent="0.3">
      <c r="A189" t="s">
        <v>1091</v>
      </c>
      <c r="C189" t="s">
        <v>1052</v>
      </c>
      <c r="L189" t="s">
        <v>58</v>
      </c>
      <c r="S189">
        <v>0</v>
      </c>
      <c r="T189">
        <v>50</v>
      </c>
      <c r="V189">
        <v>50</v>
      </c>
      <c r="W189" t="s">
        <v>1092</v>
      </c>
      <c r="X189" t="s">
        <v>135</v>
      </c>
      <c r="Y189">
        <v>90</v>
      </c>
      <c r="Z189">
        <v>1</v>
      </c>
      <c r="AB189">
        <v>4.07</v>
      </c>
      <c r="AC189" t="s">
        <v>85</v>
      </c>
      <c r="AI189">
        <v>2</v>
      </c>
      <c r="AV189" t="s">
        <v>256</v>
      </c>
    </row>
    <row r="190" spans="1:48" hidden="1" x14ac:dyDescent="0.3">
      <c r="A190" t="s">
        <v>1091</v>
      </c>
      <c r="C190" t="s">
        <v>1052</v>
      </c>
      <c r="L190" t="s">
        <v>58</v>
      </c>
      <c r="S190">
        <v>0</v>
      </c>
      <c r="T190">
        <v>50</v>
      </c>
      <c r="V190">
        <v>50</v>
      </c>
      <c r="W190" t="s">
        <v>1092</v>
      </c>
      <c r="X190" t="s">
        <v>135</v>
      </c>
      <c r="Y190">
        <v>210</v>
      </c>
      <c r="Z190">
        <v>1</v>
      </c>
      <c r="AB190">
        <v>4.04</v>
      </c>
      <c r="AC190" t="s">
        <v>85</v>
      </c>
      <c r="AI190">
        <v>2</v>
      </c>
      <c r="AV190" t="s">
        <v>256</v>
      </c>
    </row>
    <row r="191" spans="1:48" hidden="1" x14ac:dyDescent="0.3">
      <c r="A191" t="s">
        <v>1091</v>
      </c>
      <c r="C191" t="s">
        <v>1052</v>
      </c>
      <c r="L191" t="s">
        <v>58</v>
      </c>
      <c r="S191">
        <v>0</v>
      </c>
      <c r="T191">
        <v>50</v>
      </c>
      <c r="V191">
        <v>50</v>
      </c>
      <c r="W191" t="s">
        <v>1093</v>
      </c>
      <c r="X191" t="s">
        <v>135</v>
      </c>
      <c r="Y191">
        <v>0</v>
      </c>
      <c r="Z191">
        <v>2</v>
      </c>
      <c r="AB191">
        <v>6.61</v>
      </c>
      <c r="AC191" t="s">
        <v>85</v>
      </c>
      <c r="AI191">
        <v>2</v>
      </c>
      <c r="AV191" t="s">
        <v>256</v>
      </c>
    </row>
    <row r="192" spans="1:48" hidden="1" x14ac:dyDescent="0.3">
      <c r="A192" t="s">
        <v>1091</v>
      </c>
      <c r="C192" t="s">
        <v>1052</v>
      </c>
      <c r="L192" t="s">
        <v>58</v>
      </c>
      <c r="S192">
        <v>0</v>
      </c>
      <c r="T192">
        <v>50</v>
      </c>
      <c r="V192">
        <v>50</v>
      </c>
      <c r="W192" t="s">
        <v>1093</v>
      </c>
      <c r="X192" t="s">
        <v>135</v>
      </c>
      <c r="Y192">
        <v>15</v>
      </c>
      <c r="Z192">
        <v>1</v>
      </c>
      <c r="AB192">
        <v>5.6</v>
      </c>
      <c r="AC192" t="s">
        <v>85</v>
      </c>
      <c r="AI192">
        <v>2</v>
      </c>
      <c r="AV192" t="s">
        <v>256</v>
      </c>
    </row>
    <row r="193" spans="1:53" hidden="1" x14ac:dyDescent="0.3">
      <c r="A193" t="s">
        <v>1091</v>
      </c>
      <c r="C193" t="s">
        <v>1052</v>
      </c>
      <c r="L193" t="s">
        <v>58</v>
      </c>
      <c r="S193">
        <v>0</v>
      </c>
      <c r="T193">
        <v>50</v>
      </c>
      <c r="V193">
        <v>50</v>
      </c>
      <c r="W193" t="s">
        <v>1093</v>
      </c>
      <c r="X193" t="s">
        <v>135</v>
      </c>
      <c r="Y193">
        <v>90</v>
      </c>
      <c r="Z193">
        <v>1</v>
      </c>
      <c r="AB193">
        <v>5.92</v>
      </c>
      <c r="AC193" t="s">
        <v>85</v>
      </c>
      <c r="AI193">
        <v>2</v>
      </c>
      <c r="AV193" t="s">
        <v>256</v>
      </c>
    </row>
    <row r="194" spans="1:53" hidden="1" x14ac:dyDescent="0.3">
      <c r="A194" t="s">
        <v>1091</v>
      </c>
      <c r="C194" t="s">
        <v>1052</v>
      </c>
      <c r="L194" t="s">
        <v>58</v>
      </c>
      <c r="S194">
        <v>0</v>
      </c>
      <c r="T194">
        <v>50</v>
      </c>
      <c r="V194">
        <v>50</v>
      </c>
      <c r="W194" t="s">
        <v>1093</v>
      </c>
      <c r="X194" t="s">
        <v>135</v>
      </c>
      <c r="Y194">
        <v>210</v>
      </c>
      <c r="Z194">
        <v>1</v>
      </c>
      <c r="AB194">
        <v>5.9</v>
      </c>
      <c r="AC194" t="s">
        <v>85</v>
      </c>
      <c r="AI194">
        <v>2</v>
      </c>
      <c r="AV194" t="s">
        <v>256</v>
      </c>
    </row>
    <row r="195" spans="1:53" hidden="1" x14ac:dyDescent="0.3">
      <c r="A195" t="s">
        <v>1094</v>
      </c>
      <c r="B195" t="s">
        <v>1095</v>
      </c>
      <c r="C195" t="s">
        <v>1052</v>
      </c>
      <c r="H195">
        <v>4</v>
      </c>
      <c r="I195" t="s">
        <v>56</v>
      </c>
      <c r="J195">
        <v>4.0000000000000002E-4</v>
      </c>
      <c r="K195" t="s">
        <v>57</v>
      </c>
      <c r="O195">
        <v>0</v>
      </c>
      <c r="T195">
        <v>75</v>
      </c>
      <c r="V195">
        <v>90</v>
      </c>
      <c r="W195" t="s">
        <v>1096</v>
      </c>
      <c r="X195" t="s">
        <v>280</v>
      </c>
      <c r="Y195">
        <v>1440</v>
      </c>
      <c r="Z195">
        <v>2</v>
      </c>
      <c r="AB195">
        <v>0</v>
      </c>
      <c r="AC195" t="s">
        <v>210</v>
      </c>
      <c r="AD195">
        <v>0</v>
      </c>
      <c r="AH195">
        <v>7.1</v>
      </c>
      <c r="AI195">
        <v>5</v>
      </c>
      <c r="AV195" t="s">
        <v>88</v>
      </c>
      <c r="BA195">
        <v>7.1</v>
      </c>
    </row>
    <row r="196" spans="1:53" hidden="1" x14ac:dyDescent="0.3">
      <c r="A196" t="s">
        <v>1094</v>
      </c>
      <c r="B196" t="s">
        <v>1095</v>
      </c>
      <c r="C196" t="s">
        <v>1052</v>
      </c>
      <c r="H196">
        <v>4</v>
      </c>
      <c r="I196" t="s">
        <v>56</v>
      </c>
      <c r="J196">
        <v>4.0000000000000002E-4</v>
      </c>
      <c r="K196" t="s">
        <v>57</v>
      </c>
      <c r="O196">
        <v>0</v>
      </c>
      <c r="T196">
        <v>55</v>
      </c>
      <c r="V196">
        <v>90</v>
      </c>
      <c r="W196" t="s">
        <v>1096</v>
      </c>
      <c r="X196" t="s">
        <v>280</v>
      </c>
      <c r="Y196">
        <v>1440</v>
      </c>
      <c r="Z196">
        <v>2</v>
      </c>
      <c r="AB196">
        <v>6.5</v>
      </c>
      <c r="AC196" t="s">
        <v>210</v>
      </c>
      <c r="AD196">
        <v>0.9</v>
      </c>
      <c r="AH196">
        <v>7.1</v>
      </c>
      <c r="AI196">
        <v>5</v>
      </c>
      <c r="AV196" t="s">
        <v>88</v>
      </c>
      <c r="BA196">
        <v>7.1</v>
      </c>
    </row>
    <row r="197" spans="1:53" hidden="1" x14ac:dyDescent="0.3">
      <c r="A197" t="s">
        <v>1094</v>
      </c>
      <c r="B197" t="s">
        <v>1095</v>
      </c>
      <c r="C197" t="s">
        <v>1052</v>
      </c>
      <c r="H197">
        <v>4</v>
      </c>
      <c r="I197" t="s">
        <v>56</v>
      </c>
      <c r="J197">
        <v>4.0000000000000002E-4</v>
      </c>
      <c r="K197" t="s">
        <v>57</v>
      </c>
      <c r="O197">
        <v>0</v>
      </c>
      <c r="T197">
        <v>75</v>
      </c>
      <c r="V197">
        <v>90</v>
      </c>
      <c r="W197" t="s">
        <v>1097</v>
      </c>
      <c r="X197" t="s">
        <v>280</v>
      </c>
      <c r="Y197">
        <v>1440</v>
      </c>
      <c r="Z197">
        <v>2</v>
      </c>
      <c r="AB197">
        <v>0</v>
      </c>
      <c r="AC197" t="s">
        <v>210</v>
      </c>
      <c r="AD197">
        <v>0</v>
      </c>
      <c r="AH197">
        <v>7.1</v>
      </c>
      <c r="AI197">
        <v>5</v>
      </c>
      <c r="AV197" t="s">
        <v>88</v>
      </c>
      <c r="BA197">
        <v>7.1</v>
      </c>
    </row>
    <row r="198" spans="1:53" hidden="1" x14ac:dyDescent="0.3">
      <c r="A198" t="s">
        <v>1094</v>
      </c>
      <c r="B198" t="s">
        <v>1095</v>
      </c>
      <c r="C198" t="s">
        <v>1052</v>
      </c>
      <c r="H198">
        <v>4</v>
      </c>
      <c r="I198" t="s">
        <v>56</v>
      </c>
      <c r="J198">
        <v>4.0000000000000002E-4</v>
      </c>
      <c r="K198" t="s">
        <v>57</v>
      </c>
      <c r="O198">
        <v>0</v>
      </c>
      <c r="T198">
        <v>55</v>
      </c>
      <c r="V198">
        <v>90</v>
      </c>
      <c r="W198" t="s">
        <v>1097</v>
      </c>
      <c r="X198" t="s">
        <v>280</v>
      </c>
      <c r="Y198">
        <v>1440</v>
      </c>
      <c r="Z198">
        <v>2</v>
      </c>
      <c r="AB198">
        <v>6.8</v>
      </c>
      <c r="AC198" t="s">
        <v>210</v>
      </c>
      <c r="AD198">
        <v>0.5</v>
      </c>
      <c r="AH198">
        <v>7.1</v>
      </c>
      <c r="AI198">
        <v>5</v>
      </c>
      <c r="AV198" t="s">
        <v>88</v>
      </c>
      <c r="BA198">
        <v>7.1</v>
      </c>
    </row>
    <row r="199" spans="1:53" hidden="1" x14ac:dyDescent="0.3">
      <c r="A199" t="s">
        <v>1094</v>
      </c>
      <c r="B199" t="s">
        <v>1095</v>
      </c>
      <c r="C199" t="s">
        <v>1052</v>
      </c>
      <c r="H199">
        <v>4</v>
      </c>
      <c r="I199" t="s">
        <v>56</v>
      </c>
      <c r="J199">
        <v>4.0000000000000002E-4</v>
      </c>
      <c r="K199" t="s">
        <v>57</v>
      </c>
      <c r="O199">
        <v>0</v>
      </c>
      <c r="T199">
        <v>75</v>
      </c>
      <c r="V199">
        <v>90</v>
      </c>
      <c r="W199" t="s">
        <v>1098</v>
      </c>
      <c r="X199" t="s">
        <v>280</v>
      </c>
      <c r="Y199">
        <v>1440</v>
      </c>
      <c r="Z199">
        <v>2</v>
      </c>
      <c r="AB199">
        <v>0</v>
      </c>
      <c r="AC199" t="s">
        <v>210</v>
      </c>
      <c r="AD199">
        <v>0</v>
      </c>
      <c r="AH199">
        <v>7.1</v>
      </c>
      <c r="AI199">
        <v>5</v>
      </c>
      <c r="AV199" t="s">
        <v>88</v>
      </c>
      <c r="BA199">
        <v>7.1</v>
      </c>
    </row>
    <row r="200" spans="1:53" hidden="1" x14ac:dyDescent="0.3">
      <c r="A200" t="s">
        <v>1094</v>
      </c>
      <c r="B200" t="s">
        <v>1095</v>
      </c>
      <c r="C200" t="s">
        <v>1052</v>
      </c>
      <c r="H200">
        <v>4</v>
      </c>
      <c r="I200" t="s">
        <v>56</v>
      </c>
      <c r="J200">
        <v>4.0000000000000002E-4</v>
      </c>
      <c r="K200" t="s">
        <v>57</v>
      </c>
      <c r="O200">
        <v>0</v>
      </c>
      <c r="T200">
        <v>55</v>
      </c>
      <c r="V200">
        <v>90</v>
      </c>
      <c r="W200" t="s">
        <v>1098</v>
      </c>
      <c r="X200" t="s">
        <v>280</v>
      </c>
      <c r="Y200">
        <v>1440</v>
      </c>
      <c r="Z200">
        <v>2</v>
      </c>
      <c r="AB200">
        <v>6.8</v>
      </c>
      <c r="AC200" t="s">
        <v>210</v>
      </c>
      <c r="AD200">
        <v>0.4</v>
      </c>
      <c r="AH200">
        <v>7.1</v>
      </c>
      <c r="AI200">
        <v>5</v>
      </c>
      <c r="AV200" t="s">
        <v>88</v>
      </c>
      <c r="BA200">
        <v>7.1</v>
      </c>
    </row>
    <row r="201" spans="1:53" hidden="1" x14ac:dyDescent="0.3">
      <c r="A201" t="s">
        <v>1094</v>
      </c>
      <c r="B201" t="s">
        <v>1095</v>
      </c>
      <c r="C201" t="s">
        <v>1052</v>
      </c>
      <c r="H201">
        <v>4</v>
      </c>
      <c r="I201" t="s">
        <v>56</v>
      </c>
      <c r="J201">
        <v>4.0000000000000002E-4</v>
      </c>
      <c r="K201" t="s">
        <v>57</v>
      </c>
      <c r="O201">
        <v>0</v>
      </c>
      <c r="T201">
        <v>75</v>
      </c>
      <c r="V201">
        <v>90</v>
      </c>
      <c r="W201" t="s">
        <v>1099</v>
      </c>
      <c r="X201" t="s">
        <v>280</v>
      </c>
      <c r="Y201">
        <v>1440</v>
      </c>
      <c r="Z201">
        <v>2</v>
      </c>
      <c r="AB201">
        <v>0</v>
      </c>
      <c r="AC201" t="s">
        <v>210</v>
      </c>
      <c r="AD201">
        <v>0</v>
      </c>
      <c r="AH201">
        <v>7.1</v>
      </c>
      <c r="AI201">
        <v>5</v>
      </c>
      <c r="AV201" t="s">
        <v>88</v>
      </c>
      <c r="BA201">
        <v>7.1</v>
      </c>
    </row>
    <row r="202" spans="1:53" hidden="1" x14ac:dyDescent="0.3">
      <c r="A202" t="s">
        <v>1094</v>
      </c>
      <c r="B202" t="s">
        <v>1095</v>
      </c>
      <c r="C202" t="s">
        <v>1052</v>
      </c>
      <c r="H202">
        <v>4</v>
      </c>
      <c r="I202" t="s">
        <v>56</v>
      </c>
      <c r="J202">
        <v>4.0000000000000002E-4</v>
      </c>
      <c r="K202" t="s">
        <v>57</v>
      </c>
      <c r="O202">
        <v>0</v>
      </c>
      <c r="T202">
        <v>55</v>
      </c>
      <c r="V202">
        <v>90</v>
      </c>
      <c r="W202" t="s">
        <v>1099</v>
      </c>
      <c r="X202" t="s">
        <v>280</v>
      </c>
      <c r="Y202">
        <v>1440</v>
      </c>
      <c r="Z202">
        <v>2</v>
      </c>
      <c r="AB202">
        <v>5.7</v>
      </c>
      <c r="AC202" t="s">
        <v>210</v>
      </c>
      <c r="AD202">
        <v>0.14000000000000001</v>
      </c>
      <c r="AH202">
        <v>7.1</v>
      </c>
      <c r="AI202">
        <v>5</v>
      </c>
      <c r="AV202" t="s">
        <v>88</v>
      </c>
      <c r="BA202">
        <v>7.1</v>
      </c>
    </row>
    <row r="203" spans="1:53" hidden="1" x14ac:dyDescent="0.3">
      <c r="A203" t="s">
        <v>1094</v>
      </c>
      <c r="B203" t="s">
        <v>1095</v>
      </c>
      <c r="C203" t="s">
        <v>1052</v>
      </c>
      <c r="H203">
        <v>4</v>
      </c>
      <c r="I203" t="s">
        <v>56</v>
      </c>
      <c r="J203">
        <v>4.0000000000000002E-4</v>
      </c>
      <c r="K203" t="s">
        <v>57</v>
      </c>
      <c r="O203">
        <v>0</v>
      </c>
      <c r="T203">
        <v>75</v>
      </c>
      <c r="V203">
        <v>90</v>
      </c>
      <c r="W203" t="s">
        <v>1100</v>
      </c>
      <c r="X203" t="s">
        <v>280</v>
      </c>
      <c r="Y203">
        <v>1440</v>
      </c>
      <c r="Z203">
        <v>5</v>
      </c>
      <c r="AB203">
        <v>5.9</v>
      </c>
      <c r="AC203" t="s">
        <v>210</v>
      </c>
      <c r="AD203">
        <v>0.1</v>
      </c>
      <c r="AH203">
        <v>7.1</v>
      </c>
      <c r="AI203">
        <v>5</v>
      </c>
      <c r="AV203" t="s">
        <v>88</v>
      </c>
      <c r="BA203">
        <v>7.1</v>
      </c>
    </row>
    <row r="204" spans="1:53" hidden="1" x14ac:dyDescent="0.3">
      <c r="A204" t="s">
        <v>1094</v>
      </c>
      <c r="B204" t="s">
        <v>1095</v>
      </c>
      <c r="C204" t="s">
        <v>1052</v>
      </c>
      <c r="H204">
        <v>4</v>
      </c>
      <c r="I204" t="s">
        <v>56</v>
      </c>
      <c r="J204">
        <v>4.0000000000000002E-4</v>
      </c>
      <c r="K204" t="s">
        <v>57</v>
      </c>
      <c r="O204">
        <v>0</v>
      </c>
      <c r="T204">
        <v>55</v>
      </c>
      <c r="V204">
        <v>90</v>
      </c>
      <c r="W204" t="s">
        <v>1100</v>
      </c>
      <c r="X204" t="s">
        <v>280</v>
      </c>
      <c r="Y204">
        <v>1440</v>
      </c>
      <c r="Z204">
        <v>5</v>
      </c>
      <c r="AB204">
        <v>7.2</v>
      </c>
      <c r="AC204" t="s">
        <v>210</v>
      </c>
      <c r="AD204">
        <v>0.2</v>
      </c>
      <c r="AH204">
        <v>7.1</v>
      </c>
      <c r="AI204">
        <v>5</v>
      </c>
      <c r="AV204" t="s">
        <v>88</v>
      </c>
      <c r="BA204">
        <v>7.1</v>
      </c>
    </row>
    <row r="205" spans="1:53" hidden="1" x14ac:dyDescent="0.3">
      <c r="A205" t="s">
        <v>1094</v>
      </c>
      <c r="B205" t="s">
        <v>1095</v>
      </c>
      <c r="C205" t="s">
        <v>1052</v>
      </c>
      <c r="H205">
        <v>4</v>
      </c>
      <c r="I205" t="s">
        <v>56</v>
      </c>
      <c r="J205">
        <v>4.0000000000000002E-4</v>
      </c>
      <c r="K205" t="s">
        <v>57</v>
      </c>
      <c r="O205">
        <v>0</v>
      </c>
      <c r="T205">
        <v>65</v>
      </c>
      <c r="V205">
        <v>90</v>
      </c>
      <c r="W205" t="s">
        <v>1096</v>
      </c>
      <c r="X205" t="s">
        <v>280</v>
      </c>
      <c r="Y205">
        <v>2880</v>
      </c>
      <c r="Z205">
        <v>5</v>
      </c>
      <c r="AB205">
        <v>0</v>
      </c>
      <c r="AC205" t="s">
        <v>210</v>
      </c>
      <c r="AD205">
        <v>0</v>
      </c>
      <c r="AH205">
        <v>6.9</v>
      </c>
      <c r="AI205">
        <v>5</v>
      </c>
      <c r="AV205" t="s">
        <v>88</v>
      </c>
      <c r="BA205">
        <v>6.9</v>
      </c>
    </row>
    <row r="206" spans="1:53" hidden="1" x14ac:dyDescent="0.3">
      <c r="A206" t="s">
        <v>1094</v>
      </c>
      <c r="B206" t="s">
        <v>1095</v>
      </c>
      <c r="C206" t="s">
        <v>1052</v>
      </c>
      <c r="H206">
        <v>4</v>
      </c>
      <c r="I206" t="s">
        <v>56</v>
      </c>
      <c r="J206">
        <v>4.0000000000000002E-4</v>
      </c>
      <c r="K206" t="s">
        <v>57</v>
      </c>
      <c r="O206">
        <v>0</v>
      </c>
      <c r="T206">
        <v>65</v>
      </c>
      <c r="V206">
        <v>90</v>
      </c>
      <c r="W206" t="s">
        <v>1097</v>
      </c>
      <c r="X206" t="s">
        <v>280</v>
      </c>
      <c r="Y206">
        <v>2880</v>
      </c>
      <c r="Z206">
        <v>5</v>
      </c>
      <c r="AB206">
        <v>3.3</v>
      </c>
      <c r="AC206" t="s">
        <v>210</v>
      </c>
      <c r="AD206">
        <v>0.02</v>
      </c>
      <c r="AH206">
        <v>6.9</v>
      </c>
      <c r="AI206">
        <v>5</v>
      </c>
      <c r="AV206" t="s">
        <v>88</v>
      </c>
      <c r="BA206">
        <v>6.9</v>
      </c>
    </row>
    <row r="207" spans="1:53" hidden="1" x14ac:dyDescent="0.3">
      <c r="A207" t="s">
        <v>1094</v>
      </c>
      <c r="B207" t="s">
        <v>1095</v>
      </c>
      <c r="C207" t="s">
        <v>1052</v>
      </c>
      <c r="H207">
        <v>4</v>
      </c>
      <c r="I207" t="s">
        <v>56</v>
      </c>
      <c r="J207">
        <v>4.0000000000000002E-4</v>
      </c>
      <c r="K207" t="s">
        <v>57</v>
      </c>
      <c r="O207">
        <v>0</v>
      </c>
      <c r="T207">
        <v>65</v>
      </c>
      <c r="V207">
        <v>90</v>
      </c>
      <c r="W207" t="s">
        <v>1098</v>
      </c>
      <c r="X207" t="s">
        <v>280</v>
      </c>
      <c r="Y207">
        <v>2880</v>
      </c>
      <c r="Z207">
        <v>5</v>
      </c>
      <c r="AB207">
        <v>0</v>
      </c>
      <c r="AC207" t="s">
        <v>210</v>
      </c>
      <c r="AD207">
        <v>0</v>
      </c>
      <c r="AH207">
        <v>6.9</v>
      </c>
      <c r="AI207">
        <v>5</v>
      </c>
      <c r="AV207" t="s">
        <v>88</v>
      </c>
      <c r="BA207">
        <v>6.9</v>
      </c>
    </row>
    <row r="208" spans="1:53" hidden="1" x14ac:dyDescent="0.3">
      <c r="A208" t="s">
        <v>1094</v>
      </c>
      <c r="B208" t="s">
        <v>1095</v>
      </c>
      <c r="C208" t="s">
        <v>1052</v>
      </c>
      <c r="H208">
        <v>4</v>
      </c>
      <c r="I208" t="s">
        <v>56</v>
      </c>
      <c r="J208">
        <v>4.0000000000000002E-4</v>
      </c>
      <c r="K208" t="s">
        <v>57</v>
      </c>
      <c r="O208">
        <v>0</v>
      </c>
      <c r="T208">
        <v>65</v>
      </c>
      <c r="V208">
        <v>90</v>
      </c>
      <c r="W208" t="s">
        <v>1099</v>
      </c>
      <c r="X208" t="s">
        <v>280</v>
      </c>
      <c r="Y208">
        <v>2880</v>
      </c>
      <c r="Z208">
        <v>5</v>
      </c>
      <c r="AB208">
        <v>0</v>
      </c>
      <c r="AC208" t="s">
        <v>210</v>
      </c>
      <c r="AD208">
        <v>0</v>
      </c>
      <c r="AH208">
        <v>6.9</v>
      </c>
      <c r="AI208">
        <v>5</v>
      </c>
      <c r="AV208" t="s">
        <v>88</v>
      </c>
      <c r="BA208">
        <v>6.9</v>
      </c>
    </row>
    <row r="209" spans="1:53" hidden="1" x14ac:dyDescent="0.3">
      <c r="A209" t="s">
        <v>1094</v>
      </c>
      <c r="B209" t="s">
        <v>1095</v>
      </c>
      <c r="C209" t="s">
        <v>1052</v>
      </c>
      <c r="H209">
        <v>4</v>
      </c>
      <c r="I209" t="s">
        <v>56</v>
      </c>
      <c r="J209">
        <v>4.0000000000000002E-4</v>
      </c>
      <c r="K209" t="s">
        <v>57</v>
      </c>
      <c r="O209">
        <v>0</v>
      </c>
      <c r="T209">
        <v>65</v>
      </c>
      <c r="V209">
        <v>90</v>
      </c>
      <c r="W209" t="s">
        <v>1100</v>
      </c>
      <c r="X209" t="s">
        <v>280</v>
      </c>
      <c r="Y209">
        <v>2880</v>
      </c>
      <c r="Z209">
        <v>5</v>
      </c>
      <c r="AB209">
        <v>6.8</v>
      </c>
      <c r="AC209" t="s">
        <v>210</v>
      </c>
      <c r="AD209">
        <v>0.04</v>
      </c>
      <c r="AH209">
        <v>6.9</v>
      </c>
      <c r="AI209">
        <v>5</v>
      </c>
      <c r="AV209" t="s">
        <v>88</v>
      </c>
      <c r="BA209">
        <v>6.9</v>
      </c>
    </row>
    <row r="210" spans="1:53" hidden="1" x14ac:dyDescent="0.3">
      <c r="A210" t="s">
        <v>1094</v>
      </c>
      <c r="B210" t="s">
        <v>1095</v>
      </c>
      <c r="C210" t="s">
        <v>1052</v>
      </c>
      <c r="H210">
        <v>4</v>
      </c>
      <c r="I210" t="s">
        <v>56</v>
      </c>
      <c r="J210">
        <v>4.0000000000000002E-4</v>
      </c>
      <c r="K210" t="s">
        <v>57</v>
      </c>
      <c r="O210">
        <v>0</v>
      </c>
      <c r="T210">
        <v>75</v>
      </c>
      <c r="V210">
        <v>90</v>
      </c>
      <c r="W210" t="s">
        <v>1096</v>
      </c>
      <c r="X210" t="s">
        <v>280</v>
      </c>
      <c r="Y210">
        <v>4320</v>
      </c>
      <c r="Z210">
        <v>5</v>
      </c>
      <c r="AB210">
        <v>0</v>
      </c>
      <c r="AC210" t="s">
        <v>210</v>
      </c>
      <c r="AD210">
        <v>0</v>
      </c>
      <c r="AH210">
        <v>7.1</v>
      </c>
      <c r="AI210">
        <v>5</v>
      </c>
      <c r="AV210" t="s">
        <v>88</v>
      </c>
      <c r="BA210">
        <v>7.1</v>
      </c>
    </row>
    <row r="211" spans="1:53" hidden="1" x14ac:dyDescent="0.3">
      <c r="A211" t="s">
        <v>1094</v>
      </c>
      <c r="B211" t="s">
        <v>1095</v>
      </c>
      <c r="C211" t="s">
        <v>1052</v>
      </c>
      <c r="H211">
        <v>4</v>
      </c>
      <c r="I211" t="s">
        <v>56</v>
      </c>
      <c r="J211">
        <v>4.0000000000000002E-4</v>
      </c>
      <c r="K211" t="s">
        <v>57</v>
      </c>
      <c r="O211">
        <v>0</v>
      </c>
      <c r="T211">
        <v>55</v>
      </c>
      <c r="V211">
        <v>90</v>
      </c>
      <c r="W211" t="s">
        <v>1096</v>
      </c>
      <c r="X211" t="s">
        <v>280</v>
      </c>
      <c r="Y211">
        <v>4320</v>
      </c>
      <c r="Z211">
        <v>5</v>
      </c>
      <c r="AB211">
        <v>2.2000000000000002</v>
      </c>
      <c r="AC211" t="s">
        <v>210</v>
      </c>
      <c r="AD211">
        <v>0.25</v>
      </c>
      <c r="AH211">
        <v>7.1</v>
      </c>
      <c r="AI211">
        <v>5</v>
      </c>
      <c r="AV211" t="s">
        <v>88</v>
      </c>
      <c r="BA211">
        <v>7.1</v>
      </c>
    </row>
    <row r="212" spans="1:53" hidden="1" x14ac:dyDescent="0.3">
      <c r="A212" t="s">
        <v>1094</v>
      </c>
      <c r="B212" t="s">
        <v>1095</v>
      </c>
      <c r="C212" t="s">
        <v>1052</v>
      </c>
      <c r="H212">
        <v>4</v>
      </c>
      <c r="I212" t="s">
        <v>56</v>
      </c>
      <c r="J212">
        <v>4.0000000000000002E-4</v>
      </c>
      <c r="K212" t="s">
        <v>57</v>
      </c>
      <c r="O212">
        <v>0</v>
      </c>
      <c r="T212">
        <v>75</v>
      </c>
      <c r="V212">
        <v>90</v>
      </c>
      <c r="W212" t="s">
        <v>1097</v>
      </c>
      <c r="X212" t="s">
        <v>280</v>
      </c>
      <c r="Y212">
        <v>4320</v>
      </c>
      <c r="Z212">
        <v>5</v>
      </c>
      <c r="AB212">
        <v>0</v>
      </c>
      <c r="AC212" t="s">
        <v>210</v>
      </c>
      <c r="AD212">
        <v>0</v>
      </c>
      <c r="AH212">
        <v>7.1</v>
      </c>
      <c r="AI212">
        <v>5</v>
      </c>
      <c r="AV212" t="s">
        <v>88</v>
      </c>
      <c r="BA212">
        <v>7.1</v>
      </c>
    </row>
    <row r="213" spans="1:53" hidden="1" x14ac:dyDescent="0.3">
      <c r="A213" t="s">
        <v>1094</v>
      </c>
      <c r="B213" t="s">
        <v>1095</v>
      </c>
      <c r="C213" t="s">
        <v>1052</v>
      </c>
      <c r="H213">
        <v>4</v>
      </c>
      <c r="I213" t="s">
        <v>56</v>
      </c>
      <c r="J213">
        <v>4.0000000000000002E-4</v>
      </c>
      <c r="K213" t="s">
        <v>57</v>
      </c>
      <c r="O213">
        <v>0</v>
      </c>
      <c r="T213">
        <v>55</v>
      </c>
      <c r="V213">
        <v>90</v>
      </c>
      <c r="W213" t="s">
        <v>1097</v>
      </c>
      <c r="X213" t="s">
        <v>280</v>
      </c>
      <c r="Y213">
        <v>4320</v>
      </c>
      <c r="Z213">
        <v>5</v>
      </c>
      <c r="AB213">
        <v>6.2</v>
      </c>
      <c r="AC213" t="s">
        <v>210</v>
      </c>
      <c r="AD213">
        <v>0.9</v>
      </c>
      <c r="AH213">
        <v>7.1</v>
      </c>
      <c r="AI213">
        <v>5</v>
      </c>
      <c r="AV213" t="s">
        <v>88</v>
      </c>
      <c r="BA213">
        <v>7.1</v>
      </c>
    </row>
    <row r="214" spans="1:53" hidden="1" x14ac:dyDescent="0.3">
      <c r="A214" t="s">
        <v>1094</v>
      </c>
      <c r="B214" t="s">
        <v>1095</v>
      </c>
      <c r="C214" t="s">
        <v>1052</v>
      </c>
      <c r="H214">
        <v>4</v>
      </c>
      <c r="I214" t="s">
        <v>56</v>
      </c>
      <c r="J214">
        <v>4.0000000000000002E-4</v>
      </c>
      <c r="K214" t="s">
        <v>57</v>
      </c>
      <c r="O214">
        <v>0</v>
      </c>
      <c r="T214">
        <v>75</v>
      </c>
      <c r="V214">
        <v>90</v>
      </c>
      <c r="W214" t="s">
        <v>1098</v>
      </c>
      <c r="X214" t="s">
        <v>280</v>
      </c>
      <c r="Y214">
        <v>4320</v>
      </c>
      <c r="Z214">
        <v>5</v>
      </c>
      <c r="AB214">
        <v>0</v>
      </c>
      <c r="AC214" t="s">
        <v>210</v>
      </c>
      <c r="AD214">
        <v>0</v>
      </c>
      <c r="AH214">
        <v>7.1</v>
      </c>
      <c r="AI214">
        <v>5</v>
      </c>
      <c r="AV214" t="s">
        <v>88</v>
      </c>
      <c r="BA214">
        <v>7.1</v>
      </c>
    </row>
    <row r="215" spans="1:53" hidden="1" x14ac:dyDescent="0.3">
      <c r="A215" t="s">
        <v>1094</v>
      </c>
      <c r="B215" t="s">
        <v>1095</v>
      </c>
      <c r="C215" t="s">
        <v>1052</v>
      </c>
      <c r="H215">
        <v>4</v>
      </c>
      <c r="I215" t="s">
        <v>56</v>
      </c>
      <c r="J215">
        <v>4.0000000000000002E-4</v>
      </c>
      <c r="K215" t="s">
        <v>57</v>
      </c>
      <c r="O215">
        <v>0</v>
      </c>
      <c r="T215">
        <v>55</v>
      </c>
      <c r="V215">
        <v>90</v>
      </c>
      <c r="W215" t="s">
        <v>1098</v>
      </c>
      <c r="X215" t="s">
        <v>280</v>
      </c>
      <c r="Y215">
        <v>4320</v>
      </c>
      <c r="Z215">
        <v>5</v>
      </c>
      <c r="AB215">
        <v>5.6</v>
      </c>
      <c r="AC215" t="s">
        <v>210</v>
      </c>
      <c r="AD215">
        <v>0.11</v>
      </c>
      <c r="AH215">
        <v>7.1</v>
      </c>
      <c r="AI215">
        <v>5</v>
      </c>
      <c r="AV215" t="s">
        <v>88</v>
      </c>
      <c r="BA215">
        <v>7.1</v>
      </c>
    </row>
    <row r="216" spans="1:53" hidden="1" x14ac:dyDescent="0.3">
      <c r="A216" t="s">
        <v>1094</v>
      </c>
      <c r="B216" t="s">
        <v>1095</v>
      </c>
      <c r="C216" t="s">
        <v>1052</v>
      </c>
      <c r="H216">
        <v>4</v>
      </c>
      <c r="I216" t="s">
        <v>56</v>
      </c>
      <c r="J216">
        <v>4.0000000000000002E-4</v>
      </c>
      <c r="K216" t="s">
        <v>57</v>
      </c>
      <c r="O216">
        <v>0</v>
      </c>
      <c r="T216">
        <v>75</v>
      </c>
      <c r="V216">
        <v>90</v>
      </c>
      <c r="W216" t="s">
        <v>1099</v>
      </c>
      <c r="X216" t="s">
        <v>280</v>
      </c>
      <c r="Y216">
        <v>4320</v>
      </c>
      <c r="Z216">
        <v>5</v>
      </c>
      <c r="AB216">
        <v>0</v>
      </c>
      <c r="AC216" t="s">
        <v>210</v>
      </c>
      <c r="AD216">
        <v>0</v>
      </c>
      <c r="AH216">
        <v>7.1</v>
      </c>
      <c r="AI216">
        <v>5</v>
      </c>
      <c r="AV216" t="s">
        <v>88</v>
      </c>
      <c r="BA216">
        <v>7.1</v>
      </c>
    </row>
    <row r="217" spans="1:53" hidden="1" x14ac:dyDescent="0.3">
      <c r="A217" t="s">
        <v>1094</v>
      </c>
      <c r="B217" t="s">
        <v>1095</v>
      </c>
      <c r="C217" t="s">
        <v>1052</v>
      </c>
      <c r="H217">
        <v>4</v>
      </c>
      <c r="I217" t="s">
        <v>56</v>
      </c>
      <c r="J217">
        <v>4.0000000000000002E-4</v>
      </c>
      <c r="K217" t="s">
        <v>57</v>
      </c>
      <c r="O217">
        <v>0</v>
      </c>
      <c r="T217">
        <v>55</v>
      </c>
      <c r="V217">
        <v>90</v>
      </c>
      <c r="W217" t="s">
        <v>1099</v>
      </c>
      <c r="X217" t="s">
        <v>280</v>
      </c>
      <c r="Y217">
        <v>4320</v>
      </c>
      <c r="Z217">
        <v>1</v>
      </c>
      <c r="AB217">
        <v>2.2000000000000002</v>
      </c>
      <c r="AC217" t="s">
        <v>210</v>
      </c>
      <c r="AD217">
        <v>0.3</v>
      </c>
      <c r="AH217">
        <v>7.1</v>
      </c>
      <c r="AI217">
        <v>5</v>
      </c>
      <c r="AV217" t="s">
        <v>88</v>
      </c>
      <c r="BA217">
        <v>7.1</v>
      </c>
    </row>
    <row r="218" spans="1:53" hidden="1" x14ac:dyDescent="0.3">
      <c r="A218" t="s">
        <v>1094</v>
      </c>
      <c r="B218" t="s">
        <v>1095</v>
      </c>
      <c r="C218" t="s">
        <v>1052</v>
      </c>
      <c r="H218">
        <v>4</v>
      </c>
      <c r="I218" t="s">
        <v>56</v>
      </c>
      <c r="J218">
        <v>4.0000000000000002E-4</v>
      </c>
      <c r="K218" t="s">
        <v>57</v>
      </c>
      <c r="O218">
        <v>0</v>
      </c>
      <c r="T218">
        <v>75</v>
      </c>
      <c r="V218">
        <v>90</v>
      </c>
      <c r="W218" t="s">
        <v>1100</v>
      </c>
      <c r="X218" t="s">
        <v>280</v>
      </c>
      <c r="Y218">
        <v>4320</v>
      </c>
      <c r="Z218">
        <v>1</v>
      </c>
      <c r="AB218">
        <v>1</v>
      </c>
      <c r="AC218" t="s">
        <v>210</v>
      </c>
      <c r="AD218">
        <v>0.12</v>
      </c>
      <c r="AH218">
        <v>7.1</v>
      </c>
      <c r="AI218">
        <v>5</v>
      </c>
      <c r="AV218" t="s">
        <v>88</v>
      </c>
      <c r="BA218">
        <v>7.1</v>
      </c>
    </row>
    <row r="219" spans="1:53" hidden="1" x14ac:dyDescent="0.3">
      <c r="A219" t="s">
        <v>1094</v>
      </c>
      <c r="B219" t="s">
        <v>1095</v>
      </c>
      <c r="C219" t="s">
        <v>1052</v>
      </c>
      <c r="H219">
        <v>4</v>
      </c>
      <c r="I219" t="s">
        <v>56</v>
      </c>
      <c r="J219">
        <v>4.0000000000000002E-4</v>
      </c>
      <c r="K219" t="s">
        <v>57</v>
      </c>
      <c r="O219">
        <v>0</v>
      </c>
      <c r="T219">
        <v>55</v>
      </c>
      <c r="V219">
        <v>90</v>
      </c>
      <c r="W219" t="s">
        <v>1100</v>
      </c>
      <c r="X219" t="s">
        <v>280</v>
      </c>
      <c r="Y219">
        <v>4320</v>
      </c>
      <c r="Z219">
        <v>1</v>
      </c>
      <c r="AB219">
        <v>7</v>
      </c>
      <c r="AC219" t="s">
        <v>210</v>
      </c>
      <c r="AD219">
        <v>0.1</v>
      </c>
      <c r="AH219">
        <v>7.1</v>
      </c>
      <c r="AI219">
        <v>5</v>
      </c>
      <c r="AV219" t="s">
        <v>88</v>
      </c>
      <c r="BA219">
        <v>7.1</v>
      </c>
    </row>
    <row r="220" spans="1:53" hidden="1" x14ac:dyDescent="0.3">
      <c r="A220" t="s">
        <v>1094</v>
      </c>
      <c r="B220" t="s">
        <v>1095</v>
      </c>
      <c r="C220" t="s">
        <v>1052</v>
      </c>
      <c r="H220">
        <v>4</v>
      </c>
      <c r="I220" t="s">
        <v>56</v>
      </c>
      <c r="J220">
        <v>4.0000000000000002E-4</v>
      </c>
      <c r="K220" t="s">
        <v>57</v>
      </c>
      <c r="O220">
        <v>0</v>
      </c>
      <c r="T220">
        <v>65</v>
      </c>
      <c r="V220">
        <v>80</v>
      </c>
      <c r="W220" t="s">
        <v>1096</v>
      </c>
      <c r="X220" t="s">
        <v>280</v>
      </c>
      <c r="Y220">
        <v>1440</v>
      </c>
      <c r="Z220">
        <v>1</v>
      </c>
      <c r="AB220">
        <v>2.7</v>
      </c>
      <c r="AC220" t="s">
        <v>210</v>
      </c>
      <c r="AD220">
        <v>0.19</v>
      </c>
      <c r="AH220">
        <v>6.9</v>
      </c>
      <c r="AI220">
        <v>5</v>
      </c>
      <c r="AV220" t="s">
        <v>88</v>
      </c>
      <c r="BA220">
        <v>6.9</v>
      </c>
    </row>
    <row r="221" spans="1:53" hidden="1" x14ac:dyDescent="0.3">
      <c r="A221" t="s">
        <v>1094</v>
      </c>
      <c r="B221" t="s">
        <v>1095</v>
      </c>
      <c r="C221" t="s">
        <v>1052</v>
      </c>
      <c r="H221">
        <v>4</v>
      </c>
      <c r="I221" t="s">
        <v>56</v>
      </c>
      <c r="J221">
        <v>4.0000000000000002E-4</v>
      </c>
      <c r="K221" t="s">
        <v>57</v>
      </c>
      <c r="O221">
        <v>0</v>
      </c>
      <c r="T221">
        <v>65</v>
      </c>
      <c r="V221">
        <v>80</v>
      </c>
      <c r="W221" t="s">
        <v>1097</v>
      </c>
      <c r="X221" t="s">
        <v>280</v>
      </c>
      <c r="Y221">
        <v>1440</v>
      </c>
      <c r="Z221">
        <v>1</v>
      </c>
      <c r="AB221">
        <v>6.1</v>
      </c>
      <c r="AC221" t="s">
        <v>210</v>
      </c>
      <c r="AD221">
        <v>0.06</v>
      </c>
      <c r="AH221">
        <v>6.9</v>
      </c>
      <c r="AI221">
        <v>5</v>
      </c>
      <c r="AV221" t="s">
        <v>88</v>
      </c>
      <c r="BA221">
        <v>6.9</v>
      </c>
    </row>
    <row r="222" spans="1:53" hidden="1" x14ac:dyDescent="0.3">
      <c r="A222" t="s">
        <v>1094</v>
      </c>
      <c r="B222" t="s">
        <v>1095</v>
      </c>
      <c r="C222" t="s">
        <v>1052</v>
      </c>
      <c r="H222">
        <v>4</v>
      </c>
      <c r="I222" t="s">
        <v>56</v>
      </c>
      <c r="J222">
        <v>4.0000000000000002E-4</v>
      </c>
      <c r="K222" t="s">
        <v>57</v>
      </c>
      <c r="O222">
        <v>0</v>
      </c>
      <c r="T222">
        <v>65</v>
      </c>
      <c r="V222">
        <v>80</v>
      </c>
      <c r="W222" t="s">
        <v>1098</v>
      </c>
      <c r="X222" t="s">
        <v>280</v>
      </c>
      <c r="Y222">
        <v>1440</v>
      </c>
      <c r="Z222">
        <v>1</v>
      </c>
      <c r="AB222">
        <v>5.2</v>
      </c>
      <c r="AC222" t="s">
        <v>210</v>
      </c>
      <c r="AD222">
        <v>0.12</v>
      </c>
      <c r="AH222">
        <v>6.9</v>
      </c>
      <c r="AI222">
        <v>5</v>
      </c>
      <c r="AV222" t="s">
        <v>88</v>
      </c>
      <c r="BA222">
        <v>6.9</v>
      </c>
    </row>
    <row r="223" spans="1:53" hidden="1" x14ac:dyDescent="0.3">
      <c r="A223" t="s">
        <v>1094</v>
      </c>
      <c r="B223" t="s">
        <v>1095</v>
      </c>
      <c r="C223" t="s">
        <v>1052</v>
      </c>
      <c r="H223">
        <v>4</v>
      </c>
      <c r="I223" t="s">
        <v>56</v>
      </c>
      <c r="J223">
        <v>4.0000000000000002E-4</v>
      </c>
      <c r="K223" t="s">
        <v>57</v>
      </c>
      <c r="O223">
        <v>0</v>
      </c>
      <c r="T223">
        <v>65</v>
      </c>
      <c r="V223">
        <v>80</v>
      </c>
      <c r="W223" t="s">
        <v>1099</v>
      </c>
      <c r="X223" t="s">
        <v>280</v>
      </c>
      <c r="Y223">
        <v>1440</v>
      </c>
      <c r="Z223">
        <v>1</v>
      </c>
      <c r="AB223">
        <v>9.9</v>
      </c>
      <c r="AC223" t="s">
        <v>210</v>
      </c>
      <c r="AD223">
        <v>0.06</v>
      </c>
      <c r="AH223">
        <v>6.9</v>
      </c>
      <c r="AI223">
        <v>5</v>
      </c>
      <c r="AV223" t="s">
        <v>88</v>
      </c>
      <c r="BA223">
        <v>6.9</v>
      </c>
    </row>
    <row r="224" spans="1:53" hidden="1" x14ac:dyDescent="0.3">
      <c r="A224" t="s">
        <v>1094</v>
      </c>
      <c r="B224" t="s">
        <v>1095</v>
      </c>
      <c r="C224" t="s">
        <v>1052</v>
      </c>
      <c r="H224">
        <v>4</v>
      </c>
      <c r="I224" t="s">
        <v>56</v>
      </c>
      <c r="J224">
        <v>4.0000000000000002E-4</v>
      </c>
      <c r="K224" t="s">
        <v>57</v>
      </c>
      <c r="O224">
        <v>0</v>
      </c>
      <c r="T224">
        <v>65</v>
      </c>
      <c r="V224">
        <v>80</v>
      </c>
      <c r="W224" t="s">
        <v>1100</v>
      </c>
      <c r="X224" t="s">
        <v>280</v>
      </c>
      <c r="Y224">
        <v>1440</v>
      </c>
      <c r="Z224">
        <v>1</v>
      </c>
      <c r="AB224">
        <v>7.2</v>
      </c>
      <c r="AC224" t="s">
        <v>210</v>
      </c>
      <c r="AD224">
        <v>0.02</v>
      </c>
      <c r="AH224">
        <v>6.9</v>
      </c>
      <c r="AI224">
        <v>5</v>
      </c>
      <c r="AV224" t="s">
        <v>88</v>
      </c>
      <c r="BA224">
        <v>6.9</v>
      </c>
    </row>
    <row r="225" spans="1:53" hidden="1" x14ac:dyDescent="0.3">
      <c r="A225" t="s">
        <v>1094</v>
      </c>
      <c r="B225" t="s">
        <v>1095</v>
      </c>
      <c r="C225" t="s">
        <v>1052</v>
      </c>
      <c r="H225">
        <v>4</v>
      </c>
      <c r="I225" t="s">
        <v>56</v>
      </c>
      <c r="J225">
        <v>4.0000000000000002E-4</v>
      </c>
      <c r="K225" t="s">
        <v>57</v>
      </c>
      <c r="O225">
        <v>0</v>
      </c>
      <c r="T225">
        <v>75</v>
      </c>
      <c r="V225">
        <v>80</v>
      </c>
      <c r="W225" t="s">
        <v>1096</v>
      </c>
      <c r="X225" t="s">
        <v>280</v>
      </c>
      <c r="Y225">
        <v>2880</v>
      </c>
      <c r="Z225">
        <v>1</v>
      </c>
      <c r="AB225">
        <v>0</v>
      </c>
      <c r="AC225" t="s">
        <v>210</v>
      </c>
      <c r="AD225">
        <v>0</v>
      </c>
      <c r="AH225">
        <v>6.9</v>
      </c>
      <c r="AI225">
        <v>5</v>
      </c>
      <c r="AV225" t="s">
        <v>88</v>
      </c>
      <c r="BA225">
        <v>6.9</v>
      </c>
    </row>
    <row r="226" spans="1:53" hidden="1" x14ac:dyDescent="0.3">
      <c r="A226" t="s">
        <v>1094</v>
      </c>
      <c r="B226" t="s">
        <v>1095</v>
      </c>
      <c r="C226" t="s">
        <v>1052</v>
      </c>
      <c r="H226">
        <v>4</v>
      </c>
      <c r="I226" t="s">
        <v>56</v>
      </c>
      <c r="J226">
        <v>4.0000000000000002E-4</v>
      </c>
      <c r="K226" t="s">
        <v>57</v>
      </c>
      <c r="O226">
        <v>0</v>
      </c>
      <c r="T226">
        <v>65</v>
      </c>
      <c r="V226">
        <v>80</v>
      </c>
      <c r="W226" t="s">
        <v>1096</v>
      </c>
      <c r="X226" t="s">
        <v>280</v>
      </c>
      <c r="Y226">
        <v>2880</v>
      </c>
      <c r="Z226">
        <v>1</v>
      </c>
      <c r="AB226">
        <v>1.1000000000000001</v>
      </c>
      <c r="AC226" t="s">
        <v>210</v>
      </c>
      <c r="AD226">
        <v>0.2</v>
      </c>
      <c r="AH226">
        <v>7.1</v>
      </c>
      <c r="AI226">
        <v>5</v>
      </c>
      <c r="AV226" t="s">
        <v>88</v>
      </c>
      <c r="BA226">
        <v>7.1</v>
      </c>
    </row>
    <row r="227" spans="1:53" hidden="1" x14ac:dyDescent="0.3">
      <c r="A227" t="s">
        <v>1094</v>
      </c>
      <c r="B227" t="s">
        <v>1095</v>
      </c>
      <c r="C227" t="s">
        <v>1052</v>
      </c>
      <c r="H227">
        <v>4</v>
      </c>
      <c r="I227" t="s">
        <v>56</v>
      </c>
      <c r="J227">
        <v>4.0000000000000002E-4</v>
      </c>
      <c r="K227" t="s">
        <v>57</v>
      </c>
      <c r="O227">
        <v>0</v>
      </c>
      <c r="T227">
        <v>55</v>
      </c>
      <c r="V227">
        <v>80</v>
      </c>
      <c r="W227" t="s">
        <v>1096</v>
      </c>
      <c r="X227" t="s">
        <v>280</v>
      </c>
      <c r="Y227">
        <v>2880</v>
      </c>
      <c r="Z227">
        <v>1</v>
      </c>
      <c r="AB227">
        <v>6.6</v>
      </c>
      <c r="AC227" t="s">
        <v>210</v>
      </c>
      <c r="AD227">
        <v>0.03</v>
      </c>
      <c r="AH227">
        <v>6.9</v>
      </c>
      <c r="AI227">
        <v>5</v>
      </c>
      <c r="AV227" t="s">
        <v>88</v>
      </c>
      <c r="BA227">
        <v>6.9</v>
      </c>
    </row>
    <row r="228" spans="1:53" hidden="1" x14ac:dyDescent="0.3">
      <c r="A228" t="s">
        <v>1094</v>
      </c>
      <c r="B228" t="s">
        <v>1095</v>
      </c>
      <c r="C228" t="s">
        <v>1052</v>
      </c>
      <c r="H228">
        <v>4</v>
      </c>
      <c r="I228" t="s">
        <v>56</v>
      </c>
      <c r="J228">
        <v>4.0000000000000002E-4</v>
      </c>
      <c r="K228" t="s">
        <v>57</v>
      </c>
      <c r="O228">
        <v>0</v>
      </c>
      <c r="T228">
        <v>75</v>
      </c>
      <c r="V228">
        <v>80</v>
      </c>
      <c r="W228" t="s">
        <v>1097</v>
      </c>
      <c r="X228" t="s">
        <v>280</v>
      </c>
      <c r="Y228">
        <v>2880</v>
      </c>
      <c r="Z228">
        <v>1</v>
      </c>
      <c r="AB228">
        <v>0</v>
      </c>
      <c r="AC228" t="s">
        <v>210</v>
      </c>
      <c r="AD228">
        <v>0</v>
      </c>
      <c r="AH228">
        <v>6.9</v>
      </c>
      <c r="AI228">
        <v>5</v>
      </c>
      <c r="AV228" t="s">
        <v>88</v>
      </c>
      <c r="BA228">
        <v>6.9</v>
      </c>
    </row>
    <row r="229" spans="1:53" hidden="1" x14ac:dyDescent="0.3">
      <c r="A229" t="s">
        <v>1094</v>
      </c>
      <c r="B229" t="s">
        <v>1095</v>
      </c>
      <c r="C229" t="s">
        <v>1052</v>
      </c>
      <c r="H229">
        <v>4</v>
      </c>
      <c r="I229" t="s">
        <v>56</v>
      </c>
      <c r="J229">
        <v>4.0000000000000002E-4</v>
      </c>
      <c r="K229" t="s">
        <v>57</v>
      </c>
      <c r="O229">
        <v>0</v>
      </c>
      <c r="T229">
        <v>65</v>
      </c>
      <c r="V229">
        <v>80</v>
      </c>
      <c r="W229" t="s">
        <v>1097</v>
      </c>
      <c r="X229" t="s">
        <v>280</v>
      </c>
      <c r="Y229">
        <v>2880</v>
      </c>
      <c r="Z229">
        <v>1</v>
      </c>
      <c r="AB229">
        <v>4</v>
      </c>
      <c r="AC229" t="s">
        <v>210</v>
      </c>
      <c r="AD229">
        <v>0.16</v>
      </c>
      <c r="AH229">
        <v>7.1</v>
      </c>
      <c r="AI229">
        <v>5</v>
      </c>
      <c r="AV229" t="s">
        <v>88</v>
      </c>
      <c r="BA229">
        <v>7.1</v>
      </c>
    </row>
    <row r="230" spans="1:53" hidden="1" x14ac:dyDescent="0.3">
      <c r="A230" t="s">
        <v>1094</v>
      </c>
      <c r="B230" t="s">
        <v>1095</v>
      </c>
      <c r="C230" t="s">
        <v>1052</v>
      </c>
      <c r="H230">
        <v>4</v>
      </c>
      <c r="I230" t="s">
        <v>56</v>
      </c>
      <c r="J230">
        <v>4.0000000000000002E-4</v>
      </c>
      <c r="K230" t="s">
        <v>57</v>
      </c>
      <c r="O230">
        <v>0</v>
      </c>
      <c r="T230">
        <v>55</v>
      </c>
      <c r="V230">
        <v>80</v>
      </c>
      <c r="W230" t="s">
        <v>1097</v>
      </c>
      <c r="X230" t="s">
        <v>280</v>
      </c>
      <c r="Y230">
        <v>2880</v>
      </c>
      <c r="Z230">
        <v>1</v>
      </c>
      <c r="AB230">
        <v>7</v>
      </c>
      <c r="AC230" t="s">
        <v>210</v>
      </c>
      <c r="AD230">
        <v>0.02</v>
      </c>
      <c r="AH230">
        <v>6.9</v>
      </c>
      <c r="AI230">
        <v>5</v>
      </c>
      <c r="AV230" t="s">
        <v>88</v>
      </c>
      <c r="BA230">
        <v>6.9</v>
      </c>
    </row>
    <row r="231" spans="1:53" hidden="1" x14ac:dyDescent="0.3">
      <c r="A231" t="s">
        <v>1094</v>
      </c>
      <c r="B231" t="s">
        <v>1095</v>
      </c>
      <c r="C231" t="s">
        <v>1052</v>
      </c>
      <c r="H231">
        <v>4</v>
      </c>
      <c r="I231" t="s">
        <v>56</v>
      </c>
      <c r="J231">
        <v>4.0000000000000002E-4</v>
      </c>
      <c r="K231" t="s">
        <v>57</v>
      </c>
      <c r="O231">
        <v>0</v>
      </c>
      <c r="T231">
        <v>75</v>
      </c>
      <c r="V231">
        <v>80</v>
      </c>
      <c r="W231" t="s">
        <v>1098</v>
      </c>
      <c r="X231" t="s">
        <v>280</v>
      </c>
      <c r="Y231">
        <v>2880</v>
      </c>
      <c r="Z231">
        <v>5</v>
      </c>
      <c r="AB231">
        <v>0</v>
      </c>
      <c r="AC231" t="s">
        <v>210</v>
      </c>
      <c r="AD231">
        <v>0</v>
      </c>
      <c r="AH231">
        <v>6.9</v>
      </c>
      <c r="AI231">
        <v>5</v>
      </c>
      <c r="AV231" t="s">
        <v>88</v>
      </c>
      <c r="BA231">
        <v>6.9</v>
      </c>
    </row>
    <row r="232" spans="1:53" hidden="1" x14ac:dyDescent="0.3">
      <c r="A232" t="s">
        <v>1094</v>
      </c>
      <c r="B232" t="s">
        <v>1095</v>
      </c>
      <c r="C232" t="s">
        <v>1052</v>
      </c>
      <c r="H232">
        <v>4</v>
      </c>
      <c r="I232" t="s">
        <v>56</v>
      </c>
      <c r="J232">
        <v>4.0000000000000002E-4</v>
      </c>
      <c r="K232" t="s">
        <v>57</v>
      </c>
      <c r="O232">
        <v>0</v>
      </c>
      <c r="T232">
        <v>65</v>
      </c>
      <c r="V232">
        <v>80</v>
      </c>
      <c r="W232" t="s">
        <v>1098</v>
      </c>
      <c r="X232" t="s">
        <v>280</v>
      </c>
      <c r="Y232">
        <v>2880</v>
      </c>
      <c r="Z232">
        <v>5</v>
      </c>
      <c r="AB232">
        <v>1.9</v>
      </c>
      <c r="AC232" t="s">
        <v>210</v>
      </c>
      <c r="AD232">
        <v>0.16</v>
      </c>
      <c r="AH232">
        <v>7.1</v>
      </c>
      <c r="AI232">
        <v>5</v>
      </c>
      <c r="AV232" t="s">
        <v>88</v>
      </c>
      <c r="BA232">
        <v>7.1</v>
      </c>
    </row>
    <row r="233" spans="1:53" hidden="1" x14ac:dyDescent="0.3">
      <c r="A233" t="s">
        <v>1094</v>
      </c>
      <c r="B233" t="s">
        <v>1095</v>
      </c>
      <c r="C233" t="s">
        <v>1052</v>
      </c>
      <c r="H233">
        <v>4</v>
      </c>
      <c r="I233" t="s">
        <v>56</v>
      </c>
      <c r="J233">
        <v>4.0000000000000002E-4</v>
      </c>
      <c r="K233" t="s">
        <v>57</v>
      </c>
      <c r="O233">
        <v>0</v>
      </c>
      <c r="T233">
        <v>55</v>
      </c>
      <c r="V233">
        <v>80</v>
      </c>
      <c r="W233" t="s">
        <v>1098</v>
      </c>
      <c r="X233" t="s">
        <v>280</v>
      </c>
      <c r="Y233">
        <v>2880</v>
      </c>
      <c r="Z233">
        <v>5</v>
      </c>
      <c r="AB233">
        <v>6.9</v>
      </c>
      <c r="AC233" t="s">
        <v>210</v>
      </c>
      <c r="AD233">
        <v>0.04</v>
      </c>
      <c r="AH233">
        <v>6.9</v>
      </c>
      <c r="AI233">
        <v>5</v>
      </c>
      <c r="AV233" t="s">
        <v>88</v>
      </c>
      <c r="BA233">
        <v>6.9</v>
      </c>
    </row>
    <row r="234" spans="1:53" hidden="1" x14ac:dyDescent="0.3">
      <c r="A234" t="s">
        <v>1094</v>
      </c>
      <c r="B234" t="s">
        <v>1095</v>
      </c>
      <c r="C234" t="s">
        <v>1052</v>
      </c>
      <c r="H234">
        <v>4</v>
      </c>
      <c r="I234" t="s">
        <v>56</v>
      </c>
      <c r="J234">
        <v>4.0000000000000002E-4</v>
      </c>
      <c r="K234" t="s">
        <v>57</v>
      </c>
      <c r="O234">
        <v>0</v>
      </c>
      <c r="T234">
        <v>75</v>
      </c>
      <c r="V234">
        <v>80</v>
      </c>
      <c r="W234" t="s">
        <v>1099</v>
      </c>
      <c r="X234" t="s">
        <v>280</v>
      </c>
      <c r="Y234">
        <v>2880</v>
      </c>
      <c r="Z234">
        <v>5</v>
      </c>
      <c r="AB234">
        <v>0</v>
      </c>
      <c r="AC234" t="s">
        <v>210</v>
      </c>
      <c r="AD234">
        <v>0</v>
      </c>
      <c r="AH234">
        <v>6.9</v>
      </c>
      <c r="AI234">
        <v>5</v>
      </c>
      <c r="AV234" t="s">
        <v>88</v>
      </c>
      <c r="BA234">
        <v>6.9</v>
      </c>
    </row>
    <row r="235" spans="1:53" hidden="1" x14ac:dyDescent="0.3">
      <c r="A235" t="s">
        <v>1094</v>
      </c>
      <c r="B235" t="s">
        <v>1095</v>
      </c>
      <c r="C235" t="s">
        <v>1052</v>
      </c>
      <c r="H235">
        <v>4</v>
      </c>
      <c r="I235" t="s">
        <v>56</v>
      </c>
      <c r="J235">
        <v>4.0000000000000002E-4</v>
      </c>
      <c r="K235" t="s">
        <v>57</v>
      </c>
      <c r="O235">
        <v>0</v>
      </c>
      <c r="T235">
        <v>65</v>
      </c>
      <c r="V235">
        <v>80</v>
      </c>
      <c r="W235" t="s">
        <v>1099</v>
      </c>
      <c r="X235" t="s">
        <v>280</v>
      </c>
      <c r="Y235">
        <v>2880</v>
      </c>
      <c r="Z235">
        <v>5</v>
      </c>
      <c r="AB235">
        <v>1.1000000000000001</v>
      </c>
      <c r="AC235" t="s">
        <v>210</v>
      </c>
      <c r="AD235">
        <v>0.2</v>
      </c>
      <c r="AH235">
        <v>7.1</v>
      </c>
      <c r="AI235">
        <v>5</v>
      </c>
      <c r="AV235" t="s">
        <v>88</v>
      </c>
      <c r="BA235">
        <v>7.1</v>
      </c>
    </row>
    <row r="236" spans="1:53" hidden="1" x14ac:dyDescent="0.3">
      <c r="A236" t="s">
        <v>1094</v>
      </c>
      <c r="B236" t="s">
        <v>1095</v>
      </c>
      <c r="C236" t="s">
        <v>1052</v>
      </c>
      <c r="H236">
        <v>4</v>
      </c>
      <c r="I236" t="s">
        <v>56</v>
      </c>
      <c r="J236">
        <v>4.0000000000000002E-4</v>
      </c>
      <c r="K236" t="s">
        <v>57</v>
      </c>
      <c r="O236">
        <v>0</v>
      </c>
      <c r="T236">
        <v>55</v>
      </c>
      <c r="V236">
        <v>80</v>
      </c>
      <c r="W236" t="s">
        <v>1099</v>
      </c>
      <c r="X236" t="s">
        <v>280</v>
      </c>
      <c r="Y236">
        <v>2880</v>
      </c>
      <c r="Z236">
        <v>5</v>
      </c>
      <c r="AB236">
        <v>5.8</v>
      </c>
      <c r="AC236" t="s">
        <v>210</v>
      </c>
      <c r="AD236">
        <v>0.1</v>
      </c>
      <c r="AH236">
        <v>6.9</v>
      </c>
      <c r="AI236">
        <v>5</v>
      </c>
      <c r="AV236" t="s">
        <v>88</v>
      </c>
      <c r="BA236">
        <v>6.9</v>
      </c>
    </row>
    <row r="237" spans="1:53" hidden="1" x14ac:dyDescent="0.3">
      <c r="A237" t="s">
        <v>1094</v>
      </c>
      <c r="B237" t="s">
        <v>1095</v>
      </c>
      <c r="C237" t="s">
        <v>1052</v>
      </c>
      <c r="H237">
        <v>4</v>
      </c>
      <c r="I237" t="s">
        <v>56</v>
      </c>
      <c r="J237">
        <v>4.0000000000000002E-4</v>
      </c>
      <c r="K237" t="s">
        <v>57</v>
      </c>
      <c r="O237">
        <v>0</v>
      </c>
      <c r="T237">
        <v>75</v>
      </c>
      <c r="V237">
        <v>80</v>
      </c>
      <c r="W237" t="s">
        <v>1100</v>
      </c>
      <c r="X237" t="s">
        <v>280</v>
      </c>
      <c r="Y237">
        <v>2880</v>
      </c>
      <c r="Z237">
        <v>5</v>
      </c>
      <c r="AB237">
        <v>5.6</v>
      </c>
      <c r="AC237" t="s">
        <v>210</v>
      </c>
      <c r="AD237">
        <v>0.06</v>
      </c>
      <c r="AH237">
        <v>6.9</v>
      </c>
      <c r="AI237">
        <v>5</v>
      </c>
      <c r="AV237" t="s">
        <v>88</v>
      </c>
      <c r="BA237">
        <v>6.9</v>
      </c>
    </row>
    <row r="238" spans="1:53" hidden="1" x14ac:dyDescent="0.3">
      <c r="A238" t="s">
        <v>1094</v>
      </c>
      <c r="B238" t="s">
        <v>1095</v>
      </c>
      <c r="C238" t="s">
        <v>1052</v>
      </c>
      <c r="H238">
        <v>4</v>
      </c>
      <c r="I238" t="s">
        <v>56</v>
      </c>
      <c r="J238">
        <v>4.0000000000000002E-4</v>
      </c>
      <c r="K238" t="s">
        <v>57</v>
      </c>
      <c r="O238">
        <v>0</v>
      </c>
      <c r="T238">
        <v>65</v>
      </c>
      <c r="V238">
        <v>80</v>
      </c>
      <c r="W238" t="s">
        <v>1100</v>
      </c>
      <c r="X238" t="s">
        <v>280</v>
      </c>
      <c r="Y238">
        <v>2880</v>
      </c>
      <c r="Z238">
        <v>5</v>
      </c>
      <c r="AB238">
        <v>6.9</v>
      </c>
      <c r="AC238" t="s">
        <v>210</v>
      </c>
      <c r="AD238">
        <v>0.1</v>
      </c>
      <c r="AH238">
        <v>7.1</v>
      </c>
      <c r="AI238">
        <v>5</v>
      </c>
      <c r="AV238" t="s">
        <v>88</v>
      </c>
      <c r="BA238">
        <v>7.1</v>
      </c>
    </row>
    <row r="239" spans="1:53" hidden="1" x14ac:dyDescent="0.3">
      <c r="A239" t="s">
        <v>1094</v>
      </c>
      <c r="B239" t="s">
        <v>1095</v>
      </c>
      <c r="C239" t="s">
        <v>1052</v>
      </c>
      <c r="H239">
        <v>4</v>
      </c>
      <c r="I239" t="s">
        <v>56</v>
      </c>
      <c r="J239">
        <v>4.0000000000000002E-4</v>
      </c>
      <c r="K239" t="s">
        <v>57</v>
      </c>
      <c r="O239">
        <v>0</v>
      </c>
      <c r="T239">
        <v>55</v>
      </c>
      <c r="V239">
        <v>80</v>
      </c>
      <c r="W239" t="s">
        <v>1100</v>
      </c>
      <c r="X239" t="s">
        <v>280</v>
      </c>
      <c r="Y239">
        <v>2880</v>
      </c>
      <c r="Z239">
        <v>5</v>
      </c>
      <c r="AB239">
        <v>7.1</v>
      </c>
      <c r="AC239" t="s">
        <v>210</v>
      </c>
      <c r="AD239">
        <v>0.04</v>
      </c>
      <c r="AH239">
        <v>6.9</v>
      </c>
      <c r="AI239">
        <v>5</v>
      </c>
      <c r="AV239" t="s">
        <v>88</v>
      </c>
      <c r="BA239">
        <v>6.9</v>
      </c>
    </row>
    <row r="240" spans="1:53" hidden="1" x14ac:dyDescent="0.3">
      <c r="A240" t="s">
        <v>1094</v>
      </c>
      <c r="B240" t="s">
        <v>1095</v>
      </c>
      <c r="C240" t="s">
        <v>1052</v>
      </c>
      <c r="H240">
        <v>4</v>
      </c>
      <c r="I240" t="s">
        <v>56</v>
      </c>
      <c r="J240">
        <v>4.0000000000000002E-4</v>
      </c>
      <c r="K240" t="s">
        <v>57</v>
      </c>
      <c r="O240">
        <v>0</v>
      </c>
      <c r="T240">
        <v>65</v>
      </c>
      <c r="V240">
        <v>80</v>
      </c>
      <c r="W240" t="s">
        <v>1096</v>
      </c>
      <c r="X240" t="s">
        <v>280</v>
      </c>
      <c r="Y240">
        <v>4320</v>
      </c>
      <c r="Z240">
        <v>5</v>
      </c>
      <c r="AB240">
        <v>0</v>
      </c>
      <c r="AC240" t="s">
        <v>210</v>
      </c>
      <c r="AD240">
        <v>0</v>
      </c>
      <c r="AH240">
        <v>6.9</v>
      </c>
      <c r="AI240">
        <v>5</v>
      </c>
      <c r="AV240" t="s">
        <v>88</v>
      </c>
      <c r="BA240">
        <v>6.9</v>
      </c>
    </row>
    <row r="241" spans="1:53" hidden="1" x14ac:dyDescent="0.3">
      <c r="A241" t="s">
        <v>1094</v>
      </c>
      <c r="B241" t="s">
        <v>1095</v>
      </c>
      <c r="C241" t="s">
        <v>1052</v>
      </c>
      <c r="H241">
        <v>4</v>
      </c>
      <c r="I241" t="s">
        <v>56</v>
      </c>
      <c r="J241">
        <v>4.0000000000000002E-4</v>
      </c>
      <c r="K241" t="s">
        <v>57</v>
      </c>
      <c r="O241">
        <v>0</v>
      </c>
      <c r="T241">
        <v>65</v>
      </c>
      <c r="V241">
        <v>80</v>
      </c>
      <c r="W241" t="s">
        <v>1097</v>
      </c>
      <c r="X241" t="s">
        <v>280</v>
      </c>
      <c r="Y241">
        <v>4320</v>
      </c>
      <c r="Z241">
        <v>5</v>
      </c>
      <c r="AB241">
        <v>1.9</v>
      </c>
      <c r="AC241" t="s">
        <v>210</v>
      </c>
      <c r="AD241">
        <v>0.2</v>
      </c>
      <c r="AH241">
        <v>6.9</v>
      </c>
      <c r="AI241">
        <v>5</v>
      </c>
      <c r="AV241" t="s">
        <v>88</v>
      </c>
      <c r="BA241">
        <v>6.9</v>
      </c>
    </row>
    <row r="242" spans="1:53" hidden="1" x14ac:dyDescent="0.3">
      <c r="A242" t="s">
        <v>1094</v>
      </c>
      <c r="B242" t="s">
        <v>1095</v>
      </c>
      <c r="C242" t="s">
        <v>1052</v>
      </c>
      <c r="H242">
        <v>4</v>
      </c>
      <c r="I242" t="s">
        <v>56</v>
      </c>
      <c r="J242">
        <v>4.0000000000000002E-4</v>
      </c>
      <c r="K242" t="s">
        <v>57</v>
      </c>
      <c r="O242">
        <v>0</v>
      </c>
      <c r="T242">
        <v>65</v>
      </c>
      <c r="V242">
        <v>80</v>
      </c>
      <c r="W242" t="s">
        <v>1098</v>
      </c>
      <c r="X242" t="s">
        <v>280</v>
      </c>
      <c r="Y242">
        <v>4320</v>
      </c>
      <c r="Z242">
        <v>5</v>
      </c>
      <c r="AB242">
        <v>3.3</v>
      </c>
      <c r="AC242" t="s">
        <v>210</v>
      </c>
      <c r="AD242">
        <v>0.03</v>
      </c>
      <c r="AH242">
        <v>6.9</v>
      </c>
      <c r="AI242">
        <v>5</v>
      </c>
      <c r="AV242" t="s">
        <v>88</v>
      </c>
      <c r="BA242">
        <v>6.9</v>
      </c>
    </row>
    <row r="243" spans="1:53" hidden="1" x14ac:dyDescent="0.3">
      <c r="A243" t="s">
        <v>1094</v>
      </c>
      <c r="B243" t="s">
        <v>1095</v>
      </c>
      <c r="C243" t="s">
        <v>1052</v>
      </c>
      <c r="H243">
        <v>4</v>
      </c>
      <c r="I243" t="s">
        <v>56</v>
      </c>
      <c r="J243">
        <v>4.0000000000000002E-4</v>
      </c>
      <c r="K243" t="s">
        <v>57</v>
      </c>
      <c r="O243">
        <v>0</v>
      </c>
      <c r="T243">
        <v>65</v>
      </c>
      <c r="V243">
        <v>80</v>
      </c>
      <c r="W243" t="s">
        <v>1099</v>
      </c>
      <c r="X243" t="s">
        <v>280</v>
      </c>
      <c r="Y243">
        <v>4320</v>
      </c>
      <c r="Z243">
        <v>5</v>
      </c>
      <c r="AB243">
        <v>0</v>
      </c>
      <c r="AC243" t="s">
        <v>210</v>
      </c>
      <c r="AD243">
        <v>0</v>
      </c>
      <c r="AH243">
        <v>6.9</v>
      </c>
      <c r="AI243">
        <v>5</v>
      </c>
      <c r="AV243" t="s">
        <v>88</v>
      </c>
      <c r="BA243">
        <v>6.9</v>
      </c>
    </row>
    <row r="244" spans="1:53" hidden="1" x14ac:dyDescent="0.3">
      <c r="A244" t="s">
        <v>1094</v>
      </c>
      <c r="B244" t="s">
        <v>1095</v>
      </c>
      <c r="C244" t="s">
        <v>1052</v>
      </c>
      <c r="H244">
        <v>4</v>
      </c>
      <c r="I244" t="s">
        <v>56</v>
      </c>
      <c r="J244">
        <v>4.0000000000000002E-4</v>
      </c>
      <c r="K244" t="s">
        <v>57</v>
      </c>
      <c r="O244">
        <v>0</v>
      </c>
      <c r="T244">
        <v>65</v>
      </c>
      <c r="V244">
        <v>80</v>
      </c>
      <c r="W244" t="s">
        <v>1100</v>
      </c>
      <c r="X244" t="s">
        <v>280</v>
      </c>
      <c r="Y244">
        <v>4320</v>
      </c>
      <c r="Z244">
        <v>5</v>
      </c>
      <c r="AB244">
        <v>6.6</v>
      </c>
      <c r="AC244" t="s">
        <v>210</v>
      </c>
      <c r="AD244">
        <v>0.02</v>
      </c>
      <c r="AH244">
        <v>6.9</v>
      </c>
      <c r="AI244">
        <v>5</v>
      </c>
      <c r="AV244" t="s">
        <v>88</v>
      </c>
      <c r="BA244">
        <v>6.9</v>
      </c>
    </row>
    <row r="245" spans="1:53" hidden="1" x14ac:dyDescent="0.3">
      <c r="A245" t="s">
        <v>1094</v>
      </c>
      <c r="B245" t="s">
        <v>1095</v>
      </c>
      <c r="C245" t="s">
        <v>1052</v>
      </c>
      <c r="H245">
        <v>4</v>
      </c>
      <c r="I245" t="s">
        <v>56</v>
      </c>
      <c r="J245">
        <v>4.0000000000000002E-4</v>
      </c>
      <c r="K245" t="s">
        <v>57</v>
      </c>
      <c r="O245">
        <v>0</v>
      </c>
      <c r="T245">
        <v>75</v>
      </c>
      <c r="V245">
        <v>70</v>
      </c>
      <c r="W245" t="s">
        <v>1096</v>
      </c>
      <c r="X245" t="s">
        <v>280</v>
      </c>
      <c r="Y245">
        <v>1440</v>
      </c>
      <c r="Z245">
        <v>1</v>
      </c>
      <c r="AB245">
        <v>1.1000000000000001</v>
      </c>
      <c r="AC245" t="s">
        <v>210</v>
      </c>
      <c r="AD245">
        <v>0.2</v>
      </c>
      <c r="AH245">
        <v>7.1</v>
      </c>
      <c r="AI245">
        <v>5</v>
      </c>
      <c r="AV245" t="s">
        <v>88</v>
      </c>
      <c r="BA245">
        <v>7.1</v>
      </c>
    </row>
    <row r="246" spans="1:53" hidden="1" x14ac:dyDescent="0.3">
      <c r="A246" t="s">
        <v>1094</v>
      </c>
      <c r="B246" t="s">
        <v>1095</v>
      </c>
      <c r="C246" t="s">
        <v>1052</v>
      </c>
      <c r="H246">
        <v>4</v>
      </c>
      <c r="I246" t="s">
        <v>56</v>
      </c>
      <c r="J246">
        <v>4.0000000000000002E-4</v>
      </c>
      <c r="K246" t="s">
        <v>57</v>
      </c>
      <c r="O246">
        <v>0</v>
      </c>
      <c r="T246">
        <v>55</v>
      </c>
      <c r="V246">
        <v>70</v>
      </c>
      <c r="W246" t="s">
        <v>1096</v>
      </c>
      <c r="X246" t="s">
        <v>280</v>
      </c>
      <c r="Y246">
        <v>1440</v>
      </c>
      <c r="Z246">
        <v>1</v>
      </c>
      <c r="AB246">
        <v>6.8</v>
      </c>
      <c r="AC246" t="s">
        <v>210</v>
      </c>
      <c r="AD246">
        <v>0.4</v>
      </c>
      <c r="AH246">
        <v>7.1</v>
      </c>
      <c r="AI246">
        <v>5</v>
      </c>
      <c r="AV246" t="s">
        <v>88</v>
      </c>
      <c r="BA246">
        <v>7.1</v>
      </c>
    </row>
    <row r="247" spans="1:53" hidden="1" x14ac:dyDescent="0.3">
      <c r="A247" t="s">
        <v>1094</v>
      </c>
      <c r="B247" t="s">
        <v>1095</v>
      </c>
      <c r="C247" t="s">
        <v>1052</v>
      </c>
      <c r="H247">
        <v>4</v>
      </c>
      <c r="I247" t="s">
        <v>56</v>
      </c>
      <c r="J247">
        <v>4.0000000000000002E-4</v>
      </c>
      <c r="K247" t="s">
        <v>57</v>
      </c>
      <c r="O247">
        <v>0</v>
      </c>
      <c r="T247">
        <v>75</v>
      </c>
      <c r="V247">
        <v>70</v>
      </c>
      <c r="W247" t="s">
        <v>1097</v>
      </c>
      <c r="X247" t="s">
        <v>280</v>
      </c>
      <c r="Y247">
        <v>1440</v>
      </c>
      <c r="Z247">
        <v>1</v>
      </c>
      <c r="AB247">
        <v>2</v>
      </c>
      <c r="AC247" t="s">
        <v>210</v>
      </c>
      <c r="AD247">
        <v>0.18</v>
      </c>
      <c r="AH247">
        <v>7.1</v>
      </c>
      <c r="AI247">
        <v>5</v>
      </c>
      <c r="AV247" t="s">
        <v>88</v>
      </c>
      <c r="BA247">
        <v>7.1</v>
      </c>
    </row>
    <row r="248" spans="1:53" hidden="1" x14ac:dyDescent="0.3">
      <c r="A248" t="s">
        <v>1094</v>
      </c>
      <c r="B248" t="s">
        <v>1095</v>
      </c>
      <c r="C248" t="s">
        <v>1052</v>
      </c>
      <c r="H248">
        <v>4</v>
      </c>
      <c r="I248" t="s">
        <v>56</v>
      </c>
      <c r="J248">
        <v>4.0000000000000002E-4</v>
      </c>
      <c r="K248" t="s">
        <v>57</v>
      </c>
      <c r="O248">
        <v>0</v>
      </c>
      <c r="T248">
        <v>55</v>
      </c>
      <c r="V248">
        <v>70</v>
      </c>
      <c r="W248" t="s">
        <v>1097</v>
      </c>
      <c r="X248" t="s">
        <v>280</v>
      </c>
      <c r="Y248">
        <v>1440</v>
      </c>
      <c r="Z248">
        <v>1</v>
      </c>
      <c r="AB248">
        <v>6.9</v>
      </c>
      <c r="AC248" t="s">
        <v>210</v>
      </c>
      <c r="AD248">
        <v>0.2</v>
      </c>
      <c r="AH248">
        <v>7.1</v>
      </c>
      <c r="AI248">
        <v>5</v>
      </c>
      <c r="AV248" t="s">
        <v>88</v>
      </c>
      <c r="BA248">
        <v>7.1</v>
      </c>
    </row>
    <row r="249" spans="1:53" hidden="1" x14ac:dyDescent="0.3">
      <c r="A249" t="s">
        <v>1094</v>
      </c>
      <c r="B249" t="s">
        <v>1095</v>
      </c>
      <c r="C249" t="s">
        <v>1052</v>
      </c>
      <c r="H249">
        <v>4</v>
      </c>
      <c r="I249" t="s">
        <v>56</v>
      </c>
      <c r="J249">
        <v>4.0000000000000002E-4</v>
      </c>
      <c r="K249" t="s">
        <v>57</v>
      </c>
      <c r="O249">
        <v>0</v>
      </c>
      <c r="T249">
        <v>75</v>
      </c>
      <c r="V249">
        <v>70</v>
      </c>
      <c r="W249" t="s">
        <v>1098</v>
      </c>
      <c r="X249" t="s">
        <v>280</v>
      </c>
      <c r="Y249">
        <v>1440</v>
      </c>
      <c r="Z249">
        <v>1</v>
      </c>
      <c r="AB249">
        <v>2</v>
      </c>
      <c r="AC249" t="s">
        <v>210</v>
      </c>
      <c r="AD249">
        <v>0.18</v>
      </c>
      <c r="AH249">
        <v>7.1</v>
      </c>
      <c r="AI249">
        <v>5</v>
      </c>
      <c r="AV249" t="s">
        <v>88</v>
      </c>
      <c r="BA249">
        <v>7.1</v>
      </c>
    </row>
    <row r="250" spans="1:53" hidden="1" x14ac:dyDescent="0.3">
      <c r="A250" t="s">
        <v>1094</v>
      </c>
      <c r="B250" t="s">
        <v>1095</v>
      </c>
      <c r="C250" t="s">
        <v>1052</v>
      </c>
      <c r="H250">
        <v>4</v>
      </c>
      <c r="I250" t="s">
        <v>56</v>
      </c>
      <c r="J250">
        <v>4.0000000000000002E-4</v>
      </c>
      <c r="K250" t="s">
        <v>57</v>
      </c>
      <c r="O250">
        <v>0</v>
      </c>
      <c r="T250">
        <v>55</v>
      </c>
      <c r="V250">
        <v>70</v>
      </c>
      <c r="W250" t="s">
        <v>1098</v>
      </c>
      <c r="X250" t="s">
        <v>280</v>
      </c>
      <c r="Y250">
        <v>1440</v>
      </c>
      <c r="Z250">
        <v>1</v>
      </c>
      <c r="AB250">
        <v>7</v>
      </c>
      <c r="AC250" t="s">
        <v>210</v>
      </c>
      <c r="AD250">
        <v>0.2</v>
      </c>
      <c r="AH250">
        <v>7.1</v>
      </c>
      <c r="AI250">
        <v>5</v>
      </c>
      <c r="AV250" t="s">
        <v>88</v>
      </c>
      <c r="BA250">
        <v>7.1</v>
      </c>
    </row>
    <row r="251" spans="1:53" hidden="1" x14ac:dyDescent="0.3">
      <c r="A251" t="s">
        <v>1094</v>
      </c>
      <c r="B251" t="s">
        <v>1095</v>
      </c>
      <c r="C251" t="s">
        <v>1052</v>
      </c>
      <c r="H251">
        <v>4</v>
      </c>
      <c r="I251" t="s">
        <v>56</v>
      </c>
      <c r="J251">
        <v>4.0000000000000002E-4</v>
      </c>
      <c r="K251" t="s">
        <v>57</v>
      </c>
      <c r="O251">
        <v>0</v>
      </c>
      <c r="T251">
        <v>75</v>
      </c>
      <c r="V251">
        <v>70</v>
      </c>
      <c r="W251" t="s">
        <v>1099</v>
      </c>
      <c r="X251" t="s">
        <v>280</v>
      </c>
      <c r="Y251">
        <v>1440</v>
      </c>
      <c r="Z251">
        <v>1</v>
      </c>
      <c r="AB251">
        <v>0</v>
      </c>
      <c r="AC251" t="s">
        <v>210</v>
      </c>
      <c r="AD251">
        <v>0</v>
      </c>
      <c r="AH251">
        <v>7.1</v>
      </c>
      <c r="AI251">
        <v>5</v>
      </c>
      <c r="AV251" t="s">
        <v>88</v>
      </c>
      <c r="BA251">
        <v>7.1</v>
      </c>
    </row>
    <row r="252" spans="1:53" hidden="1" x14ac:dyDescent="0.3">
      <c r="A252" t="s">
        <v>1094</v>
      </c>
      <c r="B252" t="s">
        <v>1095</v>
      </c>
      <c r="C252" t="s">
        <v>1052</v>
      </c>
      <c r="H252">
        <v>4</v>
      </c>
      <c r="I252" t="s">
        <v>56</v>
      </c>
      <c r="J252">
        <v>4.0000000000000002E-4</v>
      </c>
      <c r="K252" t="s">
        <v>57</v>
      </c>
      <c r="O252">
        <v>0</v>
      </c>
      <c r="T252">
        <v>55</v>
      </c>
      <c r="V252">
        <v>70</v>
      </c>
      <c r="W252" t="s">
        <v>1099</v>
      </c>
      <c r="X252" t="s">
        <v>280</v>
      </c>
      <c r="Y252">
        <v>1440</v>
      </c>
      <c r="Z252">
        <v>1</v>
      </c>
      <c r="AB252">
        <v>6.8</v>
      </c>
      <c r="AC252" t="s">
        <v>210</v>
      </c>
      <c r="AD252">
        <v>0.5</v>
      </c>
      <c r="AH252">
        <v>7.1</v>
      </c>
      <c r="AI252">
        <v>5</v>
      </c>
      <c r="AV252" t="s">
        <v>88</v>
      </c>
      <c r="BA252">
        <v>7.1</v>
      </c>
    </row>
    <row r="253" spans="1:53" hidden="1" x14ac:dyDescent="0.3">
      <c r="A253" t="s">
        <v>1094</v>
      </c>
      <c r="B253" t="s">
        <v>1095</v>
      </c>
      <c r="C253" t="s">
        <v>1052</v>
      </c>
      <c r="H253">
        <v>4</v>
      </c>
      <c r="I253" t="s">
        <v>56</v>
      </c>
      <c r="J253">
        <v>4.0000000000000002E-4</v>
      </c>
      <c r="K253" t="s">
        <v>57</v>
      </c>
      <c r="O253">
        <v>0</v>
      </c>
      <c r="T253">
        <v>75</v>
      </c>
      <c r="V253">
        <v>70</v>
      </c>
      <c r="W253" t="s">
        <v>1100</v>
      </c>
      <c r="X253" t="s">
        <v>280</v>
      </c>
      <c r="Y253">
        <v>1440</v>
      </c>
      <c r="Z253">
        <v>1</v>
      </c>
      <c r="AB253">
        <v>7</v>
      </c>
      <c r="AC253" t="s">
        <v>210</v>
      </c>
      <c r="AD253">
        <v>0.2</v>
      </c>
      <c r="AH253">
        <v>7.1</v>
      </c>
      <c r="AI253">
        <v>5</v>
      </c>
      <c r="AV253" t="s">
        <v>88</v>
      </c>
      <c r="BA253">
        <v>7.1</v>
      </c>
    </row>
    <row r="254" spans="1:53" hidden="1" x14ac:dyDescent="0.3">
      <c r="A254" t="s">
        <v>1094</v>
      </c>
      <c r="B254" t="s">
        <v>1095</v>
      </c>
      <c r="C254" t="s">
        <v>1052</v>
      </c>
      <c r="H254">
        <v>4</v>
      </c>
      <c r="I254" t="s">
        <v>56</v>
      </c>
      <c r="J254">
        <v>4.0000000000000002E-4</v>
      </c>
      <c r="K254" t="s">
        <v>57</v>
      </c>
      <c r="O254">
        <v>0</v>
      </c>
      <c r="T254">
        <v>55</v>
      </c>
      <c r="V254">
        <v>70</v>
      </c>
      <c r="W254" t="s">
        <v>1100</v>
      </c>
      <c r="X254" t="s">
        <v>280</v>
      </c>
      <c r="Y254">
        <v>1440</v>
      </c>
      <c r="Z254">
        <v>1</v>
      </c>
      <c r="AB254">
        <v>7.1</v>
      </c>
      <c r="AC254" t="s">
        <v>210</v>
      </c>
      <c r="AD254">
        <v>0.2</v>
      </c>
      <c r="AH254">
        <v>7.1</v>
      </c>
      <c r="AI254">
        <v>5</v>
      </c>
      <c r="AV254" t="s">
        <v>88</v>
      </c>
      <c r="BA254">
        <v>7.1</v>
      </c>
    </row>
    <row r="255" spans="1:53" hidden="1" x14ac:dyDescent="0.3">
      <c r="A255" t="s">
        <v>1094</v>
      </c>
      <c r="B255" t="s">
        <v>1095</v>
      </c>
      <c r="C255" t="s">
        <v>1052</v>
      </c>
      <c r="H255">
        <v>4</v>
      </c>
      <c r="I255" t="s">
        <v>56</v>
      </c>
      <c r="J255">
        <v>4.0000000000000002E-4</v>
      </c>
      <c r="K255" t="s">
        <v>57</v>
      </c>
      <c r="O255">
        <v>0</v>
      </c>
      <c r="T255">
        <v>65</v>
      </c>
      <c r="V255">
        <v>70</v>
      </c>
      <c r="W255" t="s">
        <v>1096</v>
      </c>
      <c r="X255" t="s">
        <v>280</v>
      </c>
      <c r="Y255">
        <v>2880</v>
      </c>
      <c r="Z255">
        <v>1</v>
      </c>
      <c r="AB255">
        <v>2.1</v>
      </c>
      <c r="AC255" t="s">
        <v>210</v>
      </c>
      <c r="AD255">
        <v>0.1</v>
      </c>
      <c r="AH255">
        <v>6.9</v>
      </c>
      <c r="AI255">
        <v>5</v>
      </c>
      <c r="AV255" t="s">
        <v>88</v>
      </c>
      <c r="BA255">
        <v>6.9</v>
      </c>
    </row>
    <row r="256" spans="1:53" hidden="1" x14ac:dyDescent="0.3">
      <c r="A256" t="s">
        <v>1094</v>
      </c>
      <c r="B256" t="s">
        <v>1095</v>
      </c>
      <c r="C256" t="s">
        <v>1052</v>
      </c>
      <c r="H256">
        <v>4</v>
      </c>
      <c r="I256" t="s">
        <v>56</v>
      </c>
      <c r="J256">
        <v>4.0000000000000002E-4</v>
      </c>
      <c r="K256" t="s">
        <v>57</v>
      </c>
      <c r="O256">
        <v>0</v>
      </c>
      <c r="T256">
        <v>65</v>
      </c>
      <c r="V256">
        <v>70</v>
      </c>
      <c r="W256" t="s">
        <v>1097</v>
      </c>
      <c r="X256" t="s">
        <v>280</v>
      </c>
      <c r="Y256">
        <v>2880</v>
      </c>
      <c r="Z256">
        <v>1</v>
      </c>
      <c r="AB256">
        <v>5.8</v>
      </c>
      <c r="AC256" t="s">
        <v>210</v>
      </c>
      <c r="AD256">
        <v>0.08</v>
      </c>
      <c r="AH256">
        <v>6.9</v>
      </c>
      <c r="AI256">
        <v>5</v>
      </c>
      <c r="AV256" t="s">
        <v>88</v>
      </c>
      <c r="BA256">
        <v>6.9</v>
      </c>
    </row>
    <row r="257" spans="1:53" hidden="1" x14ac:dyDescent="0.3">
      <c r="A257" t="s">
        <v>1094</v>
      </c>
      <c r="B257" t="s">
        <v>1095</v>
      </c>
      <c r="C257" t="s">
        <v>1052</v>
      </c>
      <c r="H257">
        <v>4</v>
      </c>
      <c r="I257" t="s">
        <v>56</v>
      </c>
      <c r="J257">
        <v>4.0000000000000002E-4</v>
      </c>
      <c r="K257" t="s">
        <v>57</v>
      </c>
      <c r="O257">
        <v>0</v>
      </c>
      <c r="T257">
        <v>65</v>
      </c>
      <c r="V257">
        <v>70</v>
      </c>
      <c r="W257" t="s">
        <v>1098</v>
      </c>
      <c r="X257" t="s">
        <v>280</v>
      </c>
      <c r="Y257">
        <v>2880</v>
      </c>
      <c r="Z257">
        <v>1</v>
      </c>
      <c r="AB257">
        <v>4</v>
      </c>
      <c r="AC257" t="s">
        <v>210</v>
      </c>
      <c r="AD257">
        <v>0.23</v>
      </c>
      <c r="AH257">
        <v>6.9</v>
      </c>
      <c r="AI257">
        <v>5</v>
      </c>
      <c r="AV257" t="s">
        <v>88</v>
      </c>
      <c r="BA257">
        <v>6.9</v>
      </c>
    </row>
    <row r="258" spans="1:53" hidden="1" x14ac:dyDescent="0.3">
      <c r="A258" t="s">
        <v>1094</v>
      </c>
      <c r="B258" t="s">
        <v>1095</v>
      </c>
      <c r="C258" t="s">
        <v>1052</v>
      </c>
      <c r="H258">
        <v>4</v>
      </c>
      <c r="I258" t="s">
        <v>56</v>
      </c>
      <c r="J258">
        <v>4.0000000000000002E-4</v>
      </c>
      <c r="K258" t="s">
        <v>57</v>
      </c>
      <c r="O258">
        <v>0</v>
      </c>
      <c r="T258">
        <v>65</v>
      </c>
      <c r="V258">
        <v>70</v>
      </c>
      <c r="W258" t="s">
        <v>1099</v>
      </c>
      <c r="X258" t="s">
        <v>280</v>
      </c>
      <c r="Y258">
        <v>2880</v>
      </c>
      <c r="Z258">
        <v>1</v>
      </c>
      <c r="AB258">
        <v>1</v>
      </c>
      <c r="AC258" t="s">
        <v>210</v>
      </c>
      <c r="AD258">
        <v>0.05</v>
      </c>
      <c r="AH258">
        <v>6.9</v>
      </c>
      <c r="AI258">
        <v>5</v>
      </c>
      <c r="AV258" t="s">
        <v>88</v>
      </c>
      <c r="BA258">
        <v>6.9</v>
      </c>
    </row>
    <row r="259" spans="1:53" hidden="1" x14ac:dyDescent="0.3">
      <c r="A259" t="s">
        <v>1094</v>
      </c>
      <c r="B259" t="s">
        <v>1095</v>
      </c>
      <c r="C259" t="s">
        <v>1052</v>
      </c>
      <c r="H259">
        <v>4</v>
      </c>
      <c r="I259" t="s">
        <v>56</v>
      </c>
      <c r="J259">
        <v>4.0000000000000002E-4</v>
      </c>
      <c r="K259" t="s">
        <v>57</v>
      </c>
      <c r="O259">
        <v>0</v>
      </c>
      <c r="T259">
        <v>65</v>
      </c>
      <c r="V259">
        <v>70</v>
      </c>
      <c r="W259" t="s">
        <v>1100</v>
      </c>
      <c r="X259" t="s">
        <v>280</v>
      </c>
      <c r="Y259">
        <v>2880</v>
      </c>
      <c r="Z259">
        <v>4</v>
      </c>
      <c r="AB259">
        <v>7.1</v>
      </c>
      <c r="AC259" t="s">
        <v>210</v>
      </c>
      <c r="AD259">
        <v>0.02</v>
      </c>
      <c r="AH259">
        <v>6.9</v>
      </c>
      <c r="AI259">
        <v>5</v>
      </c>
      <c r="AV259" t="s">
        <v>88</v>
      </c>
      <c r="BA259">
        <v>6.9</v>
      </c>
    </row>
    <row r="260" spans="1:53" hidden="1" x14ac:dyDescent="0.3">
      <c r="A260" t="s">
        <v>1094</v>
      </c>
      <c r="B260" t="s">
        <v>1095</v>
      </c>
      <c r="C260" t="s">
        <v>1052</v>
      </c>
      <c r="H260">
        <v>4</v>
      </c>
      <c r="I260" t="s">
        <v>56</v>
      </c>
      <c r="J260">
        <v>4.0000000000000002E-4</v>
      </c>
      <c r="K260" t="s">
        <v>57</v>
      </c>
      <c r="O260">
        <v>0</v>
      </c>
      <c r="T260">
        <v>75</v>
      </c>
      <c r="V260">
        <v>70</v>
      </c>
      <c r="W260" t="s">
        <v>1096</v>
      </c>
      <c r="X260" t="s">
        <v>280</v>
      </c>
      <c r="Y260">
        <v>4320</v>
      </c>
      <c r="Z260">
        <v>4</v>
      </c>
      <c r="AB260">
        <v>0</v>
      </c>
      <c r="AC260" t="s">
        <v>210</v>
      </c>
      <c r="AD260">
        <v>0</v>
      </c>
      <c r="AH260">
        <v>7.1</v>
      </c>
      <c r="AI260">
        <v>5</v>
      </c>
      <c r="AV260" t="s">
        <v>88</v>
      </c>
      <c r="BA260">
        <v>7.1</v>
      </c>
    </row>
    <row r="261" spans="1:53" hidden="1" x14ac:dyDescent="0.3">
      <c r="A261" t="s">
        <v>1094</v>
      </c>
      <c r="B261" t="s">
        <v>1095</v>
      </c>
      <c r="C261" t="s">
        <v>1052</v>
      </c>
      <c r="H261">
        <v>4</v>
      </c>
      <c r="I261" t="s">
        <v>56</v>
      </c>
      <c r="J261">
        <v>4.0000000000000002E-4</v>
      </c>
      <c r="K261" t="s">
        <v>57</v>
      </c>
      <c r="O261">
        <v>0</v>
      </c>
      <c r="T261">
        <v>55</v>
      </c>
      <c r="V261">
        <v>70</v>
      </c>
      <c r="W261" t="s">
        <v>1096</v>
      </c>
      <c r="X261" t="s">
        <v>280</v>
      </c>
      <c r="Y261">
        <v>4320</v>
      </c>
      <c r="Z261">
        <v>4</v>
      </c>
      <c r="AB261">
        <v>6.5</v>
      </c>
      <c r="AC261" t="s">
        <v>210</v>
      </c>
      <c r="AD261">
        <v>0.4</v>
      </c>
      <c r="AH261">
        <v>7.1</v>
      </c>
      <c r="AI261">
        <v>5</v>
      </c>
      <c r="AV261" t="s">
        <v>88</v>
      </c>
      <c r="BA261">
        <v>7.1</v>
      </c>
    </row>
    <row r="262" spans="1:53" hidden="1" x14ac:dyDescent="0.3">
      <c r="A262" t="s">
        <v>1094</v>
      </c>
      <c r="B262" t="s">
        <v>1095</v>
      </c>
      <c r="C262" t="s">
        <v>1052</v>
      </c>
      <c r="H262">
        <v>4</v>
      </c>
      <c r="I262" t="s">
        <v>56</v>
      </c>
      <c r="J262">
        <v>4.0000000000000002E-4</v>
      </c>
      <c r="K262" t="s">
        <v>57</v>
      </c>
      <c r="O262">
        <v>0</v>
      </c>
      <c r="T262">
        <v>75</v>
      </c>
      <c r="V262">
        <v>70</v>
      </c>
      <c r="W262" t="s">
        <v>1097</v>
      </c>
      <c r="X262" t="s">
        <v>280</v>
      </c>
      <c r="Y262">
        <v>4320</v>
      </c>
      <c r="Z262">
        <v>4</v>
      </c>
      <c r="AB262">
        <v>1.1000000000000001</v>
      </c>
      <c r="AC262" t="s">
        <v>210</v>
      </c>
      <c r="AD262">
        <v>0.2</v>
      </c>
      <c r="AH262">
        <v>7.1</v>
      </c>
      <c r="AI262">
        <v>5</v>
      </c>
      <c r="AV262" t="s">
        <v>88</v>
      </c>
      <c r="BA262">
        <v>7.1</v>
      </c>
    </row>
    <row r="263" spans="1:53" hidden="1" x14ac:dyDescent="0.3">
      <c r="A263" t="s">
        <v>1094</v>
      </c>
      <c r="B263" t="s">
        <v>1095</v>
      </c>
      <c r="C263" t="s">
        <v>1052</v>
      </c>
      <c r="H263">
        <v>4</v>
      </c>
      <c r="I263" t="s">
        <v>56</v>
      </c>
      <c r="J263">
        <v>4.0000000000000002E-4</v>
      </c>
      <c r="K263" t="s">
        <v>57</v>
      </c>
      <c r="O263">
        <v>0</v>
      </c>
      <c r="T263">
        <v>55</v>
      </c>
      <c r="V263">
        <v>70</v>
      </c>
      <c r="W263" t="s">
        <v>1097</v>
      </c>
      <c r="X263" t="s">
        <v>280</v>
      </c>
      <c r="Y263">
        <v>4320</v>
      </c>
      <c r="Z263">
        <v>4</v>
      </c>
      <c r="AB263">
        <v>6.9</v>
      </c>
      <c r="AC263" t="s">
        <v>210</v>
      </c>
      <c r="AD263">
        <v>0.3</v>
      </c>
      <c r="AH263">
        <v>7.1</v>
      </c>
      <c r="AI263">
        <v>5</v>
      </c>
      <c r="AV263" t="s">
        <v>88</v>
      </c>
      <c r="BA263">
        <v>7.1</v>
      </c>
    </row>
    <row r="264" spans="1:53" hidden="1" x14ac:dyDescent="0.3">
      <c r="A264" t="s">
        <v>1094</v>
      </c>
      <c r="B264" t="s">
        <v>1095</v>
      </c>
      <c r="C264" t="s">
        <v>1052</v>
      </c>
      <c r="H264">
        <v>4</v>
      </c>
      <c r="I264" t="s">
        <v>56</v>
      </c>
      <c r="J264">
        <v>4.0000000000000002E-4</v>
      </c>
      <c r="K264" t="s">
        <v>57</v>
      </c>
      <c r="O264">
        <v>0</v>
      </c>
      <c r="T264">
        <v>75</v>
      </c>
      <c r="V264">
        <v>70</v>
      </c>
      <c r="W264" t="s">
        <v>1098</v>
      </c>
      <c r="X264" t="s">
        <v>280</v>
      </c>
      <c r="Y264">
        <v>4320</v>
      </c>
      <c r="Z264">
        <v>4</v>
      </c>
      <c r="AB264">
        <v>0</v>
      </c>
      <c r="AC264" t="s">
        <v>210</v>
      </c>
      <c r="AD264">
        <v>0</v>
      </c>
      <c r="AH264">
        <v>7.1</v>
      </c>
      <c r="AI264">
        <v>5</v>
      </c>
      <c r="AV264" t="s">
        <v>88</v>
      </c>
      <c r="BA264">
        <v>7.1</v>
      </c>
    </row>
    <row r="265" spans="1:53" hidden="1" x14ac:dyDescent="0.3">
      <c r="A265" t="s">
        <v>1094</v>
      </c>
      <c r="B265" t="s">
        <v>1095</v>
      </c>
      <c r="C265" t="s">
        <v>1052</v>
      </c>
      <c r="H265">
        <v>4</v>
      </c>
      <c r="I265" t="s">
        <v>56</v>
      </c>
      <c r="J265">
        <v>4.0000000000000002E-4</v>
      </c>
      <c r="K265" t="s">
        <v>57</v>
      </c>
      <c r="O265">
        <v>0</v>
      </c>
      <c r="T265">
        <v>55</v>
      </c>
      <c r="V265">
        <v>70</v>
      </c>
      <c r="W265" t="s">
        <v>1098</v>
      </c>
      <c r="X265" t="s">
        <v>280</v>
      </c>
      <c r="Y265">
        <v>4320</v>
      </c>
      <c r="Z265">
        <v>4</v>
      </c>
      <c r="AB265">
        <v>6.8</v>
      </c>
      <c r="AC265" t="s">
        <v>210</v>
      </c>
      <c r="AD265">
        <v>0.2</v>
      </c>
      <c r="AH265">
        <v>7.1</v>
      </c>
      <c r="AI265">
        <v>5</v>
      </c>
      <c r="AV265" t="s">
        <v>88</v>
      </c>
      <c r="BA265">
        <v>7.1</v>
      </c>
    </row>
    <row r="266" spans="1:53" hidden="1" x14ac:dyDescent="0.3">
      <c r="A266" t="s">
        <v>1094</v>
      </c>
      <c r="B266" t="s">
        <v>1095</v>
      </c>
      <c r="C266" t="s">
        <v>1052</v>
      </c>
      <c r="H266">
        <v>4</v>
      </c>
      <c r="I266" t="s">
        <v>56</v>
      </c>
      <c r="J266">
        <v>4.0000000000000002E-4</v>
      </c>
      <c r="K266" t="s">
        <v>57</v>
      </c>
      <c r="O266">
        <v>0</v>
      </c>
      <c r="T266">
        <v>75</v>
      </c>
      <c r="V266">
        <v>70</v>
      </c>
      <c r="W266" t="s">
        <v>1099</v>
      </c>
      <c r="X266" t="s">
        <v>280</v>
      </c>
      <c r="Y266">
        <v>4320</v>
      </c>
      <c r="Z266">
        <v>4</v>
      </c>
      <c r="AB266">
        <v>0</v>
      </c>
      <c r="AC266" t="s">
        <v>210</v>
      </c>
      <c r="AD266">
        <v>0</v>
      </c>
      <c r="AH266">
        <v>7.1</v>
      </c>
      <c r="AI266">
        <v>5</v>
      </c>
      <c r="AV266" t="s">
        <v>88</v>
      </c>
      <c r="BA266">
        <v>7.1</v>
      </c>
    </row>
    <row r="267" spans="1:53" hidden="1" x14ac:dyDescent="0.3">
      <c r="A267" t="s">
        <v>1094</v>
      </c>
      <c r="B267" t="s">
        <v>1095</v>
      </c>
      <c r="C267" t="s">
        <v>1052</v>
      </c>
      <c r="H267">
        <v>4</v>
      </c>
      <c r="I267" t="s">
        <v>56</v>
      </c>
      <c r="J267">
        <v>4.0000000000000002E-4</v>
      </c>
      <c r="K267" t="s">
        <v>57</v>
      </c>
      <c r="O267">
        <v>0</v>
      </c>
      <c r="T267">
        <v>55</v>
      </c>
      <c r="V267">
        <v>70</v>
      </c>
      <c r="W267" t="s">
        <v>1099</v>
      </c>
      <c r="X267" t="s">
        <v>280</v>
      </c>
      <c r="Y267">
        <v>4320</v>
      </c>
      <c r="Z267">
        <v>4</v>
      </c>
      <c r="AB267">
        <v>6.1</v>
      </c>
      <c r="AC267" t="s">
        <v>210</v>
      </c>
      <c r="AD267">
        <v>0.7</v>
      </c>
      <c r="AH267">
        <v>7.1</v>
      </c>
      <c r="AI267">
        <v>5</v>
      </c>
      <c r="AV267" t="s">
        <v>88</v>
      </c>
      <c r="BA267">
        <v>7.1</v>
      </c>
    </row>
    <row r="268" spans="1:53" hidden="1" x14ac:dyDescent="0.3">
      <c r="A268" t="s">
        <v>1094</v>
      </c>
      <c r="B268" t="s">
        <v>1095</v>
      </c>
      <c r="C268" t="s">
        <v>1052</v>
      </c>
      <c r="H268">
        <v>4</v>
      </c>
      <c r="I268" t="s">
        <v>56</v>
      </c>
      <c r="J268">
        <v>4.0000000000000002E-4</v>
      </c>
      <c r="K268" t="s">
        <v>57</v>
      </c>
      <c r="O268">
        <v>0</v>
      </c>
      <c r="T268">
        <v>75</v>
      </c>
      <c r="V268">
        <v>70</v>
      </c>
      <c r="W268" t="s">
        <v>1100</v>
      </c>
      <c r="X268" t="s">
        <v>280</v>
      </c>
      <c r="Y268">
        <v>4320</v>
      </c>
      <c r="Z268">
        <v>4</v>
      </c>
      <c r="AB268">
        <v>6.9</v>
      </c>
      <c r="AC268" t="s">
        <v>210</v>
      </c>
      <c r="AD268">
        <v>0.2</v>
      </c>
      <c r="AH268">
        <v>7.1</v>
      </c>
      <c r="AI268">
        <v>5</v>
      </c>
      <c r="AV268" t="s">
        <v>88</v>
      </c>
      <c r="BA268">
        <v>7.1</v>
      </c>
    </row>
    <row r="269" spans="1:53" hidden="1" x14ac:dyDescent="0.3">
      <c r="A269" t="s">
        <v>1094</v>
      </c>
      <c r="B269" t="s">
        <v>1095</v>
      </c>
      <c r="C269" t="s">
        <v>1052</v>
      </c>
      <c r="H269">
        <v>4</v>
      </c>
      <c r="I269" t="s">
        <v>56</v>
      </c>
      <c r="J269">
        <v>4.0000000000000002E-4</v>
      </c>
      <c r="K269" t="s">
        <v>57</v>
      </c>
      <c r="O269">
        <v>0</v>
      </c>
      <c r="T269">
        <v>55</v>
      </c>
      <c r="V269">
        <v>70</v>
      </c>
      <c r="W269" t="s">
        <v>1100</v>
      </c>
      <c r="X269" t="s">
        <v>280</v>
      </c>
      <c r="Y269">
        <v>4320</v>
      </c>
      <c r="Z269">
        <v>1</v>
      </c>
      <c r="AB269">
        <v>7</v>
      </c>
      <c r="AC269" t="s">
        <v>210</v>
      </c>
      <c r="AD269">
        <v>0.3</v>
      </c>
      <c r="AH269">
        <v>7.1</v>
      </c>
      <c r="AI269">
        <v>5</v>
      </c>
      <c r="AV269" t="s">
        <v>88</v>
      </c>
      <c r="BA269">
        <v>7.1</v>
      </c>
    </row>
    <row r="270" spans="1:53" hidden="1" x14ac:dyDescent="0.3">
      <c r="A270" t="s">
        <v>1094</v>
      </c>
      <c r="B270" t="s">
        <v>1101</v>
      </c>
      <c r="C270" t="s">
        <v>1052</v>
      </c>
      <c r="H270">
        <v>4</v>
      </c>
      <c r="I270" t="s">
        <v>56</v>
      </c>
      <c r="J270">
        <v>4.0000000000000002E-4</v>
      </c>
      <c r="K270" t="s">
        <v>57</v>
      </c>
      <c r="O270">
        <v>0</v>
      </c>
      <c r="T270">
        <v>75</v>
      </c>
      <c r="V270">
        <v>90</v>
      </c>
      <c r="W270" t="s">
        <v>1096</v>
      </c>
      <c r="X270" t="s">
        <v>280</v>
      </c>
      <c r="Y270">
        <v>1440</v>
      </c>
      <c r="Z270">
        <v>1</v>
      </c>
      <c r="AB270">
        <v>0</v>
      </c>
      <c r="AC270" t="s">
        <v>210</v>
      </c>
      <c r="AD270">
        <v>0</v>
      </c>
      <c r="AH270">
        <v>7.2</v>
      </c>
      <c r="AI270">
        <v>5</v>
      </c>
      <c r="AV270" t="s">
        <v>88</v>
      </c>
      <c r="BA270">
        <v>7.2</v>
      </c>
    </row>
    <row r="271" spans="1:53" hidden="1" x14ac:dyDescent="0.3">
      <c r="A271" t="s">
        <v>1094</v>
      </c>
      <c r="B271" t="s">
        <v>1101</v>
      </c>
      <c r="C271" t="s">
        <v>1052</v>
      </c>
      <c r="H271">
        <v>4</v>
      </c>
      <c r="I271" t="s">
        <v>56</v>
      </c>
      <c r="J271">
        <v>4.0000000000000002E-4</v>
      </c>
      <c r="K271" t="s">
        <v>57</v>
      </c>
      <c r="O271">
        <v>0</v>
      </c>
      <c r="T271">
        <v>55</v>
      </c>
      <c r="V271">
        <v>90</v>
      </c>
      <c r="W271" t="s">
        <v>1096</v>
      </c>
      <c r="X271" t="s">
        <v>280</v>
      </c>
      <c r="Y271">
        <v>1440</v>
      </c>
      <c r="Z271">
        <v>1</v>
      </c>
      <c r="AB271">
        <v>6.2</v>
      </c>
      <c r="AC271" t="s">
        <v>210</v>
      </c>
      <c r="AD271">
        <v>0.9</v>
      </c>
      <c r="AH271">
        <v>7.2</v>
      </c>
      <c r="AI271">
        <v>5</v>
      </c>
      <c r="AV271" t="s">
        <v>88</v>
      </c>
      <c r="BA271">
        <v>7.2</v>
      </c>
    </row>
    <row r="272" spans="1:53" hidden="1" x14ac:dyDescent="0.3">
      <c r="A272" t="s">
        <v>1094</v>
      </c>
      <c r="B272" t="s">
        <v>1101</v>
      </c>
      <c r="C272" t="s">
        <v>1052</v>
      </c>
      <c r="H272">
        <v>4</v>
      </c>
      <c r="I272" t="s">
        <v>56</v>
      </c>
      <c r="J272">
        <v>4.0000000000000002E-4</v>
      </c>
      <c r="K272" t="s">
        <v>57</v>
      </c>
      <c r="O272">
        <v>0</v>
      </c>
      <c r="T272">
        <v>75</v>
      </c>
      <c r="V272">
        <v>90</v>
      </c>
      <c r="W272" t="s">
        <v>1097</v>
      </c>
      <c r="X272" t="s">
        <v>280</v>
      </c>
      <c r="Y272">
        <v>1440</v>
      </c>
      <c r="Z272">
        <v>1</v>
      </c>
      <c r="AB272">
        <v>0</v>
      </c>
      <c r="AC272" t="s">
        <v>210</v>
      </c>
      <c r="AD272">
        <v>0</v>
      </c>
      <c r="AH272">
        <v>7.2</v>
      </c>
      <c r="AI272">
        <v>5</v>
      </c>
      <c r="AV272" t="s">
        <v>88</v>
      </c>
      <c r="BA272">
        <v>7.2</v>
      </c>
    </row>
    <row r="273" spans="1:53" hidden="1" x14ac:dyDescent="0.3">
      <c r="A273" t="s">
        <v>1094</v>
      </c>
      <c r="B273" t="s">
        <v>1101</v>
      </c>
      <c r="C273" t="s">
        <v>1052</v>
      </c>
      <c r="H273">
        <v>4</v>
      </c>
      <c r="I273" t="s">
        <v>56</v>
      </c>
      <c r="J273">
        <v>4.0000000000000002E-4</v>
      </c>
      <c r="K273" t="s">
        <v>57</v>
      </c>
      <c r="O273">
        <v>0</v>
      </c>
      <c r="T273">
        <v>55</v>
      </c>
      <c r="V273">
        <v>90</v>
      </c>
      <c r="W273" t="s">
        <v>1097</v>
      </c>
      <c r="X273" t="s">
        <v>280</v>
      </c>
      <c r="Y273">
        <v>1440</v>
      </c>
      <c r="Z273">
        <v>1</v>
      </c>
      <c r="AB273">
        <v>6.8</v>
      </c>
      <c r="AC273" t="s">
        <v>210</v>
      </c>
      <c r="AD273">
        <v>0.1</v>
      </c>
      <c r="AH273">
        <v>7.2</v>
      </c>
      <c r="AI273">
        <v>5</v>
      </c>
      <c r="AV273" t="s">
        <v>88</v>
      </c>
      <c r="BA273">
        <v>7.2</v>
      </c>
    </row>
    <row r="274" spans="1:53" hidden="1" x14ac:dyDescent="0.3">
      <c r="A274" t="s">
        <v>1094</v>
      </c>
      <c r="B274" t="s">
        <v>1101</v>
      </c>
      <c r="C274" t="s">
        <v>1052</v>
      </c>
      <c r="H274">
        <v>4</v>
      </c>
      <c r="I274" t="s">
        <v>56</v>
      </c>
      <c r="J274">
        <v>4.0000000000000002E-4</v>
      </c>
      <c r="K274" t="s">
        <v>57</v>
      </c>
      <c r="O274">
        <v>0</v>
      </c>
      <c r="T274">
        <v>75</v>
      </c>
      <c r="V274">
        <v>90</v>
      </c>
      <c r="W274" t="s">
        <v>1098</v>
      </c>
      <c r="X274" t="s">
        <v>280</v>
      </c>
      <c r="Y274">
        <v>1440</v>
      </c>
      <c r="Z274">
        <v>2</v>
      </c>
      <c r="AB274">
        <v>0</v>
      </c>
      <c r="AC274" t="s">
        <v>210</v>
      </c>
      <c r="AD274">
        <v>0</v>
      </c>
      <c r="AH274">
        <v>7.2</v>
      </c>
      <c r="AI274">
        <v>5</v>
      </c>
      <c r="AV274" t="s">
        <v>88</v>
      </c>
      <c r="BA274">
        <v>7.2</v>
      </c>
    </row>
    <row r="275" spans="1:53" hidden="1" x14ac:dyDescent="0.3">
      <c r="A275" t="s">
        <v>1094</v>
      </c>
      <c r="B275" t="s">
        <v>1101</v>
      </c>
      <c r="C275" t="s">
        <v>1052</v>
      </c>
      <c r="H275">
        <v>4</v>
      </c>
      <c r="I275" t="s">
        <v>56</v>
      </c>
      <c r="J275">
        <v>4.0000000000000002E-4</v>
      </c>
      <c r="K275" t="s">
        <v>57</v>
      </c>
      <c r="O275">
        <v>0</v>
      </c>
      <c r="T275">
        <v>55</v>
      </c>
      <c r="V275">
        <v>90</v>
      </c>
      <c r="W275" t="s">
        <v>1098</v>
      </c>
      <c r="X275" t="s">
        <v>280</v>
      </c>
      <c r="Y275">
        <v>1440</v>
      </c>
      <c r="Z275">
        <v>2</v>
      </c>
      <c r="AB275">
        <v>7</v>
      </c>
      <c r="AC275" t="s">
        <v>210</v>
      </c>
      <c r="AD275">
        <v>0.7</v>
      </c>
      <c r="AH275">
        <v>7.2</v>
      </c>
      <c r="AI275">
        <v>5</v>
      </c>
      <c r="AV275" t="s">
        <v>88</v>
      </c>
      <c r="BA275">
        <v>7.2</v>
      </c>
    </row>
    <row r="276" spans="1:53" hidden="1" x14ac:dyDescent="0.3">
      <c r="A276" t="s">
        <v>1094</v>
      </c>
      <c r="B276" t="s">
        <v>1101</v>
      </c>
      <c r="C276" t="s">
        <v>1052</v>
      </c>
      <c r="H276">
        <v>4</v>
      </c>
      <c r="I276" t="s">
        <v>56</v>
      </c>
      <c r="J276">
        <v>4.0000000000000002E-4</v>
      </c>
      <c r="K276" t="s">
        <v>57</v>
      </c>
      <c r="O276">
        <v>0</v>
      </c>
      <c r="T276">
        <v>75</v>
      </c>
      <c r="V276">
        <v>90</v>
      </c>
      <c r="W276" t="s">
        <v>1099</v>
      </c>
      <c r="X276" t="s">
        <v>280</v>
      </c>
      <c r="Y276">
        <v>1440</v>
      </c>
      <c r="Z276">
        <v>2</v>
      </c>
      <c r="AB276">
        <v>0</v>
      </c>
      <c r="AC276" t="s">
        <v>210</v>
      </c>
      <c r="AD276">
        <v>0</v>
      </c>
      <c r="AH276">
        <v>7.2</v>
      </c>
      <c r="AI276">
        <v>5</v>
      </c>
      <c r="AV276" t="s">
        <v>88</v>
      </c>
      <c r="BA276">
        <v>7.2</v>
      </c>
    </row>
    <row r="277" spans="1:53" hidden="1" x14ac:dyDescent="0.3">
      <c r="A277" t="s">
        <v>1094</v>
      </c>
      <c r="B277" t="s">
        <v>1101</v>
      </c>
      <c r="C277" t="s">
        <v>1052</v>
      </c>
      <c r="H277">
        <v>4</v>
      </c>
      <c r="I277" t="s">
        <v>56</v>
      </c>
      <c r="J277">
        <v>4.0000000000000002E-4</v>
      </c>
      <c r="K277" t="s">
        <v>57</v>
      </c>
      <c r="O277">
        <v>0</v>
      </c>
      <c r="T277">
        <v>55</v>
      </c>
      <c r="V277">
        <v>90</v>
      </c>
      <c r="W277" t="s">
        <v>1099</v>
      </c>
      <c r="X277" t="s">
        <v>280</v>
      </c>
      <c r="Y277">
        <v>1440</v>
      </c>
      <c r="Z277">
        <v>2</v>
      </c>
      <c r="AB277">
        <v>6.5</v>
      </c>
      <c r="AC277" t="s">
        <v>210</v>
      </c>
      <c r="AD277">
        <v>0.5</v>
      </c>
      <c r="AH277">
        <v>7.2</v>
      </c>
      <c r="AI277">
        <v>5</v>
      </c>
      <c r="AV277" t="s">
        <v>88</v>
      </c>
      <c r="BA277">
        <v>7.2</v>
      </c>
    </row>
    <row r="278" spans="1:53" hidden="1" x14ac:dyDescent="0.3">
      <c r="A278" t="s">
        <v>1094</v>
      </c>
      <c r="B278" t="s">
        <v>1101</v>
      </c>
      <c r="C278" t="s">
        <v>1052</v>
      </c>
      <c r="H278">
        <v>4</v>
      </c>
      <c r="I278" t="s">
        <v>56</v>
      </c>
      <c r="J278">
        <v>4.0000000000000002E-4</v>
      </c>
      <c r="K278" t="s">
        <v>57</v>
      </c>
      <c r="O278">
        <v>0</v>
      </c>
      <c r="T278">
        <v>75</v>
      </c>
      <c r="V278">
        <v>90</v>
      </c>
      <c r="W278" t="s">
        <v>1100</v>
      </c>
      <c r="X278" t="s">
        <v>280</v>
      </c>
      <c r="Y278">
        <v>1440</v>
      </c>
      <c r="Z278">
        <v>2</v>
      </c>
      <c r="AB278">
        <v>6.7</v>
      </c>
      <c r="AC278" t="s">
        <v>210</v>
      </c>
      <c r="AD278">
        <v>0.3</v>
      </c>
      <c r="AH278">
        <v>7.2</v>
      </c>
      <c r="AI278">
        <v>5</v>
      </c>
      <c r="AV278" t="s">
        <v>88</v>
      </c>
      <c r="BA278">
        <v>7.2</v>
      </c>
    </row>
    <row r="279" spans="1:53" hidden="1" x14ac:dyDescent="0.3">
      <c r="A279" t="s">
        <v>1094</v>
      </c>
      <c r="B279" t="s">
        <v>1101</v>
      </c>
      <c r="C279" t="s">
        <v>1052</v>
      </c>
      <c r="H279">
        <v>4</v>
      </c>
      <c r="I279" t="s">
        <v>56</v>
      </c>
      <c r="J279">
        <v>4.0000000000000002E-4</v>
      </c>
      <c r="K279" t="s">
        <v>57</v>
      </c>
      <c r="O279">
        <v>0</v>
      </c>
      <c r="T279">
        <v>55</v>
      </c>
      <c r="V279">
        <v>90</v>
      </c>
      <c r="W279" t="s">
        <v>1100</v>
      </c>
      <c r="X279" t="s">
        <v>280</v>
      </c>
      <c r="Y279">
        <v>1440</v>
      </c>
      <c r="Z279">
        <v>2</v>
      </c>
      <c r="AB279">
        <v>7.2</v>
      </c>
      <c r="AC279" t="s">
        <v>210</v>
      </c>
      <c r="AD279">
        <v>0.1</v>
      </c>
      <c r="AH279">
        <v>7.2</v>
      </c>
      <c r="AI279">
        <v>5</v>
      </c>
      <c r="AV279" t="s">
        <v>88</v>
      </c>
      <c r="BA279">
        <v>7.2</v>
      </c>
    </row>
    <row r="280" spans="1:53" hidden="1" x14ac:dyDescent="0.3">
      <c r="A280" t="s">
        <v>1094</v>
      </c>
      <c r="B280" t="s">
        <v>1101</v>
      </c>
      <c r="C280" t="s">
        <v>1052</v>
      </c>
      <c r="H280">
        <v>4</v>
      </c>
      <c r="I280" t="s">
        <v>56</v>
      </c>
      <c r="J280">
        <v>4.0000000000000002E-4</v>
      </c>
      <c r="K280" t="s">
        <v>57</v>
      </c>
      <c r="O280">
        <v>0</v>
      </c>
      <c r="T280">
        <v>75</v>
      </c>
      <c r="V280">
        <v>90</v>
      </c>
      <c r="W280" t="s">
        <v>1096</v>
      </c>
      <c r="X280" t="s">
        <v>280</v>
      </c>
      <c r="Y280">
        <v>1440</v>
      </c>
      <c r="Z280">
        <v>2</v>
      </c>
      <c r="AB280">
        <v>0</v>
      </c>
      <c r="AC280" t="s">
        <v>210</v>
      </c>
      <c r="AD280">
        <v>0</v>
      </c>
      <c r="AH280">
        <v>7.2</v>
      </c>
      <c r="AI280">
        <v>5</v>
      </c>
      <c r="AV280" t="s">
        <v>88</v>
      </c>
      <c r="BA280">
        <v>7.2</v>
      </c>
    </row>
    <row r="281" spans="1:53" hidden="1" x14ac:dyDescent="0.3">
      <c r="A281" t="s">
        <v>1094</v>
      </c>
      <c r="B281" t="s">
        <v>1101</v>
      </c>
      <c r="C281" t="s">
        <v>1052</v>
      </c>
      <c r="H281">
        <v>4</v>
      </c>
      <c r="I281" t="s">
        <v>56</v>
      </c>
      <c r="J281">
        <v>4.0000000000000002E-4</v>
      </c>
      <c r="K281" t="s">
        <v>57</v>
      </c>
      <c r="O281">
        <v>0</v>
      </c>
      <c r="T281">
        <v>55</v>
      </c>
      <c r="V281">
        <v>90</v>
      </c>
      <c r="W281" t="s">
        <v>1096</v>
      </c>
      <c r="X281" t="s">
        <v>280</v>
      </c>
      <c r="Y281">
        <v>1440</v>
      </c>
      <c r="Z281">
        <v>2</v>
      </c>
      <c r="AB281">
        <v>6.2</v>
      </c>
      <c r="AC281" t="s">
        <v>210</v>
      </c>
      <c r="AD281">
        <v>0.9</v>
      </c>
      <c r="AH281">
        <v>7.2</v>
      </c>
      <c r="AI281">
        <v>5</v>
      </c>
      <c r="AV281" t="s">
        <v>88</v>
      </c>
      <c r="BA281">
        <v>7.2</v>
      </c>
    </row>
    <row r="282" spans="1:53" hidden="1" x14ac:dyDescent="0.3">
      <c r="A282" t="s">
        <v>1094</v>
      </c>
      <c r="B282" t="s">
        <v>1101</v>
      </c>
      <c r="C282" t="s">
        <v>1052</v>
      </c>
      <c r="H282">
        <v>4</v>
      </c>
      <c r="I282" t="s">
        <v>56</v>
      </c>
      <c r="J282">
        <v>4.0000000000000002E-4</v>
      </c>
      <c r="K282" t="s">
        <v>57</v>
      </c>
      <c r="O282">
        <v>0</v>
      </c>
      <c r="T282">
        <v>75</v>
      </c>
      <c r="V282">
        <v>90</v>
      </c>
      <c r="W282" t="s">
        <v>1097</v>
      </c>
      <c r="X282" t="s">
        <v>280</v>
      </c>
      <c r="Y282">
        <v>1440</v>
      </c>
      <c r="Z282">
        <v>2</v>
      </c>
      <c r="AB282">
        <v>0</v>
      </c>
      <c r="AC282" t="s">
        <v>210</v>
      </c>
      <c r="AD282">
        <v>0</v>
      </c>
      <c r="AH282">
        <v>7.2</v>
      </c>
      <c r="AI282">
        <v>5</v>
      </c>
      <c r="AV282" t="s">
        <v>88</v>
      </c>
      <c r="BA282">
        <v>7.2</v>
      </c>
    </row>
    <row r="283" spans="1:53" hidden="1" x14ac:dyDescent="0.3">
      <c r="A283" t="s">
        <v>1094</v>
      </c>
      <c r="B283" t="s">
        <v>1101</v>
      </c>
      <c r="C283" t="s">
        <v>1052</v>
      </c>
      <c r="H283">
        <v>4</v>
      </c>
      <c r="I283" t="s">
        <v>56</v>
      </c>
      <c r="J283">
        <v>4.0000000000000002E-4</v>
      </c>
      <c r="K283" t="s">
        <v>57</v>
      </c>
      <c r="O283">
        <v>0</v>
      </c>
      <c r="T283">
        <v>55</v>
      </c>
      <c r="V283">
        <v>90</v>
      </c>
      <c r="W283" t="s">
        <v>1097</v>
      </c>
      <c r="X283" t="s">
        <v>280</v>
      </c>
      <c r="Y283">
        <v>1440</v>
      </c>
      <c r="Z283">
        <v>2</v>
      </c>
      <c r="AB283">
        <v>6.8</v>
      </c>
      <c r="AC283" t="s">
        <v>210</v>
      </c>
      <c r="AD283">
        <v>0.1</v>
      </c>
      <c r="AH283">
        <v>7.2</v>
      </c>
      <c r="AI283">
        <v>5</v>
      </c>
      <c r="AV283" t="s">
        <v>88</v>
      </c>
      <c r="BA283">
        <v>7.2</v>
      </c>
    </row>
    <row r="284" spans="1:53" hidden="1" x14ac:dyDescent="0.3">
      <c r="A284" t="s">
        <v>1094</v>
      </c>
      <c r="B284" t="s">
        <v>1101</v>
      </c>
      <c r="C284" t="s">
        <v>1052</v>
      </c>
      <c r="H284">
        <v>4</v>
      </c>
      <c r="I284" t="s">
        <v>56</v>
      </c>
      <c r="J284">
        <v>4.0000000000000002E-4</v>
      </c>
      <c r="K284" t="s">
        <v>57</v>
      </c>
      <c r="O284">
        <v>0</v>
      </c>
      <c r="T284">
        <v>75</v>
      </c>
      <c r="V284">
        <v>90</v>
      </c>
      <c r="W284" t="s">
        <v>1098</v>
      </c>
      <c r="X284" t="s">
        <v>280</v>
      </c>
      <c r="Y284">
        <v>1440</v>
      </c>
      <c r="Z284">
        <v>2</v>
      </c>
      <c r="AB284">
        <v>0</v>
      </c>
      <c r="AC284" t="s">
        <v>210</v>
      </c>
      <c r="AD284">
        <v>0</v>
      </c>
      <c r="AH284">
        <v>7.2</v>
      </c>
      <c r="AI284">
        <v>5</v>
      </c>
      <c r="AV284" t="s">
        <v>88</v>
      </c>
      <c r="BA284">
        <v>7.2</v>
      </c>
    </row>
    <row r="285" spans="1:53" hidden="1" x14ac:dyDescent="0.3">
      <c r="A285" t="s">
        <v>1094</v>
      </c>
      <c r="B285" t="s">
        <v>1101</v>
      </c>
      <c r="C285" t="s">
        <v>1052</v>
      </c>
      <c r="H285">
        <v>4</v>
      </c>
      <c r="I285" t="s">
        <v>56</v>
      </c>
      <c r="J285">
        <v>4.0000000000000002E-4</v>
      </c>
      <c r="K285" t="s">
        <v>57</v>
      </c>
      <c r="O285">
        <v>0</v>
      </c>
      <c r="T285">
        <v>55</v>
      </c>
      <c r="V285">
        <v>90</v>
      </c>
      <c r="W285" t="s">
        <v>1098</v>
      </c>
      <c r="X285" t="s">
        <v>280</v>
      </c>
      <c r="Y285">
        <v>1440</v>
      </c>
      <c r="Z285">
        <v>2</v>
      </c>
      <c r="AB285">
        <v>7</v>
      </c>
      <c r="AC285" t="s">
        <v>210</v>
      </c>
      <c r="AD285">
        <v>0.7</v>
      </c>
      <c r="AH285">
        <v>7.2</v>
      </c>
      <c r="AI285">
        <v>5</v>
      </c>
      <c r="AV285" t="s">
        <v>88</v>
      </c>
      <c r="BA285">
        <v>7.2</v>
      </c>
    </row>
    <row r="286" spans="1:53" hidden="1" x14ac:dyDescent="0.3">
      <c r="A286" t="s">
        <v>1094</v>
      </c>
      <c r="B286" t="s">
        <v>1101</v>
      </c>
      <c r="C286" t="s">
        <v>1052</v>
      </c>
      <c r="H286">
        <v>4</v>
      </c>
      <c r="I286" t="s">
        <v>56</v>
      </c>
      <c r="J286">
        <v>4.0000000000000002E-4</v>
      </c>
      <c r="K286" t="s">
        <v>57</v>
      </c>
      <c r="O286">
        <v>0</v>
      </c>
      <c r="T286">
        <v>75</v>
      </c>
      <c r="V286">
        <v>90</v>
      </c>
      <c r="W286" t="s">
        <v>1099</v>
      </c>
      <c r="X286" t="s">
        <v>280</v>
      </c>
      <c r="Y286">
        <v>1440</v>
      </c>
      <c r="Z286">
        <v>2</v>
      </c>
      <c r="AB286">
        <v>0</v>
      </c>
      <c r="AC286" t="s">
        <v>210</v>
      </c>
      <c r="AD286">
        <v>0</v>
      </c>
      <c r="AH286">
        <v>7.2</v>
      </c>
      <c r="AI286">
        <v>5</v>
      </c>
      <c r="AV286" t="s">
        <v>88</v>
      </c>
      <c r="BA286">
        <v>7.2</v>
      </c>
    </row>
    <row r="287" spans="1:53" hidden="1" x14ac:dyDescent="0.3">
      <c r="A287" t="s">
        <v>1094</v>
      </c>
      <c r="B287" t="s">
        <v>1101</v>
      </c>
      <c r="C287" t="s">
        <v>1052</v>
      </c>
      <c r="H287">
        <v>4</v>
      </c>
      <c r="I287" t="s">
        <v>56</v>
      </c>
      <c r="J287">
        <v>4.0000000000000002E-4</v>
      </c>
      <c r="K287" t="s">
        <v>57</v>
      </c>
      <c r="O287">
        <v>0</v>
      </c>
      <c r="T287">
        <v>55</v>
      </c>
      <c r="V287">
        <v>90</v>
      </c>
      <c r="W287" t="s">
        <v>1099</v>
      </c>
      <c r="X287" t="s">
        <v>280</v>
      </c>
      <c r="Y287">
        <v>1440</v>
      </c>
      <c r="Z287">
        <v>2</v>
      </c>
      <c r="AB287">
        <v>6.5</v>
      </c>
      <c r="AC287" t="s">
        <v>210</v>
      </c>
      <c r="AD287">
        <v>0.5</v>
      </c>
      <c r="AH287">
        <v>7.2</v>
      </c>
      <c r="AI287">
        <v>5</v>
      </c>
      <c r="AV287" t="s">
        <v>88</v>
      </c>
      <c r="BA287">
        <v>7.2</v>
      </c>
    </row>
    <row r="288" spans="1:53" hidden="1" x14ac:dyDescent="0.3">
      <c r="A288" t="s">
        <v>1094</v>
      </c>
      <c r="B288" t="s">
        <v>1101</v>
      </c>
      <c r="C288" t="s">
        <v>1052</v>
      </c>
      <c r="H288">
        <v>4</v>
      </c>
      <c r="I288" t="s">
        <v>56</v>
      </c>
      <c r="J288">
        <v>4.0000000000000002E-4</v>
      </c>
      <c r="K288" t="s">
        <v>57</v>
      </c>
      <c r="O288">
        <v>0</v>
      </c>
      <c r="T288">
        <v>75</v>
      </c>
      <c r="V288">
        <v>90</v>
      </c>
      <c r="W288" t="s">
        <v>1100</v>
      </c>
      <c r="X288" t="s">
        <v>280</v>
      </c>
      <c r="Y288">
        <v>1440</v>
      </c>
      <c r="Z288">
        <v>2</v>
      </c>
      <c r="AB288">
        <v>6.7</v>
      </c>
      <c r="AC288" t="s">
        <v>210</v>
      </c>
      <c r="AD288">
        <v>0.3</v>
      </c>
      <c r="AH288">
        <v>7.2</v>
      </c>
      <c r="AI288">
        <v>5</v>
      </c>
      <c r="AV288" t="s">
        <v>88</v>
      </c>
      <c r="BA288">
        <v>7.2</v>
      </c>
    </row>
    <row r="289" spans="1:53" hidden="1" x14ac:dyDescent="0.3">
      <c r="A289" t="s">
        <v>1094</v>
      </c>
      <c r="B289" t="s">
        <v>1101</v>
      </c>
      <c r="C289" t="s">
        <v>1052</v>
      </c>
      <c r="H289">
        <v>4</v>
      </c>
      <c r="I289" t="s">
        <v>56</v>
      </c>
      <c r="J289">
        <v>4.0000000000000002E-4</v>
      </c>
      <c r="K289" t="s">
        <v>57</v>
      </c>
      <c r="O289">
        <v>0</v>
      </c>
      <c r="T289">
        <v>55</v>
      </c>
      <c r="V289">
        <v>90</v>
      </c>
      <c r="W289" t="s">
        <v>1100</v>
      </c>
      <c r="X289" t="s">
        <v>280</v>
      </c>
      <c r="Y289">
        <v>1440</v>
      </c>
      <c r="Z289">
        <v>6</v>
      </c>
      <c r="AB289">
        <v>7.2</v>
      </c>
      <c r="AC289" t="s">
        <v>210</v>
      </c>
      <c r="AD289">
        <v>0.1</v>
      </c>
      <c r="AH289">
        <v>7.2</v>
      </c>
      <c r="AI289">
        <v>5</v>
      </c>
      <c r="AV289" t="s">
        <v>88</v>
      </c>
      <c r="BA289">
        <v>7.2</v>
      </c>
    </row>
    <row r="290" spans="1:53" hidden="1" x14ac:dyDescent="0.3">
      <c r="A290" t="s">
        <v>1094</v>
      </c>
      <c r="B290" t="s">
        <v>1101</v>
      </c>
      <c r="C290" t="s">
        <v>1052</v>
      </c>
      <c r="H290">
        <v>4</v>
      </c>
      <c r="I290" t="s">
        <v>56</v>
      </c>
      <c r="J290">
        <v>4.0000000000000002E-4</v>
      </c>
      <c r="K290" t="s">
        <v>57</v>
      </c>
      <c r="O290">
        <v>0</v>
      </c>
      <c r="T290">
        <v>65</v>
      </c>
      <c r="V290">
        <v>90</v>
      </c>
      <c r="W290" t="s">
        <v>1096</v>
      </c>
      <c r="X290" t="s">
        <v>280</v>
      </c>
      <c r="Y290">
        <v>2880</v>
      </c>
      <c r="Z290">
        <v>3</v>
      </c>
      <c r="AB290">
        <v>0</v>
      </c>
      <c r="AC290" t="s">
        <v>210</v>
      </c>
      <c r="AD290">
        <v>0</v>
      </c>
      <c r="AH290">
        <v>6.9</v>
      </c>
      <c r="AI290">
        <v>5</v>
      </c>
      <c r="AV290" t="s">
        <v>88</v>
      </c>
      <c r="BA290">
        <v>6.9</v>
      </c>
    </row>
    <row r="291" spans="1:53" hidden="1" x14ac:dyDescent="0.3">
      <c r="A291" t="s">
        <v>1094</v>
      </c>
      <c r="B291" t="s">
        <v>1101</v>
      </c>
      <c r="C291" t="s">
        <v>1052</v>
      </c>
      <c r="H291">
        <v>4</v>
      </c>
      <c r="I291" t="s">
        <v>56</v>
      </c>
      <c r="J291">
        <v>4.0000000000000002E-4</v>
      </c>
      <c r="K291" t="s">
        <v>57</v>
      </c>
      <c r="O291">
        <v>0</v>
      </c>
      <c r="T291">
        <v>65</v>
      </c>
      <c r="V291">
        <v>90</v>
      </c>
      <c r="W291" t="s">
        <v>1097</v>
      </c>
      <c r="X291" t="s">
        <v>280</v>
      </c>
      <c r="Y291">
        <v>2880</v>
      </c>
      <c r="Z291">
        <v>3</v>
      </c>
      <c r="AB291">
        <v>3.3</v>
      </c>
      <c r="AC291" t="s">
        <v>210</v>
      </c>
      <c r="AD291">
        <v>0.04</v>
      </c>
      <c r="AH291">
        <v>6.9</v>
      </c>
      <c r="AI291">
        <v>5</v>
      </c>
      <c r="AV291" t="s">
        <v>88</v>
      </c>
      <c r="BA291">
        <v>6.9</v>
      </c>
    </row>
    <row r="292" spans="1:53" hidden="1" x14ac:dyDescent="0.3">
      <c r="A292" t="s">
        <v>1094</v>
      </c>
      <c r="B292" t="s">
        <v>1101</v>
      </c>
      <c r="C292" t="s">
        <v>1052</v>
      </c>
      <c r="H292">
        <v>4</v>
      </c>
      <c r="I292" t="s">
        <v>56</v>
      </c>
      <c r="J292">
        <v>4.0000000000000002E-4</v>
      </c>
      <c r="K292" t="s">
        <v>57</v>
      </c>
      <c r="O292">
        <v>0</v>
      </c>
      <c r="T292">
        <v>65</v>
      </c>
      <c r="V292">
        <v>90</v>
      </c>
      <c r="W292" t="s">
        <v>1098</v>
      </c>
      <c r="X292" t="s">
        <v>280</v>
      </c>
      <c r="Y292">
        <v>2880</v>
      </c>
      <c r="Z292">
        <v>3</v>
      </c>
      <c r="AB292">
        <v>0</v>
      </c>
      <c r="AC292" t="s">
        <v>210</v>
      </c>
      <c r="AD292">
        <v>0</v>
      </c>
      <c r="AH292">
        <v>6.9</v>
      </c>
      <c r="AI292">
        <v>5</v>
      </c>
      <c r="AV292" t="s">
        <v>88</v>
      </c>
      <c r="BA292">
        <v>6.9</v>
      </c>
    </row>
    <row r="293" spans="1:53" hidden="1" x14ac:dyDescent="0.3">
      <c r="A293" t="s">
        <v>1094</v>
      </c>
      <c r="B293" t="s">
        <v>1101</v>
      </c>
      <c r="C293" t="s">
        <v>1052</v>
      </c>
      <c r="H293">
        <v>4</v>
      </c>
      <c r="I293" t="s">
        <v>56</v>
      </c>
      <c r="J293">
        <v>4.0000000000000002E-4</v>
      </c>
      <c r="K293" t="s">
        <v>57</v>
      </c>
      <c r="O293">
        <v>0</v>
      </c>
      <c r="T293">
        <v>65</v>
      </c>
      <c r="V293">
        <v>90</v>
      </c>
      <c r="W293" t="s">
        <v>1099</v>
      </c>
      <c r="X293" t="s">
        <v>280</v>
      </c>
      <c r="Y293">
        <v>2880</v>
      </c>
      <c r="Z293">
        <v>6</v>
      </c>
      <c r="AB293">
        <v>0</v>
      </c>
      <c r="AC293" t="s">
        <v>210</v>
      </c>
      <c r="AD293">
        <v>0</v>
      </c>
      <c r="AH293">
        <v>6.9</v>
      </c>
      <c r="AI293">
        <v>5</v>
      </c>
      <c r="AV293" t="s">
        <v>88</v>
      </c>
      <c r="BA293">
        <v>6.9</v>
      </c>
    </row>
    <row r="294" spans="1:53" hidden="1" x14ac:dyDescent="0.3">
      <c r="A294" t="s">
        <v>1094</v>
      </c>
      <c r="B294" t="s">
        <v>1101</v>
      </c>
      <c r="C294" t="s">
        <v>1052</v>
      </c>
      <c r="H294">
        <v>4</v>
      </c>
      <c r="I294" t="s">
        <v>56</v>
      </c>
      <c r="J294">
        <v>4.0000000000000002E-4</v>
      </c>
      <c r="K294" t="s">
        <v>57</v>
      </c>
      <c r="O294">
        <v>0</v>
      </c>
      <c r="T294">
        <v>65</v>
      </c>
      <c r="V294">
        <v>90</v>
      </c>
      <c r="W294" t="s">
        <v>1100</v>
      </c>
      <c r="X294" t="s">
        <v>280</v>
      </c>
      <c r="Y294">
        <v>2880</v>
      </c>
      <c r="Z294">
        <v>6</v>
      </c>
      <c r="AB294">
        <v>6.4</v>
      </c>
      <c r="AC294" t="s">
        <v>210</v>
      </c>
      <c r="AD294">
        <v>0.04</v>
      </c>
      <c r="AH294">
        <v>6.9</v>
      </c>
      <c r="AI294">
        <v>5</v>
      </c>
      <c r="AV294" t="s">
        <v>88</v>
      </c>
      <c r="BA294">
        <v>6.9</v>
      </c>
    </row>
    <row r="295" spans="1:53" hidden="1" x14ac:dyDescent="0.3">
      <c r="A295" t="s">
        <v>1094</v>
      </c>
      <c r="B295" t="s">
        <v>1101</v>
      </c>
      <c r="C295" t="s">
        <v>1052</v>
      </c>
      <c r="H295">
        <v>4</v>
      </c>
      <c r="I295" t="s">
        <v>56</v>
      </c>
      <c r="J295">
        <v>4.0000000000000002E-4</v>
      </c>
      <c r="K295" t="s">
        <v>57</v>
      </c>
      <c r="O295">
        <v>0</v>
      </c>
      <c r="T295">
        <v>75</v>
      </c>
      <c r="V295">
        <v>90</v>
      </c>
      <c r="W295" t="s">
        <v>1096</v>
      </c>
      <c r="X295" t="s">
        <v>280</v>
      </c>
      <c r="Y295">
        <v>4320</v>
      </c>
      <c r="Z295">
        <v>6</v>
      </c>
      <c r="AB295">
        <v>0</v>
      </c>
      <c r="AC295" t="s">
        <v>210</v>
      </c>
      <c r="AD295">
        <v>0</v>
      </c>
      <c r="AH295">
        <v>7.2</v>
      </c>
      <c r="AI295">
        <v>5</v>
      </c>
      <c r="AV295" t="s">
        <v>88</v>
      </c>
      <c r="BA295">
        <v>7.2</v>
      </c>
    </row>
    <row r="296" spans="1:53" hidden="1" x14ac:dyDescent="0.3">
      <c r="A296" t="s">
        <v>1094</v>
      </c>
      <c r="B296" t="s">
        <v>1101</v>
      </c>
      <c r="C296" t="s">
        <v>1052</v>
      </c>
      <c r="H296">
        <v>4</v>
      </c>
      <c r="I296" t="s">
        <v>56</v>
      </c>
      <c r="J296">
        <v>4.0000000000000002E-4</v>
      </c>
      <c r="K296" t="s">
        <v>57</v>
      </c>
      <c r="O296">
        <v>0</v>
      </c>
      <c r="T296">
        <v>55</v>
      </c>
      <c r="V296">
        <v>90</v>
      </c>
      <c r="W296" t="s">
        <v>1096</v>
      </c>
      <c r="X296" t="s">
        <v>280</v>
      </c>
      <c r="Y296">
        <v>4320</v>
      </c>
      <c r="Z296">
        <v>6</v>
      </c>
      <c r="AB296">
        <v>2.1</v>
      </c>
      <c r="AC296" t="s">
        <v>210</v>
      </c>
      <c r="AD296">
        <v>0.21</v>
      </c>
      <c r="AH296">
        <v>7.2</v>
      </c>
      <c r="AI296">
        <v>5</v>
      </c>
      <c r="AV296" t="s">
        <v>88</v>
      </c>
      <c r="BA296">
        <v>7.2</v>
      </c>
    </row>
    <row r="297" spans="1:53" hidden="1" x14ac:dyDescent="0.3">
      <c r="A297" t="s">
        <v>1094</v>
      </c>
      <c r="B297" t="s">
        <v>1101</v>
      </c>
      <c r="C297" t="s">
        <v>1052</v>
      </c>
      <c r="H297">
        <v>4</v>
      </c>
      <c r="I297" t="s">
        <v>56</v>
      </c>
      <c r="J297">
        <v>4.0000000000000002E-4</v>
      </c>
      <c r="K297" t="s">
        <v>57</v>
      </c>
      <c r="O297">
        <v>0</v>
      </c>
      <c r="T297">
        <v>75</v>
      </c>
      <c r="V297">
        <v>90</v>
      </c>
      <c r="W297" t="s">
        <v>1097</v>
      </c>
      <c r="X297" t="s">
        <v>280</v>
      </c>
      <c r="Y297">
        <v>4320</v>
      </c>
      <c r="Z297">
        <v>6</v>
      </c>
      <c r="AB297">
        <v>0</v>
      </c>
      <c r="AC297" t="s">
        <v>210</v>
      </c>
      <c r="AD297">
        <v>0</v>
      </c>
      <c r="AH297">
        <v>7.2</v>
      </c>
      <c r="AI297">
        <v>5</v>
      </c>
      <c r="AV297" t="s">
        <v>88</v>
      </c>
      <c r="BA297">
        <v>7.2</v>
      </c>
    </row>
    <row r="298" spans="1:53" hidden="1" x14ac:dyDescent="0.3">
      <c r="A298" t="s">
        <v>1094</v>
      </c>
      <c r="B298" t="s">
        <v>1101</v>
      </c>
      <c r="C298" t="s">
        <v>1052</v>
      </c>
      <c r="H298">
        <v>4</v>
      </c>
      <c r="I298" t="s">
        <v>56</v>
      </c>
      <c r="J298">
        <v>4.0000000000000002E-4</v>
      </c>
      <c r="K298" t="s">
        <v>57</v>
      </c>
      <c r="O298">
        <v>0</v>
      </c>
      <c r="T298">
        <v>55</v>
      </c>
      <c r="V298">
        <v>90</v>
      </c>
      <c r="W298" t="s">
        <v>1097</v>
      </c>
      <c r="X298" t="s">
        <v>280</v>
      </c>
      <c r="Y298">
        <v>4320</v>
      </c>
      <c r="Z298">
        <v>6</v>
      </c>
      <c r="AB298">
        <v>6.6</v>
      </c>
      <c r="AC298" t="s">
        <v>210</v>
      </c>
      <c r="AD298">
        <v>0.2</v>
      </c>
      <c r="AH298">
        <v>7.2</v>
      </c>
      <c r="AI298">
        <v>5</v>
      </c>
      <c r="AV298" t="s">
        <v>88</v>
      </c>
      <c r="BA298">
        <v>7.2</v>
      </c>
    </row>
    <row r="299" spans="1:53" hidden="1" x14ac:dyDescent="0.3">
      <c r="A299" t="s">
        <v>1094</v>
      </c>
      <c r="B299" t="s">
        <v>1101</v>
      </c>
      <c r="C299" t="s">
        <v>1052</v>
      </c>
      <c r="H299">
        <v>4</v>
      </c>
      <c r="I299" t="s">
        <v>56</v>
      </c>
      <c r="J299">
        <v>4.0000000000000002E-4</v>
      </c>
      <c r="K299" t="s">
        <v>57</v>
      </c>
      <c r="O299">
        <v>0</v>
      </c>
      <c r="T299">
        <v>75</v>
      </c>
      <c r="V299">
        <v>90</v>
      </c>
      <c r="W299" t="s">
        <v>1098</v>
      </c>
      <c r="X299" t="s">
        <v>280</v>
      </c>
      <c r="Y299">
        <v>4320</v>
      </c>
      <c r="Z299">
        <v>2</v>
      </c>
      <c r="AB299">
        <v>0</v>
      </c>
      <c r="AC299" t="s">
        <v>210</v>
      </c>
      <c r="AD299">
        <v>0</v>
      </c>
      <c r="AH299">
        <v>7.2</v>
      </c>
      <c r="AI299">
        <v>5</v>
      </c>
      <c r="AV299" t="s">
        <v>88</v>
      </c>
      <c r="BA299">
        <v>7.2</v>
      </c>
    </row>
    <row r="300" spans="1:53" hidden="1" x14ac:dyDescent="0.3">
      <c r="A300" t="s">
        <v>1094</v>
      </c>
      <c r="B300" t="s">
        <v>1101</v>
      </c>
      <c r="C300" t="s">
        <v>1052</v>
      </c>
      <c r="H300">
        <v>4</v>
      </c>
      <c r="I300" t="s">
        <v>56</v>
      </c>
      <c r="J300">
        <v>4.0000000000000002E-4</v>
      </c>
      <c r="K300" t="s">
        <v>57</v>
      </c>
      <c r="O300">
        <v>0</v>
      </c>
      <c r="T300">
        <v>55</v>
      </c>
      <c r="V300">
        <v>90</v>
      </c>
      <c r="W300" t="s">
        <v>1098</v>
      </c>
      <c r="X300" t="s">
        <v>280</v>
      </c>
      <c r="Y300">
        <v>4320</v>
      </c>
      <c r="Z300">
        <v>2</v>
      </c>
      <c r="AB300">
        <v>6.3</v>
      </c>
      <c r="AC300" t="s">
        <v>210</v>
      </c>
      <c r="AD300">
        <v>0.5</v>
      </c>
      <c r="AH300">
        <v>7.2</v>
      </c>
      <c r="AI300">
        <v>5</v>
      </c>
      <c r="AV300" t="s">
        <v>88</v>
      </c>
      <c r="BA300">
        <v>7.2</v>
      </c>
    </row>
    <row r="301" spans="1:53" hidden="1" x14ac:dyDescent="0.3">
      <c r="A301" t="s">
        <v>1094</v>
      </c>
      <c r="B301" t="s">
        <v>1101</v>
      </c>
      <c r="C301" t="s">
        <v>1052</v>
      </c>
      <c r="H301">
        <v>4</v>
      </c>
      <c r="I301" t="s">
        <v>56</v>
      </c>
      <c r="J301">
        <v>4.0000000000000002E-4</v>
      </c>
      <c r="K301" t="s">
        <v>57</v>
      </c>
      <c r="O301">
        <v>0</v>
      </c>
      <c r="T301">
        <v>75</v>
      </c>
      <c r="V301">
        <v>90</v>
      </c>
      <c r="W301" t="s">
        <v>1099</v>
      </c>
      <c r="X301" t="s">
        <v>280</v>
      </c>
      <c r="Y301">
        <v>4320</v>
      </c>
      <c r="Z301">
        <v>2</v>
      </c>
      <c r="AB301">
        <v>0</v>
      </c>
      <c r="AC301" t="s">
        <v>210</v>
      </c>
      <c r="AD301">
        <v>0</v>
      </c>
      <c r="AH301">
        <v>7.2</v>
      </c>
      <c r="AI301">
        <v>5</v>
      </c>
      <c r="AV301" t="s">
        <v>88</v>
      </c>
      <c r="BA301">
        <v>7.2</v>
      </c>
    </row>
    <row r="302" spans="1:53" hidden="1" x14ac:dyDescent="0.3">
      <c r="A302" t="s">
        <v>1094</v>
      </c>
      <c r="B302" t="s">
        <v>1101</v>
      </c>
      <c r="C302" t="s">
        <v>1052</v>
      </c>
      <c r="H302">
        <v>4</v>
      </c>
      <c r="I302" t="s">
        <v>56</v>
      </c>
      <c r="J302">
        <v>4.0000000000000002E-4</v>
      </c>
      <c r="K302" t="s">
        <v>57</v>
      </c>
      <c r="O302">
        <v>0</v>
      </c>
      <c r="T302">
        <v>55</v>
      </c>
      <c r="V302">
        <v>90</v>
      </c>
      <c r="W302" t="s">
        <v>1099</v>
      </c>
      <c r="X302" t="s">
        <v>280</v>
      </c>
      <c r="Y302">
        <v>4320</v>
      </c>
      <c r="Z302">
        <v>2</v>
      </c>
      <c r="AB302">
        <v>2.1</v>
      </c>
      <c r="AC302" t="s">
        <v>210</v>
      </c>
      <c r="AD302">
        <v>0.23</v>
      </c>
      <c r="AH302">
        <v>7.2</v>
      </c>
      <c r="AI302">
        <v>5</v>
      </c>
      <c r="AV302" t="s">
        <v>88</v>
      </c>
      <c r="BA302">
        <v>7.2</v>
      </c>
    </row>
    <row r="303" spans="1:53" hidden="1" x14ac:dyDescent="0.3">
      <c r="A303" t="s">
        <v>1094</v>
      </c>
      <c r="B303" t="s">
        <v>1101</v>
      </c>
      <c r="C303" t="s">
        <v>1052</v>
      </c>
      <c r="H303">
        <v>4</v>
      </c>
      <c r="I303" t="s">
        <v>56</v>
      </c>
      <c r="J303">
        <v>4.0000000000000002E-4</v>
      </c>
      <c r="K303" t="s">
        <v>57</v>
      </c>
      <c r="O303">
        <v>0</v>
      </c>
      <c r="T303">
        <v>75</v>
      </c>
      <c r="V303">
        <v>90</v>
      </c>
      <c r="W303" t="s">
        <v>1100</v>
      </c>
      <c r="X303" t="s">
        <v>280</v>
      </c>
      <c r="Y303">
        <v>4320</v>
      </c>
      <c r="Z303">
        <v>2</v>
      </c>
      <c r="AB303">
        <v>1.1000000000000001</v>
      </c>
      <c r="AC303" t="s">
        <v>210</v>
      </c>
      <c r="AD303">
        <v>0.16</v>
      </c>
      <c r="AH303">
        <v>7.2</v>
      </c>
      <c r="AI303">
        <v>5</v>
      </c>
      <c r="AV303" t="s">
        <v>88</v>
      </c>
      <c r="BA303">
        <v>7.2</v>
      </c>
    </row>
    <row r="304" spans="1:53" hidden="1" x14ac:dyDescent="0.3">
      <c r="A304" t="s">
        <v>1094</v>
      </c>
      <c r="B304" t="s">
        <v>1101</v>
      </c>
      <c r="C304" t="s">
        <v>1052</v>
      </c>
      <c r="H304">
        <v>4</v>
      </c>
      <c r="I304" t="s">
        <v>56</v>
      </c>
      <c r="J304">
        <v>4.0000000000000002E-4</v>
      </c>
      <c r="K304" t="s">
        <v>57</v>
      </c>
      <c r="O304">
        <v>0</v>
      </c>
      <c r="T304">
        <v>55</v>
      </c>
      <c r="V304">
        <v>90</v>
      </c>
      <c r="W304" t="s">
        <v>1100</v>
      </c>
      <c r="X304" t="s">
        <v>280</v>
      </c>
      <c r="Y304">
        <v>4320</v>
      </c>
      <c r="Z304">
        <v>5</v>
      </c>
      <c r="AB304">
        <v>7.1</v>
      </c>
      <c r="AC304" t="s">
        <v>210</v>
      </c>
      <c r="AD304">
        <v>0.1</v>
      </c>
      <c r="AH304">
        <v>7.2</v>
      </c>
      <c r="AI304">
        <v>5</v>
      </c>
      <c r="AV304" t="s">
        <v>88</v>
      </c>
      <c r="BA304">
        <v>7.2</v>
      </c>
    </row>
    <row r="305" spans="1:53" hidden="1" x14ac:dyDescent="0.3">
      <c r="A305" t="s">
        <v>1094</v>
      </c>
      <c r="B305" t="s">
        <v>1101</v>
      </c>
      <c r="C305" t="s">
        <v>1052</v>
      </c>
      <c r="H305">
        <v>4</v>
      </c>
      <c r="I305" t="s">
        <v>56</v>
      </c>
      <c r="J305">
        <v>4.0000000000000002E-4</v>
      </c>
      <c r="K305" t="s">
        <v>57</v>
      </c>
      <c r="O305">
        <v>0</v>
      </c>
      <c r="T305">
        <v>65</v>
      </c>
      <c r="V305">
        <v>80</v>
      </c>
      <c r="W305" t="s">
        <v>1096</v>
      </c>
      <c r="X305" t="s">
        <v>280</v>
      </c>
      <c r="Y305">
        <v>1440</v>
      </c>
      <c r="Z305">
        <v>5</v>
      </c>
      <c r="AB305">
        <v>1.8</v>
      </c>
      <c r="AC305" t="s">
        <v>210</v>
      </c>
      <c r="AD305">
        <v>0.16</v>
      </c>
      <c r="AH305">
        <v>6.9</v>
      </c>
      <c r="AI305">
        <v>5</v>
      </c>
      <c r="AV305" t="s">
        <v>88</v>
      </c>
      <c r="BA305">
        <v>6.9</v>
      </c>
    </row>
    <row r="306" spans="1:53" hidden="1" x14ac:dyDescent="0.3">
      <c r="A306" t="s">
        <v>1094</v>
      </c>
      <c r="B306" t="s">
        <v>1101</v>
      </c>
      <c r="C306" t="s">
        <v>1052</v>
      </c>
      <c r="H306">
        <v>4</v>
      </c>
      <c r="I306" t="s">
        <v>56</v>
      </c>
      <c r="J306">
        <v>4.0000000000000002E-4</v>
      </c>
      <c r="K306" t="s">
        <v>57</v>
      </c>
      <c r="O306">
        <v>0</v>
      </c>
      <c r="T306">
        <v>65</v>
      </c>
      <c r="V306">
        <v>80</v>
      </c>
      <c r="W306" t="s">
        <v>1097</v>
      </c>
      <c r="X306" t="s">
        <v>280</v>
      </c>
      <c r="Y306">
        <v>1440</v>
      </c>
      <c r="Z306">
        <v>5</v>
      </c>
      <c r="AB306">
        <v>5.9</v>
      </c>
      <c r="AC306" t="s">
        <v>210</v>
      </c>
      <c r="AD306">
        <v>0.05</v>
      </c>
      <c r="AH306">
        <v>6.9</v>
      </c>
      <c r="AI306">
        <v>5</v>
      </c>
      <c r="AV306" t="s">
        <v>88</v>
      </c>
      <c r="BA306">
        <v>6.9</v>
      </c>
    </row>
    <row r="307" spans="1:53" hidden="1" x14ac:dyDescent="0.3">
      <c r="A307" t="s">
        <v>1094</v>
      </c>
      <c r="B307" t="s">
        <v>1101</v>
      </c>
      <c r="C307" t="s">
        <v>1052</v>
      </c>
      <c r="H307">
        <v>4</v>
      </c>
      <c r="I307" t="s">
        <v>56</v>
      </c>
      <c r="J307">
        <v>4.0000000000000002E-4</v>
      </c>
      <c r="K307" t="s">
        <v>57</v>
      </c>
      <c r="O307">
        <v>0</v>
      </c>
      <c r="T307">
        <v>65</v>
      </c>
      <c r="V307">
        <v>80</v>
      </c>
      <c r="W307" t="s">
        <v>1098</v>
      </c>
      <c r="X307" t="s">
        <v>280</v>
      </c>
      <c r="Y307">
        <v>1440</v>
      </c>
      <c r="Z307">
        <v>5</v>
      </c>
      <c r="AB307">
        <v>4.4000000000000004</v>
      </c>
      <c r="AC307" t="s">
        <v>210</v>
      </c>
      <c r="AD307">
        <v>0.1</v>
      </c>
      <c r="AH307">
        <v>6.9</v>
      </c>
      <c r="AI307">
        <v>5</v>
      </c>
      <c r="AV307" t="s">
        <v>88</v>
      </c>
      <c r="BA307">
        <v>6.9</v>
      </c>
    </row>
    <row r="308" spans="1:53" hidden="1" x14ac:dyDescent="0.3">
      <c r="A308" t="s">
        <v>1094</v>
      </c>
      <c r="B308" t="s">
        <v>1101</v>
      </c>
      <c r="C308" t="s">
        <v>1052</v>
      </c>
      <c r="H308">
        <v>4</v>
      </c>
      <c r="I308" t="s">
        <v>56</v>
      </c>
      <c r="J308">
        <v>4.0000000000000002E-4</v>
      </c>
      <c r="K308" t="s">
        <v>57</v>
      </c>
      <c r="O308">
        <v>0</v>
      </c>
      <c r="T308">
        <v>65</v>
      </c>
      <c r="V308">
        <v>80</v>
      </c>
      <c r="W308" t="s">
        <v>1099</v>
      </c>
      <c r="X308" t="s">
        <v>280</v>
      </c>
      <c r="Y308">
        <v>1440</v>
      </c>
      <c r="Z308">
        <v>5</v>
      </c>
      <c r="AB308">
        <v>5.5</v>
      </c>
      <c r="AC308" t="s">
        <v>210</v>
      </c>
      <c r="AD308">
        <v>0.03</v>
      </c>
      <c r="AH308">
        <v>6.9</v>
      </c>
      <c r="AI308">
        <v>5</v>
      </c>
      <c r="AV308" t="s">
        <v>88</v>
      </c>
      <c r="BA308">
        <v>6.9</v>
      </c>
    </row>
    <row r="309" spans="1:53" hidden="1" x14ac:dyDescent="0.3">
      <c r="A309" t="s">
        <v>1094</v>
      </c>
      <c r="B309" t="s">
        <v>1101</v>
      </c>
      <c r="C309" t="s">
        <v>1052</v>
      </c>
      <c r="H309">
        <v>4</v>
      </c>
      <c r="I309" t="s">
        <v>56</v>
      </c>
      <c r="J309">
        <v>4.0000000000000002E-4</v>
      </c>
      <c r="K309" t="s">
        <v>57</v>
      </c>
      <c r="O309">
        <v>0</v>
      </c>
      <c r="T309">
        <v>65</v>
      </c>
      <c r="V309">
        <v>80</v>
      </c>
      <c r="W309" t="s">
        <v>1100</v>
      </c>
      <c r="X309" t="s">
        <v>280</v>
      </c>
      <c r="Y309">
        <v>1440</v>
      </c>
      <c r="Z309">
        <v>3</v>
      </c>
      <c r="AB309">
        <v>6.6</v>
      </c>
      <c r="AC309" t="s">
        <v>210</v>
      </c>
      <c r="AD309">
        <v>0.02</v>
      </c>
      <c r="AH309">
        <v>6.9</v>
      </c>
      <c r="AI309">
        <v>5</v>
      </c>
      <c r="AV309" t="s">
        <v>88</v>
      </c>
      <c r="BA309">
        <v>6.9</v>
      </c>
    </row>
    <row r="310" spans="1:53" hidden="1" x14ac:dyDescent="0.3">
      <c r="A310" t="s">
        <v>1094</v>
      </c>
      <c r="B310" t="s">
        <v>1101</v>
      </c>
      <c r="C310" t="s">
        <v>1052</v>
      </c>
      <c r="H310">
        <v>4</v>
      </c>
      <c r="I310" t="s">
        <v>56</v>
      </c>
      <c r="J310">
        <v>4.0000000000000002E-4</v>
      </c>
      <c r="K310" t="s">
        <v>57</v>
      </c>
      <c r="O310">
        <v>0</v>
      </c>
      <c r="T310">
        <v>75</v>
      </c>
      <c r="V310">
        <v>80</v>
      </c>
      <c r="W310" t="s">
        <v>1096</v>
      </c>
      <c r="X310" t="s">
        <v>280</v>
      </c>
      <c r="Y310">
        <v>2880</v>
      </c>
      <c r="Z310">
        <v>3</v>
      </c>
      <c r="AB310">
        <v>0</v>
      </c>
      <c r="AC310" t="s">
        <v>210</v>
      </c>
      <c r="AD310">
        <v>0</v>
      </c>
      <c r="AH310">
        <v>6.9</v>
      </c>
      <c r="AI310">
        <v>5</v>
      </c>
      <c r="AV310" t="s">
        <v>88</v>
      </c>
      <c r="BA310">
        <v>6.9</v>
      </c>
    </row>
    <row r="311" spans="1:53" hidden="1" x14ac:dyDescent="0.3">
      <c r="A311" t="s">
        <v>1094</v>
      </c>
      <c r="B311" t="s">
        <v>1101</v>
      </c>
      <c r="C311" t="s">
        <v>1052</v>
      </c>
      <c r="H311">
        <v>4</v>
      </c>
      <c r="I311" t="s">
        <v>56</v>
      </c>
      <c r="J311">
        <v>4.0000000000000002E-4</v>
      </c>
      <c r="K311" t="s">
        <v>57</v>
      </c>
      <c r="O311">
        <v>0</v>
      </c>
      <c r="T311">
        <v>65</v>
      </c>
      <c r="V311">
        <v>80</v>
      </c>
      <c r="W311" t="s">
        <v>1096</v>
      </c>
      <c r="X311" t="s">
        <v>280</v>
      </c>
      <c r="Y311">
        <v>2880</v>
      </c>
      <c r="Z311">
        <v>3</v>
      </c>
      <c r="AB311">
        <v>3.3</v>
      </c>
      <c r="AC311" t="s">
        <v>210</v>
      </c>
      <c r="AD311">
        <v>0.9</v>
      </c>
      <c r="AH311">
        <v>7.2</v>
      </c>
      <c r="AI311">
        <v>5</v>
      </c>
      <c r="AV311" t="s">
        <v>88</v>
      </c>
      <c r="BA311">
        <v>7.2</v>
      </c>
    </row>
    <row r="312" spans="1:53" hidden="1" x14ac:dyDescent="0.3">
      <c r="A312" t="s">
        <v>1094</v>
      </c>
      <c r="B312" t="s">
        <v>1101</v>
      </c>
      <c r="C312" t="s">
        <v>1052</v>
      </c>
      <c r="H312">
        <v>4</v>
      </c>
      <c r="I312" t="s">
        <v>56</v>
      </c>
      <c r="J312">
        <v>4.0000000000000002E-4</v>
      </c>
      <c r="K312" t="s">
        <v>57</v>
      </c>
      <c r="O312">
        <v>0</v>
      </c>
      <c r="T312">
        <v>55</v>
      </c>
      <c r="V312">
        <v>80</v>
      </c>
      <c r="W312" t="s">
        <v>1096</v>
      </c>
      <c r="X312" t="s">
        <v>280</v>
      </c>
      <c r="Y312">
        <v>2880</v>
      </c>
      <c r="Z312">
        <v>3</v>
      </c>
      <c r="AB312">
        <v>6.2</v>
      </c>
      <c r="AC312" t="s">
        <v>210</v>
      </c>
      <c r="AD312">
        <v>0.06</v>
      </c>
      <c r="AH312">
        <v>6.9</v>
      </c>
      <c r="AI312">
        <v>5</v>
      </c>
      <c r="AV312" t="s">
        <v>88</v>
      </c>
      <c r="BA312">
        <v>6.9</v>
      </c>
    </row>
    <row r="313" spans="1:53" hidden="1" x14ac:dyDescent="0.3">
      <c r="A313" t="s">
        <v>1094</v>
      </c>
      <c r="B313" t="s">
        <v>1101</v>
      </c>
      <c r="C313" t="s">
        <v>1052</v>
      </c>
      <c r="H313">
        <v>4</v>
      </c>
      <c r="I313" t="s">
        <v>56</v>
      </c>
      <c r="J313">
        <v>4.0000000000000002E-4</v>
      </c>
      <c r="K313" t="s">
        <v>57</v>
      </c>
      <c r="O313">
        <v>0</v>
      </c>
      <c r="T313">
        <v>75</v>
      </c>
      <c r="V313">
        <v>80</v>
      </c>
      <c r="W313" t="s">
        <v>1097</v>
      </c>
      <c r="X313" t="s">
        <v>280</v>
      </c>
      <c r="Y313">
        <v>2880</v>
      </c>
      <c r="Z313">
        <v>3</v>
      </c>
      <c r="AB313">
        <v>0</v>
      </c>
      <c r="AC313" t="s">
        <v>210</v>
      </c>
      <c r="AD313">
        <v>0</v>
      </c>
      <c r="AH313">
        <v>6.9</v>
      </c>
      <c r="AI313">
        <v>5</v>
      </c>
      <c r="AV313" t="s">
        <v>88</v>
      </c>
      <c r="BA313">
        <v>6.9</v>
      </c>
    </row>
    <row r="314" spans="1:53" hidden="1" x14ac:dyDescent="0.3">
      <c r="A314" t="s">
        <v>1094</v>
      </c>
      <c r="B314" t="s">
        <v>1101</v>
      </c>
      <c r="C314" t="s">
        <v>1052</v>
      </c>
      <c r="H314">
        <v>4</v>
      </c>
      <c r="I314" t="s">
        <v>56</v>
      </c>
      <c r="J314">
        <v>4.0000000000000002E-4</v>
      </c>
      <c r="K314" t="s">
        <v>57</v>
      </c>
      <c r="O314">
        <v>0</v>
      </c>
      <c r="T314">
        <v>65</v>
      </c>
      <c r="V314">
        <v>80</v>
      </c>
      <c r="W314" t="s">
        <v>1097</v>
      </c>
      <c r="X314" t="s">
        <v>280</v>
      </c>
      <c r="Y314">
        <v>2880</v>
      </c>
      <c r="Z314">
        <v>6</v>
      </c>
      <c r="AB314">
        <v>5.4</v>
      </c>
      <c r="AC314" t="s">
        <v>210</v>
      </c>
      <c r="AD314">
        <v>0.7</v>
      </c>
      <c r="AH314">
        <v>7.2</v>
      </c>
      <c r="AI314">
        <v>5</v>
      </c>
      <c r="AV314" t="s">
        <v>88</v>
      </c>
      <c r="BA314">
        <v>7.2</v>
      </c>
    </row>
    <row r="315" spans="1:53" hidden="1" x14ac:dyDescent="0.3">
      <c r="A315" t="s">
        <v>1094</v>
      </c>
      <c r="B315" t="s">
        <v>1101</v>
      </c>
      <c r="C315" t="s">
        <v>1052</v>
      </c>
      <c r="H315">
        <v>4</v>
      </c>
      <c r="I315" t="s">
        <v>56</v>
      </c>
      <c r="J315">
        <v>4.0000000000000002E-4</v>
      </c>
      <c r="K315" t="s">
        <v>57</v>
      </c>
      <c r="O315">
        <v>0</v>
      </c>
      <c r="T315">
        <v>55</v>
      </c>
      <c r="V315">
        <v>80</v>
      </c>
      <c r="W315" t="s">
        <v>1097</v>
      </c>
      <c r="X315" t="s">
        <v>280</v>
      </c>
      <c r="Y315">
        <v>2880</v>
      </c>
      <c r="Z315">
        <v>6</v>
      </c>
      <c r="AB315">
        <v>6.7</v>
      </c>
      <c r="AC315" t="s">
        <v>210</v>
      </c>
      <c r="AD315">
        <v>0.03</v>
      </c>
      <c r="AH315">
        <v>6.9</v>
      </c>
      <c r="AI315">
        <v>5</v>
      </c>
      <c r="AV315" t="s">
        <v>88</v>
      </c>
      <c r="BA315">
        <v>6.9</v>
      </c>
    </row>
    <row r="316" spans="1:53" hidden="1" x14ac:dyDescent="0.3">
      <c r="A316" t="s">
        <v>1094</v>
      </c>
      <c r="B316" t="s">
        <v>1101</v>
      </c>
      <c r="C316" t="s">
        <v>1052</v>
      </c>
      <c r="H316">
        <v>4</v>
      </c>
      <c r="I316" t="s">
        <v>56</v>
      </c>
      <c r="J316">
        <v>4.0000000000000002E-4</v>
      </c>
      <c r="K316" t="s">
        <v>57</v>
      </c>
      <c r="O316">
        <v>0</v>
      </c>
      <c r="T316">
        <v>75</v>
      </c>
      <c r="V316">
        <v>80</v>
      </c>
      <c r="W316" t="s">
        <v>1098</v>
      </c>
      <c r="X316" t="s">
        <v>280</v>
      </c>
      <c r="Y316">
        <v>2880</v>
      </c>
      <c r="Z316">
        <v>6</v>
      </c>
      <c r="AB316">
        <v>0</v>
      </c>
      <c r="AC316" t="s">
        <v>210</v>
      </c>
      <c r="AD316">
        <v>0</v>
      </c>
      <c r="AH316">
        <v>6.9</v>
      </c>
      <c r="AI316">
        <v>5</v>
      </c>
      <c r="AV316" t="s">
        <v>88</v>
      </c>
      <c r="BA316">
        <v>6.9</v>
      </c>
    </row>
    <row r="317" spans="1:53" hidden="1" x14ac:dyDescent="0.3">
      <c r="A317" t="s">
        <v>1094</v>
      </c>
      <c r="B317" t="s">
        <v>1101</v>
      </c>
      <c r="C317" t="s">
        <v>1052</v>
      </c>
      <c r="H317">
        <v>4</v>
      </c>
      <c r="I317" t="s">
        <v>56</v>
      </c>
      <c r="J317">
        <v>4.0000000000000002E-4</v>
      </c>
      <c r="K317" t="s">
        <v>57</v>
      </c>
      <c r="O317">
        <v>0</v>
      </c>
      <c r="T317">
        <v>65</v>
      </c>
      <c r="V317">
        <v>80</v>
      </c>
      <c r="W317" t="s">
        <v>1098</v>
      </c>
      <c r="X317" t="s">
        <v>280</v>
      </c>
      <c r="Y317">
        <v>2880</v>
      </c>
      <c r="Z317">
        <v>6</v>
      </c>
      <c r="AB317">
        <v>4.8</v>
      </c>
      <c r="AC317" t="s">
        <v>210</v>
      </c>
      <c r="AD317">
        <v>0.12</v>
      </c>
      <c r="AH317">
        <v>7.2</v>
      </c>
      <c r="AI317">
        <v>5</v>
      </c>
      <c r="AV317" t="s">
        <v>88</v>
      </c>
      <c r="BA317">
        <v>7.2</v>
      </c>
    </row>
    <row r="318" spans="1:53" hidden="1" x14ac:dyDescent="0.3">
      <c r="A318" t="s">
        <v>1094</v>
      </c>
      <c r="B318" t="s">
        <v>1101</v>
      </c>
      <c r="C318" t="s">
        <v>1052</v>
      </c>
      <c r="H318">
        <v>4</v>
      </c>
      <c r="I318" t="s">
        <v>56</v>
      </c>
      <c r="J318">
        <v>4.0000000000000002E-4</v>
      </c>
      <c r="K318" t="s">
        <v>57</v>
      </c>
      <c r="O318">
        <v>0</v>
      </c>
      <c r="T318">
        <v>55</v>
      </c>
      <c r="V318">
        <v>80</v>
      </c>
      <c r="W318" t="s">
        <v>1098</v>
      </c>
      <c r="X318" t="s">
        <v>280</v>
      </c>
      <c r="Y318">
        <v>2880</v>
      </c>
      <c r="Z318">
        <v>6</v>
      </c>
      <c r="AB318">
        <v>6.4</v>
      </c>
      <c r="AC318" t="s">
        <v>210</v>
      </c>
      <c r="AD318">
        <v>0.05</v>
      </c>
      <c r="AH318">
        <v>6.9</v>
      </c>
      <c r="AI318">
        <v>5</v>
      </c>
      <c r="AV318" t="s">
        <v>88</v>
      </c>
      <c r="BA318">
        <v>6.9</v>
      </c>
    </row>
    <row r="319" spans="1:53" hidden="1" x14ac:dyDescent="0.3">
      <c r="A319" t="s">
        <v>1094</v>
      </c>
      <c r="B319" t="s">
        <v>1101</v>
      </c>
      <c r="C319" t="s">
        <v>1052</v>
      </c>
      <c r="H319">
        <v>4</v>
      </c>
      <c r="I319" t="s">
        <v>56</v>
      </c>
      <c r="J319">
        <v>4.0000000000000002E-4</v>
      </c>
      <c r="K319" t="s">
        <v>57</v>
      </c>
      <c r="O319">
        <v>0</v>
      </c>
      <c r="T319">
        <v>75</v>
      </c>
      <c r="V319">
        <v>80</v>
      </c>
      <c r="W319" t="s">
        <v>1099</v>
      </c>
      <c r="X319" t="s">
        <v>280</v>
      </c>
      <c r="Y319">
        <v>2880</v>
      </c>
      <c r="Z319">
        <v>1</v>
      </c>
      <c r="AB319">
        <v>2.2000000000000002</v>
      </c>
      <c r="AC319" t="s">
        <v>210</v>
      </c>
      <c r="AD319">
        <v>0.04</v>
      </c>
      <c r="AH319">
        <v>6.9</v>
      </c>
      <c r="AI319">
        <v>5</v>
      </c>
      <c r="AV319" t="s">
        <v>88</v>
      </c>
      <c r="BA319">
        <v>6.9</v>
      </c>
    </row>
    <row r="320" spans="1:53" hidden="1" x14ac:dyDescent="0.3">
      <c r="A320" t="s">
        <v>1094</v>
      </c>
      <c r="B320" t="s">
        <v>1101</v>
      </c>
      <c r="C320" t="s">
        <v>1052</v>
      </c>
      <c r="H320">
        <v>4</v>
      </c>
      <c r="I320" t="s">
        <v>56</v>
      </c>
      <c r="J320">
        <v>4.0000000000000002E-4</v>
      </c>
      <c r="K320" t="s">
        <v>57</v>
      </c>
      <c r="O320">
        <v>0</v>
      </c>
      <c r="T320">
        <v>65</v>
      </c>
      <c r="V320">
        <v>80</v>
      </c>
      <c r="W320" t="s">
        <v>1099</v>
      </c>
      <c r="X320" t="s">
        <v>280</v>
      </c>
      <c r="Y320">
        <v>2880</v>
      </c>
      <c r="Z320">
        <v>1</v>
      </c>
      <c r="AB320">
        <v>0</v>
      </c>
      <c r="AC320" t="s">
        <v>210</v>
      </c>
      <c r="AD320">
        <v>0.1</v>
      </c>
      <c r="AH320">
        <v>7.2</v>
      </c>
      <c r="AI320">
        <v>5</v>
      </c>
      <c r="AV320" t="s">
        <v>88</v>
      </c>
      <c r="BA320">
        <v>7.2</v>
      </c>
    </row>
    <row r="321" spans="1:53" hidden="1" x14ac:dyDescent="0.3">
      <c r="A321" t="s">
        <v>1094</v>
      </c>
      <c r="B321" t="s">
        <v>1101</v>
      </c>
      <c r="C321" t="s">
        <v>1052</v>
      </c>
      <c r="H321">
        <v>4</v>
      </c>
      <c r="I321" t="s">
        <v>56</v>
      </c>
      <c r="J321">
        <v>4.0000000000000002E-4</v>
      </c>
      <c r="K321" t="s">
        <v>57</v>
      </c>
      <c r="O321">
        <v>0</v>
      </c>
      <c r="T321">
        <v>55</v>
      </c>
      <c r="V321">
        <v>80</v>
      </c>
      <c r="W321" t="s">
        <v>1099</v>
      </c>
      <c r="X321" t="s">
        <v>280</v>
      </c>
      <c r="Y321">
        <v>2880</v>
      </c>
      <c r="Z321">
        <v>1</v>
      </c>
      <c r="AB321">
        <v>5.2</v>
      </c>
      <c r="AC321" t="s">
        <v>210</v>
      </c>
      <c r="AD321">
        <v>0.06</v>
      </c>
      <c r="AH321">
        <v>6.9</v>
      </c>
      <c r="AI321">
        <v>5</v>
      </c>
      <c r="AV321" t="s">
        <v>88</v>
      </c>
      <c r="BA321">
        <v>6.9</v>
      </c>
    </row>
    <row r="322" spans="1:53" hidden="1" x14ac:dyDescent="0.3">
      <c r="A322" t="s">
        <v>1094</v>
      </c>
      <c r="B322" t="s">
        <v>1101</v>
      </c>
      <c r="C322" t="s">
        <v>1052</v>
      </c>
      <c r="H322">
        <v>4</v>
      </c>
      <c r="I322" t="s">
        <v>56</v>
      </c>
      <c r="J322">
        <v>4.0000000000000002E-4</v>
      </c>
      <c r="K322" t="s">
        <v>57</v>
      </c>
      <c r="O322">
        <v>0</v>
      </c>
      <c r="T322">
        <v>75</v>
      </c>
      <c r="V322">
        <v>80</v>
      </c>
      <c r="W322" t="s">
        <v>1100</v>
      </c>
      <c r="X322" t="s">
        <v>280</v>
      </c>
      <c r="Y322">
        <v>2880</v>
      </c>
      <c r="Z322">
        <v>1</v>
      </c>
      <c r="AB322">
        <v>6</v>
      </c>
      <c r="AC322" t="s">
        <v>210</v>
      </c>
      <c r="AD322">
        <v>0.04</v>
      </c>
      <c r="AH322">
        <v>6.9</v>
      </c>
      <c r="AI322">
        <v>5</v>
      </c>
      <c r="AV322" t="s">
        <v>88</v>
      </c>
      <c r="BA322">
        <v>6.9</v>
      </c>
    </row>
    <row r="323" spans="1:53" hidden="1" x14ac:dyDescent="0.3">
      <c r="A323" t="s">
        <v>1094</v>
      </c>
      <c r="B323" t="s">
        <v>1101</v>
      </c>
      <c r="C323" t="s">
        <v>1052</v>
      </c>
      <c r="H323">
        <v>4</v>
      </c>
      <c r="I323" t="s">
        <v>56</v>
      </c>
      <c r="J323">
        <v>4.0000000000000002E-4</v>
      </c>
      <c r="K323" t="s">
        <v>57</v>
      </c>
      <c r="O323">
        <v>0</v>
      </c>
      <c r="T323">
        <v>65</v>
      </c>
      <c r="V323">
        <v>80</v>
      </c>
      <c r="W323" t="s">
        <v>1100</v>
      </c>
      <c r="X323" t="s">
        <v>280</v>
      </c>
      <c r="Y323">
        <v>2880</v>
      </c>
      <c r="Z323">
        <v>1</v>
      </c>
      <c r="AB323">
        <v>7.1</v>
      </c>
      <c r="AC323" t="s">
        <v>210</v>
      </c>
      <c r="AD323">
        <v>0.2</v>
      </c>
      <c r="AH323">
        <v>7.2</v>
      </c>
      <c r="AI323">
        <v>5</v>
      </c>
      <c r="AV323" t="s">
        <v>88</v>
      </c>
      <c r="BA323">
        <v>7.2</v>
      </c>
    </row>
    <row r="324" spans="1:53" hidden="1" x14ac:dyDescent="0.3">
      <c r="A324" t="s">
        <v>1094</v>
      </c>
      <c r="B324" t="s">
        <v>1101</v>
      </c>
      <c r="C324" t="s">
        <v>1052</v>
      </c>
      <c r="H324">
        <v>4</v>
      </c>
      <c r="I324" t="s">
        <v>56</v>
      </c>
      <c r="J324">
        <v>4.0000000000000002E-4</v>
      </c>
      <c r="K324" t="s">
        <v>57</v>
      </c>
      <c r="O324">
        <v>0</v>
      </c>
      <c r="T324">
        <v>55</v>
      </c>
      <c r="V324">
        <v>80</v>
      </c>
      <c r="W324" t="s">
        <v>1100</v>
      </c>
      <c r="X324" t="s">
        <v>280</v>
      </c>
      <c r="Y324">
        <v>2880</v>
      </c>
      <c r="Z324">
        <v>1</v>
      </c>
      <c r="AB324">
        <v>6.8</v>
      </c>
      <c r="AC324" t="s">
        <v>210</v>
      </c>
      <c r="AD324">
        <v>0.03</v>
      </c>
      <c r="AH324">
        <v>6.9</v>
      </c>
      <c r="AI324">
        <v>5</v>
      </c>
      <c r="AV324" t="s">
        <v>88</v>
      </c>
      <c r="BA324">
        <v>6.9</v>
      </c>
    </row>
    <row r="325" spans="1:53" hidden="1" x14ac:dyDescent="0.3">
      <c r="A325" t="s">
        <v>1094</v>
      </c>
      <c r="B325" t="s">
        <v>1101</v>
      </c>
      <c r="C325" t="s">
        <v>1052</v>
      </c>
      <c r="H325">
        <v>4</v>
      </c>
      <c r="I325" t="s">
        <v>56</v>
      </c>
      <c r="J325">
        <v>4.0000000000000002E-4</v>
      </c>
      <c r="K325" t="s">
        <v>57</v>
      </c>
      <c r="O325">
        <v>0</v>
      </c>
      <c r="T325">
        <v>65</v>
      </c>
      <c r="V325">
        <v>80</v>
      </c>
      <c r="W325" t="s">
        <v>1096</v>
      </c>
      <c r="X325" t="s">
        <v>280</v>
      </c>
      <c r="Y325">
        <v>4320</v>
      </c>
      <c r="Z325">
        <v>1</v>
      </c>
      <c r="AB325">
        <v>0</v>
      </c>
      <c r="AC325" t="s">
        <v>210</v>
      </c>
      <c r="AD325">
        <v>0</v>
      </c>
      <c r="AH325">
        <v>6.9</v>
      </c>
      <c r="AI325">
        <v>5</v>
      </c>
      <c r="AV325" t="s">
        <v>88</v>
      </c>
      <c r="BA325">
        <v>6.9</v>
      </c>
    </row>
    <row r="326" spans="1:53" hidden="1" x14ac:dyDescent="0.3">
      <c r="A326" t="s">
        <v>1094</v>
      </c>
      <c r="B326" t="s">
        <v>1101</v>
      </c>
      <c r="C326" t="s">
        <v>1052</v>
      </c>
      <c r="H326">
        <v>4</v>
      </c>
      <c r="I326" t="s">
        <v>56</v>
      </c>
      <c r="J326">
        <v>4.0000000000000002E-4</v>
      </c>
      <c r="K326" t="s">
        <v>57</v>
      </c>
      <c r="O326">
        <v>0</v>
      </c>
      <c r="T326">
        <v>65</v>
      </c>
      <c r="V326">
        <v>80</v>
      </c>
      <c r="W326" t="s">
        <v>1097</v>
      </c>
      <c r="X326" t="s">
        <v>280</v>
      </c>
      <c r="Y326">
        <v>4320</v>
      </c>
      <c r="Z326">
        <v>1</v>
      </c>
      <c r="AB326">
        <v>1.6</v>
      </c>
      <c r="AC326" t="s">
        <v>210</v>
      </c>
      <c r="AD326">
        <v>0.09</v>
      </c>
      <c r="AH326">
        <v>6.9</v>
      </c>
      <c r="AI326">
        <v>5</v>
      </c>
      <c r="AV326" t="s">
        <v>88</v>
      </c>
      <c r="BA326">
        <v>6.9</v>
      </c>
    </row>
    <row r="327" spans="1:53" hidden="1" x14ac:dyDescent="0.3">
      <c r="A327" t="s">
        <v>1094</v>
      </c>
      <c r="B327" t="s">
        <v>1101</v>
      </c>
      <c r="C327" t="s">
        <v>1052</v>
      </c>
      <c r="H327">
        <v>4</v>
      </c>
      <c r="I327" t="s">
        <v>56</v>
      </c>
      <c r="J327">
        <v>4.0000000000000002E-4</v>
      </c>
      <c r="K327" t="s">
        <v>57</v>
      </c>
      <c r="O327">
        <v>0</v>
      </c>
      <c r="T327">
        <v>65</v>
      </c>
      <c r="V327">
        <v>80</v>
      </c>
      <c r="W327" t="s">
        <v>1098</v>
      </c>
      <c r="X327" t="s">
        <v>280</v>
      </c>
      <c r="Y327">
        <v>4320</v>
      </c>
      <c r="Z327">
        <v>1</v>
      </c>
      <c r="AB327">
        <v>4.4000000000000004</v>
      </c>
      <c r="AC327" t="s">
        <v>210</v>
      </c>
      <c r="AD327">
        <v>0.05</v>
      </c>
      <c r="AH327">
        <v>6.9</v>
      </c>
      <c r="AI327">
        <v>5</v>
      </c>
      <c r="AV327" t="s">
        <v>88</v>
      </c>
      <c r="BA327">
        <v>6.9</v>
      </c>
    </row>
    <row r="328" spans="1:53" hidden="1" x14ac:dyDescent="0.3">
      <c r="A328" t="s">
        <v>1094</v>
      </c>
      <c r="B328" t="s">
        <v>1101</v>
      </c>
      <c r="C328" t="s">
        <v>1052</v>
      </c>
      <c r="H328">
        <v>4</v>
      </c>
      <c r="I328" t="s">
        <v>56</v>
      </c>
      <c r="J328">
        <v>4.0000000000000002E-4</v>
      </c>
      <c r="K328" t="s">
        <v>57</v>
      </c>
      <c r="O328">
        <v>0</v>
      </c>
      <c r="T328">
        <v>65</v>
      </c>
      <c r="V328">
        <v>80</v>
      </c>
      <c r="W328" t="s">
        <v>1099</v>
      </c>
      <c r="X328" t="s">
        <v>280</v>
      </c>
      <c r="Y328">
        <v>4320</v>
      </c>
      <c r="Z328">
        <v>1</v>
      </c>
      <c r="AB328">
        <v>0</v>
      </c>
      <c r="AC328" t="s">
        <v>210</v>
      </c>
      <c r="AD328">
        <v>0</v>
      </c>
      <c r="AH328">
        <v>6.9</v>
      </c>
      <c r="AI328">
        <v>5</v>
      </c>
      <c r="AV328" t="s">
        <v>88</v>
      </c>
      <c r="BA328">
        <v>6.9</v>
      </c>
    </row>
    <row r="329" spans="1:53" hidden="1" x14ac:dyDescent="0.3">
      <c r="A329" t="s">
        <v>1094</v>
      </c>
      <c r="B329" t="s">
        <v>1101</v>
      </c>
      <c r="C329" t="s">
        <v>1052</v>
      </c>
      <c r="H329">
        <v>4</v>
      </c>
      <c r="I329" t="s">
        <v>56</v>
      </c>
      <c r="J329">
        <v>4.0000000000000002E-4</v>
      </c>
      <c r="K329" t="s">
        <v>57</v>
      </c>
      <c r="O329">
        <v>0</v>
      </c>
      <c r="T329">
        <v>65</v>
      </c>
      <c r="V329">
        <v>80</v>
      </c>
      <c r="W329" t="s">
        <v>1100</v>
      </c>
      <c r="X329" t="s">
        <v>280</v>
      </c>
      <c r="Y329">
        <v>4320</v>
      </c>
      <c r="Z329">
        <v>1</v>
      </c>
      <c r="AB329">
        <v>6.7</v>
      </c>
      <c r="AC329" t="s">
        <v>210</v>
      </c>
      <c r="AD329">
        <v>0.04</v>
      </c>
      <c r="AH329">
        <v>6.9</v>
      </c>
      <c r="AI329">
        <v>5</v>
      </c>
      <c r="AV329" t="s">
        <v>88</v>
      </c>
      <c r="BA329">
        <v>6.9</v>
      </c>
    </row>
    <row r="330" spans="1:53" hidden="1" x14ac:dyDescent="0.3">
      <c r="A330" t="s">
        <v>1094</v>
      </c>
      <c r="B330" t="s">
        <v>1101</v>
      </c>
      <c r="C330" t="s">
        <v>1052</v>
      </c>
      <c r="H330">
        <v>4</v>
      </c>
      <c r="I330" t="s">
        <v>56</v>
      </c>
      <c r="J330">
        <v>4.0000000000000002E-4</v>
      </c>
      <c r="K330" t="s">
        <v>57</v>
      </c>
      <c r="O330">
        <v>0</v>
      </c>
      <c r="T330">
        <v>75</v>
      </c>
      <c r="V330">
        <v>70</v>
      </c>
      <c r="W330" t="s">
        <v>1096</v>
      </c>
      <c r="X330" t="s">
        <v>280</v>
      </c>
      <c r="Y330">
        <v>1440</v>
      </c>
      <c r="Z330">
        <v>1</v>
      </c>
      <c r="AB330">
        <v>0</v>
      </c>
      <c r="AC330" t="s">
        <v>210</v>
      </c>
      <c r="AD330">
        <v>0</v>
      </c>
      <c r="AH330">
        <v>7.2</v>
      </c>
      <c r="AI330">
        <v>5</v>
      </c>
      <c r="AV330" t="s">
        <v>88</v>
      </c>
      <c r="BA330">
        <v>7.2</v>
      </c>
    </row>
    <row r="331" spans="1:53" hidden="1" x14ac:dyDescent="0.3">
      <c r="A331" t="s">
        <v>1094</v>
      </c>
      <c r="B331" t="s">
        <v>1101</v>
      </c>
      <c r="C331" t="s">
        <v>1052</v>
      </c>
      <c r="H331">
        <v>4</v>
      </c>
      <c r="I331" t="s">
        <v>56</v>
      </c>
      <c r="J331">
        <v>4.0000000000000002E-4</v>
      </c>
      <c r="K331" t="s">
        <v>57</v>
      </c>
      <c r="O331">
        <v>0</v>
      </c>
      <c r="T331">
        <v>55</v>
      </c>
      <c r="V331">
        <v>70</v>
      </c>
      <c r="W331" t="s">
        <v>1096</v>
      </c>
      <c r="X331" t="s">
        <v>280</v>
      </c>
      <c r="Y331">
        <v>1440</v>
      </c>
      <c r="Z331">
        <v>1</v>
      </c>
      <c r="AB331">
        <v>7</v>
      </c>
      <c r="AC331" t="s">
        <v>210</v>
      </c>
      <c r="AD331">
        <v>0.1</v>
      </c>
      <c r="AH331">
        <v>7.2</v>
      </c>
      <c r="AI331">
        <v>5</v>
      </c>
      <c r="AV331" t="s">
        <v>88</v>
      </c>
      <c r="BA331">
        <v>7.2</v>
      </c>
    </row>
    <row r="332" spans="1:53" hidden="1" x14ac:dyDescent="0.3">
      <c r="A332" t="s">
        <v>1094</v>
      </c>
      <c r="B332" t="s">
        <v>1101</v>
      </c>
      <c r="C332" t="s">
        <v>1052</v>
      </c>
      <c r="H332">
        <v>4</v>
      </c>
      <c r="I332" t="s">
        <v>56</v>
      </c>
      <c r="J332">
        <v>4.0000000000000002E-4</v>
      </c>
      <c r="K332" t="s">
        <v>57</v>
      </c>
      <c r="O332">
        <v>0</v>
      </c>
      <c r="T332">
        <v>75</v>
      </c>
      <c r="V332">
        <v>70</v>
      </c>
      <c r="W332" t="s">
        <v>1097</v>
      </c>
      <c r="X332" t="s">
        <v>280</v>
      </c>
      <c r="Y332">
        <v>1440</v>
      </c>
      <c r="Z332">
        <v>1</v>
      </c>
      <c r="AB332">
        <v>3.5</v>
      </c>
      <c r="AC332" t="s">
        <v>210</v>
      </c>
      <c r="AD332">
        <v>0.9</v>
      </c>
      <c r="AH332">
        <v>7.2</v>
      </c>
      <c r="AI332">
        <v>5</v>
      </c>
      <c r="AV332" t="s">
        <v>88</v>
      </c>
      <c r="BA332">
        <v>7.2</v>
      </c>
    </row>
    <row r="333" spans="1:53" hidden="1" x14ac:dyDescent="0.3">
      <c r="A333" t="s">
        <v>1094</v>
      </c>
      <c r="B333" t="s">
        <v>1101</v>
      </c>
      <c r="C333" t="s">
        <v>1052</v>
      </c>
      <c r="H333">
        <v>4</v>
      </c>
      <c r="I333" t="s">
        <v>56</v>
      </c>
      <c r="J333">
        <v>4.0000000000000002E-4</v>
      </c>
      <c r="K333" t="s">
        <v>57</v>
      </c>
      <c r="O333">
        <v>0</v>
      </c>
      <c r="T333">
        <v>55</v>
      </c>
      <c r="V333">
        <v>70</v>
      </c>
      <c r="W333" t="s">
        <v>1097</v>
      </c>
      <c r="X333" t="s">
        <v>280</v>
      </c>
      <c r="Y333">
        <v>1440</v>
      </c>
      <c r="Z333">
        <v>1</v>
      </c>
      <c r="AB333">
        <v>7.2</v>
      </c>
      <c r="AC333" t="s">
        <v>210</v>
      </c>
      <c r="AD333">
        <v>0.1</v>
      </c>
      <c r="AH333">
        <v>7.2</v>
      </c>
      <c r="AI333">
        <v>5</v>
      </c>
      <c r="AV333" t="s">
        <v>88</v>
      </c>
      <c r="BA333">
        <v>7.2</v>
      </c>
    </row>
    <row r="334" spans="1:53" hidden="1" x14ac:dyDescent="0.3">
      <c r="A334" t="s">
        <v>1094</v>
      </c>
      <c r="B334" t="s">
        <v>1101</v>
      </c>
      <c r="C334" t="s">
        <v>1052</v>
      </c>
      <c r="H334">
        <v>4</v>
      </c>
      <c r="I334" t="s">
        <v>56</v>
      </c>
      <c r="J334">
        <v>4.0000000000000002E-4</v>
      </c>
      <c r="K334" t="s">
        <v>57</v>
      </c>
      <c r="O334">
        <v>0</v>
      </c>
      <c r="T334">
        <v>75</v>
      </c>
      <c r="V334">
        <v>70</v>
      </c>
      <c r="W334" t="s">
        <v>1098</v>
      </c>
      <c r="X334" t="s">
        <v>280</v>
      </c>
      <c r="Y334">
        <v>1440</v>
      </c>
      <c r="Z334">
        <v>1</v>
      </c>
      <c r="AB334">
        <v>2.9</v>
      </c>
      <c r="AC334" t="s">
        <v>210</v>
      </c>
      <c r="AD334">
        <v>0.15</v>
      </c>
      <c r="AH334">
        <v>7.2</v>
      </c>
      <c r="AI334">
        <v>5</v>
      </c>
      <c r="AV334" t="s">
        <v>88</v>
      </c>
      <c r="BA334">
        <v>7.2</v>
      </c>
    </row>
    <row r="335" spans="1:53" hidden="1" x14ac:dyDescent="0.3">
      <c r="A335" t="s">
        <v>1094</v>
      </c>
      <c r="B335" t="s">
        <v>1101</v>
      </c>
      <c r="C335" t="s">
        <v>1052</v>
      </c>
      <c r="H335">
        <v>4</v>
      </c>
      <c r="I335" t="s">
        <v>56</v>
      </c>
      <c r="J335">
        <v>4.0000000000000002E-4</v>
      </c>
      <c r="K335" t="s">
        <v>57</v>
      </c>
      <c r="O335">
        <v>0</v>
      </c>
      <c r="T335">
        <v>55</v>
      </c>
      <c r="V335">
        <v>70</v>
      </c>
      <c r="W335" t="s">
        <v>1098</v>
      </c>
      <c r="X335" t="s">
        <v>280</v>
      </c>
      <c r="Y335">
        <v>1440</v>
      </c>
      <c r="Z335">
        <v>1</v>
      </c>
      <c r="AB335">
        <v>6.8</v>
      </c>
      <c r="AC335" t="s">
        <v>210</v>
      </c>
      <c r="AD335">
        <v>0.5</v>
      </c>
      <c r="AH335">
        <v>7.2</v>
      </c>
      <c r="AI335">
        <v>5</v>
      </c>
      <c r="AV335" t="s">
        <v>88</v>
      </c>
      <c r="BA335">
        <v>7.2</v>
      </c>
    </row>
    <row r="336" spans="1:53" hidden="1" x14ac:dyDescent="0.3">
      <c r="A336" t="s">
        <v>1094</v>
      </c>
      <c r="B336" t="s">
        <v>1101</v>
      </c>
      <c r="C336" t="s">
        <v>1052</v>
      </c>
      <c r="H336">
        <v>4</v>
      </c>
      <c r="I336" t="s">
        <v>56</v>
      </c>
      <c r="J336">
        <v>4.0000000000000002E-4</v>
      </c>
      <c r="K336" t="s">
        <v>57</v>
      </c>
      <c r="O336">
        <v>0</v>
      </c>
      <c r="T336">
        <v>75</v>
      </c>
      <c r="V336">
        <v>70</v>
      </c>
      <c r="W336" t="s">
        <v>1099</v>
      </c>
      <c r="X336" t="s">
        <v>280</v>
      </c>
      <c r="Y336">
        <v>1440</v>
      </c>
      <c r="Z336">
        <v>1</v>
      </c>
      <c r="AB336">
        <v>0</v>
      </c>
      <c r="AC336" t="s">
        <v>210</v>
      </c>
      <c r="AD336">
        <v>0</v>
      </c>
      <c r="AH336">
        <v>7.2</v>
      </c>
      <c r="AI336">
        <v>5</v>
      </c>
      <c r="AV336" t="s">
        <v>88</v>
      </c>
      <c r="BA336">
        <v>7.2</v>
      </c>
    </row>
    <row r="337" spans="1:53" hidden="1" x14ac:dyDescent="0.3">
      <c r="A337" t="s">
        <v>1094</v>
      </c>
      <c r="B337" t="s">
        <v>1101</v>
      </c>
      <c r="C337" t="s">
        <v>1052</v>
      </c>
      <c r="H337">
        <v>4</v>
      </c>
      <c r="I337" t="s">
        <v>56</v>
      </c>
      <c r="J337">
        <v>4.0000000000000002E-4</v>
      </c>
      <c r="K337" t="s">
        <v>57</v>
      </c>
      <c r="O337">
        <v>0</v>
      </c>
      <c r="T337">
        <v>55</v>
      </c>
      <c r="V337">
        <v>70</v>
      </c>
      <c r="W337" t="s">
        <v>1099</v>
      </c>
      <c r="X337" t="s">
        <v>280</v>
      </c>
      <c r="Y337">
        <v>1440</v>
      </c>
      <c r="Z337">
        <v>1</v>
      </c>
      <c r="AB337">
        <v>7.1</v>
      </c>
      <c r="AC337" t="s">
        <v>210</v>
      </c>
      <c r="AD337">
        <v>0.1</v>
      </c>
      <c r="AH337">
        <v>7.2</v>
      </c>
      <c r="AI337">
        <v>5</v>
      </c>
      <c r="AV337" t="s">
        <v>88</v>
      </c>
      <c r="BA337">
        <v>7.2</v>
      </c>
    </row>
    <row r="338" spans="1:53" hidden="1" x14ac:dyDescent="0.3">
      <c r="A338" t="s">
        <v>1094</v>
      </c>
      <c r="B338" t="s">
        <v>1101</v>
      </c>
      <c r="C338" t="s">
        <v>1052</v>
      </c>
      <c r="H338">
        <v>4</v>
      </c>
      <c r="I338" t="s">
        <v>56</v>
      </c>
      <c r="J338">
        <v>4.0000000000000002E-4</v>
      </c>
      <c r="K338" t="s">
        <v>57</v>
      </c>
      <c r="O338">
        <v>0</v>
      </c>
      <c r="T338">
        <v>75</v>
      </c>
      <c r="V338">
        <v>70</v>
      </c>
      <c r="W338" t="s">
        <v>1100</v>
      </c>
      <c r="X338" t="s">
        <v>280</v>
      </c>
      <c r="Y338">
        <v>1440</v>
      </c>
      <c r="Z338">
        <v>1</v>
      </c>
      <c r="AB338">
        <v>7.2</v>
      </c>
      <c r="AC338" t="s">
        <v>210</v>
      </c>
      <c r="AD338">
        <v>0.1</v>
      </c>
      <c r="AH338">
        <v>7.2</v>
      </c>
      <c r="AI338">
        <v>5</v>
      </c>
      <c r="AV338" t="s">
        <v>88</v>
      </c>
      <c r="BA338">
        <v>7.2</v>
      </c>
    </row>
    <row r="339" spans="1:53" hidden="1" x14ac:dyDescent="0.3">
      <c r="A339" t="s">
        <v>1094</v>
      </c>
      <c r="B339" t="s">
        <v>1101</v>
      </c>
      <c r="C339" t="s">
        <v>1052</v>
      </c>
      <c r="H339">
        <v>4</v>
      </c>
      <c r="I339" t="s">
        <v>56</v>
      </c>
      <c r="J339">
        <v>4.0000000000000002E-4</v>
      </c>
      <c r="K339" t="s">
        <v>57</v>
      </c>
      <c r="O339">
        <v>0</v>
      </c>
      <c r="T339">
        <v>55</v>
      </c>
      <c r="V339">
        <v>70</v>
      </c>
      <c r="W339" t="s">
        <v>1100</v>
      </c>
      <c r="X339" t="s">
        <v>280</v>
      </c>
      <c r="Y339">
        <v>1440</v>
      </c>
      <c r="Z339">
        <v>1</v>
      </c>
      <c r="AB339">
        <v>7.2</v>
      </c>
      <c r="AC339" t="s">
        <v>210</v>
      </c>
      <c r="AD339">
        <v>0.1</v>
      </c>
      <c r="AH339">
        <v>7.2</v>
      </c>
      <c r="AI339">
        <v>5</v>
      </c>
      <c r="AV339" t="s">
        <v>88</v>
      </c>
      <c r="BA339">
        <v>7.2</v>
      </c>
    </row>
    <row r="340" spans="1:53" hidden="1" x14ac:dyDescent="0.3">
      <c r="A340" t="s">
        <v>1094</v>
      </c>
      <c r="B340" t="s">
        <v>1101</v>
      </c>
      <c r="C340" t="s">
        <v>1052</v>
      </c>
      <c r="H340">
        <v>4</v>
      </c>
      <c r="I340" t="s">
        <v>56</v>
      </c>
      <c r="J340">
        <v>4.0000000000000002E-4</v>
      </c>
      <c r="K340" t="s">
        <v>57</v>
      </c>
      <c r="O340">
        <v>0</v>
      </c>
      <c r="T340">
        <v>65</v>
      </c>
      <c r="V340">
        <v>70</v>
      </c>
      <c r="W340" t="s">
        <v>1096</v>
      </c>
      <c r="X340" t="s">
        <v>280</v>
      </c>
      <c r="Y340">
        <v>2880</v>
      </c>
      <c r="Z340">
        <v>1</v>
      </c>
      <c r="AB340">
        <v>1.7</v>
      </c>
      <c r="AC340" t="s">
        <v>210</v>
      </c>
      <c r="AD340">
        <v>0.16</v>
      </c>
      <c r="AH340">
        <v>6.9</v>
      </c>
      <c r="AI340">
        <v>5</v>
      </c>
      <c r="AV340" t="s">
        <v>88</v>
      </c>
      <c r="BA340">
        <v>6.9</v>
      </c>
    </row>
    <row r="341" spans="1:53" hidden="1" x14ac:dyDescent="0.3">
      <c r="A341" t="s">
        <v>1094</v>
      </c>
      <c r="B341" t="s">
        <v>1101</v>
      </c>
      <c r="C341" t="s">
        <v>1052</v>
      </c>
      <c r="H341">
        <v>4</v>
      </c>
      <c r="I341" t="s">
        <v>56</v>
      </c>
      <c r="J341">
        <v>4.0000000000000002E-4</v>
      </c>
      <c r="K341" t="s">
        <v>57</v>
      </c>
      <c r="O341">
        <v>0</v>
      </c>
      <c r="T341">
        <v>65</v>
      </c>
      <c r="V341">
        <v>70</v>
      </c>
      <c r="W341" t="s">
        <v>1097</v>
      </c>
      <c r="X341" t="s">
        <v>280</v>
      </c>
      <c r="Y341">
        <v>2880</v>
      </c>
      <c r="Z341">
        <v>1</v>
      </c>
      <c r="AB341">
        <v>5.7</v>
      </c>
      <c r="AC341" t="s">
        <v>210</v>
      </c>
      <c r="AD341">
        <v>0.06</v>
      </c>
      <c r="AH341">
        <v>6.9</v>
      </c>
      <c r="AI341">
        <v>5</v>
      </c>
      <c r="AV341" t="s">
        <v>88</v>
      </c>
      <c r="BA341">
        <v>6.9</v>
      </c>
    </row>
    <row r="342" spans="1:53" hidden="1" x14ac:dyDescent="0.3">
      <c r="A342" t="s">
        <v>1094</v>
      </c>
      <c r="B342" t="s">
        <v>1101</v>
      </c>
      <c r="C342" t="s">
        <v>1052</v>
      </c>
      <c r="H342">
        <v>4</v>
      </c>
      <c r="I342" t="s">
        <v>56</v>
      </c>
      <c r="J342">
        <v>4.0000000000000002E-4</v>
      </c>
      <c r="K342" t="s">
        <v>57</v>
      </c>
      <c r="O342">
        <v>0</v>
      </c>
      <c r="T342">
        <v>65</v>
      </c>
      <c r="V342">
        <v>70</v>
      </c>
      <c r="W342" t="s">
        <v>1098</v>
      </c>
      <c r="X342" t="s">
        <v>280</v>
      </c>
      <c r="Y342">
        <v>2880</v>
      </c>
      <c r="Z342">
        <v>1</v>
      </c>
      <c r="AB342">
        <v>4.4000000000000004</v>
      </c>
      <c r="AC342" t="s">
        <v>210</v>
      </c>
      <c r="AD342">
        <v>0.12</v>
      </c>
      <c r="AH342">
        <v>6.9</v>
      </c>
      <c r="AI342">
        <v>5</v>
      </c>
      <c r="AV342" t="s">
        <v>88</v>
      </c>
      <c r="BA342">
        <v>6.9</v>
      </c>
    </row>
    <row r="343" spans="1:53" hidden="1" x14ac:dyDescent="0.3">
      <c r="A343" t="s">
        <v>1094</v>
      </c>
      <c r="B343" t="s">
        <v>1101</v>
      </c>
      <c r="C343" t="s">
        <v>1052</v>
      </c>
      <c r="H343">
        <v>4</v>
      </c>
      <c r="I343" t="s">
        <v>56</v>
      </c>
      <c r="J343">
        <v>4.0000000000000002E-4</v>
      </c>
      <c r="K343" t="s">
        <v>57</v>
      </c>
      <c r="O343">
        <v>0</v>
      </c>
      <c r="T343">
        <v>65</v>
      </c>
      <c r="V343">
        <v>70</v>
      </c>
      <c r="W343" t="s">
        <v>1099</v>
      </c>
      <c r="X343" t="s">
        <v>280</v>
      </c>
      <c r="Y343">
        <v>2880</v>
      </c>
      <c r="Z343">
        <v>1</v>
      </c>
      <c r="AB343">
        <v>1</v>
      </c>
      <c r="AC343" t="s">
        <v>210</v>
      </c>
      <c r="AD343">
        <v>0.05</v>
      </c>
      <c r="AH343">
        <v>6.9</v>
      </c>
      <c r="AI343">
        <v>5</v>
      </c>
      <c r="AV343" t="s">
        <v>88</v>
      </c>
      <c r="BA343">
        <v>6.9</v>
      </c>
    </row>
    <row r="344" spans="1:53" hidden="1" x14ac:dyDescent="0.3">
      <c r="A344" t="s">
        <v>1094</v>
      </c>
      <c r="B344" t="s">
        <v>1101</v>
      </c>
      <c r="C344" t="s">
        <v>1052</v>
      </c>
      <c r="H344">
        <v>4</v>
      </c>
      <c r="I344" t="s">
        <v>56</v>
      </c>
      <c r="J344">
        <v>4.0000000000000002E-4</v>
      </c>
      <c r="K344" t="s">
        <v>57</v>
      </c>
      <c r="O344">
        <v>0</v>
      </c>
      <c r="T344">
        <v>65</v>
      </c>
      <c r="V344">
        <v>70</v>
      </c>
      <c r="W344" t="s">
        <v>1100</v>
      </c>
      <c r="X344" t="s">
        <v>280</v>
      </c>
      <c r="Y344">
        <v>2880</v>
      </c>
      <c r="Z344">
        <v>1</v>
      </c>
      <c r="AB344">
        <v>6.7</v>
      </c>
      <c r="AC344" t="s">
        <v>210</v>
      </c>
      <c r="AD344">
        <v>0.03</v>
      </c>
      <c r="AH344">
        <v>6.9</v>
      </c>
      <c r="AI344">
        <v>5</v>
      </c>
      <c r="AV344" t="s">
        <v>88</v>
      </c>
      <c r="BA344">
        <v>6.9</v>
      </c>
    </row>
    <row r="345" spans="1:53" hidden="1" x14ac:dyDescent="0.3">
      <c r="A345" t="s">
        <v>1094</v>
      </c>
      <c r="B345" t="s">
        <v>1101</v>
      </c>
      <c r="C345" t="s">
        <v>1052</v>
      </c>
      <c r="H345">
        <v>4</v>
      </c>
      <c r="I345" t="s">
        <v>56</v>
      </c>
      <c r="J345">
        <v>4.0000000000000002E-4</v>
      </c>
      <c r="K345" t="s">
        <v>57</v>
      </c>
      <c r="O345">
        <v>0</v>
      </c>
      <c r="T345">
        <v>75</v>
      </c>
      <c r="V345">
        <v>70</v>
      </c>
      <c r="W345" t="s">
        <v>1096</v>
      </c>
      <c r="X345" t="s">
        <v>280</v>
      </c>
      <c r="Y345">
        <v>4320</v>
      </c>
      <c r="Z345">
        <v>1</v>
      </c>
      <c r="AB345">
        <v>0</v>
      </c>
      <c r="AC345" t="s">
        <v>210</v>
      </c>
      <c r="AD345">
        <v>0</v>
      </c>
      <c r="AH345">
        <v>7.2</v>
      </c>
      <c r="AI345">
        <v>5</v>
      </c>
      <c r="AV345" t="s">
        <v>88</v>
      </c>
      <c r="BA345">
        <v>7.2</v>
      </c>
    </row>
    <row r="346" spans="1:53" hidden="1" x14ac:dyDescent="0.3">
      <c r="A346" t="s">
        <v>1094</v>
      </c>
      <c r="B346" t="s">
        <v>1101</v>
      </c>
      <c r="C346" t="s">
        <v>1052</v>
      </c>
      <c r="H346">
        <v>4</v>
      </c>
      <c r="I346" t="s">
        <v>56</v>
      </c>
      <c r="J346">
        <v>4.0000000000000002E-4</v>
      </c>
      <c r="K346" t="s">
        <v>57</v>
      </c>
      <c r="O346">
        <v>0</v>
      </c>
      <c r="T346">
        <v>55</v>
      </c>
      <c r="V346">
        <v>70</v>
      </c>
      <c r="W346" t="s">
        <v>1096</v>
      </c>
      <c r="X346" t="s">
        <v>280</v>
      </c>
      <c r="Y346">
        <v>4320</v>
      </c>
      <c r="Z346">
        <v>1</v>
      </c>
      <c r="AB346">
        <v>7</v>
      </c>
      <c r="AC346" t="s">
        <v>210</v>
      </c>
      <c r="AD346">
        <v>0.1</v>
      </c>
      <c r="AH346">
        <v>7.2</v>
      </c>
      <c r="AI346">
        <v>5</v>
      </c>
      <c r="AV346" t="s">
        <v>88</v>
      </c>
      <c r="BA346">
        <v>7.2</v>
      </c>
    </row>
    <row r="347" spans="1:53" hidden="1" x14ac:dyDescent="0.3">
      <c r="A347" t="s">
        <v>1094</v>
      </c>
      <c r="B347" t="s">
        <v>1101</v>
      </c>
      <c r="C347" t="s">
        <v>1052</v>
      </c>
      <c r="H347">
        <v>4</v>
      </c>
      <c r="I347" t="s">
        <v>56</v>
      </c>
      <c r="J347">
        <v>4.0000000000000002E-4</v>
      </c>
      <c r="K347" t="s">
        <v>57</v>
      </c>
      <c r="O347">
        <v>0</v>
      </c>
      <c r="T347">
        <v>75</v>
      </c>
      <c r="V347">
        <v>70</v>
      </c>
      <c r="W347" t="s">
        <v>1097</v>
      </c>
      <c r="X347" t="s">
        <v>280</v>
      </c>
      <c r="Y347">
        <v>4320</v>
      </c>
      <c r="Z347">
        <v>1</v>
      </c>
      <c r="AB347">
        <v>0</v>
      </c>
      <c r="AC347" t="s">
        <v>210</v>
      </c>
      <c r="AD347">
        <v>0</v>
      </c>
      <c r="AH347">
        <v>7.2</v>
      </c>
      <c r="AI347">
        <v>5</v>
      </c>
      <c r="AV347" t="s">
        <v>88</v>
      </c>
      <c r="BA347">
        <v>7.2</v>
      </c>
    </row>
    <row r="348" spans="1:53" hidden="1" x14ac:dyDescent="0.3">
      <c r="A348" t="s">
        <v>1094</v>
      </c>
      <c r="B348" t="s">
        <v>1101</v>
      </c>
      <c r="C348" t="s">
        <v>1052</v>
      </c>
      <c r="H348">
        <v>4</v>
      </c>
      <c r="I348" t="s">
        <v>56</v>
      </c>
      <c r="J348">
        <v>4.0000000000000002E-4</v>
      </c>
      <c r="K348" t="s">
        <v>57</v>
      </c>
      <c r="O348">
        <v>0</v>
      </c>
      <c r="T348">
        <v>55</v>
      </c>
      <c r="V348">
        <v>70</v>
      </c>
      <c r="W348" t="s">
        <v>1097</v>
      </c>
      <c r="X348" t="s">
        <v>280</v>
      </c>
      <c r="Y348">
        <v>4320</v>
      </c>
      <c r="Z348">
        <v>1</v>
      </c>
      <c r="AB348">
        <v>7.1</v>
      </c>
      <c r="AC348" t="s">
        <v>210</v>
      </c>
      <c r="AD348">
        <v>0.1</v>
      </c>
      <c r="AH348">
        <v>7.2</v>
      </c>
      <c r="AI348">
        <v>5</v>
      </c>
      <c r="AV348" t="s">
        <v>88</v>
      </c>
      <c r="BA348">
        <v>7.2</v>
      </c>
    </row>
    <row r="349" spans="1:53" hidden="1" x14ac:dyDescent="0.3">
      <c r="A349" t="s">
        <v>1094</v>
      </c>
      <c r="B349" t="s">
        <v>1101</v>
      </c>
      <c r="C349" t="s">
        <v>1052</v>
      </c>
      <c r="H349">
        <v>4</v>
      </c>
      <c r="I349" t="s">
        <v>56</v>
      </c>
      <c r="J349">
        <v>4.0000000000000002E-4</v>
      </c>
      <c r="K349" t="s">
        <v>57</v>
      </c>
      <c r="O349">
        <v>0</v>
      </c>
      <c r="T349">
        <v>75</v>
      </c>
      <c r="V349">
        <v>70</v>
      </c>
      <c r="W349" t="s">
        <v>1098</v>
      </c>
      <c r="X349" t="s">
        <v>280</v>
      </c>
      <c r="Y349">
        <v>4320</v>
      </c>
      <c r="Z349">
        <v>1</v>
      </c>
      <c r="AB349">
        <v>0</v>
      </c>
      <c r="AC349" t="s">
        <v>210</v>
      </c>
      <c r="AD349">
        <v>0</v>
      </c>
      <c r="AH349">
        <v>7.2</v>
      </c>
      <c r="AI349">
        <v>5</v>
      </c>
      <c r="AV349" t="s">
        <v>88</v>
      </c>
      <c r="BA349">
        <v>7.2</v>
      </c>
    </row>
    <row r="350" spans="1:53" hidden="1" x14ac:dyDescent="0.3">
      <c r="A350" t="s">
        <v>1094</v>
      </c>
      <c r="B350" t="s">
        <v>1101</v>
      </c>
      <c r="C350" t="s">
        <v>1052</v>
      </c>
      <c r="H350">
        <v>4</v>
      </c>
      <c r="I350" t="s">
        <v>56</v>
      </c>
      <c r="J350">
        <v>4.0000000000000002E-4</v>
      </c>
      <c r="K350" t="s">
        <v>57</v>
      </c>
      <c r="O350">
        <v>0</v>
      </c>
      <c r="T350">
        <v>55</v>
      </c>
      <c r="V350">
        <v>70</v>
      </c>
      <c r="W350" t="s">
        <v>1098</v>
      </c>
      <c r="X350" t="s">
        <v>280</v>
      </c>
      <c r="Y350">
        <v>4320</v>
      </c>
      <c r="Z350">
        <v>1</v>
      </c>
      <c r="AB350">
        <v>7.1</v>
      </c>
      <c r="AC350" t="s">
        <v>210</v>
      </c>
      <c r="AD350">
        <v>0.7</v>
      </c>
      <c r="AH350">
        <v>7.2</v>
      </c>
      <c r="AI350">
        <v>5</v>
      </c>
      <c r="AV350" t="s">
        <v>88</v>
      </c>
      <c r="BA350">
        <v>7.2</v>
      </c>
    </row>
    <row r="351" spans="1:53" hidden="1" x14ac:dyDescent="0.3">
      <c r="A351" t="s">
        <v>1094</v>
      </c>
      <c r="B351" t="s">
        <v>1101</v>
      </c>
      <c r="C351" t="s">
        <v>1052</v>
      </c>
      <c r="H351">
        <v>4</v>
      </c>
      <c r="I351" t="s">
        <v>56</v>
      </c>
      <c r="J351">
        <v>4.0000000000000002E-4</v>
      </c>
      <c r="K351" t="s">
        <v>57</v>
      </c>
      <c r="O351">
        <v>0</v>
      </c>
      <c r="T351">
        <v>75</v>
      </c>
      <c r="V351">
        <v>70</v>
      </c>
      <c r="W351" t="s">
        <v>1099</v>
      </c>
      <c r="X351" t="s">
        <v>280</v>
      </c>
      <c r="Y351">
        <v>4320</v>
      </c>
      <c r="Z351">
        <v>1</v>
      </c>
      <c r="AB351">
        <v>1.1000000000000001</v>
      </c>
      <c r="AC351" t="s">
        <v>210</v>
      </c>
      <c r="AD351">
        <v>0.2</v>
      </c>
      <c r="AH351">
        <v>7.2</v>
      </c>
      <c r="AI351">
        <v>5</v>
      </c>
      <c r="AV351" t="s">
        <v>88</v>
      </c>
      <c r="BA351">
        <v>7.2</v>
      </c>
    </row>
    <row r="352" spans="1:53" hidden="1" x14ac:dyDescent="0.3">
      <c r="A352" t="s">
        <v>1094</v>
      </c>
      <c r="B352" t="s">
        <v>1101</v>
      </c>
      <c r="C352" t="s">
        <v>1052</v>
      </c>
      <c r="H352">
        <v>4</v>
      </c>
      <c r="I352" t="s">
        <v>56</v>
      </c>
      <c r="J352">
        <v>4.0000000000000002E-4</v>
      </c>
      <c r="K352" t="s">
        <v>57</v>
      </c>
      <c r="O352">
        <v>0</v>
      </c>
      <c r="T352">
        <v>55</v>
      </c>
      <c r="V352">
        <v>70</v>
      </c>
      <c r="W352" t="s">
        <v>1099</v>
      </c>
      <c r="X352" t="s">
        <v>280</v>
      </c>
      <c r="Y352">
        <v>4320</v>
      </c>
      <c r="Z352">
        <v>1</v>
      </c>
      <c r="AB352">
        <v>6.9</v>
      </c>
      <c r="AC352" t="s">
        <v>210</v>
      </c>
      <c r="AD352">
        <v>0.2</v>
      </c>
      <c r="AH352">
        <v>7.2</v>
      </c>
      <c r="AI352">
        <v>5</v>
      </c>
      <c r="AV352" t="s">
        <v>88</v>
      </c>
      <c r="BA352">
        <v>7.2</v>
      </c>
    </row>
    <row r="353" spans="1:53" hidden="1" x14ac:dyDescent="0.3">
      <c r="A353" t="s">
        <v>1094</v>
      </c>
      <c r="B353" t="s">
        <v>1101</v>
      </c>
      <c r="C353" t="s">
        <v>1052</v>
      </c>
      <c r="H353">
        <v>4</v>
      </c>
      <c r="I353" t="s">
        <v>56</v>
      </c>
      <c r="J353">
        <v>4.0000000000000002E-4</v>
      </c>
      <c r="K353" t="s">
        <v>57</v>
      </c>
      <c r="O353">
        <v>0</v>
      </c>
      <c r="T353">
        <v>75</v>
      </c>
      <c r="V353">
        <v>70</v>
      </c>
      <c r="W353" t="s">
        <v>1100</v>
      </c>
      <c r="X353" t="s">
        <v>280</v>
      </c>
      <c r="Y353">
        <v>4320</v>
      </c>
      <c r="Z353">
        <v>1</v>
      </c>
      <c r="AB353">
        <v>7.1</v>
      </c>
      <c r="AC353" t="s">
        <v>210</v>
      </c>
      <c r="AD353">
        <v>0.2</v>
      </c>
      <c r="AH353">
        <v>7.2</v>
      </c>
      <c r="AI353">
        <v>5</v>
      </c>
      <c r="AV353" t="s">
        <v>88</v>
      </c>
      <c r="BA353">
        <v>7.2</v>
      </c>
    </row>
    <row r="354" spans="1:53" hidden="1" x14ac:dyDescent="0.3">
      <c r="A354" t="s">
        <v>1094</v>
      </c>
      <c r="B354" t="s">
        <v>1101</v>
      </c>
      <c r="C354" t="s">
        <v>1052</v>
      </c>
      <c r="H354">
        <v>4</v>
      </c>
      <c r="I354" t="s">
        <v>56</v>
      </c>
      <c r="J354">
        <v>4.0000000000000002E-4</v>
      </c>
      <c r="K354" t="s">
        <v>57</v>
      </c>
      <c r="O354">
        <v>0</v>
      </c>
      <c r="T354">
        <v>55</v>
      </c>
      <c r="V354">
        <v>70</v>
      </c>
      <c r="W354" t="s">
        <v>1100</v>
      </c>
      <c r="X354" t="s">
        <v>280</v>
      </c>
      <c r="Y354">
        <v>4320</v>
      </c>
      <c r="Z354">
        <v>1</v>
      </c>
      <c r="AB354">
        <v>7.3</v>
      </c>
      <c r="AC354" t="s">
        <v>210</v>
      </c>
      <c r="AD354">
        <v>0.1</v>
      </c>
      <c r="AH354">
        <v>7.2</v>
      </c>
      <c r="AI354">
        <v>5</v>
      </c>
      <c r="AV354" t="s">
        <v>88</v>
      </c>
      <c r="BA354">
        <v>7.2</v>
      </c>
    </row>
    <row r="355" spans="1:53" hidden="1" x14ac:dyDescent="0.3">
      <c r="A355" t="s">
        <v>1094</v>
      </c>
      <c r="B355" t="s">
        <v>1102</v>
      </c>
      <c r="C355" t="s">
        <v>1052</v>
      </c>
      <c r="H355">
        <v>4</v>
      </c>
      <c r="I355" t="s">
        <v>56</v>
      </c>
      <c r="J355">
        <v>4.0000000000000002E-4</v>
      </c>
      <c r="K355" t="s">
        <v>57</v>
      </c>
      <c r="O355">
        <v>0</v>
      </c>
      <c r="T355">
        <v>75</v>
      </c>
      <c r="V355">
        <v>90</v>
      </c>
      <c r="W355" t="s">
        <v>1096</v>
      </c>
      <c r="X355" t="s">
        <v>280</v>
      </c>
      <c r="Y355">
        <v>1440</v>
      </c>
      <c r="Z355">
        <v>1</v>
      </c>
      <c r="AB355">
        <v>2.8</v>
      </c>
      <c r="AC355" t="s">
        <v>210</v>
      </c>
      <c r="AD355">
        <v>0.14000000000000001</v>
      </c>
      <c r="AH355">
        <v>7.3</v>
      </c>
      <c r="AI355">
        <v>5</v>
      </c>
      <c r="AV355" t="s">
        <v>88</v>
      </c>
      <c r="BA355">
        <v>7.3</v>
      </c>
    </row>
    <row r="356" spans="1:53" hidden="1" x14ac:dyDescent="0.3">
      <c r="A356" t="s">
        <v>1094</v>
      </c>
      <c r="B356" t="s">
        <v>1102</v>
      </c>
      <c r="C356" t="s">
        <v>1052</v>
      </c>
      <c r="H356">
        <v>4</v>
      </c>
      <c r="I356" t="s">
        <v>56</v>
      </c>
      <c r="J356">
        <v>4.0000000000000002E-4</v>
      </c>
      <c r="K356" t="s">
        <v>57</v>
      </c>
      <c r="O356">
        <v>0</v>
      </c>
      <c r="T356">
        <v>55</v>
      </c>
      <c r="V356">
        <v>90</v>
      </c>
      <c r="W356" t="s">
        <v>1096</v>
      </c>
      <c r="X356" t="s">
        <v>280</v>
      </c>
      <c r="Y356">
        <v>1440</v>
      </c>
      <c r="Z356">
        <v>1</v>
      </c>
      <c r="AB356">
        <v>7.2</v>
      </c>
      <c r="AC356" t="s">
        <v>210</v>
      </c>
      <c r="AD356">
        <v>0.1</v>
      </c>
      <c r="AH356">
        <v>7.3</v>
      </c>
      <c r="AI356">
        <v>5</v>
      </c>
      <c r="AV356" t="s">
        <v>88</v>
      </c>
      <c r="BA356">
        <v>7.3</v>
      </c>
    </row>
    <row r="357" spans="1:53" hidden="1" x14ac:dyDescent="0.3">
      <c r="A357" t="s">
        <v>1094</v>
      </c>
      <c r="B357" t="s">
        <v>1102</v>
      </c>
      <c r="C357" t="s">
        <v>1052</v>
      </c>
      <c r="H357">
        <v>4</v>
      </c>
      <c r="I357" t="s">
        <v>56</v>
      </c>
      <c r="J357">
        <v>4.0000000000000002E-4</v>
      </c>
      <c r="K357" t="s">
        <v>57</v>
      </c>
      <c r="O357">
        <v>0</v>
      </c>
      <c r="T357">
        <v>75</v>
      </c>
      <c r="V357">
        <v>90</v>
      </c>
      <c r="W357" t="s">
        <v>1097</v>
      </c>
      <c r="X357" t="s">
        <v>280</v>
      </c>
      <c r="Y357">
        <v>1440</v>
      </c>
      <c r="AB357">
        <v>5.8</v>
      </c>
      <c r="AC357" t="s">
        <v>210</v>
      </c>
      <c r="AD357">
        <v>0.3</v>
      </c>
      <c r="AH357">
        <v>7.3</v>
      </c>
      <c r="AI357">
        <v>5</v>
      </c>
      <c r="AV357" t="s">
        <v>88</v>
      </c>
      <c r="BA357">
        <v>7.3</v>
      </c>
    </row>
    <row r="358" spans="1:53" hidden="1" x14ac:dyDescent="0.3">
      <c r="A358" t="s">
        <v>1094</v>
      </c>
      <c r="B358" t="s">
        <v>1102</v>
      </c>
      <c r="C358" t="s">
        <v>1052</v>
      </c>
      <c r="H358">
        <v>4</v>
      </c>
      <c r="I358" t="s">
        <v>56</v>
      </c>
      <c r="J358">
        <v>4.0000000000000002E-4</v>
      </c>
      <c r="K358" t="s">
        <v>57</v>
      </c>
      <c r="O358">
        <v>0</v>
      </c>
      <c r="T358">
        <v>55</v>
      </c>
      <c r="V358">
        <v>90</v>
      </c>
      <c r="W358" t="s">
        <v>1097</v>
      </c>
      <c r="X358" t="s">
        <v>280</v>
      </c>
      <c r="Y358">
        <v>1440</v>
      </c>
      <c r="AB358">
        <v>7.2</v>
      </c>
      <c r="AC358" t="s">
        <v>210</v>
      </c>
      <c r="AD358">
        <v>0</v>
      </c>
      <c r="AH358">
        <v>7.3</v>
      </c>
      <c r="AI358">
        <v>5</v>
      </c>
      <c r="AV358" t="s">
        <v>88</v>
      </c>
      <c r="BA358">
        <v>7.3</v>
      </c>
    </row>
    <row r="359" spans="1:53" hidden="1" x14ac:dyDescent="0.3">
      <c r="A359" t="s">
        <v>1094</v>
      </c>
      <c r="B359" t="s">
        <v>1102</v>
      </c>
      <c r="C359" t="s">
        <v>1052</v>
      </c>
      <c r="H359">
        <v>4</v>
      </c>
      <c r="I359" t="s">
        <v>56</v>
      </c>
      <c r="J359">
        <v>4.0000000000000002E-4</v>
      </c>
      <c r="K359" t="s">
        <v>57</v>
      </c>
      <c r="O359">
        <v>0</v>
      </c>
      <c r="T359">
        <v>75</v>
      </c>
      <c r="V359">
        <v>90</v>
      </c>
      <c r="W359" t="s">
        <v>1098</v>
      </c>
      <c r="X359" t="s">
        <v>280</v>
      </c>
      <c r="Y359">
        <v>1440</v>
      </c>
      <c r="AB359">
        <v>4.7</v>
      </c>
      <c r="AC359" t="s">
        <v>210</v>
      </c>
      <c r="AD359">
        <v>0.5</v>
      </c>
      <c r="AH359">
        <v>7.3</v>
      </c>
      <c r="AI359">
        <v>5</v>
      </c>
      <c r="AV359" t="s">
        <v>88</v>
      </c>
      <c r="BA359">
        <v>7.3</v>
      </c>
    </row>
    <row r="360" spans="1:53" hidden="1" x14ac:dyDescent="0.3">
      <c r="A360" t="s">
        <v>1094</v>
      </c>
      <c r="B360" t="s">
        <v>1102</v>
      </c>
      <c r="C360" t="s">
        <v>1052</v>
      </c>
      <c r="H360">
        <v>4</v>
      </c>
      <c r="I360" t="s">
        <v>56</v>
      </c>
      <c r="J360">
        <v>4.0000000000000002E-4</v>
      </c>
      <c r="K360" t="s">
        <v>57</v>
      </c>
      <c r="O360">
        <v>0</v>
      </c>
      <c r="T360">
        <v>55</v>
      </c>
      <c r="V360">
        <v>90</v>
      </c>
      <c r="W360" t="s">
        <v>1098</v>
      </c>
      <c r="X360" t="s">
        <v>280</v>
      </c>
      <c r="Y360">
        <v>1440</v>
      </c>
      <c r="AB360">
        <v>7.2</v>
      </c>
      <c r="AC360" t="s">
        <v>210</v>
      </c>
      <c r="AD360">
        <v>0</v>
      </c>
      <c r="AH360">
        <v>7.3</v>
      </c>
      <c r="AI360">
        <v>5</v>
      </c>
      <c r="AV360" t="s">
        <v>88</v>
      </c>
      <c r="BA360">
        <v>7.3</v>
      </c>
    </row>
    <row r="361" spans="1:53" hidden="1" x14ac:dyDescent="0.3">
      <c r="A361" t="s">
        <v>1094</v>
      </c>
      <c r="B361" t="s">
        <v>1102</v>
      </c>
      <c r="C361" t="s">
        <v>1052</v>
      </c>
      <c r="H361">
        <v>4</v>
      </c>
      <c r="I361" t="s">
        <v>56</v>
      </c>
      <c r="J361">
        <v>4.0000000000000002E-4</v>
      </c>
      <c r="K361" t="s">
        <v>57</v>
      </c>
      <c r="O361">
        <v>0</v>
      </c>
      <c r="T361">
        <v>75</v>
      </c>
      <c r="V361">
        <v>90</v>
      </c>
      <c r="W361" t="s">
        <v>1099</v>
      </c>
      <c r="X361" t="s">
        <v>280</v>
      </c>
      <c r="Y361">
        <v>1440</v>
      </c>
      <c r="AB361">
        <v>6</v>
      </c>
      <c r="AC361" t="s">
        <v>210</v>
      </c>
      <c r="AD361">
        <v>0.3</v>
      </c>
      <c r="AH361">
        <v>7.3</v>
      </c>
      <c r="AI361">
        <v>5</v>
      </c>
      <c r="AV361" t="s">
        <v>88</v>
      </c>
      <c r="BA361">
        <v>7.3</v>
      </c>
    </row>
    <row r="362" spans="1:53" hidden="1" x14ac:dyDescent="0.3">
      <c r="A362" t="s">
        <v>1094</v>
      </c>
      <c r="B362" t="s">
        <v>1102</v>
      </c>
      <c r="C362" t="s">
        <v>1052</v>
      </c>
      <c r="H362">
        <v>4</v>
      </c>
      <c r="I362" t="s">
        <v>56</v>
      </c>
      <c r="J362">
        <v>4.0000000000000002E-4</v>
      </c>
      <c r="K362" t="s">
        <v>57</v>
      </c>
      <c r="O362">
        <v>0</v>
      </c>
      <c r="T362">
        <v>55</v>
      </c>
      <c r="V362">
        <v>90</v>
      </c>
      <c r="W362" t="s">
        <v>1099</v>
      </c>
      <c r="X362" t="s">
        <v>280</v>
      </c>
      <c r="Y362">
        <v>1440</v>
      </c>
      <c r="AB362">
        <v>7.2</v>
      </c>
      <c r="AC362" t="s">
        <v>210</v>
      </c>
      <c r="AD362">
        <v>0.2</v>
      </c>
      <c r="AH362">
        <v>7.3</v>
      </c>
      <c r="AI362">
        <v>5</v>
      </c>
      <c r="AV362" t="s">
        <v>88</v>
      </c>
      <c r="BA362">
        <v>7.3</v>
      </c>
    </row>
    <row r="363" spans="1:53" hidden="1" x14ac:dyDescent="0.3">
      <c r="A363" t="s">
        <v>1094</v>
      </c>
      <c r="B363" t="s">
        <v>1102</v>
      </c>
      <c r="C363" t="s">
        <v>1052</v>
      </c>
      <c r="H363">
        <v>4</v>
      </c>
      <c r="I363" t="s">
        <v>56</v>
      </c>
      <c r="J363">
        <v>4.0000000000000002E-4</v>
      </c>
      <c r="K363" t="s">
        <v>57</v>
      </c>
      <c r="O363">
        <v>0</v>
      </c>
      <c r="T363">
        <v>75</v>
      </c>
      <c r="V363">
        <v>90</v>
      </c>
      <c r="W363" t="s">
        <v>1100</v>
      </c>
      <c r="X363" t="s">
        <v>280</v>
      </c>
      <c r="Y363">
        <v>1440</v>
      </c>
      <c r="AB363">
        <v>5</v>
      </c>
      <c r="AC363" t="s">
        <v>210</v>
      </c>
      <c r="AD363">
        <v>0.2</v>
      </c>
      <c r="AH363">
        <v>7.3</v>
      </c>
      <c r="AI363">
        <v>5</v>
      </c>
      <c r="AV363" t="s">
        <v>88</v>
      </c>
      <c r="BA363">
        <v>7.3</v>
      </c>
    </row>
    <row r="364" spans="1:53" hidden="1" x14ac:dyDescent="0.3">
      <c r="A364" t="s">
        <v>1094</v>
      </c>
      <c r="B364" t="s">
        <v>1102</v>
      </c>
      <c r="C364" t="s">
        <v>1052</v>
      </c>
      <c r="H364">
        <v>4</v>
      </c>
      <c r="I364" t="s">
        <v>56</v>
      </c>
      <c r="J364">
        <v>4.0000000000000002E-4</v>
      </c>
      <c r="K364" t="s">
        <v>57</v>
      </c>
      <c r="O364">
        <v>0</v>
      </c>
      <c r="T364">
        <v>55</v>
      </c>
      <c r="V364">
        <v>90</v>
      </c>
      <c r="W364" t="s">
        <v>1100</v>
      </c>
      <c r="X364" t="s">
        <v>280</v>
      </c>
      <c r="Y364">
        <v>1440</v>
      </c>
      <c r="AB364">
        <v>7.1</v>
      </c>
      <c r="AC364" t="s">
        <v>210</v>
      </c>
      <c r="AD364">
        <v>0.1</v>
      </c>
      <c r="AH364">
        <v>7.3</v>
      </c>
      <c r="AI364">
        <v>5</v>
      </c>
      <c r="AV364" t="s">
        <v>88</v>
      </c>
      <c r="BA364">
        <v>7.3</v>
      </c>
    </row>
    <row r="365" spans="1:53" hidden="1" x14ac:dyDescent="0.3">
      <c r="A365" t="s">
        <v>1094</v>
      </c>
      <c r="B365" t="s">
        <v>1102</v>
      </c>
      <c r="C365" t="s">
        <v>1052</v>
      </c>
      <c r="O365">
        <v>0</v>
      </c>
      <c r="T365">
        <v>75</v>
      </c>
      <c r="V365">
        <v>90</v>
      </c>
      <c r="W365" t="s">
        <v>1103</v>
      </c>
      <c r="X365" t="s">
        <v>280</v>
      </c>
      <c r="Y365">
        <v>1440</v>
      </c>
      <c r="AB365">
        <v>2.7</v>
      </c>
      <c r="AC365" t="s">
        <v>210</v>
      </c>
      <c r="AD365">
        <v>0.8</v>
      </c>
      <c r="AH365">
        <v>7.3</v>
      </c>
      <c r="AI365">
        <v>5</v>
      </c>
      <c r="BA365">
        <v>7.3</v>
      </c>
    </row>
    <row r="366" spans="1:53" hidden="1" x14ac:dyDescent="0.3">
      <c r="A366" t="s">
        <v>1094</v>
      </c>
      <c r="B366" t="s">
        <v>1102</v>
      </c>
      <c r="C366" t="s">
        <v>1052</v>
      </c>
      <c r="O366">
        <v>0</v>
      </c>
      <c r="T366">
        <v>55</v>
      </c>
      <c r="V366">
        <v>90</v>
      </c>
      <c r="W366" t="s">
        <v>1103</v>
      </c>
      <c r="X366" t="s">
        <v>280</v>
      </c>
      <c r="Y366">
        <v>1440</v>
      </c>
      <c r="AB366">
        <v>7.2</v>
      </c>
      <c r="AC366" t="s">
        <v>210</v>
      </c>
      <c r="AD366">
        <v>0.1</v>
      </c>
      <c r="AH366">
        <v>7.3</v>
      </c>
      <c r="AI366">
        <v>5</v>
      </c>
      <c r="BA366">
        <v>7.3</v>
      </c>
    </row>
    <row r="367" spans="1:53" hidden="1" x14ac:dyDescent="0.3">
      <c r="A367" t="s">
        <v>1094</v>
      </c>
      <c r="B367" t="s">
        <v>1102</v>
      </c>
      <c r="C367" t="s">
        <v>1052</v>
      </c>
      <c r="H367">
        <v>4</v>
      </c>
      <c r="I367" t="s">
        <v>56</v>
      </c>
      <c r="J367">
        <v>4.0000000000000002E-4</v>
      </c>
      <c r="K367" t="s">
        <v>57</v>
      </c>
      <c r="O367">
        <v>0</v>
      </c>
      <c r="T367">
        <v>65</v>
      </c>
      <c r="V367">
        <v>90</v>
      </c>
      <c r="W367" t="s">
        <v>1096</v>
      </c>
      <c r="X367" t="s">
        <v>280</v>
      </c>
      <c r="Y367">
        <v>2880</v>
      </c>
      <c r="AB367">
        <v>7</v>
      </c>
      <c r="AC367" t="s">
        <v>210</v>
      </c>
      <c r="AD367">
        <v>0.1</v>
      </c>
      <c r="AH367">
        <v>7.3</v>
      </c>
      <c r="AI367">
        <v>5</v>
      </c>
      <c r="AV367" t="s">
        <v>88</v>
      </c>
      <c r="BA367">
        <v>7.3</v>
      </c>
    </row>
    <row r="368" spans="1:53" hidden="1" x14ac:dyDescent="0.3">
      <c r="A368" t="s">
        <v>1094</v>
      </c>
      <c r="B368" t="s">
        <v>1102</v>
      </c>
      <c r="C368" t="s">
        <v>1052</v>
      </c>
      <c r="H368">
        <v>4</v>
      </c>
      <c r="I368" t="s">
        <v>56</v>
      </c>
      <c r="J368">
        <v>4.0000000000000002E-4</v>
      </c>
      <c r="K368" t="s">
        <v>57</v>
      </c>
      <c r="O368">
        <v>0</v>
      </c>
      <c r="T368">
        <v>65</v>
      </c>
      <c r="V368">
        <v>90</v>
      </c>
      <c r="W368" t="s">
        <v>1097</v>
      </c>
      <c r="X368" t="s">
        <v>280</v>
      </c>
      <c r="Y368">
        <v>2880</v>
      </c>
      <c r="AB368">
        <v>7.2</v>
      </c>
      <c r="AC368" t="s">
        <v>210</v>
      </c>
      <c r="AD368">
        <v>0.2</v>
      </c>
      <c r="AH368">
        <v>7.3</v>
      </c>
      <c r="AI368">
        <v>5</v>
      </c>
      <c r="AV368" t="s">
        <v>88</v>
      </c>
      <c r="BA368">
        <v>7.3</v>
      </c>
    </row>
    <row r="369" spans="1:53" hidden="1" x14ac:dyDescent="0.3">
      <c r="A369" t="s">
        <v>1094</v>
      </c>
      <c r="B369" t="s">
        <v>1102</v>
      </c>
      <c r="C369" t="s">
        <v>1052</v>
      </c>
      <c r="H369">
        <v>4</v>
      </c>
      <c r="I369" t="s">
        <v>56</v>
      </c>
      <c r="J369">
        <v>4.0000000000000002E-4</v>
      </c>
      <c r="K369" t="s">
        <v>57</v>
      </c>
      <c r="O369">
        <v>0</v>
      </c>
      <c r="T369">
        <v>65</v>
      </c>
      <c r="V369">
        <v>90</v>
      </c>
      <c r="W369" t="s">
        <v>1098</v>
      </c>
      <c r="X369" t="s">
        <v>280</v>
      </c>
      <c r="Y369">
        <v>2880</v>
      </c>
      <c r="AB369">
        <v>7.2</v>
      </c>
      <c r="AC369" t="s">
        <v>210</v>
      </c>
      <c r="AD369">
        <v>0.2</v>
      </c>
      <c r="AH369">
        <v>7.3</v>
      </c>
      <c r="AI369">
        <v>5</v>
      </c>
      <c r="AV369" t="s">
        <v>88</v>
      </c>
      <c r="BA369">
        <v>7.3</v>
      </c>
    </row>
    <row r="370" spans="1:53" hidden="1" x14ac:dyDescent="0.3">
      <c r="A370" t="s">
        <v>1094</v>
      </c>
      <c r="B370" t="s">
        <v>1102</v>
      </c>
      <c r="C370" t="s">
        <v>1052</v>
      </c>
      <c r="H370">
        <v>4</v>
      </c>
      <c r="I370" t="s">
        <v>56</v>
      </c>
      <c r="J370">
        <v>4.0000000000000002E-4</v>
      </c>
      <c r="K370" t="s">
        <v>57</v>
      </c>
      <c r="O370">
        <v>0</v>
      </c>
      <c r="T370">
        <v>65</v>
      </c>
      <c r="V370">
        <v>90</v>
      </c>
      <c r="W370" t="s">
        <v>1099</v>
      </c>
      <c r="X370" t="s">
        <v>280</v>
      </c>
      <c r="Y370">
        <v>2880</v>
      </c>
      <c r="AB370">
        <v>7.2</v>
      </c>
      <c r="AC370" t="s">
        <v>210</v>
      </c>
      <c r="AD370">
        <v>0.2</v>
      </c>
      <c r="AH370">
        <v>7.3</v>
      </c>
      <c r="AI370">
        <v>5</v>
      </c>
      <c r="AV370" t="s">
        <v>88</v>
      </c>
      <c r="BA370">
        <v>7.3</v>
      </c>
    </row>
    <row r="371" spans="1:53" hidden="1" x14ac:dyDescent="0.3">
      <c r="A371" t="s">
        <v>1094</v>
      </c>
      <c r="B371" t="s">
        <v>1102</v>
      </c>
      <c r="C371" t="s">
        <v>1052</v>
      </c>
      <c r="H371">
        <v>4</v>
      </c>
      <c r="I371" t="s">
        <v>56</v>
      </c>
      <c r="J371">
        <v>4.0000000000000002E-4</v>
      </c>
      <c r="K371" t="s">
        <v>57</v>
      </c>
      <c r="O371">
        <v>0</v>
      </c>
      <c r="T371">
        <v>65</v>
      </c>
      <c r="V371">
        <v>90</v>
      </c>
      <c r="W371" t="s">
        <v>1100</v>
      </c>
      <c r="X371" t="s">
        <v>280</v>
      </c>
      <c r="Y371">
        <v>2880</v>
      </c>
      <c r="AB371">
        <v>7.1</v>
      </c>
      <c r="AC371" t="s">
        <v>210</v>
      </c>
      <c r="AD371">
        <v>0.1</v>
      </c>
      <c r="AH371">
        <v>7.3</v>
      </c>
      <c r="AI371">
        <v>5</v>
      </c>
      <c r="AV371" t="s">
        <v>88</v>
      </c>
      <c r="BA371">
        <v>7.3</v>
      </c>
    </row>
    <row r="372" spans="1:53" hidden="1" x14ac:dyDescent="0.3">
      <c r="A372" t="s">
        <v>1094</v>
      </c>
      <c r="B372" t="s">
        <v>1102</v>
      </c>
      <c r="C372" t="s">
        <v>1052</v>
      </c>
      <c r="O372">
        <v>0</v>
      </c>
      <c r="T372">
        <v>65</v>
      </c>
      <c r="V372">
        <v>90</v>
      </c>
      <c r="W372" t="s">
        <v>1103</v>
      </c>
      <c r="X372" t="s">
        <v>280</v>
      </c>
      <c r="Y372">
        <v>2880</v>
      </c>
      <c r="AB372">
        <v>6.7</v>
      </c>
      <c r="AC372" t="s">
        <v>210</v>
      </c>
      <c r="AD372">
        <v>0.4</v>
      </c>
      <c r="AH372">
        <v>7.3</v>
      </c>
      <c r="AI372">
        <v>5</v>
      </c>
      <c r="BA372">
        <v>7.3</v>
      </c>
    </row>
    <row r="373" spans="1:53" hidden="1" x14ac:dyDescent="0.3">
      <c r="A373" t="s">
        <v>1094</v>
      </c>
      <c r="B373" t="s">
        <v>1102</v>
      </c>
      <c r="C373" t="s">
        <v>1052</v>
      </c>
      <c r="H373">
        <v>4</v>
      </c>
      <c r="I373" t="s">
        <v>56</v>
      </c>
      <c r="J373">
        <v>4.0000000000000002E-4</v>
      </c>
      <c r="K373" t="s">
        <v>57</v>
      </c>
      <c r="O373">
        <v>0</v>
      </c>
      <c r="T373">
        <v>75</v>
      </c>
      <c r="V373">
        <v>90</v>
      </c>
      <c r="W373" t="s">
        <v>1096</v>
      </c>
      <c r="X373" t="s">
        <v>280</v>
      </c>
      <c r="Y373">
        <v>4320</v>
      </c>
      <c r="AB373">
        <v>0</v>
      </c>
      <c r="AC373" t="s">
        <v>210</v>
      </c>
      <c r="AD373">
        <v>0</v>
      </c>
      <c r="AH373">
        <v>7.3</v>
      </c>
      <c r="AI373">
        <v>5</v>
      </c>
      <c r="AV373" t="s">
        <v>88</v>
      </c>
      <c r="BA373">
        <v>7.3</v>
      </c>
    </row>
    <row r="374" spans="1:53" hidden="1" x14ac:dyDescent="0.3">
      <c r="A374" t="s">
        <v>1094</v>
      </c>
      <c r="B374" t="s">
        <v>1102</v>
      </c>
      <c r="C374" t="s">
        <v>1052</v>
      </c>
      <c r="H374">
        <v>4</v>
      </c>
      <c r="I374" t="s">
        <v>56</v>
      </c>
      <c r="J374">
        <v>4.0000000000000002E-4</v>
      </c>
      <c r="K374" t="s">
        <v>57</v>
      </c>
      <c r="O374">
        <v>0</v>
      </c>
      <c r="T374">
        <v>55</v>
      </c>
      <c r="V374">
        <v>90</v>
      </c>
      <c r="W374" t="s">
        <v>1096</v>
      </c>
      <c r="X374" t="s">
        <v>280</v>
      </c>
      <c r="Y374">
        <v>4320</v>
      </c>
      <c r="AB374">
        <v>7.2</v>
      </c>
      <c r="AC374" t="s">
        <v>210</v>
      </c>
      <c r="AD374">
        <v>0.1</v>
      </c>
      <c r="AH374">
        <v>7.3</v>
      </c>
      <c r="AI374">
        <v>5</v>
      </c>
      <c r="AV374" t="s">
        <v>88</v>
      </c>
      <c r="BA374">
        <v>7.3</v>
      </c>
    </row>
    <row r="375" spans="1:53" hidden="1" x14ac:dyDescent="0.3">
      <c r="A375" t="s">
        <v>1094</v>
      </c>
      <c r="B375" t="s">
        <v>1102</v>
      </c>
      <c r="C375" t="s">
        <v>1052</v>
      </c>
      <c r="H375">
        <v>4</v>
      </c>
      <c r="I375" t="s">
        <v>56</v>
      </c>
      <c r="J375">
        <v>4.0000000000000002E-4</v>
      </c>
      <c r="K375" t="s">
        <v>57</v>
      </c>
      <c r="O375">
        <v>0</v>
      </c>
      <c r="T375">
        <v>75</v>
      </c>
      <c r="V375">
        <v>90</v>
      </c>
      <c r="W375" t="s">
        <v>1097</v>
      </c>
      <c r="X375" t="s">
        <v>280</v>
      </c>
      <c r="Y375">
        <v>4320</v>
      </c>
      <c r="AB375">
        <v>0</v>
      </c>
      <c r="AC375" t="s">
        <v>210</v>
      </c>
      <c r="AD375">
        <v>0</v>
      </c>
      <c r="AH375">
        <v>7.3</v>
      </c>
      <c r="AI375">
        <v>5</v>
      </c>
      <c r="AV375" t="s">
        <v>88</v>
      </c>
      <c r="BA375">
        <v>7.3</v>
      </c>
    </row>
    <row r="376" spans="1:53" hidden="1" x14ac:dyDescent="0.3">
      <c r="A376" t="s">
        <v>1094</v>
      </c>
      <c r="B376" t="s">
        <v>1102</v>
      </c>
      <c r="C376" t="s">
        <v>1052</v>
      </c>
      <c r="H376">
        <v>4</v>
      </c>
      <c r="I376" t="s">
        <v>56</v>
      </c>
      <c r="J376">
        <v>4.0000000000000002E-4</v>
      </c>
      <c r="K376" t="s">
        <v>57</v>
      </c>
      <c r="O376">
        <v>0</v>
      </c>
      <c r="T376">
        <v>55</v>
      </c>
      <c r="V376">
        <v>90</v>
      </c>
      <c r="W376" t="s">
        <v>1097</v>
      </c>
      <c r="X376" t="s">
        <v>280</v>
      </c>
      <c r="Y376">
        <v>4320</v>
      </c>
      <c r="AB376">
        <v>7.2</v>
      </c>
      <c r="AC376" t="s">
        <v>210</v>
      </c>
      <c r="AD376">
        <v>0.1</v>
      </c>
      <c r="AH376">
        <v>7.3</v>
      </c>
      <c r="AI376">
        <v>5</v>
      </c>
      <c r="AV376" t="s">
        <v>88</v>
      </c>
      <c r="BA376">
        <v>7.3</v>
      </c>
    </row>
    <row r="377" spans="1:53" hidden="1" x14ac:dyDescent="0.3">
      <c r="A377" t="s">
        <v>1094</v>
      </c>
      <c r="B377" t="s">
        <v>1102</v>
      </c>
      <c r="C377" t="s">
        <v>1052</v>
      </c>
      <c r="H377">
        <v>4</v>
      </c>
      <c r="I377" t="s">
        <v>56</v>
      </c>
      <c r="J377">
        <v>4.0000000000000002E-4</v>
      </c>
      <c r="K377" t="s">
        <v>57</v>
      </c>
      <c r="O377">
        <v>0</v>
      </c>
      <c r="T377">
        <v>75</v>
      </c>
      <c r="V377">
        <v>90</v>
      </c>
      <c r="W377" t="s">
        <v>1098</v>
      </c>
      <c r="X377" t="s">
        <v>280</v>
      </c>
      <c r="Y377">
        <v>4320</v>
      </c>
      <c r="AB377">
        <v>0</v>
      </c>
      <c r="AC377" t="s">
        <v>210</v>
      </c>
      <c r="AD377">
        <v>0</v>
      </c>
      <c r="AH377">
        <v>7.3</v>
      </c>
      <c r="AI377">
        <v>5</v>
      </c>
      <c r="AV377" t="s">
        <v>88</v>
      </c>
      <c r="BA377">
        <v>7.3</v>
      </c>
    </row>
    <row r="378" spans="1:53" hidden="1" x14ac:dyDescent="0.3">
      <c r="A378" t="s">
        <v>1094</v>
      </c>
      <c r="B378" t="s">
        <v>1102</v>
      </c>
      <c r="C378" t="s">
        <v>1052</v>
      </c>
      <c r="H378">
        <v>4</v>
      </c>
      <c r="I378" t="s">
        <v>56</v>
      </c>
      <c r="J378">
        <v>4.0000000000000002E-4</v>
      </c>
      <c r="K378" t="s">
        <v>57</v>
      </c>
      <c r="O378">
        <v>0</v>
      </c>
      <c r="T378">
        <v>55</v>
      </c>
      <c r="V378">
        <v>90</v>
      </c>
      <c r="W378" t="s">
        <v>1098</v>
      </c>
      <c r="X378" t="s">
        <v>280</v>
      </c>
      <c r="Y378">
        <v>4320</v>
      </c>
      <c r="AB378">
        <v>7.2</v>
      </c>
      <c r="AC378" t="s">
        <v>210</v>
      </c>
      <c r="AD378">
        <v>0.1</v>
      </c>
      <c r="AH378">
        <v>7.3</v>
      </c>
      <c r="AI378">
        <v>5</v>
      </c>
      <c r="AV378" t="s">
        <v>88</v>
      </c>
      <c r="BA378">
        <v>7.3</v>
      </c>
    </row>
    <row r="379" spans="1:53" hidden="1" x14ac:dyDescent="0.3">
      <c r="A379" t="s">
        <v>1094</v>
      </c>
      <c r="B379" t="s">
        <v>1102</v>
      </c>
      <c r="C379" t="s">
        <v>1052</v>
      </c>
      <c r="H379">
        <v>4</v>
      </c>
      <c r="I379" t="s">
        <v>56</v>
      </c>
      <c r="J379">
        <v>4.0000000000000002E-4</v>
      </c>
      <c r="K379" t="s">
        <v>57</v>
      </c>
      <c r="O379">
        <v>0</v>
      </c>
      <c r="T379">
        <v>75</v>
      </c>
      <c r="V379">
        <v>90</v>
      </c>
      <c r="W379" t="s">
        <v>1099</v>
      </c>
      <c r="X379" t="s">
        <v>280</v>
      </c>
      <c r="Y379">
        <v>4320</v>
      </c>
      <c r="AB379">
        <v>0</v>
      </c>
      <c r="AC379" t="s">
        <v>210</v>
      </c>
      <c r="AD379">
        <v>0</v>
      </c>
      <c r="AH379">
        <v>7.3</v>
      </c>
      <c r="AI379">
        <v>5</v>
      </c>
      <c r="AV379" t="s">
        <v>88</v>
      </c>
      <c r="BA379">
        <v>7.3</v>
      </c>
    </row>
    <row r="380" spans="1:53" hidden="1" x14ac:dyDescent="0.3">
      <c r="A380" t="s">
        <v>1094</v>
      </c>
      <c r="B380" t="s">
        <v>1102</v>
      </c>
      <c r="C380" t="s">
        <v>1052</v>
      </c>
      <c r="H380">
        <v>4</v>
      </c>
      <c r="I380" t="s">
        <v>56</v>
      </c>
      <c r="J380">
        <v>4.0000000000000002E-4</v>
      </c>
      <c r="K380" t="s">
        <v>57</v>
      </c>
      <c r="O380">
        <v>0</v>
      </c>
      <c r="T380">
        <v>55</v>
      </c>
      <c r="V380">
        <v>90</v>
      </c>
      <c r="W380" t="s">
        <v>1099</v>
      </c>
      <c r="X380" t="s">
        <v>280</v>
      </c>
      <c r="Y380">
        <v>4320</v>
      </c>
      <c r="AB380">
        <v>7.2</v>
      </c>
      <c r="AC380" t="s">
        <v>210</v>
      </c>
      <c r="AD380">
        <v>0.1</v>
      </c>
      <c r="AH380">
        <v>7.3</v>
      </c>
      <c r="AI380">
        <v>5</v>
      </c>
      <c r="AV380" t="s">
        <v>88</v>
      </c>
      <c r="BA380">
        <v>7.3</v>
      </c>
    </row>
    <row r="381" spans="1:53" hidden="1" x14ac:dyDescent="0.3">
      <c r="A381" t="s">
        <v>1094</v>
      </c>
      <c r="B381" t="s">
        <v>1102</v>
      </c>
      <c r="C381" t="s">
        <v>1052</v>
      </c>
      <c r="H381">
        <v>4</v>
      </c>
      <c r="I381" t="s">
        <v>56</v>
      </c>
      <c r="J381">
        <v>4.0000000000000002E-4</v>
      </c>
      <c r="K381" t="s">
        <v>57</v>
      </c>
      <c r="O381">
        <v>0</v>
      </c>
      <c r="T381">
        <v>75</v>
      </c>
      <c r="V381">
        <v>90</v>
      </c>
      <c r="W381" t="s">
        <v>1100</v>
      </c>
      <c r="X381" t="s">
        <v>280</v>
      </c>
      <c r="Y381">
        <v>4320</v>
      </c>
      <c r="AB381">
        <v>0</v>
      </c>
      <c r="AC381" t="s">
        <v>210</v>
      </c>
      <c r="AD381">
        <v>0</v>
      </c>
      <c r="AH381">
        <v>7.3</v>
      </c>
      <c r="AI381">
        <v>5</v>
      </c>
      <c r="AV381" t="s">
        <v>88</v>
      </c>
      <c r="BA381">
        <v>7.3</v>
      </c>
    </row>
    <row r="382" spans="1:53" hidden="1" x14ac:dyDescent="0.3">
      <c r="A382" t="s">
        <v>1094</v>
      </c>
      <c r="B382" t="s">
        <v>1102</v>
      </c>
      <c r="C382" t="s">
        <v>1052</v>
      </c>
      <c r="H382">
        <v>4</v>
      </c>
      <c r="I382" t="s">
        <v>56</v>
      </c>
      <c r="J382">
        <v>4.0000000000000002E-4</v>
      </c>
      <c r="K382" t="s">
        <v>57</v>
      </c>
      <c r="O382">
        <v>0</v>
      </c>
      <c r="T382">
        <v>55</v>
      </c>
      <c r="V382">
        <v>90</v>
      </c>
      <c r="W382" t="s">
        <v>1100</v>
      </c>
      <c r="X382" t="s">
        <v>280</v>
      </c>
      <c r="Y382">
        <v>4320</v>
      </c>
      <c r="AB382">
        <v>7.2</v>
      </c>
      <c r="AC382" t="s">
        <v>210</v>
      </c>
      <c r="AD382">
        <v>0.1</v>
      </c>
      <c r="AH382">
        <v>7.3</v>
      </c>
      <c r="AI382">
        <v>5</v>
      </c>
      <c r="AV382" t="s">
        <v>88</v>
      </c>
      <c r="BA382">
        <v>7.3</v>
      </c>
    </row>
    <row r="383" spans="1:53" hidden="1" x14ac:dyDescent="0.3">
      <c r="A383" t="s">
        <v>1094</v>
      </c>
      <c r="B383" t="s">
        <v>1102</v>
      </c>
      <c r="C383" t="s">
        <v>1052</v>
      </c>
      <c r="O383">
        <v>0</v>
      </c>
      <c r="T383">
        <v>75</v>
      </c>
      <c r="V383">
        <v>90</v>
      </c>
      <c r="W383" t="s">
        <v>1103</v>
      </c>
      <c r="X383" t="s">
        <v>280</v>
      </c>
      <c r="Y383">
        <v>4320</v>
      </c>
      <c r="AB383">
        <v>0</v>
      </c>
      <c r="AC383" t="s">
        <v>210</v>
      </c>
      <c r="AD383">
        <v>0</v>
      </c>
      <c r="AH383">
        <v>7.3</v>
      </c>
      <c r="AI383">
        <v>5</v>
      </c>
      <c r="BA383">
        <v>7.3</v>
      </c>
    </row>
    <row r="384" spans="1:53" hidden="1" x14ac:dyDescent="0.3">
      <c r="A384" t="s">
        <v>1094</v>
      </c>
      <c r="B384" t="s">
        <v>1102</v>
      </c>
      <c r="C384" t="s">
        <v>1052</v>
      </c>
      <c r="O384">
        <v>0</v>
      </c>
      <c r="T384">
        <v>55</v>
      </c>
      <c r="V384">
        <v>90</v>
      </c>
      <c r="W384" t="s">
        <v>1103</v>
      </c>
      <c r="X384" t="s">
        <v>280</v>
      </c>
      <c r="Y384">
        <v>4320</v>
      </c>
      <c r="AB384">
        <v>7.2</v>
      </c>
      <c r="AC384" t="s">
        <v>210</v>
      </c>
      <c r="AD384" t="s">
        <v>1104</v>
      </c>
      <c r="AH384">
        <v>7.3</v>
      </c>
      <c r="AI384">
        <v>5</v>
      </c>
      <c r="BA384">
        <v>7.3</v>
      </c>
    </row>
    <row r="385" spans="1:53" hidden="1" x14ac:dyDescent="0.3">
      <c r="A385" t="s">
        <v>1094</v>
      </c>
      <c r="B385" t="s">
        <v>1102</v>
      </c>
      <c r="C385" t="s">
        <v>1052</v>
      </c>
      <c r="H385">
        <v>4</v>
      </c>
      <c r="I385" t="s">
        <v>56</v>
      </c>
      <c r="J385">
        <v>4.0000000000000002E-4</v>
      </c>
      <c r="K385" t="s">
        <v>57</v>
      </c>
      <c r="O385">
        <v>0</v>
      </c>
      <c r="T385">
        <v>65</v>
      </c>
      <c r="V385">
        <v>80</v>
      </c>
      <c r="W385" t="s">
        <v>1096</v>
      </c>
      <c r="X385" t="s">
        <v>280</v>
      </c>
      <c r="Y385">
        <v>1440</v>
      </c>
      <c r="AB385">
        <v>7.2</v>
      </c>
      <c r="AC385" t="s">
        <v>210</v>
      </c>
      <c r="AD385" t="s">
        <v>1104</v>
      </c>
      <c r="AH385">
        <v>7.3</v>
      </c>
      <c r="AI385">
        <v>5</v>
      </c>
      <c r="AV385" t="s">
        <v>88</v>
      </c>
      <c r="BA385">
        <v>7.3</v>
      </c>
    </row>
    <row r="386" spans="1:53" hidden="1" x14ac:dyDescent="0.3">
      <c r="A386" t="s">
        <v>1094</v>
      </c>
      <c r="B386" t="s">
        <v>1102</v>
      </c>
      <c r="C386" t="s">
        <v>1052</v>
      </c>
      <c r="H386">
        <v>4</v>
      </c>
      <c r="I386" t="s">
        <v>56</v>
      </c>
      <c r="J386">
        <v>4.0000000000000002E-4</v>
      </c>
      <c r="K386" t="s">
        <v>57</v>
      </c>
      <c r="O386">
        <v>0</v>
      </c>
      <c r="T386">
        <v>65</v>
      </c>
      <c r="V386">
        <v>80</v>
      </c>
      <c r="W386" t="s">
        <v>1097</v>
      </c>
      <c r="X386" t="s">
        <v>280</v>
      </c>
      <c r="Y386">
        <v>1440</v>
      </c>
      <c r="AB386">
        <v>7.1</v>
      </c>
      <c r="AC386" t="s">
        <v>210</v>
      </c>
      <c r="AD386" t="s">
        <v>1105</v>
      </c>
      <c r="AH386">
        <v>7.3</v>
      </c>
      <c r="AI386">
        <v>5</v>
      </c>
      <c r="AV386" t="s">
        <v>88</v>
      </c>
      <c r="BA386">
        <v>7.3</v>
      </c>
    </row>
    <row r="387" spans="1:53" hidden="1" x14ac:dyDescent="0.3">
      <c r="A387" t="s">
        <v>1094</v>
      </c>
      <c r="B387" t="s">
        <v>1102</v>
      </c>
      <c r="C387" t="s">
        <v>1052</v>
      </c>
      <c r="H387">
        <v>4</v>
      </c>
      <c r="I387" t="s">
        <v>56</v>
      </c>
      <c r="J387">
        <v>4.0000000000000002E-4</v>
      </c>
      <c r="K387" t="s">
        <v>57</v>
      </c>
      <c r="O387">
        <v>0</v>
      </c>
      <c r="T387">
        <v>65</v>
      </c>
      <c r="V387">
        <v>80</v>
      </c>
      <c r="W387" t="s">
        <v>1098</v>
      </c>
      <c r="X387" t="s">
        <v>280</v>
      </c>
      <c r="Y387">
        <v>1440</v>
      </c>
      <c r="AB387">
        <v>7.1</v>
      </c>
      <c r="AC387" t="s">
        <v>210</v>
      </c>
      <c r="AD387" t="s">
        <v>1105</v>
      </c>
      <c r="AH387">
        <v>7.3</v>
      </c>
      <c r="AI387">
        <v>5</v>
      </c>
      <c r="AV387" t="s">
        <v>88</v>
      </c>
      <c r="BA387">
        <v>7.3</v>
      </c>
    </row>
    <row r="388" spans="1:53" hidden="1" x14ac:dyDescent="0.3">
      <c r="A388" t="s">
        <v>1094</v>
      </c>
      <c r="B388" t="s">
        <v>1102</v>
      </c>
      <c r="C388" t="s">
        <v>1052</v>
      </c>
      <c r="H388">
        <v>4</v>
      </c>
      <c r="I388" t="s">
        <v>56</v>
      </c>
      <c r="J388">
        <v>4.0000000000000002E-4</v>
      </c>
      <c r="K388" t="s">
        <v>57</v>
      </c>
      <c r="O388">
        <v>0</v>
      </c>
      <c r="T388">
        <v>65</v>
      </c>
      <c r="V388">
        <v>80</v>
      </c>
      <c r="W388" t="s">
        <v>1099</v>
      </c>
      <c r="X388" t="s">
        <v>280</v>
      </c>
      <c r="Y388">
        <v>1440</v>
      </c>
      <c r="AB388">
        <v>7.2</v>
      </c>
      <c r="AC388" t="s">
        <v>210</v>
      </c>
      <c r="AD388" t="s">
        <v>1104</v>
      </c>
      <c r="AH388">
        <v>7.3</v>
      </c>
      <c r="AI388">
        <v>5</v>
      </c>
      <c r="AV388" t="s">
        <v>88</v>
      </c>
      <c r="BA388">
        <v>7.3</v>
      </c>
    </row>
    <row r="389" spans="1:53" hidden="1" x14ac:dyDescent="0.3">
      <c r="A389" t="s">
        <v>1094</v>
      </c>
      <c r="B389" t="s">
        <v>1102</v>
      </c>
      <c r="C389" t="s">
        <v>1052</v>
      </c>
      <c r="H389">
        <v>4</v>
      </c>
      <c r="I389" t="s">
        <v>56</v>
      </c>
      <c r="J389">
        <v>4.0000000000000002E-4</v>
      </c>
      <c r="K389" t="s">
        <v>57</v>
      </c>
      <c r="O389">
        <v>0</v>
      </c>
      <c r="T389">
        <v>65</v>
      </c>
      <c r="V389">
        <v>80</v>
      </c>
      <c r="W389" t="s">
        <v>1100</v>
      </c>
      <c r="X389" t="s">
        <v>280</v>
      </c>
      <c r="Y389">
        <v>1440</v>
      </c>
      <c r="AB389">
        <v>7.1</v>
      </c>
      <c r="AC389" t="s">
        <v>210</v>
      </c>
      <c r="AD389" t="s">
        <v>1106</v>
      </c>
      <c r="AH389">
        <v>7.3</v>
      </c>
      <c r="AI389">
        <v>5</v>
      </c>
      <c r="AV389" t="s">
        <v>88</v>
      </c>
      <c r="BA389">
        <v>7.3</v>
      </c>
    </row>
    <row r="390" spans="1:53" hidden="1" x14ac:dyDescent="0.3">
      <c r="A390" t="s">
        <v>1094</v>
      </c>
      <c r="B390" t="s">
        <v>1102</v>
      </c>
      <c r="C390" t="s">
        <v>1052</v>
      </c>
      <c r="O390">
        <v>0</v>
      </c>
      <c r="T390">
        <v>65</v>
      </c>
      <c r="V390">
        <v>80</v>
      </c>
      <c r="W390" t="s">
        <v>1103</v>
      </c>
      <c r="X390" t="s">
        <v>280</v>
      </c>
      <c r="Y390">
        <v>1440</v>
      </c>
      <c r="AB390">
        <v>7.1</v>
      </c>
      <c r="AC390" t="s">
        <v>210</v>
      </c>
      <c r="AD390" t="s">
        <v>1104</v>
      </c>
      <c r="AH390">
        <v>7.3</v>
      </c>
      <c r="AI390">
        <v>5</v>
      </c>
      <c r="BA390">
        <v>7.3</v>
      </c>
    </row>
    <row r="391" spans="1:53" hidden="1" x14ac:dyDescent="0.3">
      <c r="A391" t="s">
        <v>1094</v>
      </c>
      <c r="B391" t="s">
        <v>1102</v>
      </c>
      <c r="C391" t="s">
        <v>1052</v>
      </c>
      <c r="H391">
        <v>4</v>
      </c>
      <c r="I391" t="s">
        <v>56</v>
      </c>
      <c r="J391">
        <v>4.0000000000000002E-4</v>
      </c>
      <c r="K391" t="s">
        <v>57</v>
      </c>
      <c r="O391">
        <v>0</v>
      </c>
      <c r="T391">
        <v>75</v>
      </c>
      <c r="V391">
        <v>80</v>
      </c>
      <c r="W391" t="s">
        <v>1096</v>
      </c>
      <c r="X391" t="s">
        <v>280</v>
      </c>
      <c r="Y391">
        <v>2880</v>
      </c>
      <c r="AB391">
        <v>2.9</v>
      </c>
      <c r="AC391" t="s">
        <v>210</v>
      </c>
      <c r="AD391" t="s">
        <v>1107</v>
      </c>
      <c r="AH391">
        <v>7.3</v>
      </c>
      <c r="AI391">
        <v>5</v>
      </c>
      <c r="AV391" t="s">
        <v>88</v>
      </c>
      <c r="BA391">
        <v>7.3</v>
      </c>
    </row>
    <row r="392" spans="1:53" hidden="1" x14ac:dyDescent="0.3">
      <c r="A392" t="s">
        <v>1094</v>
      </c>
      <c r="B392" t="s">
        <v>1102</v>
      </c>
      <c r="C392" t="s">
        <v>1052</v>
      </c>
      <c r="H392">
        <v>4</v>
      </c>
      <c r="I392" t="s">
        <v>56</v>
      </c>
      <c r="J392">
        <v>4.0000000000000002E-4</v>
      </c>
      <c r="K392" t="s">
        <v>57</v>
      </c>
      <c r="O392">
        <v>0</v>
      </c>
      <c r="T392">
        <v>65</v>
      </c>
      <c r="V392">
        <v>80</v>
      </c>
      <c r="W392" t="s">
        <v>1096</v>
      </c>
      <c r="X392" t="s">
        <v>280</v>
      </c>
      <c r="Y392">
        <v>2880</v>
      </c>
      <c r="AB392">
        <v>7.2</v>
      </c>
      <c r="AC392" t="s">
        <v>210</v>
      </c>
      <c r="AD392" t="s">
        <v>1104</v>
      </c>
      <c r="AH392">
        <v>7.3</v>
      </c>
      <c r="AI392">
        <v>5</v>
      </c>
      <c r="AV392" t="s">
        <v>88</v>
      </c>
      <c r="BA392">
        <v>7.3</v>
      </c>
    </row>
    <row r="393" spans="1:53" hidden="1" x14ac:dyDescent="0.3">
      <c r="A393" t="s">
        <v>1094</v>
      </c>
      <c r="B393" t="s">
        <v>1102</v>
      </c>
      <c r="C393" t="s">
        <v>1052</v>
      </c>
      <c r="H393">
        <v>4</v>
      </c>
      <c r="I393" t="s">
        <v>56</v>
      </c>
      <c r="J393">
        <v>4.0000000000000002E-4</v>
      </c>
      <c r="K393" t="s">
        <v>57</v>
      </c>
      <c r="O393">
        <v>0</v>
      </c>
      <c r="T393">
        <v>55</v>
      </c>
      <c r="V393">
        <v>80</v>
      </c>
      <c r="W393" t="s">
        <v>1096</v>
      </c>
      <c r="X393" t="s">
        <v>280</v>
      </c>
      <c r="Y393">
        <v>2880</v>
      </c>
      <c r="AB393">
        <v>7.3</v>
      </c>
      <c r="AC393" t="s">
        <v>210</v>
      </c>
      <c r="AD393" t="s">
        <v>1105</v>
      </c>
      <c r="AH393">
        <v>7.3</v>
      </c>
      <c r="AI393">
        <v>5</v>
      </c>
      <c r="AV393" t="s">
        <v>88</v>
      </c>
      <c r="BA393">
        <v>7.3</v>
      </c>
    </row>
    <row r="394" spans="1:53" hidden="1" x14ac:dyDescent="0.3">
      <c r="A394" t="s">
        <v>1094</v>
      </c>
      <c r="B394" t="s">
        <v>1102</v>
      </c>
      <c r="C394" t="s">
        <v>1052</v>
      </c>
      <c r="H394">
        <v>4</v>
      </c>
      <c r="I394" t="s">
        <v>56</v>
      </c>
      <c r="J394">
        <v>4.0000000000000002E-4</v>
      </c>
      <c r="K394" t="s">
        <v>57</v>
      </c>
      <c r="O394">
        <v>0</v>
      </c>
      <c r="T394">
        <v>75</v>
      </c>
      <c r="V394">
        <v>80</v>
      </c>
      <c r="W394" t="s">
        <v>1097</v>
      </c>
      <c r="X394" t="s">
        <v>280</v>
      </c>
      <c r="Y394">
        <v>2880</v>
      </c>
      <c r="AB394">
        <v>4.7</v>
      </c>
      <c r="AC394" t="s">
        <v>210</v>
      </c>
      <c r="AD394" t="s">
        <v>1108</v>
      </c>
      <c r="AH394">
        <v>7.3</v>
      </c>
      <c r="AI394">
        <v>5</v>
      </c>
      <c r="AV394" t="s">
        <v>88</v>
      </c>
      <c r="BA394">
        <v>7.3</v>
      </c>
    </row>
    <row r="395" spans="1:53" hidden="1" x14ac:dyDescent="0.3">
      <c r="A395" t="s">
        <v>1094</v>
      </c>
      <c r="B395" t="s">
        <v>1102</v>
      </c>
      <c r="C395" t="s">
        <v>1052</v>
      </c>
      <c r="H395">
        <v>4</v>
      </c>
      <c r="I395" t="s">
        <v>56</v>
      </c>
      <c r="J395">
        <v>4.0000000000000002E-4</v>
      </c>
      <c r="K395" t="s">
        <v>57</v>
      </c>
      <c r="O395">
        <v>0</v>
      </c>
      <c r="T395">
        <v>65</v>
      </c>
      <c r="V395">
        <v>80</v>
      </c>
      <c r="W395" t="s">
        <v>1097</v>
      </c>
      <c r="X395" t="s">
        <v>280</v>
      </c>
      <c r="Y395">
        <v>2880</v>
      </c>
      <c r="AB395">
        <v>7.1</v>
      </c>
      <c r="AC395" t="s">
        <v>210</v>
      </c>
      <c r="AD395" t="s">
        <v>1104</v>
      </c>
      <c r="AH395">
        <v>7.3</v>
      </c>
      <c r="AI395">
        <v>5</v>
      </c>
      <c r="AV395" t="s">
        <v>88</v>
      </c>
      <c r="BA395">
        <v>7.3</v>
      </c>
    </row>
    <row r="396" spans="1:53" hidden="1" x14ac:dyDescent="0.3">
      <c r="A396" t="s">
        <v>1094</v>
      </c>
      <c r="B396" t="s">
        <v>1102</v>
      </c>
      <c r="C396" t="s">
        <v>1052</v>
      </c>
      <c r="H396">
        <v>4</v>
      </c>
      <c r="I396" t="s">
        <v>56</v>
      </c>
      <c r="J396">
        <v>4.0000000000000002E-4</v>
      </c>
      <c r="K396" t="s">
        <v>57</v>
      </c>
      <c r="O396">
        <v>0</v>
      </c>
      <c r="T396">
        <v>55</v>
      </c>
      <c r="V396">
        <v>80</v>
      </c>
      <c r="W396" t="s">
        <v>1097</v>
      </c>
      <c r="X396" t="s">
        <v>280</v>
      </c>
      <c r="Y396">
        <v>2880</v>
      </c>
      <c r="AB396">
        <v>7.3</v>
      </c>
      <c r="AC396" t="s">
        <v>210</v>
      </c>
      <c r="AD396" t="s">
        <v>1104</v>
      </c>
      <c r="AH396">
        <v>7.3</v>
      </c>
      <c r="AI396">
        <v>5</v>
      </c>
      <c r="AV396" t="s">
        <v>88</v>
      </c>
      <c r="BA396">
        <v>7.3</v>
      </c>
    </row>
    <row r="397" spans="1:53" hidden="1" x14ac:dyDescent="0.3">
      <c r="A397" t="s">
        <v>1094</v>
      </c>
      <c r="B397" t="s">
        <v>1102</v>
      </c>
      <c r="C397" t="s">
        <v>1052</v>
      </c>
      <c r="H397">
        <v>4</v>
      </c>
      <c r="I397" t="s">
        <v>56</v>
      </c>
      <c r="J397">
        <v>4.0000000000000002E-4</v>
      </c>
      <c r="K397" t="s">
        <v>57</v>
      </c>
      <c r="O397">
        <v>0</v>
      </c>
      <c r="T397">
        <v>75</v>
      </c>
      <c r="V397">
        <v>80</v>
      </c>
      <c r="W397" t="s">
        <v>1098</v>
      </c>
      <c r="X397" t="s">
        <v>280</v>
      </c>
      <c r="Y397">
        <v>2880</v>
      </c>
      <c r="AB397">
        <v>2.8</v>
      </c>
      <c r="AC397" t="s">
        <v>210</v>
      </c>
      <c r="AD397" t="s">
        <v>1109</v>
      </c>
      <c r="AH397">
        <v>7.3</v>
      </c>
      <c r="AI397">
        <v>5</v>
      </c>
      <c r="AV397" t="s">
        <v>88</v>
      </c>
      <c r="BA397">
        <v>7.3</v>
      </c>
    </row>
    <row r="398" spans="1:53" hidden="1" x14ac:dyDescent="0.3">
      <c r="A398" t="s">
        <v>1094</v>
      </c>
      <c r="B398" t="s">
        <v>1102</v>
      </c>
      <c r="C398" t="s">
        <v>1052</v>
      </c>
      <c r="H398">
        <v>4</v>
      </c>
      <c r="I398" t="s">
        <v>56</v>
      </c>
      <c r="J398">
        <v>4.0000000000000002E-4</v>
      </c>
      <c r="K398" t="s">
        <v>57</v>
      </c>
      <c r="O398">
        <v>0</v>
      </c>
      <c r="T398">
        <v>65</v>
      </c>
      <c r="V398">
        <v>80</v>
      </c>
      <c r="W398" t="s">
        <v>1098</v>
      </c>
      <c r="X398" t="s">
        <v>280</v>
      </c>
      <c r="Y398">
        <v>2880</v>
      </c>
      <c r="AB398">
        <v>7</v>
      </c>
      <c r="AC398" t="s">
        <v>210</v>
      </c>
      <c r="AD398" t="s">
        <v>1106</v>
      </c>
      <c r="AH398">
        <v>7.3</v>
      </c>
      <c r="AI398">
        <v>5</v>
      </c>
      <c r="AV398" t="s">
        <v>88</v>
      </c>
      <c r="BA398">
        <v>7.3</v>
      </c>
    </row>
    <row r="399" spans="1:53" hidden="1" x14ac:dyDescent="0.3">
      <c r="A399" t="s">
        <v>1094</v>
      </c>
      <c r="B399" t="s">
        <v>1102</v>
      </c>
      <c r="C399" t="s">
        <v>1052</v>
      </c>
      <c r="H399">
        <v>4</v>
      </c>
      <c r="I399" t="s">
        <v>56</v>
      </c>
      <c r="J399">
        <v>4.0000000000000002E-4</v>
      </c>
      <c r="K399" t="s">
        <v>57</v>
      </c>
      <c r="O399">
        <v>0</v>
      </c>
      <c r="T399">
        <v>55</v>
      </c>
      <c r="V399">
        <v>80</v>
      </c>
      <c r="W399" t="s">
        <v>1098</v>
      </c>
      <c r="X399" t="s">
        <v>280</v>
      </c>
      <c r="Y399">
        <v>2880</v>
      </c>
      <c r="AB399">
        <v>7.2</v>
      </c>
      <c r="AC399" t="s">
        <v>210</v>
      </c>
      <c r="AD399" t="s">
        <v>1106</v>
      </c>
      <c r="AH399">
        <v>7.3</v>
      </c>
      <c r="AI399">
        <v>5</v>
      </c>
      <c r="AV399" t="s">
        <v>88</v>
      </c>
      <c r="BA399">
        <v>7.3</v>
      </c>
    </row>
    <row r="400" spans="1:53" hidden="1" x14ac:dyDescent="0.3">
      <c r="A400" t="s">
        <v>1094</v>
      </c>
      <c r="B400" t="s">
        <v>1102</v>
      </c>
      <c r="C400" t="s">
        <v>1052</v>
      </c>
      <c r="H400">
        <v>4</v>
      </c>
      <c r="I400" t="s">
        <v>56</v>
      </c>
      <c r="J400">
        <v>4.0000000000000002E-4</v>
      </c>
      <c r="K400" t="s">
        <v>57</v>
      </c>
      <c r="O400">
        <v>0</v>
      </c>
      <c r="T400">
        <v>75</v>
      </c>
      <c r="V400">
        <v>80</v>
      </c>
      <c r="W400" t="s">
        <v>1099</v>
      </c>
      <c r="X400" t="s">
        <v>280</v>
      </c>
      <c r="Y400">
        <v>2880</v>
      </c>
      <c r="AB400">
        <v>4.2</v>
      </c>
      <c r="AC400" t="s">
        <v>210</v>
      </c>
      <c r="AD400" t="s">
        <v>1110</v>
      </c>
      <c r="AH400">
        <v>7.3</v>
      </c>
      <c r="AI400">
        <v>5</v>
      </c>
      <c r="AV400" t="s">
        <v>88</v>
      </c>
      <c r="BA400">
        <v>7.3</v>
      </c>
    </row>
    <row r="401" spans="1:53" hidden="1" x14ac:dyDescent="0.3">
      <c r="A401" t="s">
        <v>1094</v>
      </c>
      <c r="B401" t="s">
        <v>1102</v>
      </c>
      <c r="C401" t="s">
        <v>1052</v>
      </c>
      <c r="H401">
        <v>4</v>
      </c>
      <c r="I401" t="s">
        <v>56</v>
      </c>
      <c r="J401">
        <v>4.0000000000000002E-4</v>
      </c>
      <c r="K401" t="s">
        <v>57</v>
      </c>
      <c r="O401">
        <v>0</v>
      </c>
      <c r="T401">
        <v>65</v>
      </c>
      <c r="V401">
        <v>80</v>
      </c>
      <c r="W401" t="s">
        <v>1099</v>
      </c>
      <c r="X401" t="s">
        <v>280</v>
      </c>
      <c r="Y401">
        <v>2880</v>
      </c>
      <c r="AB401">
        <v>7.1</v>
      </c>
      <c r="AC401" t="s">
        <v>210</v>
      </c>
      <c r="AD401" t="s">
        <v>1104</v>
      </c>
      <c r="AH401">
        <v>7.3</v>
      </c>
      <c r="AI401">
        <v>5</v>
      </c>
      <c r="AV401" t="s">
        <v>88</v>
      </c>
      <c r="BA401">
        <v>7.3</v>
      </c>
    </row>
    <row r="402" spans="1:53" hidden="1" x14ac:dyDescent="0.3">
      <c r="A402" t="s">
        <v>1094</v>
      </c>
      <c r="B402" t="s">
        <v>1102</v>
      </c>
      <c r="C402" t="s">
        <v>1052</v>
      </c>
      <c r="H402">
        <v>4</v>
      </c>
      <c r="I402" t="s">
        <v>56</v>
      </c>
      <c r="J402">
        <v>4.0000000000000002E-4</v>
      </c>
      <c r="K402" t="s">
        <v>57</v>
      </c>
      <c r="O402">
        <v>0</v>
      </c>
      <c r="T402">
        <v>55</v>
      </c>
      <c r="V402">
        <v>80</v>
      </c>
      <c r="W402" t="s">
        <v>1099</v>
      </c>
      <c r="X402" t="s">
        <v>280</v>
      </c>
      <c r="Y402">
        <v>2880</v>
      </c>
      <c r="AB402">
        <v>7.3</v>
      </c>
      <c r="AC402" t="s">
        <v>210</v>
      </c>
      <c r="AD402" t="s">
        <v>1105</v>
      </c>
      <c r="AH402">
        <v>7.3</v>
      </c>
      <c r="AI402">
        <v>5</v>
      </c>
      <c r="AV402" t="s">
        <v>88</v>
      </c>
      <c r="BA402">
        <v>7.3</v>
      </c>
    </row>
    <row r="403" spans="1:53" hidden="1" x14ac:dyDescent="0.3">
      <c r="A403" t="s">
        <v>1094</v>
      </c>
      <c r="B403" t="s">
        <v>1102</v>
      </c>
      <c r="C403" t="s">
        <v>1052</v>
      </c>
      <c r="H403">
        <v>4</v>
      </c>
      <c r="I403" t="s">
        <v>56</v>
      </c>
      <c r="J403">
        <v>4.0000000000000002E-4</v>
      </c>
      <c r="K403" t="s">
        <v>57</v>
      </c>
      <c r="O403">
        <v>0</v>
      </c>
      <c r="T403">
        <v>75</v>
      </c>
      <c r="V403">
        <v>80</v>
      </c>
      <c r="W403" t="s">
        <v>1100</v>
      </c>
      <c r="X403" t="s">
        <v>280</v>
      </c>
      <c r="Y403">
        <v>2880</v>
      </c>
      <c r="AB403">
        <v>5.9</v>
      </c>
      <c r="AC403" t="s">
        <v>210</v>
      </c>
      <c r="AD403" t="s">
        <v>1106</v>
      </c>
      <c r="AH403">
        <v>7.3</v>
      </c>
      <c r="AI403">
        <v>5</v>
      </c>
      <c r="AV403" t="s">
        <v>88</v>
      </c>
      <c r="BA403">
        <v>7.3</v>
      </c>
    </row>
    <row r="404" spans="1:53" hidden="1" x14ac:dyDescent="0.3">
      <c r="A404" t="s">
        <v>1094</v>
      </c>
      <c r="B404" t="s">
        <v>1102</v>
      </c>
      <c r="C404" t="s">
        <v>1052</v>
      </c>
      <c r="H404">
        <v>4</v>
      </c>
      <c r="I404" t="s">
        <v>56</v>
      </c>
      <c r="J404">
        <v>4.0000000000000002E-4</v>
      </c>
      <c r="K404" t="s">
        <v>57</v>
      </c>
      <c r="O404">
        <v>0</v>
      </c>
      <c r="T404">
        <v>65</v>
      </c>
      <c r="V404">
        <v>80</v>
      </c>
      <c r="W404" t="s">
        <v>1100</v>
      </c>
      <c r="X404" t="s">
        <v>280</v>
      </c>
      <c r="Y404">
        <v>2880</v>
      </c>
      <c r="AB404">
        <v>7</v>
      </c>
      <c r="AC404" t="s">
        <v>210</v>
      </c>
      <c r="AD404" t="s">
        <v>1106</v>
      </c>
      <c r="AH404">
        <v>7.3</v>
      </c>
      <c r="AI404">
        <v>5</v>
      </c>
      <c r="AV404" t="s">
        <v>88</v>
      </c>
      <c r="BA404">
        <v>7.3</v>
      </c>
    </row>
    <row r="405" spans="1:53" hidden="1" x14ac:dyDescent="0.3">
      <c r="A405" t="s">
        <v>1094</v>
      </c>
      <c r="B405" t="s">
        <v>1102</v>
      </c>
      <c r="C405" t="s">
        <v>1052</v>
      </c>
      <c r="H405">
        <v>4</v>
      </c>
      <c r="I405" t="s">
        <v>56</v>
      </c>
      <c r="J405">
        <v>4.0000000000000002E-4</v>
      </c>
      <c r="K405" t="s">
        <v>57</v>
      </c>
      <c r="O405">
        <v>0</v>
      </c>
      <c r="T405">
        <v>55</v>
      </c>
      <c r="V405">
        <v>80</v>
      </c>
      <c r="W405" t="s">
        <v>1100</v>
      </c>
      <c r="X405" t="s">
        <v>280</v>
      </c>
      <c r="Y405">
        <v>2880</v>
      </c>
      <c r="AB405">
        <v>7.1</v>
      </c>
      <c r="AC405" t="s">
        <v>210</v>
      </c>
      <c r="AD405" t="s">
        <v>1104</v>
      </c>
      <c r="AH405">
        <v>7.3</v>
      </c>
      <c r="AI405">
        <v>5</v>
      </c>
      <c r="AV405" t="s">
        <v>88</v>
      </c>
      <c r="BA405">
        <v>7.3</v>
      </c>
    </row>
    <row r="406" spans="1:53" hidden="1" x14ac:dyDescent="0.3">
      <c r="A406" t="s">
        <v>1094</v>
      </c>
      <c r="B406" t="s">
        <v>1102</v>
      </c>
      <c r="C406" t="s">
        <v>1052</v>
      </c>
      <c r="O406">
        <v>0</v>
      </c>
      <c r="T406">
        <v>75</v>
      </c>
      <c r="V406">
        <v>80</v>
      </c>
      <c r="W406" t="s">
        <v>1103</v>
      </c>
      <c r="X406" t="s">
        <v>280</v>
      </c>
      <c r="Y406">
        <v>2880</v>
      </c>
      <c r="AB406">
        <v>0</v>
      </c>
      <c r="AC406" t="s">
        <v>210</v>
      </c>
      <c r="AD406" t="s">
        <v>1105</v>
      </c>
      <c r="AH406">
        <v>7.3</v>
      </c>
      <c r="AI406">
        <v>5</v>
      </c>
      <c r="BA406">
        <v>7.3</v>
      </c>
    </row>
    <row r="407" spans="1:53" hidden="1" x14ac:dyDescent="0.3">
      <c r="A407" t="s">
        <v>1094</v>
      </c>
      <c r="B407" t="s">
        <v>1102</v>
      </c>
      <c r="C407" t="s">
        <v>1052</v>
      </c>
      <c r="O407">
        <v>0</v>
      </c>
      <c r="T407">
        <v>65</v>
      </c>
      <c r="V407">
        <v>80</v>
      </c>
      <c r="W407" t="s">
        <v>1103</v>
      </c>
      <c r="X407" t="s">
        <v>280</v>
      </c>
      <c r="Y407">
        <v>2880</v>
      </c>
      <c r="AB407">
        <v>7</v>
      </c>
      <c r="AC407" t="s">
        <v>210</v>
      </c>
      <c r="AD407" t="s">
        <v>1104</v>
      </c>
      <c r="AH407">
        <v>7.3</v>
      </c>
      <c r="AI407">
        <v>5</v>
      </c>
      <c r="BA407">
        <v>7.3</v>
      </c>
    </row>
    <row r="408" spans="1:53" hidden="1" x14ac:dyDescent="0.3">
      <c r="A408" t="s">
        <v>1094</v>
      </c>
      <c r="B408" t="s">
        <v>1102</v>
      </c>
      <c r="C408" t="s">
        <v>1052</v>
      </c>
      <c r="O408">
        <v>0</v>
      </c>
      <c r="T408">
        <v>55</v>
      </c>
      <c r="V408">
        <v>80</v>
      </c>
      <c r="W408" t="s">
        <v>1103</v>
      </c>
      <c r="X408" t="s">
        <v>280</v>
      </c>
      <c r="Y408">
        <v>2880</v>
      </c>
      <c r="AB408">
        <v>7.3</v>
      </c>
      <c r="AC408" t="s">
        <v>210</v>
      </c>
      <c r="AD408" t="s">
        <v>1105</v>
      </c>
      <c r="AH408">
        <v>7.3</v>
      </c>
      <c r="AI408">
        <v>5</v>
      </c>
      <c r="BA408">
        <v>7.3</v>
      </c>
    </row>
    <row r="409" spans="1:53" hidden="1" x14ac:dyDescent="0.3">
      <c r="A409" t="s">
        <v>1094</v>
      </c>
      <c r="B409" t="s">
        <v>1102</v>
      </c>
      <c r="C409" t="s">
        <v>1052</v>
      </c>
      <c r="H409">
        <v>4</v>
      </c>
      <c r="I409" t="s">
        <v>56</v>
      </c>
      <c r="J409">
        <v>4.0000000000000002E-4</v>
      </c>
      <c r="K409" t="s">
        <v>57</v>
      </c>
      <c r="O409">
        <v>0</v>
      </c>
      <c r="T409">
        <v>65</v>
      </c>
      <c r="V409">
        <v>80</v>
      </c>
      <c r="W409" t="s">
        <v>1096</v>
      </c>
      <c r="X409" t="s">
        <v>280</v>
      </c>
      <c r="Y409">
        <v>4320</v>
      </c>
      <c r="AB409">
        <v>7.1</v>
      </c>
      <c r="AC409" t="s">
        <v>210</v>
      </c>
      <c r="AD409" t="s">
        <v>1104</v>
      </c>
      <c r="AH409">
        <v>7.3</v>
      </c>
      <c r="AI409">
        <v>5</v>
      </c>
      <c r="AV409" t="s">
        <v>88</v>
      </c>
      <c r="BA409">
        <v>7.3</v>
      </c>
    </row>
    <row r="410" spans="1:53" hidden="1" x14ac:dyDescent="0.3">
      <c r="A410" t="s">
        <v>1094</v>
      </c>
      <c r="B410" t="s">
        <v>1102</v>
      </c>
      <c r="C410" t="s">
        <v>1052</v>
      </c>
      <c r="H410">
        <v>4</v>
      </c>
      <c r="I410" t="s">
        <v>56</v>
      </c>
      <c r="J410">
        <v>4.0000000000000002E-4</v>
      </c>
      <c r="K410" t="s">
        <v>57</v>
      </c>
      <c r="O410">
        <v>0</v>
      </c>
      <c r="T410">
        <v>65</v>
      </c>
      <c r="V410">
        <v>80</v>
      </c>
      <c r="W410" t="s">
        <v>1097</v>
      </c>
      <c r="X410" t="s">
        <v>280</v>
      </c>
      <c r="Y410">
        <v>4320</v>
      </c>
      <c r="AB410">
        <v>6.9</v>
      </c>
      <c r="AC410" t="s">
        <v>210</v>
      </c>
      <c r="AD410" t="s">
        <v>1104</v>
      </c>
      <c r="AH410">
        <v>7.3</v>
      </c>
      <c r="AI410">
        <v>5</v>
      </c>
      <c r="AV410" t="s">
        <v>88</v>
      </c>
      <c r="BA410">
        <v>7.3</v>
      </c>
    </row>
    <row r="411" spans="1:53" hidden="1" x14ac:dyDescent="0.3">
      <c r="A411" t="s">
        <v>1094</v>
      </c>
      <c r="B411" t="s">
        <v>1102</v>
      </c>
      <c r="C411" t="s">
        <v>1052</v>
      </c>
      <c r="H411">
        <v>4</v>
      </c>
      <c r="I411" t="s">
        <v>56</v>
      </c>
      <c r="J411">
        <v>4.0000000000000002E-4</v>
      </c>
      <c r="K411" t="s">
        <v>57</v>
      </c>
      <c r="O411">
        <v>0</v>
      </c>
      <c r="T411">
        <v>65</v>
      </c>
      <c r="V411">
        <v>80</v>
      </c>
      <c r="W411" t="s">
        <v>1098</v>
      </c>
      <c r="X411" t="s">
        <v>280</v>
      </c>
      <c r="Y411">
        <v>4320</v>
      </c>
      <c r="AB411">
        <v>6.9</v>
      </c>
      <c r="AC411" t="s">
        <v>210</v>
      </c>
      <c r="AD411" t="s">
        <v>1104</v>
      </c>
      <c r="AH411">
        <v>7.3</v>
      </c>
      <c r="AI411">
        <v>5</v>
      </c>
      <c r="AV411" t="s">
        <v>88</v>
      </c>
      <c r="BA411">
        <v>7.3</v>
      </c>
    </row>
    <row r="412" spans="1:53" hidden="1" x14ac:dyDescent="0.3">
      <c r="A412" t="s">
        <v>1094</v>
      </c>
      <c r="B412" t="s">
        <v>1102</v>
      </c>
      <c r="C412" t="s">
        <v>1052</v>
      </c>
      <c r="H412">
        <v>4</v>
      </c>
      <c r="I412" t="s">
        <v>56</v>
      </c>
      <c r="J412">
        <v>4.0000000000000002E-4</v>
      </c>
      <c r="K412" t="s">
        <v>57</v>
      </c>
      <c r="O412">
        <v>0</v>
      </c>
      <c r="T412">
        <v>65</v>
      </c>
      <c r="V412">
        <v>80</v>
      </c>
      <c r="W412" t="s">
        <v>1099</v>
      </c>
      <c r="X412" t="s">
        <v>280</v>
      </c>
      <c r="Y412">
        <v>4320</v>
      </c>
      <c r="AB412">
        <v>7</v>
      </c>
      <c r="AC412" t="s">
        <v>210</v>
      </c>
      <c r="AD412" t="s">
        <v>1104</v>
      </c>
      <c r="AH412">
        <v>7.3</v>
      </c>
      <c r="AI412">
        <v>5</v>
      </c>
      <c r="AV412" t="s">
        <v>88</v>
      </c>
      <c r="BA412">
        <v>7.3</v>
      </c>
    </row>
    <row r="413" spans="1:53" hidden="1" x14ac:dyDescent="0.3">
      <c r="A413" t="s">
        <v>1094</v>
      </c>
      <c r="B413" t="s">
        <v>1102</v>
      </c>
      <c r="C413" t="s">
        <v>1052</v>
      </c>
      <c r="H413">
        <v>4</v>
      </c>
      <c r="I413" t="s">
        <v>56</v>
      </c>
      <c r="J413">
        <v>4.0000000000000002E-4</v>
      </c>
      <c r="K413" t="s">
        <v>57</v>
      </c>
      <c r="O413">
        <v>0</v>
      </c>
      <c r="T413">
        <v>65</v>
      </c>
      <c r="V413">
        <v>80</v>
      </c>
      <c r="W413" t="s">
        <v>1100</v>
      </c>
      <c r="X413" t="s">
        <v>280</v>
      </c>
      <c r="Y413">
        <v>4320</v>
      </c>
      <c r="AB413">
        <v>6.9</v>
      </c>
      <c r="AC413" t="s">
        <v>210</v>
      </c>
      <c r="AD413" t="s">
        <v>1104</v>
      </c>
      <c r="AH413">
        <v>7.3</v>
      </c>
      <c r="AI413">
        <v>5</v>
      </c>
      <c r="AV413" t="s">
        <v>88</v>
      </c>
      <c r="BA413">
        <v>7.3</v>
      </c>
    </row>
    <row r="414" spans="1:53" hidden="1" x14ac:dyDescent="0.3">
      <c r="A414" t="s">
        <v>1094</v>
      </c>
      <c r="B414" t="s">
        <v>1102</v>
      </c>
      <c r="C414" t="s">
        <v>1052</v>
      </c>
      <c r="O414">
        <v>0</v>
      </c>
      <c r="T414">
        <v>65</v>
      </c>
      <c r="V414">
        <v>80</v>
      </c>
      <c r="W414" t="s">
        <v>1103</v>
      </c>
      <c r="X414" t="s">
        <v>280</v>
      </c>
      <c r="Y414">
        <v>4320</v>
      </c>
      <c r="AB414">
        <v>6.2</v>
      </c>
      <c r="AC414" t="s">
        <v>210</v>
      </c>
      <c r="AD414" t="s">
        <v>1111</v>
      </c>
      <c r="AH414">
        <v>7.3</v>
      </c>
      <c r="AI414">
        <v>5</v>
      </c>
      <c r="BA414">
        <v>7.3</v>
      </c>
    </row>
    <row r="415" spans="1:53" hidden="1" x14ac:dyDescent="0.3">
      <c r="A415" t="s">
        <v>1094</v>
      </c>
      <c r="B415" t="s">
        <v>1102</v>
      </c>
      <c r="C415" t="s">
        <v>1052</v>
      </c>
      <c r="H415">
        <v>4</v>
      </c>
      <c r="I415" t="s">
        <v>56</v>
      </c>
      <c r="J415">
        <v>4.0000000000000002E-4</v>
      </c>
      <c r="K415" t="s">
        <v>57</v>
      </c>
      <c r="O415">
        <v>0</v>
      </c>
      <c r="T415">
        <v>75</v>
      </c>
      <c r="V415">
        <v>70</v>
      </c>
      <c r="W415" t="s">
        <v>1096</v>
      </c>
      <c r="X415" t="s">
        <v>280</v>
      </c>
      <c r="Y415">
        <v>1440</v>
      </c>
      <c r="AB415">
        <v>7</v>
      </c>
      <c r="AC415" t="s">
        <v>210</v>
      </c>
      <c r="AD415" t="s">
        <v>1104</v>
      </c>
      <c r="AH415">
        <v>7.3</v>
      </c>
      <c r="AI415">
        <v>5</v>
      </c>
      <c r="AV415" t="s">
        <v>88</v>
      </c>
      <c r="BA415">
        <v>7.3</v>
      </c>
    </row>
    <row r="416" spans="1:53" hidden="1" x14ac:dyDescent="0.3">
      <c r="A416" t="s">
        <v>1094</v>
      </c>
      <c r="B416" t="s">
        <v>1102</v>
      </c>
      <c r="C416" t="s">
        <v>1052</v>
      </c>
      <c r="H416">
        <v>4</v>
      </c>
      <c r="I416" t="s">
        <v>56</v>
      </c>
      <c r="J416">
        <v>4.0000000000000002E-4</v>
      </c>
      <c r="K416" t="s">
        <v>57</v>
      </c>
      <c r="O416">
        <v>0</v>
      </c>
      <c r="T416">
        <v>55</v>
      </c>
      <c r="V416">
        <v>70</v>
      </c>
      <c r="W416" t="s">
        <v>1096</v>
      </c>
      <c r="X416" t="s">
        <v>280</v>
      </c>
      <c r="Y416">
        <v>1440</v>
      </c>
      <c r="AB416">
        <v>7.1</v>
      </c>
      <c r="AC416" t="s">
        <v>210</v>
      </c>
      <c r="AD416" t="s">
        <v>1104</v>
      </c>
      <c r="AH416">
        <v>7.3</v>
      </c>
      <c r="AI416">
        <v>5</v>
      </c>
      <c r="AV416" t="s">
        <v>88</v>
      </c>
      <c r="BA416">
        <v>7.3</v>
      </c>
    </row>
    <row r="417" spans="1:53" hidden="1" x14ac:dyDescent="0.3">
      <c r="A417" t="s">
        <v>1094</v>
      </c>
      <c r="B417" t="s">
        <v>1102</v>
      </c>
      <c r="C417" t="s">
        <v>1052</v>
      </c>
      <c r="H417">
        <v>4</v>
      </c>
      <c r="I417" t="s">
        <v>56</v>
      </c>
      <c r="J417">
        <v>4.0000000000000002E-4</v>
      </c>
      <c r="K417" t="s">
        <v>57</v>
      </c>
      <c r="O417">
        <v>0</v>
      </c>
      <c r="T417">
        <v>75</v>
      </c>
      <c r="V417">
        <v>70</v>
      </c>
      <c r="W417" t="s">
        <v>1097</v>
      </c>
      <c r="X417" t="s">
        <v>280</v>
      </c>
      <c r="Y417">
        <v>1440</v>
      </c>
      <c r="AB417">
        <v>7.1</v>
      </c>
      <c r="AC417" t="s">
        <v>210</v>
      </c>
      <c r="AD417" t="s">
        <v>1104</v>
      </c>
      <c r="AH417">
        <v>7.3</v>
      </c>
      <c r="AI417">
        <v>5</v>
      </c>
      <c r="AV417" t="s">
        <v>88</v>
      </c>
      <c r="BA417">
        <v>7.3</v>
      </c>
    </row>
    <row r="418" spans="1:53" hidden="1" x14ac:dyDescent="0.3">
      <c r="A418" t="s">
        <v>1094</v>
      </c>
      <c r="B418" t="s">
        <v>1102</v>
      </c>
      <c r="C418" t="s">
        <v>1052</v>
      </c>
      <c r="H418">
        <v>4</v>
      </c>
      <c r="I418" t="s">
        <v>56</v>
      </c>
      <c r="J418">
        <v>4.0000000000000002E-4</v>
      </c>
      <c r="K418" t="s">
        <v>57</v>
      </c>
      <c r="O418">
        <v>0</v>
      </c>
      <c r="T418">
        <v>55</v>
      </c>
      <c r="V418">
        <v>70</v>
      </c>
      <c r="W418" t="s">
        <v>1097</v>
      </c>
      <c r="X418" t="s">
        <v>280</v>
      </c>
      <c r="Y418">
        <v>1440</v>
      </c>
      <c r="AB418">
        <v>7.1</v>
      </c>
      <c r="AC418" t="s">
        <v>210</v>
      </c>
      <c r="AD418" t="s">
        <v>1104</v>
      </c>
      <c r="AH418">
        <v>7.3</v>
      </c>
      <c r="AI418">
        <v>5</v>
      </c>
      <c r="AV418" t="s">
        <v>88</v>
      </c>
      <c r="BA418">
        <v>7.3</v>
      </c>
    </row>
    <row r="419" spans="1:53" hidden="1" x14ac:dyDescent="0.3">
      <c r="A419" t="s">
        <v>1094</v>
      </c>
      <c r="B419" t="s">
        <v>1102</v>
      </c>
      <c r="C419" t="s">
        <v>1052</v>
      </c>
      <c r="H419">
        <v>4</v>
      </c>
      <c r="I419" t="s">
        <v>56</v>
      </c>
      <c r="J419">
        <v>4.0000000000000002E-4</v>
      </c>
      <c r="K419" t="s">
        <v>57</v>
      </c>
      <c r="O419">
        <v>0</v>
      </c>
      <c r="T419">
        <v>75</v>
      </c>
      <c r="V419">
        <v>70</v>
      </c>
      <c r="W419" t="s">
        <v>1098</v>
      </c>
      <c r="X419" t="s">
        <v>280</v>
      </c>
      <c r="Y419">
        <v>1440</v>
      </c>
      <c r="AB419">
        <v>6.6</v>
      </c>
      <c r="AC419" t="s">
        <v>210</v>
      </c>
      <c r="AD419" t="s">
        <v>1112</v>
      </c>
      <c r="AH419">
        <v>7.3</v>
      </c>
      <c r="AI419">
        <v>5</v>
      </c>
      <c r="AV419" t="s">
        <v>88</v>
      </c>
      <c r="BA419">
        <v>7.3</v>
      </c>
    </row>
    <row r="420" spans="1:53" hidden="1" x14ac:dyDescent="0.3">
      <c r="A420" t="s">
        <v>1094</v>
      </c>
      <c r="B420" t="s">
        <v>1102</v>
      </c>
      <c r="C420" t="s">
        <v>1052</v>
      </c>
      <c r="H420">
        <v>4</v>
      </c>
      <c r="I420" t="s">
        <v>56</v>
      </c>
      <c r="J420">
        <v>4.0000000000000002E-4</v>
      </c>
      <c r="K420" t="s">
        <v>57</v>
      </c>
      <c r="O420">
        <v>0</v>
      </c>
      <c r="T420">
        <v>55</v>
      </c>
      <c r="V420">
        <v>70</v>
      </c>
      <c r="W420" t="s">
        <v>1098</v>
      </c>
      <c r="X420" t="s">
        <v>280</v>
      </c>
      <c r="Y420">
        <v>1440</v>
      </c>
      <c r="AB420">
        <v>7.1</v>
      </c>
      <c r="AC420" t="s">
        <v>210</v>
      </c>
      <c r="AD420" t="s">
        <v>1104</v>
      </c>
      <c r="AH420">
        <v>7.3</v>
      </c>
      <c r="AI420">
        <v>5</v>
      </c>
      <c r="AV420" t="s">
        <v>88</v>
      </c>
      <c r="BA420">
        <v>7.3</v>
      </c>
    </row>
    <row r="421" spans="1:53" hidden="1" x14ac:dyDescent="0.3">
      <c r="A421" t="s">
        <v>1094</v>
      </c>
      <c r="B421" t="s">
        <v>1102</v>
      </c>
      <c r="C421" t="s">
        <v>1052</v>
      </c>
      <c r="H421">
        <v>4</v>
      </c>
      <c r="I421" t="s">
        <v>56</v>
      </c>
      <c r="J421">
        <v>4.0000000000000002E-4</v>
      </c>
      <c r="K421" t="s">
        <v>57</v>
      </c>
      <c r="O421">
        <v>0</v>
      </c>
      <c r="T421">
        <v>75</v>
      </c>
      <c r="V421">
        <v>70</v>
      </c>
      <c r="W421" t="s">
        <v>1099</v>
      </c>
      <c r="X421" t="s">
        <v>280</v>
      </c>
      <c r="Y421">
        <v>1440</v>
      </c>
      <c r="AB421">
        <v>7</v>
      </c>
      <c r="AC421" t="s">
        <v>210</v>
      </c>
      <c r="AD421" t="s">
        <v>1104</v>
      </c>
      <c r="AH421">
        <v>7.3</v>
      </c>
      <c r="AI421">
        <v>5</v>
      </c>
      <c r="AV421" t="s">
        <v>88</v>
      </c>
      <c r="BA421">
        <v>7.3</v>
      </c>
    </row>
    <row r="422" spans="1:53" hidden="1" x14ac:dyDescent="0.3">
      <c r="A422" t="s">
        <v>1094</v>
      </c>
      <c r="B422" t="s">
        <v>1102</v>
      </c>
      <c r="C422" t="s">
        <v>1052</v>
      </c>
      <c r="H422">
        <v>4</v>
      </c>
      <c r="I422" t="s">
        <v>56</v>
      </c>
      <c r="J422">
        <v>4.0000000000000002E-4</v>
      </c>
      <c r="K422" t="s">
        <v>57</v>
      </c>
      <c r="O422">
        <v>0</v>
      </c>
      <c r="T422">
        <v>55</v>
      </c>
      <c r="V422">
        <v>70</v>
      </c>
      <c r="W422" t="s">
        <v>1099</v>
      </c>
      <c r="X422" t="s">
        <v>280</v>
      </c>
      <c r="Y422">
        <v>1440</v>
      </c>
      <c r="AB422">
        <v>7.1</v>
      </c>
      <c r="AC422" t="s">
        <v>210</v>
      </c>
      <c r="AD422" t="s">
        <v>1104</v>
      </c>
      <c r="AH422">
        <v>7.3</v>
      </c>
      <c r="AI422">
        <v>5</v>
      </c>
      <c r="AV422" t="s">
        <v>88</v>
      </c>
      <c r="BA422">
        <v>7.3</v>
      </c>
    </row>
    <row r="423" spans="1:53" hidden="1" x14ac:dyDescent="0.3">
      <c r="A423" t="s">
        <v>1094</v>
      </c>
      <c r="B423" t="s">
        <v>1102</v>
      </c>
      <c r="C423" t="s">
        <v>1052</v>
      </c>
      <c r="H423">
        <v>4</v>
      </c>
      <c r="I423" t="s">
        <v>56</v>
      </c>
      <c r="J423">
        <v>4.0000000000000002E-4</v>
      </c>
      <c r="K423" t="s">
        <v>57</v>
      </c>
      <c r="O423">
        <v>0</v>
      </c>
      <c r="T423">
        <v>75</v>
      </c>
      <c r="V423">
        <v>70</v>
      </c>
      <c r="W423" t="s">
        <v>1100</v>
      </c>
      <c r="X423" t="s">
        <v>280</v>
      </c>
      <c r="Y423">
        <v>1440</v>
      </c>
      <c r="AB423">
        <v>7</v>
      </c>
      <c r="AC423" t="s">
        <v>210</v>
      </c>
      <c r="AD423" t="s">
        <v>1104</v>
      </c>
      <c r="AH423">
        <v>7.3</v>
      </c>
      <c r="AI423">
        <v>5</v>
      </c>
      <c r="AV423" t="s">
        <v>88</v>
      </c>
      <c r="BA423">
        <v>7.3</v>
      </c>
    </row>
    <row r="424" spans="1:53" hidden="1" x14ac:dyDescent="0.3">
      <c r="A424" t="s">
        <v>1094</v>
      </c>
      <c r="B424" t="s">
        <v>1102</v>
      </c>
      <c r="C424" t="s">
        <v>1052</v>
      </c>
      <c r="H424">
        <v>4</v>
      </c>
      <c r="I424" t="s">
        <v>56</v>
      </c>
      <c r="J424">
        <v>4.0000000000000002E-4</v>
      </c>
      <c r="K424" t="s">
        <v>57</v>
      </c>
      <c r="O424">
        <v>0</v>
      </c>
      <c r="T424">
        <v>55</v>
      </c>
      <c r="V424">
        <v>70</v>
      </c>
      <c r="W424" t="s">
        <v>1100</v>
      </c>
      <c r="X424" t="s">
        <v>280</v>
      </c>
      <c r="Y424">
        <v>1440</v>
      </c>
      <c r="AB424">
        <v>7.1</v>
      </c>
      <c r="AC424" t="s">
        <v>210</v>
      </c>
      <c r="AD424" t="s">
        <v>1104</v>
      </c>
      <c r="AH424">
        <v>7.3</v>
      </c>
      <c r="AI424">
        <v>5</v>
      </c>
      <c r="AV424" t="s">
        <v>88</v>
      </c>
      <c r="BA424">
        <v>7.3</v>
      </c>
    </row>
    <row r="425" spans="1:53" hidden="1" x14ac:dyDescent="0.3">
      <c r="A425" t="s">
        <v>1094</v>
      </c>
      <c r="B425" t="s">
        <v>1102</v>
      </c>
      <c r="C425" t="s">
        <v>1052</v>
      </c>
      <c r="O425">
        <v>0</v>
      </c>
      <c r="T425">
        <v>75</v>
      </c>
      <c r="V425">
        <v>70</v>
      </c>
      <c r="W425" t="s">
        <v>1103</v>
      </c>
      <c r="X425" t="s">
        <v>280</v>
      </c>
      <c r="Y425">
        <v>1440</v>
      </c>
      <c r="AB425">
        <v>1.6</v>
      </c>
      <c r="AC425" t="s">
        <v>210</v>
      </c>
      <c r="AD425" t="s">
        <v>1113</v>
      </c>
      <c r="AH425">
        <v>7.3</v>
      </c>
      <c r="AI425">
        <v>5</v>
      </c>
      <c r="BA425">
        <v>7.3</v>
      </c>
    </row>
    <row r="426" spans="1:53" hidden="1" x14ac:dyDescent="0.3">
      <c r="A426" t="s">
        <v>1094</v>
      </c>
      <c r="B426" t="s">
        <v>1102</v>
      </c>
      <c r="C426" t="s">
        <v>1052</v>
      </c>
      <c r="O426">
        <v>0</v>
      </c>
      <c r="T426">
        <v>55</v>
      </c>
      <c r="V426">
        <v>70</v>
      </c>
      <c r="W426" t="s">
        <v>1103</v>
      </c>
      <c r="X426" t="s">
        <v>280</v>
      </c>
      <c r="Y426">
        <v>1440</v>
      </c>
      <c r="AB426">
        <v>7.1</v>
      </c>
      <c r="AC426" t="s">
        <v>210</v>
      </c>
      <c r="AD426" t="s">
        <v>1104</v>
      </c>
      <c r="AH426">
        <v>7.3</v>
      </c>
      <c r="AI426">
        <v>5</v>
      </c>
      <c r="BA426">
        <v>7.3</v>
      </c>
    </row>
    <row r="427" spans="1:53" hidden="1" x14ac:dyDescent="0.3">
      <c r="A427" t="s">
        <v>1094</v>
      </c>
      <c r="B427" t="s">
        <v>1102</v>
      </c>
      <c r="C427" t="s">
        <v>1052</v>
      </c>
      <c r="H427">
        <v>4</v>
      </c>
      <c r="I427" t="s">
        <v>56</v>
      </c>
      <c r="J427">
        <v>4.0000000000000002E-4</v>
      </c>
      <c r="K427" t="s">
        <v>57</v>
      </c>
      <c r="O427">
        <v>0</v>
      </c>
      <c r="T427">
        <v>65</v>
      </c>
      <c r="V427">
        <v>70</v>
      </c>
      <c r="W427" t="s">
        <v>1096</v>
      </c>
      <c r="X427" t="s">
        <v>280</v>
      </c>
      <c r="Y427">
        <v>2880</v>
      </c>
      <c r="AB427">
        <v>7.2</v>
      </c>
      <c r="AC427" t="s">
        <v>210</v>
      </c>
      <c r="AD427" t="s">
        <v>1105</v>
      </c>
      <c r="AH427">
        <v>7.3</v>
      </c>
      <c r="AI427">
        <v>5</v>
      </c>
      <c r="AV427" t="s">
        <v>88</v>
      </c>
      <c r="BA427">
        <v>7.3</v>
      </c>
    </row>
    <row r="428" spans="1:53" hidden="1" x14ac:dyDescent="0.3">
      <c r="A428" t="s">
        <v>1094</v>
      </c>
      <c r="B428" t="s">
        <v>1102</v>
      </c>
      <c r="C428" t="s">
        <v>1052</v>
      </c>
      <c r="H428">
        <v>4</v>
      </c>
      <c r="I428" t="s">
        <v>56</v>
      </c>
      <c r="J428">
        <v>4.0000000000000002E-4</v>
      </c>
      <c r="K428" t="s">
        <v>57</v>
      </c>
      <c r="O428">
        <v>0</v>
      </c>
      <c r="T428">
        <v>65</v>
      </c>
      <c r="V428">
        <v>70</v>
      </c>
      <c r="W428" t="s">
        <v>1097</v>
      </c>
      <c r="X428" t="s">
        <v>280</v>
      </c>
      <c r="Y428">
        <v>2880</v>
      </c>
      <c r="AB428">
        <v>7.2</v>
      </c>
      <c r="AC428" t="s">
        <v>210</v>
      </c>
      <c r="AD428" t="s">
        <v>1104</v>
      </c>
      <c r="AH428">
        <v>7.3</v>
      </c>
      <c r="AI428">
        <v>5</v>
      </c>
      <c r="AV428" t="s">
        <v>88</v>
      </c>
      <c r="BA428">
        <v>7.3</v>
      </c>
    </row>
    <row r="429" spans="1:53" hidden="1" x14ac:dyDescent="0.3">
      <c r="A429" t="s">
        <v>1094</v>
      </c>
      <c r="B429" t="s">
        <v>1102</v>
      </c>
      <c r="C429" t="s">
        <v>1052</v>
      </c>
      <c r="H429">
        <v>4</v>
      </c>
      <c r="I429" t="s">
        <v>56</v>
      </c>
      <c r="J429">
        <v>4.0000000000000002E-4</v>
      </c>
      <c r="K429" t="s">
        <v>57</v>
      </c>
      <c r="O429">
        <v>0</v>
      </c>
      <c r="T429">
        <v>65</v>
      </c>
      <c r="V429">
        <v>70</v>
      </c>
      <c r="W429" t="s">
        <v>1098</v>
      </c>
      <c r="X429" t="s">
        <v>280</v>
      </c>
      <c r="Y429">
        <v>2880</v>
      </c>
      <c r="AB429">
        <v>7.2</v>
      </c>
      <c r="AC429" t="s">
        <v>210</v>
      </c>
      <c r="AD429" t="s">
        <v>1104</v>
      </c>
      <c r="AH429">
        <v>7.3</v>
      </c>
      <c r="AI429">
        <v>5</v>
      </c>
      <c r="AV429" t="s">
        <v>88</v>
      </c>
      <c r="BA429">
        <v>7.3</v>
      </c>
    </row>
    <row r="430" spans="1:53" hidden="1" x14ac:dyDescent="0.3">
      <c r="A430" t="s">
        <v>1094</v>
      </c>
      <c r="B430" t="s">
        <v>1102</v>
      </c>
      <c r="C430" t="s">
        <v>1052</v>
      </c>
      <c r="H430">
        <v>4</v>
      </c>
      <c r="I430" t="s">
        <v>56</v>
      </c>
      <c r="J430">
        <v>4.0000000000000002E-4</v>
      </c>
      <c r="K430" t="s">
        <v>57</v>
      </c>
      <c r="O430">
        <v>0</v>
      </c>
      <c r="T430">
        <v>65</v>
      </c>
      <c r="V430">
        <v>70</v>
      </c>
      <c r="W430" t="s">
        <v>1099</v>
      </c>
      <c r="X430" t="s">
        <v>280</v>
      </c>
      <c r="Y430">
        <v>2880</v>
      </c>
      <c r="AB430">
        <v>7.2</v>
      </c>
      <c r="AC430" t="s">
        <v>210</v>
      </c>
      <c r="AD430" t="s">
        <v>1104</v>
      </c>
      <c r="AH430">
        <v>7.3</v>
      </c>
      <c r="AI430">
        <v>5</v>
      </c>
      <c r="AV430" t="s">
        <v>88</v>
      </c>
      <c r="BA430">
        <v>7.3</v>
      </c>
    </row>
    <row r="431" spans="1:53" hidden="1" x14ac:dyDescent="0.3">
      <c r="A431" t="s">
        <v>1094</v>
      </c>
      <c r="B431" t="s">
        <v>1102</v>
      </c>
      <c r="C431" t="s">
        <v>1052</v>
      </c>
      <c r="H431">
        <v>4</v>
      </c>
      <c r="I431" t="s">
        <v>56</v>
      </c>
      <c r="J431">
        <v>4.0000000000000002E-4</v>
      </c>
      <c r="K431" t="s">
        <v>57</v>
      </c>
      <c r="O431">
        <v>0</v>
      </c>
      <c r="T431">
        <v>65</v>
      </c>
      <c r="V431">
        <v>70</v>
      </c>
      <c r="W431" t="s">
        <v>1100</v>
      </c>
      <c r="X431" t="s">
        <v>280</v>
      </c>
      <c r="Y431">
        <v>2880</v>
      </c>
      <c r="AB431">
        <v>7.1</v>
      </c>
      <c r="AC431" t="s">
        <v>210</v>
      </c>
      <c r="AD431" t="s">
        <v>1104</v>
      </c>
      <c r="AH431">
        <v>7.3</v>
      </c>
      <c r="AI431">
        <v>5</v>
      </c>
      <c r="AV431" t="s">
        <v>88</v>
      </c>
      <c r="BA431">
        <v>7.3</v>
      </c>
    </row>
    <row r="432" spans="1:53" hidden="1" x14ac:dyDescent="0.3">
      <c r="A432" t="s">
        <v>1094</v>
      </c>
      <c r="B432" t="s">
        <v>1102</v>
      </c>
      <c r="C432" t="s">
        <v>1052</v>
      </c>
      <c r="O432">
        <v>0</v>
      </c>
      <c r="T432">
        <v>65</v>
      </c>
      <c r="V432">
        <v>70</v>
      </c>
      <c r="W432" t="s">
        <v>1103</v>
      </c>
      <c r="X432" t="s">
        <v>280</v>
      </c>
      <c r="Y432">
        <v>2880</v>
      </c>
      <c r="AB432">
        <v>6.7</v>
      </c>
      <c r="AC432" t="s">
        <v>210</v>
      </c>
      <c r="AD432" t="s">
        <v>1112</v>
      </c>
      <c r="AH432">
        <v>7.3</v>
      </c>
      <c r="AI432">
        <v>5</v>
      </c>
      <c r="BA432">
        <v>7.3</v>
      </c>
    </row>
    <row r="433" spans="1:53" hidden="1" x14ac:dyDescent="0.3">
      <c r="A433" t="s">
        <v>1094</v>
      </c>
      <c r="B433" t="s">
        <v>1102</v>
      </c>
      <c r="C433" t="s">
        <v>1052</v>
      </c>
      <c r="H433">
        <v>4</v>
      </c>
      <c r="I433" t="s">
        <v>56</v>
      </c>
      <c r="J433">
        <v>4.0000000000000002E-4</v>
      </c>
      <c r="K433" t="s">
        <v>57</v>
      </c>
      <c r="O433">
        <v>0</v>
      </c>
      <c r="T433">
        <v>75</v>
      </c>
      <c r="V433">
        <v>70</v>
      </c>
      <c r="W433" t="s">
        <v>1096</v>
      </c>
      <c r="X433" t="s">
        <v>280</v>
      </c>
      <c r="Y433">
        <v>4320</v>
      </c>
      <c r="AB433">
        <v>1.6</v>
      </c>
      <c r="AC433" t="s">
        <v>210</v>
      </c>
      <c r="AD433" t="s">
        <v>1114</v>
      </c>
      <c r="AH433">
        <v>7.3</v>
      </c>
      <c r="AI433">
        <v>5</v>
      </c>
      <c r="AV433" t="s">
        <v>88</v>
      </c>
      <c r="BA433">
        <v>7.3</v>
      </c>
    </row>
    <row r="434" spans="1:53" hidden="1" x14ac:dyDescent="0.3">
      <c r="A434" t="s">
        <v>1094</v>
      </c>
      <c r="B434" t="s">
        <v>1102</v>
      </c>
      <c r="C434" t="s">
        <v>1052</v>
      </c>
      <c r="H434">
        <v>4</v>
      </c>
      <c r="I434" t="s">
        <v>56</v>
      </c>
      <c r="J434">
        <v>4.0000000000000002E-4</v>
      </c>
      <c r="K434" t="s">
        <v>57</v>
      </c>
      <c r="O434">
        <v>0</v>
      </c>
      <c r="T434">
        <v>55</v>
      </c>
      <c r="V434">
        <v>70</v>
      </c>
      <c r="W434" t="s">
        <v>1096</v>
      </c>
      <c r="X434" t="s">
        <v>280</v>
      </c>
      <c r="Y434">
        <v>4320</v>
      </c>
      <c r="AB434">
        <v>7.2</v>
      </c>
      <c r="AC434" t="s">
        <v>210</v>
      </c>
      <c r="AD434" t="s">
        <v>1105</v>
      </c>
      <c r="AH434">
        <v>7.3</v>
      </c>
      <c r="AI434">
        <v>5</v>
      </c>
      <c r="AV434" t="s">
        <v>88</v>
      </c>
      <c r="BA434">
        <v>7.3</v>
      </c>
    </row>
    <row r="435" spans="1:53" hidden="1" x14ac:dyDescent="0.3">
      <c r="A435" t="s">
        <v>1094</v>
      </c>
      <c r="B435" t="s">
        <v>1102</v>
      </c>
      <c r="C435" t="s">
        <v>1052</v>
      </c>
      <c r="H435">
        <v>4</v>
      </c>
      <c r="I435" t="s">
        <v>56</v>
      </c>
      <c r="J435">
        <v>4.0000000000000002E-4</v>
      </c>
      <c r="K435" t="s">
        <v>57</v>
      </c>
      <c r="O435">
        <v>0</v>
      </c>
      <c r="T435">
        <v>75</v>
      </c>
      <c r="V435">
        <v>70</v>
      </c>
      <c r="W435" t="s">
        <v>1097</v>
      </c>
      <c r="X435" t="s">
        <v>280</v>
      </c>
      <c r="Y435">
        <v>4320</v>
      </c>
      <c r="AB435">
        <v>4</v>
      </c>
      <c r="AC435" t="s">
        <v>210</v>
      </c>
      <c r="AD435" t="s">
        <v>1115</v>
      </c>
      <c r="AH435">
        <v>7.3</v>
      </c>
      <c r="AI435">
        <v>5</v>
      </c>
      <c r="AV435" t="s">
        <v>88</v>
      </c>
      <c r="BA435">
        <v>7.3</v>
      </c>
    </row>
    <row r="436" spans="1:53" hidden="1" x14ac:dyDescent="0.3">
      <c r="A436" t="s">
        <v>1094</v>
      </c>
      <c r="B436" t="s">
        <v>1102</v>
      </c>
      <c r="C436" t="s">
        <v>1052</v>
      </c>
      <c r="H436">
        <v>4</v>
      </c>
      <c r="I436" t="s">
        <v>56</v>
      </c>
      <c r="J436">
        <v>4.0000000000000002E-4</v>
      </c>
      <c r="K436" t="s">
        <v>57</v>
      </c>
      <c r="O436">
        <v>0</v>
      </c>
      <c r="T436">
        <v>55</v>
      </c>
      <c r="V436">
        <v>70</v>
      </c>
      <c r="W436" t="s">
        <v>1097</v>
      </c>
      <c r="X436" t="s">
        <v>280</v>
      </c>
      <c r="Y436">
        <v>4320</v>
      </c>
      <c r="AB436">
        <v>7.2</v>
      </c>
      <c r="AC436" t="s">
        <v>210</v>
      </c>
      <c r="AD436" t="s">
        <v>1105</v>
      </c>
      <c r="AH436">
        <v>7.3</v>
      </c>
      <c r="AI436">
        <v>5</v>
      </c>
      <c r="AV436" t="s">
        <v>88</v>
      </c>
      <c r="BA436">
        <v>7.3</v>
      </c>
    </row>
    <row r="437" spans="1:53" hidden="1" x14ac:dyDescent="0.3">
      <c r="A437" t="s">
        <v>1094</v>
      </c>
      <c r="B437" t="s">
        <v>1102</v>
      </c>
      <c r="C437" t="s">
        <v>1052</v>
      </c>
      <c r="H437">
        <v>4</v>
      </c>
      <c r="I437" t="s">
        <v>56</v>
      </c>
      <c r="J437">
        <v>4.0000000000000002E-4</v>
      </c>
      <c r="K437" t="s">
        <v>57</v>
      </c>
      <c r="O437">
        <v>0</v>
      </c>
      <c r="T437">
        <v>75</v>
      </c>
      <c r="V437">
        <v>70</v>
      </c>
      <c r="W437" t="s">
        <v>1098</v>
      </c>
      <c r="X437" t="s">
        <v>280</v>
      </c>
      <c r="Y437">
        <v>4320</v>
      </c>
      <c r="AB437">
        <v>2.6</v>
      </c>
      <c r="AC437" t="s">
        <v>210</v>
      </c>
      <c r="AD437" t="s">
        <v>1110</v>
      </c>
      <c r="AH437">
        <v>7.3</v>
      </c>
      <c r="AI437">
        <v>5</v>
      </c>
      <c r="AV437" t="s">
        <v>88</v>
      </c>
      <c r="BA437">
        <v>7.3</v>
      </c>
    </row>
    <row r="438" spans="1:53" hidden="1" x14ac:dyDescent="0.3">
      <c r="A438" t="s">
        <v>1094</v>
      </c>
      <c r="B438" t="s">
        <v>1102</v>
      </c>
      <c r="C438" t="s">
        <v>1052</v>
      </c>
      <c r="H438">
        <v>4</v>
      </c>
      <c r="I438" t="s">
        <v>56</v>
      </c>
      <c r="J438">
        <v>4.0000000000000002E-4</v>
      </c>
      <c r="K438" t="s">
        <v>57</v>
      </c>
      <c r="O438">
        <v>0</v>
      </c>
      <c r="T438">
        <v>55</v>
      </c>
      <c r="V438">
        <v>70</v>
      </c>
      <c r="W438" t="s">
        <v>1098</v>
      </c>
      <c r="X438" t="s">
        <v>280</v>
      </c>
      <c r="Y438">
        <v>4320</v>
      </c>
      <c r="AB438">
        <v>7.1</v>
      </c>
      <c r="AC438" t="s">
        <v>210</v>
      </c>
      <c r="AD438" t="s">
        <v>1105</v>
      </c>
      <c r="AH438">
        <v>7.3</v>
      </c>
      <c r="AI438">
        <v>5</v>
      </c>
      <c r="AV438" t="s">
        <v>88</v>
      </c>
      <c r="BA438">
        <v>7.3</v>
      </c>
    </row>
    <row r="439" spans="1:53" hidden="1" x14ac:dyDescent="0.3">
      <c r="A439" t="s">
        <v>1094</v>
      </c>
      <c r="B439" t="s">
        <v>1102</v>
      </c>
      <c r="C439" t="s">
        <v>1052</v>
      </c>
      <c r="H439">
        <v>4</v>
      </c>
      <c r="I439" t="s">
        <v>56</v>
      </c>
      <c r="J439">
        <v>4.0000000000000002E-4</v>
      </c>
      <c r="K439" t="s">
        <v>57</v>
      </c>
      <c r="O439">
        <v>0</v>
      </c>
      <c r="T439">
        <v>75</v>
      </c>
      <c r="V439">
        <v>70</v>
      </c>
      <c r="W439" t="s">
        <v>1099</v>
      </c>
      <c r="X439" t="s">
        <v>280</v>
      </c>
      <c r="Y439">
        <v>4320</v>
      </c>
      <c r="AB439">
        <v>3.6</v>
      </c>
      <c r="AC439" t="s">
        <v>210</v>
      </c>
      <c r="AD439" t="s">
        <v>1116</v>
      </c>
      <c r="AH439">
        <v>7.3</v>
      </c>
      <c r="AI439">
        <v>5</v>
      </c>
      <c r="AV439" t="s">
        <v>88</v>
      </c>
      <c r="BA439">
        <v>7.3</v>
      </c>
    </row>
    <row r="440" spans="1:53" hidden="1" x14ac:dyDescent="0.3">
      <c r="A440" t="s">
        <v>1094</v>
      </c>
      <c r="B440" t="s">
        <v>1102</v>
      </c>
      <c r="C440" t="s">
        <v>1052</v>
      </c>
      <c r="H440">
        <v>4</v>
      </c>
      <c r="I440" t="s">
        <v>56</v>
      </c>
      <c r="J440">
        <v>4.0000000000000002E-4</v>
      </c>
      <c r="K440" t="s">
        <v>57</v>
      </c>
      <c r="O440">
        <v>0</v>
      </c>
      <c r="T440">
        <v>55</v>
      </c>
      <c r="V440">
        <v>70</v>
      </c>
      <c r="W440" t="s">
        <v>1099</v>
      </c>
      <c r="X440" t="s">
        <v>280</v>
      </c>
      <c r="Y440">
        <v>4320</v>
      </c>
      <c r="AB440">
        <v>7.2</v>
      </c>
      <c r="AC440" t="s">
        <v>210</v>
      </c>
      <c r="AD440" t="s">
        <v>1105</v>
      </c>
      <c r="AH440">
        <v>7.3</v>
      </c>
      <c r="AI440">
        <v>5</v>
      </c>
      <c r="AV440" t="s">
        <v>88</v>
      </c>
      <c r="BA440">
        <v>7.3</v>
      </c>
    </row>
    <row r="441" spans="1:53" hidden="1" x14ac:dyDescent="0.3">
      <c r="A441" t="s">
        <v>1094</v>
      </c>
      <c r="B441" t="s">
        <v>1102</v>
      </c>
      <c r="C441" t="s">
        <v>1052</v>
      </c>
      <c r="H441">
        <v>4</v>
      </c>
      <c r="I441" t="s">
        <v>56</v>
      </c>
      <c r="J441">
        <v>4.0000000000000002E-4</v>
      </c>
      <c r="K441" t="s">
        <v>57</v>
      </c>
      <c r="O441">
        <v>0</v>
      </c>
      <c r="T441">
        <v>75</v>
      </c>
      <c r="V441">
        <v>70</v>
      </c>
      <c r="W441" t="s">
        <v>1100</v>
      </c>
      <c r="X441" t="s">
        <v>280</v>
      </c>
      <c r="Y441">
        <v>4320</v>
      </c>
      <c r="AB441">
        <v>6.6</v>
      </c>
      <c r="AC441" t="s">
        <v>210</v>
      </c>
      <c r="AD441" t="s">
        <v>1104</v>
      </c>
      <c r="AH441">
        <v>7.3</v>
      </c>
      <c r="AI441">
        <v>5</v>
      </c>
      <c r="AV441" t="s">
        <v>88</v>
      </c>
      <c r="BA441">
        <v>7.3</v>
      </c>
    </row>
    <row r="442" spans="1:53" hidden="1" x14ac:dyDescent="0.3">
      <c r="A442" t="s">
        <v>1094</v>
      </c>
      <c r="B442" t="s">
        <v>1102</v>
      </c>
      <c r="C442" t="s">
        <v>1052</v>
      </c>
      <c r="H442">
        <v>4</v>
      </c>
      <c r="I442" t="s">
        <v>56</v>
      </c>
      <c r="J442">
        <v>4.0000000000000002E-4</v>
      </c>
      <c r="K442" t="s">
        <v>57</v>
      </c>
      <c r="O442">
        <v>0</v>
      </c>
      <c r="T442">
        <v>55</v>
      </c>
      <c r="V442">
        <v>70</v>
      </c>
      <c r="W442" t="s">
        <v>1100</v>
      </c>
      <c r="X442" t="s">
        <v>280</v>
      </c>
      <c r="Y442">
        <v>4320</v>
      </c>
      <c r="AB442">
        <v>7.1</v>
      </c>
      <c r="AC442" t="s">
        <v>210</v>
      </c>
      <c r="AD442" t="s">
        <v>1104</v>
      </c>
      <c r="AH442">
        <v>7.3</v>
      </c>
      <c r="AI442">
        <v>5</v>
      </c>
      <c r="AV442" t="s">
        <v>88</v>
      </c>
      <c r="BA442">
        <v>7.3</v>
      </c>
    </row>
    <row r="443" spans="1:53" hidden="1" x14ac:dyDescent="0.3">
      <c r="A443" t="s">
        <v>1094</v>
      </c>
      <c r="B443" t="s">
        <v>1102</v>
      </c>
      <c r="C443" t="s">
        <v>1052</v>
      </c>
      <c r="O443">
        <v>0</v>
      </c>
      <c r="T443">
        <v>75</v>
      </c>
      <c r="V443">
        <v>70</v>
      </c>
      <c r="W443" t="s">
        <v>1103</v>
      </c>
      <c r="X443" t="s">
        <v>280</v>
      </c>
      <c r="Y443">
        <v>4320</v>
      </c>
      <c r="AB443">
        <v>0</v>
      </c>
      <c r="AC443" t="s">
        <v>210</v>
      </c>
      <c r="AD443" t="s">
        <v>1105</v>
      </c>
      <c r="AH443">
        <v>7.3</v>
      </c>
      <c r="AI443">
        <v>5</v>
      </c>
      <c r="BA443">
        <v>7.3</v>
      </c>
    </row>
    <row r="444" spans="1:53" hidden="1" x14ac:dyDescent="0.3">
      <c r="A444" t="s">
        <v>1094</v>
      </c>
      <c r="B444" t="s">
        <v>1102</v>
      </c>
      <c r="C444" t="s">
        <v>1052</v>
      </c>
      <c r="O444">
        <v>0</v>
      </c>
      <c r="T444">
        <v>55</v>
      </c>
      <c r="V444">
        <v>70</v>
      </c>
      <c r="W444" t="s">
        <v>1103</v>
      </c>
      <c r="X444" t="s">
        <v>280</v>
      </c>
      <c r="Y444">
        <v>4320</v>
      </c>
      <c r="AB444">
        <v>7.2</v>
      </c>
      <c r="AC444" t="s">
        <v>210</v>
      </c>
      <c r="AD444" t="s">
        <v>1104</v>
      </c>
      <c r="AH444">
        <v>7.3</v>
      </c>
      <c r="AI444">
        <v>5</v>
      </c>
      <c r="BA444">
        <v>7.3</v>
      </c>
    </row>
    <row r="445" spans="1:53" hidden="1" x14ac:dyDescent="0.3">
      <c r="A445" t="s">
        <v>1094</v>
      </c>
      <c r="B445" t="s">
        <v>1102</v>
      </c>
      <c r="C445" t="s">
        <v>1052</v>
      </c>
      <c r="H445">
        <v>4</v>
      </c>
      <c r="I445" t="s">
        <v>56</v>
      </c>
      <c r="J445">
        <v>4.0000000000000002E-4</v>
      </c>
      <c r="K445" t="s">
        <v>57</v>
      </c>
      <c r="O445">
        <v>0</v>
      </c>
      <c r="T445">
        <v>75</v>
      </c>
      <c r="V445">
        <v>90</v>
      </c>
      <c r="W445" t="s">
        <v>1096</v>
      </c>
      <c r="X445" t="s">
        <v>280</v>
      </c>
      <c r="Y445">
        <v>1440</v>
      </c>
      <c r="AB445">
        <v>4.2</v>
      </c>
      <c r="AC445" t="s">
        <v>210</v>
      </c>
      <c r="AD445">
        <v>0.8</v>
      </c>
      <c r="AH445">
        <v>7.4</v>
      </c>
      <c r="AI445">
        <v>5</v>
      </c>
      <c r="AV445" t="s">
        <v>88</v>
      </c>
      <c r="BA445">
        <v>7.4</v>
      </c>
    </row>
    <row r="446" spans="1:53" hidden="1" x14ac:dyDescent="0.3">
      <c r="A446" t="s">
        <v>1094</v>
      </c>
      <c r="B446" t="s">
        <v>1102</v>
      </c>
      <c r="C446" t="s">
        <v>1052</v>
      </c>
      <c r="H446">
        <v>4</v>
      </c>
      <c r="I446" t="s">
        <v>56</v>
      </c>
      <c r="J446">
        <v>4.0000000000000002E-4</v>
      </c>
      <c r="K446" t="s">
        <v>57</v>
      </c>
      <c r="O446">
        <v>0</v>
      </c>
      <c r="T446">
        <v>55</v>
      </c>
      <c r="V446">
        <v>90</v>
      </c>
      <c r="W446" t="s">
        <v>1096</v>
      </c>
      <c r="X446" t="s">
        <v>280</v>
      </c>
      <c r="Y446">
        <v>1440</v>
      </c>
      <c r="AB446">
        <v>7.2</v>
      </c>
      <c r="AC446" t="s">
        <v>210</v>
      </c>
      <c r="AD446">
        <v>0.1</v>
      </c>
      <c r="AH446">
        <v>7.4</v>
      </c>
      <c r="AI446">
        <v>5</v>
      </c>
      <c r="AV446" t="s">
        <v>88</v>
      </c>
      <c r="BA446">
        <v>7.4</v>
      </c>
    </row>
    <row r="447" spans="1:53" hidden="1" x14ac:dyDescent="0.3">
      <c r="A447" t="s">
        <v>1094</v>
      </c>
      <c r="B447" t="s">
        <v>1102</v>
      </c>
      <c r="C447" t="s">
        <v>1052</v>
      </c>
      <c r="H447">
        <v>4</v>
      </c>
      <c r="I447" t="s">
        <v>56</v>
      </c>
      <c r="J447">
        <v>4.0000000000000002E-4</v>
      </c>
      <c r="K447" t="s">
        <v>57</v>
      </c>
      <c r="O447">
        <v>0</v>
      </c>
      <c r="T447">
        <v>75</v>
      </c>
      <c r="V447">
        <v>90</v>
      </c>
      <c r="W447" t="s">
        <v>1097</v>
      </c>
      <c r="X447" t="s">
        <v>280</v>
      </c>
      <c r="Y447">
        <v>1440</v>
      </c>
      <c r="AB447">
        <v>6.2</v>
      </c>
      <c r="AC447" t="s">
        <v>210</v>
      </c>
      <c r="AD447">
        <v>0.3</v>
      </c>
      <c r="AH447">
        <v>7.4</v>
      </c>
      <c r="AI447">
        <v>5</v>
      </c>
      <c r="AV447" t="s">
        <v>88</v>
      </c>
      <c r="BA447">
        <v>7.4</v>
      </c>
    </row>
    <row r="448" spans="1:53" hidden="1" x14ac:dyDescent="0.3">
      <c r="A448" t="s">
        <v>1094</v>
      </c>
      <c r="B448" t="s">
        <v>1102</v>
      </c>
      <c r="C448" t="s">
        <v>1052</v>
      </c>
      <c r="H448">
        <v>4</v>
      </c>
      <c r="I448" t="s">
        <v>56</v>
      </c>
      <c r="J448">
        <v>4.0000000000000002E-4</v>
      </c>
      <c r="K448" t="s">
        <v>57</v>
      </c>
      <c r="O448">
        <v>0</v>
      </c>
      <c r="T448">
        <v>55</v>
      </c>
      <c r="V448">
        <v>90</v>
      </c>
      <c r="W448" t="s">
        <v>1097</v>
      </c>
      <c r="X448" t="s">
        <v>280</v>
      </c>
      <c r="Y448">
        <v>1440</v>
      </c>
      <c r="AB448">
        <v>7.2</v>
      </c>
      <c r="AC448" t="s">
        <v>210</v>
      </c>
      <c r="AD448">
        <v>0.1</v>
      </c>
      <c r="AH448">
        <v>7.4</v>
      </c>
      <c r="AI448">
        <v>5</v>
      </c>
      <c r="AV448" t="s">
        <v>88</v>
      </c>
      <c r="BA448">
        <v>7.4</v>
      </c>
    </row>
    <row r="449" spans="1:53" hidden="1" x14ac:dyDescent="0.3">
      <c r="A449" t="s">
        <v>1094</v>
      </c>
      <c r="B449" t="s">
        <v>1102</v>
      </c>
      <c r="C449" t="s">
        <v>1052</v>
      </c>
      <c r="H449">
        <v>4</v>
      </c>
      <c r="I449" t="s">
        <v>56</v>
      </c>
      <c r="J449">
        <v>4.0000000000000002E-4</v>
      </c>
      <c r="K449" t="s">
        <v>57</v>
      </c>
      <c r="O449">
        <v>0</v>
      </c>
      <c r="T449">
        <v>75</v>
      </c>
      <c r="V449">
        <v>90</v>
      </c>
      <c r="W449" t="s">
        <v>1098</v>
      </c>
      <c r="X449" t="s">
        <v>280</v>
      </c>
      <c r="Y449">
        <v>1440</v>
      </c>
      <c r="AB449">
        <v>5.6</v>
      </c>
      <c r="AC449" t="s">
        <v>210</v>
      </c>
      <c r="AD449">
        <v>0.12</v>
      </c>
      <c r="AH449">
        <v>7.4</v>
      </c>
      <c r="AI449">
        <v>5</v>
      </c>
      <c r="AV449" t="s">
        <v>88</v>
      </c>
      <c r="BA449">
        <v>7.4</v>
      </c>
    </row>
    <row r="450" spans="1:53" hidden="1" x14ac:dyDescent="0.3">
      <c r="A450" t="s">
        <v>1094</v>
      </c>
      <c r="B450" t="s">
        <v>1102</v>
      </c>
      <c r="C450" t="s">
        <v>1052</v>
      </c>
      <c r="H450">
        <v>4</v>
      </c>
      <c r="I450" t="s">
        <v>56</v>
      </c>
      <c r="J450">
        <v>4.0000000000000002E-4</v>
      </c>
      <c r="K450" t="s">
        <v>57</v>
      </c>
      <c r="O450">
        <v>0</v>
      </c>
      <c r="T450">
        <v>55</v>
      </c>
      <c r="V450">
        <v>90</v>
      </c>
      <c r="W450" t="s">
        <v>1098</v>
      </c>
      <c r="X450" t="s">
        <v>280</v>
      </c>
      <c r="Y450">
        <v>1440</v>
      </c>
      <c r="AB450">
        <v>7.2</v>
      </c>
      <c r="AC450" t="s">
        <v>210</v>
      </c>
      <c r="AD450">
        <v>0.2</v>
      </c>
      <c r="AH450">
        <v>7.4</v>
      </c>
      <c r="AI450">
        <v>5</v>
      </c>
      <c r="AV450" t="s">
        <v>88</v>
      </c>
      <c r="BA450">
        <v>7.4</v>
      </c>
    </row>
    <row r="451" spans="1:53" hidden="1" x14ac:dyDescent="0.3">
      <c r="A451" t="s">
        <v>1094</v>
      </c>
      <c r="B451" t="s">
        <v>1102</v>
      </c>
      <c r="C451" t="s">
        <v>1052</v>
      </c>
      <c r="H451">
        <v>4</v>
      </c>
      <c r="I451" t="s">
        <v>56</v>
      </c>
      <c r="J451">
        <v>4.0000000000000002E-4</v>
      </c>
      <c r="K451" t="s">
        <v>57</v>
      </c>
      <c r="O451">
        <v>0</v>
      </c>
      <c r="T451">
        <v>75</v>
      </c>
      <c r="V451">
        <v>90</v>
      </c>
      <c r="W451" t="s">
        <v>1099</v>
      </c>
      <c r="X451" t="s">
        <v>280</v>
      </c>
      <c r="Y451">
        <v>1440</v>
      </c>
      <c r="AB451">
        <v>6.5</v>
      </c>
      <c r="AC451" t="s">
        <v>210</v>
      </c>
      <c r="AD451">
        <v>0.4</v>
      </c>
      <c r="AH451">
        <v>7.4</v>
      </c>
      <c r="AI451">
        <v>5</v>
      </c>
      <c r="AV451" t="s">
        <v>88</v>
      </c>
      <c r="BA451">
        <v>7.4</v>
      </c>
    </row>
    <row r="452" spans="1:53" hidden="1" x14ac:dyDescent="0.3">
      <c r="A452" t="s">
        <v>1094</v>
      </c>
      <c r="B452" t="s">
        <v>1102</v>
      </c>
      <c r="C452" t="s">
        <v>1052</v>
      </c>
      <c r="H452">
        <v>4</v>
      </c>
      <c r="I452" t="s">
        <v>56</v>
      </c>
      <c r="J452">
        <v>4.0000000000000002E-4</v>
      </c>
      <c r="K452" t="s">
        <v>57</v>
      </c>
      <c r="O452">
        <v>0</v>
      </c>
      <c r="T452">
        <v>55</v>
      </c>
      <c r="V452">
        <v>90</v>
      </c>
      <c r="W452" t="s">
        <v>1099</v>
      </c>
      <c r="X452" t="s">
        <v>280</v>
      </c>
      <c r="Y452">
        <v>1440</v>
      </c>
      <c r="AB452">
        <v>7.2</v>
      </c>
      <c r="AC452" t="s">
        <v>210</v>
      </c>
      <c r="AD452">
        <v>0.2</v>
      </c>
      <c r="AH452">
        <v>7.4</v>
      </c>
      <c r="AI452">
        <v>5</v>
      </c>
      <c r="AV452" t="s">
        <v>88</v>
      </c>
      <c r="BA452">
        <v>7.4</v>
      </c>
    </row>
    <row r="453" spans="1:53" hidden="1" x14ac:dyDescent="0.3">
      <c r="A453" t="s">
        <v>1094</v>
      </c>
      <c r="B453" t="s">
        <v>1102</v>
      </c>
      <c r="C453" t="s">
        <v>1052</v>
      </c>
      <c r="H453">
        <v>4</v>
      </c>
      <c r="I453" t="s">
        <v>56</v>
      </c>
      <c r="J453">
        <v>4.0000000000000002E-4</v>
      </c>
      <c r="K453" t="s">
        <v>57</v>
      </c>
      <c r="O453">
        <v>0</v>
      </c>
      <c r="T453">
        <v>75</v>
      </c>
      <c r="V453">
        <v>90</v>
      </c>
      <c r="W453" t="s">
        <v>1100</v>
      </c>
      <c r="X453" t="s">
        <v>280</v>
      </c>
      <c r="Y453">
        <v>1440</v>
      </c>
      <c r="AB453">
        <v>6.2</v>
      </c>
      <c r="AC453" t="s">
        <v>210</v>
      </c>
      <c r="AD453">
        <v>0.6</v>
      </c>
      <c r="AH453">
        <v>7.4</v>
      </c>
      <c r="AI453">
        <v>5</v>
      </c>
      <c r="AV453" t="s">
        <v>88</v>
      </c>
      <c r="BA453">
        <v>7.4</v>
      </c>
    </row>
    <row r="454" spans="1:53" hidden="1" x14ac:dyDescent="0.3">
      <c r="A454" t="s">
        <v>1094</v>
      </c>
      <c r="B454" t="s">
        <v>1102</v>
      </c>
      <c r="C454" t="s">
        <v>1052</v>
      </c>
      <c r="H454">
        <v>4</v>
      </c>
      <c r="I454" t="s">
        <v>56</v>
      </c>
      <c r="J454">
        <v>4.0000000000000002E-4</v>
      </c>
      <c r="K454" t="s">
        <v>57</v>
      </c>
      <c r="O454">
        <v>0</v>
      </c>
      <c r="T454">
        <v>55</v>
      </c>
      <c r="V454">
        <v>90</v>
      </c>
      <c r="W454" t="s">
        <v>1100</v>
      </c>
      <c r="X454" t="s">
        <v>280</v>
      </c>
      <c r="Y454">
        <v>1440</v>
      </c>
      <c r="AB454">
        <v>7.2</v>
      </c>
      <c r="AC454" t="s">
        <v>210</v>
      </c>
      <c r="AD454">
        <v>0.2</v>
      </c>
      <c r="AH454">
        <v>7.4</v>
      </c>
      <c r="AI454">
        <v>5</v>
      </c>
      <c r="AV454" t="s">
        <v>88</v>
      </c>
      <c r="BA454">
        <v>7.4</v>
      </c>
    </row>
    <row r="455" spans="1:53" hidden="1" x14ac:dyDescent="0.3">
      <c r="A455" t="s">
        <v>1094</v>
      </c>
      <c r="B455" t="s">
        <v>1102</v>
      </c>
      <c r="C455" t="s">
        <v>1052</v>
      </c>
      <c r="O455">
        <v>0</v>
      </c>
      <c r="T455">
        <v>75</v>
      </c>
      <c r="V455">
        <v>90</v>
      </c>
      <c r="W455" t="s">
        <v>1103</v>
      </c>
      <c r="X455" t="s">
        <v>280</v>
      </c>
      <c r="Y455">
        <v>1440</v>
      </c>
      <c r="AB455">
        <v>9.9</v>
      </c>
      <c r="AC455" t="s">
        <v>210</v>
      </c>
      <c r="AD455">
        <v>0.16</v>
      </c>
      <c r="AH455">
        <v>7.4</v>
      </c>
      <c r="AI455">
        <v>5</v>
      </c>
      <c r="BA455">
        <v>7.4</v>
      </c>
    </row>
    <row r="456" spans="1:53" hidden="1" x14ac:dyDescent="0.3">
      <c r="A456" t="s">
        <v>1094</v>
      </c>
      <c r="B456" t="s">
        <v>1102</v>
      </c>
      <c r="C456" t="s">
        <v>1052</v>
      </c>
      <c r="O456">
        <v>0</v>
      </c>
      <c r="T456">
        <v>55</v>
      </c>
      <c r="V456">
        <v>90</v>
      </c>
      <c r="W456" t="s">
        <v>1103</v>
      </c>
      <c r="X456" t="s">
        <v>280</v>
      </c>
      <c r="Y456">
        <v>1440</v>
      </c>
      <c r="AB456">
        <v>7.2</v>
      </c>
      <c r="AC456" t="s">
        <v>210</v>
      </c>
      <c r="AD456">
        <v>0.2</v>
      </c>
      <c r="AH456">
        <v>7.4</v>
      </c>
      <c r="AI456">
        <v>5</v>
      </c>
      <c r="BA456">
        <v>7.4</v>
      </c>
    </row>
    <row r="457" spans="1:53" hidden="1" x14ac:dyDescent="0.3">
      <c r="A457" t="s">
        <v>1094</v>
      </c>
      <c r="B457" t="s">
        <v>1102</v>
      </c>
      <c r="C457" t="s">
        <v>1052</v>
      </c>
      <c r="H457">
        <v>4</v>
      </c>
      <c r="I457" t="s">
        <v>56</v>
      </c>
      <c r="J457">
        <v>4.0000000000000002E-4</v>
      </c>
      <c r="K457" t="s">
        <v>57</v>
      </c>
      <c r="O457">
        <v>0</v>
      </c>
      <c r="T457">
        <v>65</v>
      </c>
      <c r="V457">
        <v>90</v>
      </c>
      <c r="W457" t="s">
        <v>1096</v>
      </c>
      <c r="X457" t="s">
        <v>280</v>
      </c>
      <c r="Y457">
        <v>2880</v>
      </c>
      <c r="AB457">
        <v>6.8</v>
      </c>
      <c r="AC457" t="s">
        <v>210</v>
      </c>
      <c r="AD457">
        <v>0.03</v>
      </c>
      <c r="AH457">
        <v>6.9</v>
      </c>
      <c r="AI457">
        <v>5</v>
      </c>
      <c r="AV457" t="s">
        <v>88</v>
      </c>
      <c r="BA457">
        <v>6.9</v>
      </c>
    </row>
    <row r="458" spans="1:53" hidden="1" x14ac:dyDescent="0.3">
      <c r="A458" t="s">
        <v>1094</v>
      </c>
      <c r="B458" t="s">
        <v>1102</v>
      </c>
      <c r="C458" t="s">
        <v>1052</v>
      </c>
      <c r="H458">
        <v>4</v>
      </c>
      <c r="I458" t="s">
        <v>56</v>
      </c>
      <c r="J458">
        <v>4.0000000000000002E-4</v>
      </c>
      <c r="K458" t="s">
        <v>57</v>
      </c>
      <c r="O458">
        <v>0</v>
      </c>
      <c r="T458">
        <v>65</v>
      </c>
      <c r="V458">
        <v>90</v>
      </c>
      <c r="W458" t="s">
        <v>1097</v>
      </c>
      <c r="X458" t="s">
        <v>280</v>
      </c>
      <c r="Y458">
        <v>2880</v>
      </c>
      <c r="AB458">
        <v>6.9</v>
      </c>
      <c r="AC458" t="s">
        <v>210</v>
      </c>
      <c r="AD458">
        <v>0.03</v>
      </c>
      <c r="AH458">
        <v>6.9</v>
      </c>
      <c r="AI458">
        <v>5</v>
      </c>
      <c r="AV458" t="s">
        <v>88</v>
      </c>
      <c r="BA458">
        <v>6.9</v>
      </c>
    </row>
    <row r="459" spans="1:53" hidden="1" x14ac:dyDescent="0.3">
      <c r="A459" t="s">
        <v>1094</v>
      </c>
      <c r="B459" t="s">
        <v>1102</v>
      </c>
      <c r="C459" t="s">
        <v>1052</v>
      </c>
      <c r="H459">
        <v>4</v>
      </c>
      <c r="I459" t="s">
        <v>56</v>
      </c>
      <c r="J459">
        <v>4.0000000000000002E-4</v>
      </c>
      <c r="K459" t="s">
        <v>57</v>
      </c>
      <c r="O459">
        <v>0</v>
      </c>
      <c r="T459">
        <v>65</v>
      </c>
      <c r="V459">
        <v>90</v>
      </c>
      <c r="W459" t="s">
        <v>1098</v>
      </c>
      <c r="X459" t="s">
        <v>280</v>
      </c>
      <c r="Y459">
        <v>2880</v>
      </c>
      <c r="AB459">
        <v>6.9</v>
      </c>
      <c r="AC459" t="s">
        <v>210</v>
      </c>
      <c r="AD459">
        <v>0.03</v>
      </c>
      <c r="AH459">
        <v>6.9</v>
      </c>
      <c r="AI459">
        <v>5</v>
      </c>
      <c r="AV459" t="s">
        <v>88</v>
      </c>
      <c r="BA459">
        <v>6.9</v>
      </c>
    </row>
    <row r="460" spans="1:53" hidden="1" x14ac:dyDescent="0.3">
      <c r="A460" t="s">
        <v>1094</v>
      </c>
      <c r="B460" t="s">
        <v>1102</v>
      </c>
      <c r="C460" t="s">
        <v>1052</v>
      </c>
      <c r="H460">
        <v>4</v>
      </c>
      <c r="I460" t="s">
        <v>56</v>
      </c>
      <c r="J460">
        <v>4.0000000000000002E-4</v>
      </c>
      <c r="K460" t="s">
        <v>57</v>
      </c>
      <c r="O460">
        <v>0</v>
      </c>
      <c r="T460">
        <v>65</v>
      </c>
      <c r="V460">
        <v>90</v>
      </c>
      <c r="W460" t="s">
        <v>1099</v>
      </c>
      <c r="X460" t="s">
        <v>280</v>
      </c>
      <c r="Y460">
        <v>2880</v>
      </c>
      <c r="AB460">
        <v>6.7</v>
      </c>
      <c r="AC460" t="s">
        <v>210</v>
      </c>
      <c r="AD460">
        <v>0.02</v>
      </c>
      <c r="AH460">
        <v>6.9</v>
      </c>
      <c r="AI460">
        <v>5</v>
      </c>
      <c r="AV460" t="s">
        <v>88</v>
      </c>
      <c r="BA460">
        <v>6.9</v>
      </c>
    </row>
    <row r="461" spans="1:53" hidden="1" x14ac:dyDescent="0.3">
      <c r="A461" t="s">
        <v>1094</v>
      </c>
      <c r="B461" t="s">
        <v>1102</v>
      </c>
      <c r="C461" t="s">
        <v>1052</v>
      </c>
      <c r="H461">
        <v>4</v>
      </c>
      <c r="I461" t="s">
        <v>56</v>
      </c>
      <c r="J461">
        <v>4.0000000000000002E-4</v>
      </c>
      <c r="K461" t="s">
        <v>57</v>
      </c>
      <c r="O461">
        <v>0</v>
      </c>
      <c r="T461">
        <v>65</v>
      </c>
      <c r="V461">
        <v>90</v>
      </c>
      <c r="W461" t="s">
        <v>1100</v>
      </c>
      <c r="X461" t="s">
        <v>280</v>
      </c>
      <c r="Y461">
        <v>2880</v>
      </c>
      <c r="AB461">
        <v>6.5</v>
      </c>
      <c r="AC461" t="s">
        <v>210</v>
      </c>
      <c r="AD461">
        <v>0.03</v>
      </c>
      <c r="AH461">
        <v>6.9</v>
      </c>
      <c r="AI461">
        <v>5</v>
      </c>
      <c r="AV461" t="s">
        <v>88</v>
      </c>
      <c r="BA461">
        <v>6.9</v>
      </c>
    </row>
    <row r="462" spans="1:53" hidden="1" x14ac:dyDescent="0.3">
      <c r="A462" t="s">
        <v>1094</v>
      </c>
      <c r="B462" t="s">
        <v>1102</v>
      </c>
      <c r="C462" t="s">
        <v>1052</v>
      </c>
      <c r="O462">
        <v>0</v>
      </c>
      <c r="T462">
        <v>65</v>
      </c>
      <c r="V462">
        <v>90</v>
      </c>
      <c r="W462" t="s">
        <v>1103</v>
      </c>
      <c r="X462" t="s">
        <v>280</v>
      </c>
      <c r="Y462">
        <v>2880</v>
      </c>
      <c r="AB462">
        <v>5.7</v>
      </c>
      <c r="AC462" t="s">
        <v>210</v>
      </c>
      <c r="AD462">
        <v>0.11</v>
      </c>
      <c r="AH462">
        <v>6.9</v>
      </c>
      <c r="AI462">
        <v>5</v>
      </c>
      <c r="BA462">
        <v>6.9</v>
      </c>
    </row>
    <row r="463" spans="1:53" hidden="1" x14ac:dyDescent="0.3">
      <c r="A463" t="s">
        <v>1094</v>
      </c>
      <c r="B463" t="s">
        <v>1102</v>
      </c>
      <c r="C463" t="s">
        <v>1052</v>
      </c>
      <c r="H463">
        <v>4</v>
      </c>
      <c r="I463" t="s">
        <v>56</v>
      </c>
      <c r="J463">
        <v>4.0000000000000002E-4</v>
      </c>
      <c r="K463" t="s">
        <v>57</v>
      </c>
      <c r="O463">
        <v>0</v>
      </c>
      <c r="T463">
        <v>75</v>
      </c>
      <c r="V463">
        <v>90</v>
      </c>
      <c r="W463" t="s">
        <v>1096</v>
      </c>
      <c r="X463" t="s">
        <v>280</v>
      </c>
      <c r="Y463">
        <v>4320</v>
      </c>
      <c r="AB463">
        <v>0</v>
      </c>
      <c r="AC463" t="s">
        <v>210</v>
      </c>
      <c r="AD463">
        <v>0</v>
      </c>
      <c r="AH463">
        <v>7.4</v>
      </c>
      <c r="AI463">
        <v>5</v>
      </c>
      <c r="AV463" t="s">
        <v>88</v>
      </c>
      <c r="BA463">
        <v>7.4</v>
      </c>
    </row>
    <row r="464" spans="1:53" hidden="1" x14ac:dyDescent="0.3">
      <c r="A464" t="s">
        <v>1094</v>
      </c>
      <c r="B464" t="s">
        <v>1102</v>
      </c>
      <c r="C464" t="s">
        <v>1052</v>
      </c>
      <c r="H464">
        <v>4</v>
      </c>
      <c r="I464" t="s">
        <v>56</v>
      </c>
      <c r="J464">
        <v>4.0000000000000002E-4</v>
      </c>
      <c r="K464" t="s">
        <v>57</v>
      </c>
      <c r="O464">
        <v>0</v>
      </c>
      <c r="T464">
        <v>55</v>
      </c>
      <c r="V464">
        <v>90</v>
      </c>
      <c r="W464" t="s">
        <v>1096</v>
      </c>
      <c r="X464" t="s">
        <v>280</v>
      </c>
      <c r="Y464">
        <v>4320</v>
      </c>
      <c r="AB464">
        <v>7.3</v>
      </c>
      <c r="AC464" t="s">
        <v>210</v>
      </c>
      <c r="AD464">
        <v>0.3</v>
      </c>
      <c r="AH464">
        <v>7.4</v>
      </c>
      <c r="AI464">
        <v>5</v>
      </c>
      <c r="AV464" t="s">
        <v>88</v>
      </c>
      <c r="BA464">
        <v>7.4</v>
      </c>
    </row>
    <row r="465" spans="1:53" hidden="1" x14ac:dyDescent="0.3">
      <c r="A465" t="s">
        <v>1094</v>
      </c>
      <c r="B465" t="s">
        <v>1102</v>
      </c>
      <c r="C465" t="s">
        <v>1052</v>
      </c>
      <c r="H465">
        <v>4</v>
      </c>
      <c r="I465" t="s">
        <v>56</v>
      </c>
      <c r="J465">
        <v>4.0000000000000002E-4</v>
      </c>
      <c r="K465" t="s">
        <v>57</v>
      </c>
      <c r="O465">
        <v>0</v>
      </c>
      <c r="T465">
        <v>75</v>
      </c>
      <c r="V465">
        <v>90</v>
      </c>
      <c r="W465" t="s">
        <v>1097</v>
      </c>
      <c r="X465" t="s">
        <v>280</v>
      </c>
      <c r="Y465">
        <v>4320</v>
      </c>
      <c r="AB465">
        <v>0</v>
      </c>
      <c r="AC465" t="s">
        <v>210</v>
      </c>
      <c r="AD465">
        <v>0</v>
      </c>
      <c r="AH465">
        <v>7.4</v>
      </c>
      <c r="AI465">
        <v>5</v>
      </c>
      <c r="AV465" t="s">
        <v>88</v>
      </c>
      <c r="BA465">
        <v>7.4</v>
      </c>
    </row>
    <row r="466" spans="1:53" hidden="1" x14ac:dyDescent="0.3">
      <c r="A466" t="s">
        <v>1094</v>
      </c>
      <c r="B466" t="s">
        <v>1102</v>
      </c>
      <c r="C466" t="s">
        <v>1052</v>
      </c>
      <c r="H466">
        <v>4</v>
      </c>
      <c r="I466" t="s">
        <v>56</v>
      </c>
      <c r="J466">
        <v>4.0000000000000002E-4</v>
      </c>
      <c r="K466" t="s">
        <v>57</v>
      </c>
      <c r="O466">
        <v>0</v>
      </c>
      <c r="T466">
        <v>55</v>
      </c>
      <c r="V466">
        <v>90</v>
      </c>
      <c r="W466" t="s">
        <v>1097</v>
      </c>
      <c r="X466" t="s">
        <v>280</v>
      </c>
      <c r="Y466">
        <v>4320</v>
      </c>
      <c r="AB466">
        <v>7.2</v>
      </c>
      <c r="AC466" t="s">
        <v>210</v>
      </c>
      <c r="AD466">
        <v>0.1</v>
      </c>
      <c r="AH466">
        <v>7.4</v>
      </c>
      <c r="AI466">
        <v>5</v>
      </c>
      <c r="AV466" t="s">
        <v>88</v>
      </c>
      <c r="BA466">
        <v>7.4</v>
      </c>
    </row>
    <row r="467" spans="1:53" hidden="1" x14ac:dyDescent="0.3">
      <c r="A467" t="s">
        <v>1094</v>
      </c>
      <c r="B467" t="s">
        <v>1102</v>
      </c>
      <c r="C467" t="s">
        <v>1052</v>
      </c>
      <c r="H467">
        <v>4</v>
      </c>
      <c r="I467" t="s">
        <v>56</v>
      </c>
      <c r="J467">
        <v>4.0000000000000002E-4</v>
      </c>
      <c r="K467" t="s">
        <v>57</v>
      </c>
      <c r="O467">
        <v>0</v>
      </c>
      <c r="T467">
        <v>75</v>
      </c>
      <c r="V467">
        <v>90</v>
      </c>
      <c r="W467" t="s">
        <v>1098</v>
      </c>
      <c r="X467" t="s">
        <v>280</v>
      </c>
      <c r="Y467">
        <v>4320</v>
      </c>
      <c r="AB467">
        <v>4.4000000000000004</v>
      </c>
      <c r="AC467" t="s">
        <v>210</v>
      </c>
      <c r="AD467">
        <v>0.5</v>
      </c>
      <c r="AH467">
        <v>7.4</v>
      </c>
      <c r="AI467">
        <v>5</v>
      </c>
      <c r="AV467" t="s">
        <v>88</v>
      </c>
      <c r="BA467">
        <v>7.4</v>
      </c>
    </row>
    <row r="468" spans="1:53" hidden="1" x14ac:dyDescent="0.3">
      <c r="A468" t="s">
        <v>1094</v>
      </c>
      <c r="B468" t="s">
        <v>1102</v>
      </c>
      <c r="C468" t="s">
        <v>1052</v>
      </c>
      <c r="H468">
        <v>4</v>
      </c>
      <c r="I468" t="s">
        <v>56</v>
      </c>
      <c r="J468">
        <v>4.0000000000000002E-4</v>
      </c>
      <c r="K468" t="s">
        <v>57</v>
      </c>
      <c r="O468">
        <v>0</v>
      </c>
      <c r="T468">
        <v>55</v>
      </c>
      <c r="V468">
        <v>90</v>
      </c>
      <c r="W468" t="s">
        <v>1098</v>
      </c>
      <c r="X468" t="s">
        <v>280</v>
      </c>
      <c r="Y468">
        <v>4320</v>
      </c>
      <c r="AB468">
        <v>7.3</v>
      </c>
      <c r="AC468" t="s">
        <v>210</v>
      </c>
      <c r="AD468">
        <v>0.2</v>
      </c>
      <c r="AH468">
        <v>7.4</v>
      </c>
      <c r="AI468">
        <v>5</v>
      </c>
      <c r="AV468" t="s">
        <v>88</v>
      </c>
      <c r="BA468">
        <v>7.4</v>
      </c>
    </row>
    <row r="469" spans="1:53" hidden="1" x14ac:dyDescent="0.3">
      <c r="A469" t="s">
        <v>1094</v>
      </c>
      <c r="B469" t="s">
        <v>1102</v>
      </c>
      <c r="C469" t="s">
        <v>1052</v>
      </c>
      <c r="H469">
        <v>4</v>
      </c>
      <c r="I469" t="s">
        <v>56</v>
      </c>
      <c r="J469">
        <v>4.0000000000000002E-4</v>
      </c>
      <c r="K469" t="s">
        <v>57</v>
      </c>
      <c r="O469">
        <v>0</v>
      </c>
      <c r="T469">
        <v>75</v>
      </c>
      <c r="V469">
        <v>90</v>
      </c>
      <c r="W469" t="s">
        <v>1099</v>
      </c>
      <c r="X469" t="s">
        <v>280</v>
      </c>
      <c r="Y469">
        <v>4320</v>
      </c>
      <c r="AB469">
        <v>0</v>
      </c>
      <c r="AC469" t="s">
        <v>210</v>
      </c>
      <c r="AD469">
        <v>0</v>
      </c>
      <c r="AH469">
        <v>7.4</v>
      </c>
      <c r="AI469">
        <v>5</v>
      </c>
      <c r="AV469" t="s">
        <v>88</v>
      </c>
      <c r="BA469">
        <v>7.4</v>
      </c>
    </row>
    <row r="470" spans="1:53" hidden="1" x14ac:dyDescent="0.3">
      <c r="A470" t="s">
        <v>1094</v>
      </c>
      <c r="B470" t="s">
        <v>1102</v>
      </c>
      <c r="C470" t="s">
        <v>1052</v>
      </c>
      <c r="H470">
        <v>4</v>
      </c>
      <c r="I470" t="s">
        <v>56</v>
      </c>
      <c r="J470">
        <v>4.0000000000000002E-4</v>
      </c>
      <c r="K470" t="s">
        <v>57</v>
      </c>
      <c r="O470">
        <v>0</v>
      </c>
      <c r="T470">
        <v>55</v>
      </c>
      <c r="V470">
        <v>90</v>
      </c>
      <c r="W470" t="s">
        <v>1099</v>
      </c>
      <c r="X470" t="s">
        <v>280</v>
      </c>
      <c r="Y470">
        <v>4320</v>
      </c>
      <c r="AB470">
        <v>7.3</v>
      </c>
      <c r="AC470" t="s">
        <v>210</v>
      </c>
      <c r="AD470">
        <v>0.2</v>
      </c>
      <c r="AH470">
        <v>7.4</v>
      </c>
      <c r="AI470">
        <v>5</v>
      </c>
      <c r="AV470" t="s">
        <v>88</v>
      </c>
      <c r="BA470">
        <v>7.4</v>
      </c>
    </row>
    <row r="471" spans="1:53" hidden="1" x14ac:dyDescent="0.3">
      <c r="A471" t="s">
        <v>1094</v>
      </c>
      <c r="B471" t="s">
        <v>1102</v>
      </c>
      <c r="C471" t="s">
        <v>1052</v>
      </c>
      <c r="H471">
        <v>4</v>
      </c>
      <c r="I471" t="s">
        <v>56</v>
      </c>
      <c r="J471">
        <v>4.0000000000000002E-4</v>
      </c>
      <c r="K471" t="s">
        <v>57</v>
      </c>
      <c r="O471">
        <v>0</v>
      </c>
      <c r="T471">
        <v>75</v>
      </c>
      <c r="V471">
        <v>90</v>
      </c>
      <c r="W471" t="s">
        <v>1100</v>
      </c>
      <c r="X471" t="s">
        <v>280</v>
      </c>
      <c r="Y471">
        <v>4320</v>
      </c>
      <c r="AB471">
        <v>6.6</v>
      </c>
      <c r="AC471" t="s">
        <v>210</v>
      </c>
      <c r="AD471">
        <v>0.6</v>
      </c>
      <c r="AH471">
        <v>7.4</v>
      </c>
      <c r="AI471">
        <v>5</v>
      </c>
      <c r="AV471" t="s">
        <v>88</v>
      </c>
      <c r="BA471">
        <v>7.4</v>
      </c>
    </row>
    <row r="472" spans="1:53" hidden="1" x14ac:dyDescent="0.3">
      <c r="A472" t="s">
        <v>1094</v>
      </c>
      <c r="B472" t="s">
        <v>1102</v>
      </c>
      <c r="C472" t="s">
        <v>1052</v>
      </c>
      <c r="H472">
        <v>4</v>
      </c>
      <c r="I472" t="s">
        <v>56</v>
      </c>
      <c r="J472">
        <v>4.0000000000000002E-4</v>
      </c>
      <c r="K472" t="s">
        <v>57</v>
      </c>
      <c r="O472">
        <v>0</v>
      </c>
      <c r="T472">
        <v>55</v>
      </c>
      <c r="V472">
        <v>90</v>
      </c>
      <c r="W472" t="s">
        <v>1100</v>
      </c>
      <c r="X472" t="s">
        <v>280</v>
      </c>
      <c r="Y472">
        <v>4320</v>
      </c>
      <c r="AB472">
        <v>7.3</v>
      </c>
      <c r="AC472" t="s">
        <v>210</v>
      </c>
      <c r="AD472">
        <v>0.2</v>
      </c>
      <c r="AH472">
        <v>7.4</v>
      </c>
      <c r="AI472">
        <v>5</v>
      </c>
      <c r="AV472" t="s">
        <v>88</v>
      </c>
      <c r="BA472">
        <v>7.4</v>
      </c>
    </row>
    <row r="473" spans="1:53" hidden="1" x14ac:dyDescent="0.3">
      <c r="A473" t="s">
        <v>1094</v>
      </c>
      <c r="B473" t="s">
        <v>1102</v>
      </c>
      <c r="C473" t="s">
        <v>1052</v>
      </c>
      <c r="O473">
        <v>0</v>
      </c>
      <c r="T473">
        <v>75</v>
      </c>
      <c r="V473">
        <v>90</v>
      </c>
      <c r="W473" t="s">
        <v>1103</v>
      </c>
      <c r="X473" t="s">
        <v>280</v>
      </c>
      <c r="Y473">
        <v>4320</v>
      </c>
      <c r="AB473">
        <v>0</v>
      </c>
      <c r="AC473" t="s">
        <v>210</v>
      </c>
      <c r="AD473">
        <v>0</v>
      </c>
      <c r="AH473">
        <v>7.4</v>
      </c>
      <c r="AI473">
        <v>5</v>
      </c>
      <c r="BA473">
        <v>7.4</v>
      </c>
    </row>
    <row r="474" spans="1:53" hidden="1" x14ac:dyDescent="0.3">
      <c r="A474" t="s">
        <v>1094</v>
      </c>
      <c r="B474" t="s">
        <v>1102</v>
      </c>
      <c r="C474" t="s">
        <v>1052</v>
      </c>
      <c r="O474">
        <v>0</v>
      </c>
      <c r="T474">
        <v>55</v>
      </c>
      <c r="V474">
        <v>90</v>
      </c>
      <c r="W474" t="s">
        <v>1103</v>
      </c>
      <c r="X474" t="s">
        <v>280</v>
      </c>
      <c r="Y474">
        <v>4320</v>
      </c>
      <c r="AB474">
        <v>7.3</v>
      </c>
      <c r="AC474" t="s">
        <v>210</v>
      </c>
      <c r="AD474">
        <v>0.2</v>
      </c>
      <c r="AH474">
        <v>7.4</v>
      </c>
      <c r="AI474">
        <v>5</v>
      </c>
      <c r="BA474">
        <v>7.4</v>
      </c>
    </row>
    <row r="475" spans="1:53" hidden="1" x14ac:dyDescent="0.3">
      <c r="A475" t="s">
        <v>1094</v>
      </c>
      <c r="B475" t="s">
        <v>1102</v>
      </c>
      <c r="C475" t="s">
        <v>1052</v>
      </c>
      <c r="H475">
        <v>4</v>
      </c>
      <c r="I475" t="s">
        <v>56</v>
      </c>
      <c r="J475">
        <v>4.0000000000000002E-4</v>
      </c>
      <c r="K475" t="s">
        <v>57</v>
      </c>
      <c r="O475">
        <v>0</v>
      </c>
      <c r="T475">
        <v>65</v>
      </c>
      <c r="V475">
        <v>80</v>
      </c>
      <c r="W475" t="s">
        <v>1096</v>
      </c>
      <c r="X475" t="s">
        <v>280</v>
      </c>
      <c r="Y475">
        <v>1440</v>
      </c>
      <c r="AB475">
        <v>6.9</v>
      </c>
      <c r="AC475" t="s">
        <v>210</v>
      </c>
      <c r="AD475">
        <v>0.02</v>
      </c>
      <c r="AH475">
        <v>6.9</v>
      </c>
      <c r="AI475">
        <v>5</v>
      </c>
      <c r="AV475" t="s">
        <v>88</v>
      </c>
      <c r="BA475">
        <v>6.9</v>
      </c>
    </row>
    <row r="476" spans="1:53" hidden="1" x14ac:dyDescent="0.3">
      <c r="A476" t="s">
        <v>1094</v>
      </c>
      <c r="B476" t="s">
        <v>1102</v>
      </c>
      <c r="C476" t="s">
        <v>1052</v>
      </c>
      <c r="H476">
        <v>4</v>
      </c>
      <c r="I476" t="s">
        <v>56</v>
      </c>
      <c r="J476">
        <v>4.0000000000000002E-4</v>
      </c>
      <c r="K476" t="s">
        <v>57</v>
      </c>
      <c r="O476">
        <v>0</v>
      </c>
      <c r="T476">
        <v>65</v>
      </c>
      <c r="V476">
        <v>80</v>
      </c>
      <c r="W476" t="s">
        <v>1097</v>
      </c>
      <c r="X476" t="s">
        <v>280</v>
      </c>
      <c r="Y476">
        <v>1440</v>
      </c>
      <c r="AB476">
        <v>6.8</v>
      </c>
      <c r="AC476" t="s">
        <v>210</v>
      </c>
      <c r="AD476">
        <v>0.02</v>
      </c>
      <c r="AH476">
        <v>6.9</v>
      </c>
      <c r="AI476">
        <v>5</v>
      </c>
      <c r="AV476" t="s">
        <v>88</v>
      </c>
      <c r="BA476">
        <v>6.9</v>
      </c>
    </row>
    <row r="477" spans="1:53" hidden="1" x14ac:dyDescent="0.3">
      <c r="A477" t="s">
        <v>1094</v>
      </c>
      <c r="B477" t="s">
        <v>1102</v>
      </c>
      <c r="C477" t="s">
        <v>1052</v>
      </c>
      <c r="H477">
        <v>4</v>
      </c>
      <c r="I477" t="s">
        <v>56</v>
      </c>
      <c r="J477">
        <v>4.0000000000000002E-4</v>
      </c>
      <c r="K477" t="s">
        <v>57</v>
      </c>
      <c r="O477">
        <v>0</v>
      </c>
      <c r="T477">
        <v>65</v>
      </c>
      <c r="V477">
        <v>80</v>
      </c>
      <c r="W477" t="s">
        <v>1098</v>
      </c>
      <c r="X477" t="s">
        <v>280</v>
      </c>
      <c r="Y477">
        <v>1440</v>
      </c>
      <c r="AB477">
        <v>7</v>
      </c>
      <c r="AC477" t="s">
        <v>210</v>
      </c>
      <c r="AD477">
        <v>0.01</v>
      </c>
      <c r="AH477">
        <v>6.9</v>
      </c>
      <c r="AI477">
        <v>5</v>
      </c>
      <c r="AV477" t="s">
        <v>88</v>
      </c>
      <c r="BA477">
        <v>6.9</v>
      </c>
    </row>
    <row r="478" spans="1:53" hidden="1" x14ac:dyDescent="0.3">
      <c r="A478" t="s">
        <v>1094</v>
      </c>
      <c r="B478" t="s">
        <v>1102</v>
      </c>
      <c r="C478" t="s">
        <v>1052</v>
      </c>
      <c r="H478">
        <v>4</v>
      </c>
      <c r="I478" t="s">
        <v>56</v>
      </c>
      <c r="J478">
        <v>4.0000000000000002E-4</v>
      </c>
      <c r="K478" t="s">
        <v>57</v>
      </c>
      <c r="O478">
        <v>0</v>
      </c>
      <c r="T478">
        <v>65</v>
      </c>
      <c r="V478">
        <v>80</v>
      </c>
      <c r="W478" t="s">
        <v>1099</v>
      </c>
      <c r="X478" t="s">
        <v>280</v>
      </c>
      <c r="Y478">
        <v>1440</v>
      </c>
      <c r="AB478">
        <v>6.8</v>
      </c>
      <c r="AC478" t="s">
        <v>210</v>
      </c>
      <c r="AD478">
        <v>0.02</v>
      </c>
      <c r="AH478">
        <v>6.9</v>
      </c>
      <c r="AI478">
        <v>5</v>
      </c>
      <c r="AV478" t="s">
        <v>88</v>
      </c>
      <c r="BA478">
        <v>6.9</v>
      </c>
    </row>
    <row r="479" spans="1:53" hidden="1" x14ac:dyDescent="0.3">
      <c r="A479" t="s">
        <v>1094</v>
      </c>
      <c r="B479" t="s">
        <v>1102</v>
      </c>
      <c r="C479" t="s">
        <v>1052</v>
      </c>
      <c r="H479">
        <v>4</v>
      </c>
      <c r="I479" t="s">
        <v>56</v>
      </c>
      <c r="J479">
        <v>4.0000000000000002E-4</v>
      </c>
      <c r="K479" t="s">
        <v>57</v>
      </c>
      <c r="O479">
        <v>0</v>
      </c>
      <c r="T479">
        <v>65</v>
      </c>
      <c r="V479">
        <v>80</v>
      </c>
      <c r="W479" t="s">
        <v>1100</v>
      </c>
      <c r="X479" t="s">
        <v>280</v>
      </c>
      <c r="Y479">
        <v>1440</v>
      </c>
      <c r="AB479">
        <v>6.7</v>
      </c>
      <c r="AC479" t="s">
        <v>210</v>
      </c>
      <c r="AD479">
        <v>0.02</v>
      </c>
      <c r="AH479">
        <v>6.9</v>
      </c>
      <c r="AI479">
        <v>5</v>
      </c>
      <c r="AV479" t="s">
        <v>88</v>
      </c>
      <c r="BA479">
        <v>6.9</v>
      </c>
    </row>
    <row r="480" spans="1:53" hidden="1" x14ac:dyDescent="0.3">
      <c r="A480" t="s">
        <v>1094</v>
      </c>
      <c r="B480" t="s">
        <v>1102</v>
      </c>
      <c r="C480" t="s">
        <v>1052</v>
      </c>
      <c r="O480">
        <v>0</v>
      </c>
      <c r="T480">
        <v>65</v>
      </c>
      <c r="V480">
        <v>80</v>
      </c>
      <c r="W480" t="s">
        <v>1103</v>
      </c>
      <c r="X480" t="s">
        <v>280</v>
      </c>
      <c r="Y480">
        <v>1440</v>
      </c>
      <c r="AB480">
        <v>6.6</v>
      </c>
      <c r="AC480" t="s">
        <v>210</v>
      </c>
      <c r="AD480">
        <v>0.05</v>
      </c>
      <c r="AH480">
        <v>6.9</v>
      </c>
      <c r="AI480">
        <v>5</v>
      </c>
      <c r="BA480">
        <v>6.9</v>
      </c>
    </row>
    <row r="481" spans="1:53" hidden="1" x14ac:dyDescent="0.3">
      <c r="A481" t="s">
        <v>1094</v>
      </c>
      <c r="B481" t="s">
        <v>1102</v>
      </c>
      <c r="C481" t="s">
        <v>1052</v>
      </c>
      <c r="H481">
        <v>4</v>
      </c>
      <c r="I481" t="s">
        <v>56</v>
      </c>
      <c r="J481">
        <v>4.0000000000000002E-4</v>
      </c>
      <c r="K481" t="s">
        <v>57</v>
      </c>
      <c r="O481">
        <v>0</v>
      </c>
      <c r="T481">
        <v>75</v>
      </c>
      <c r="V481">
        <v>80</v>
      </c>
      <c r="W481" t="s">
        <v>1096</v>
      </c>
      <c r="X481" t="s">
        <v>280</v>
      </c>
      <c r="Y481">
        <v>2880</v>
      </c>
      <c r="AB481">
        <v>3.9</v>
      </c>
      <c r="AC481" t="s">
        <v>210</v>
      </c>
      <c r="AD481">
        <v>7.0000000000000007E-2</v>
      </c>
      <c r="AH481">
        <v>6.9</v>
      </c>
      <c r="AI481">
        <v>5</v>
      </c>
      <c r="AV481" t="s">
        <v>88</v>
      </c>
      <c r="BA481">
        <v>6.9</v>
      </c>
    </row>
    <row r="482" spans="1:53" hidden="1" x14ac:dyDescent="0.3">
      <c r="A482" t="s">
        <v>1094</v>
      </c>
      <c r="B482" t="s">
        <v>1102</v>
      </c>
      <c r="C482" t="s">
        <v>1052</v>
      </c>
      <c r="H482">
        <v>4</v>
      </c>
      <c r="I482" t="s">
        <v>56</v>
      </c>
      <c r="J482">
        <v>4.0000000000000002E-4</v>
      </c>
      <c r="K482" t="s">
        <v>57</v>
      </c>
      <c r="O482">
        <v>0</v>
      </c>
      <c r="T482">
        <v>65</v>
      </c>
      <c r="V482">
        <v>80</v>
      </c>
      <c r="W482" t="s">
        <v>1096</v>
      </c>
      <c r="X482" t="s">
        <v>280</v>
      </c>
      <c r="Y482">
        <v>2880</v>
      </c>
      <c r="AB482">
        <v>7</v>
      </c>
      <c r="AC482" t="s">
        <v>210</v>
      </c>
      <c r="AD482">
        <v>0.3</v>
      </c>
      <c r="AH482">
        <v>7.4</v>
      </c>
      <c r="AI482">
        <v>5</v>
      </c>
      <c r="AV482" t="s">
        <v>88</v>
      </c>
      <c r="BA482">
        <v>7.4</v>
      </c>
    </row>
    <row r="483" spans="1:53" hidden="1" x14ac:dyDescent="0.3">
      <c r="A483" t="s">
        <v>1094</v>
      </c>
      <c r="B483" t="s">
        <v>1102</v>
      </c>
      <c r="C483" t="s">
        <v>1052</v>
      </c>
      <c r="H483">
        <v>4</v>
      </c>
      <c r="I483" t="s">
        <v>56</v>
      </c>
      <c r="J483">
        <v>4.0000000000000002E-4</v>
      </c>
      <c r="K483" t="s">
        <v>57</v>
      </c>
      <c r="O483">
        <v>0</v>
      </c>
      <c r="T483">
        <v>55</v>
      </c>
      <c r="V483">
        <v>80</v>
      </c>
      <c r="W483" t="s">
        <v>1096</v>
      </c>
      <c r="X483" t="s">
        <v>280</v>
      </c>
      <c r="Y483">
        <v>2880</v>
      </c>
      <c r="AB483">
        <v>7</v>
      </c>
      <c r="AC483" t="s">
        <v>210</v>
      </c>
      <c r="AD483">
        <v>0.01</v>
      </c>
      <c r="AH483">
        <v>6.9</v>
      </c>
      <c r="AI483">
        <v>5</v>
      </c>
      <c r="AV483" t="s">
        <v>88</v>
      </c>
      <c r="BA483">
        <v>6.9</v>
      </c>
    </row>
    <row r="484" spans="1:53" hidden="1" x14ac:dyDescent="0.3">
      <c r="A484" t="s">
        <v>1094</v>
      </c>
      <c r="B484" t="s">
        <v>1102</v>
      </c>
      <c r="C484" t="s">
        <v>1052</v>
      </c>
      <c r="H484">
        <v>4</v>
      </c>
      <c r="I484" t="s">
        <v>56</v>
      </c>
      <c r="J484">
        <v>4.0000000000000002E-4</v>
      </c>
      <c r="K484" t="s">
        <v>57</v>
      </c>
      <c r="O484">
        <v>0</v>
      </c>
      <c r="T484">
        <v>75</v>
      </c>
      <c r="V484">
        <v>80</v>
      </c>
      <c r="W484" t="s">
        <v>1097</v>
      </c>
      <c r="X484" t="s">
        <v>280</v>
      </c>
      <c r="Y484">
        <v>2880</v>
      </c>
      <c r="AB484">
        <v>5.2</v>
      </c>
      <c r="AC484" t="s">
        <v>210</v>
      </c>
      <c r="AD484">
        <v>0.04</v>
      </c>
      <c r="AH484">
        <v>6.9</v>
      </c>
      <c r="AI484">
        <v>5</v>
      </c>
      <c r="AV484" t="s">
        <v>88</v>
      </c>
      <c r="BA484">
        <v>6.9</v>
      </c>
    </row>
    <row r="485" spans="1:53" hidden="1" x14ac:dyDescent="0.3">
      <c r="A485" t="s">
        <v>1094</v>
      </c>
      <c r="B485" t="s">
        <v>1102</v>
      </c>
      <c r="C485" t="s">
        <v>1052</v>
      </c>
      <c r="H485">
        <v>4</v>
      </c>
      <c r="I485" t="s">
        <v>56</v>
      </c>
      <c r="J485">
        <v>4.0000000000000002E-4</v>
      </c>
      <c r="K485" t="s">
        <v>57</v>
      </c>
      <c r="O485">
        <v>0</v>
      </c>
      <c r="T485">
        <v>65</v>
      </c>
      <c r="V485">
        <v>80</v>
      </c>
      <c r="W485" t="s">
        <v>1097</v>
      </c>
      <c r="X485" t="s">
        <v>280</v>
      </c>
      <c r="Y485">
        <v>2880</v>
      </c>
      <c r="AB485">
        <v>6.9</v>
      </c>
      <c r="AC485" t="s">
        <v>210</v>
      </c>
      <c r="AD485">
        <v>0.3</v>
      </c>
      <c r="AH485">
        <v>7.4</v>
      </c>
      <c r="AI485">
        <v>5</v>
      </c>
      <c r="AV485" t="s">
        <v>88</v>
      </c>
      <c r="BA485">
        <v>7.4</v>
      </c>
    </row>
    <row r="486" spans="1:53" hidden="1" x14ac:dyDescent="0.3">
      <c r="A486" t="s">
        <v>1094</v>
      </c>
      <c r="B486" t="s">
        <v>1102</v>
      </c>
      <c r="C486" t="s">
        <v>1052</v>
      </c>
      <c r="H486">
        <v>4</v>
      </c>
      <c r="I486" t="s">
        <v>56</v>
      </c>
      <c r="J486">
        <v>4.0000000000000002E-4</v>
      </c>
      <c r="K486" t="s">
        <v>57</v>
      </c>
      <c r="O486">
        <v>0</v>
      </c>
      <c r="T486">
        <v>55</v>
      </c>
      <c r="V486">
        <v>80</v>
      </c>
      <c r="W486" t="s">
        <v>1097</v>
      </c>
      <c r="X486" t="s">
        <v>280</v>
      </c>
      <c r="Y486">
        <v>2880</v>
      </c>
      <c r="AB486">
        <v>6.9</v>
      </c>
      <c r="AC486" t="s">
        <v>210</v>
      </c>
      <c r="AD486">
        <v>0.02</v>
      </c>
      <c r="AH486">
        <v>6.9</v>
      </c>
      <c r="AI486">
        <v>5</v>
      </c>
      <c r="AV486" t="s">
        <v>88</v>
      </c>
      <c r="BA486">
        <v>6.9</v>
      </c>
    </row>
    <row r="487" spans="1:53" hidden="1" x14ac:dyDescent="0.3">
      <c r="A487" t="s">
        <v>1094</v>
      </c>
      <c r="B487" t="s">
        <v>1102</v>
      </c>
      <c r="C487" t="s">
        <v>1052</v>
      </c>
      <c r="H487">
        <v>4</v>
      </c>
      <c r="I487" t="s">
        <v>56</v>
      </c>
      <c r="J487">
        <v>4.0000000000000002E-4</v>
      </c>
      <c r="K487" t="s">
        <v>57</v>
      </c>
      <c r="O487">
        <v>0</v>
      </c>
      <c r="T487">
        <v>75</v>
      </c>
      <c r="V487">
        <v>80</v>
      </c>
      <c r="W487" t="s">
        <v>1098</v>
      </c>
      <c r="X487" t="s">
        <v>280</v>
      </c>
      <c r="Y487">
        <v>2880</v>
      </c>
      <c r="AB487">
        <v>3.8</v>
      </c>
      <c r="AC487" t="s">
        <v>210</v>
      </c>
      <c r="AD487">
        <v>0.03</v>
      </c>
      <c r="AH487">
        <v>6.9</v>
      </c>
      <c r="AI487">
        <v>5</v>
      </c>
      <c r="AV487" t="s">
        <v>88</v>
      </c>
      <c r="BA487">
        <v>6.9</v>
      </c>
    </row>
    <row r="488" spans="1:53" hidden="1" x14ac:dyDescent="0.3">
      <c r="A488" t="s">
        <v>1094</v>
      </c>
      <c r="B488" t="s">
        <v>1102</v>
      </c>
      <c r="C488" t="s">
        <v>1052</v>
      </c>
      <c r="H488">
        <v>4</v>
      </c>
      <c r="I488" t="s">
        <v>56</v>
      </c>
      <c r="J488">
        <v>4.0000000000000002E-4</v>
      </c>
      <c r="K488" t="s">
        <v>57</v>
      </c>
      <c r="O488">
        <v>0</v>
      </c>
      <c r="T488">
        <v>65</v>
      </c>
      <c r="V488">
        <v>80</v>
      </c>
      <c r="W488" t="s">
        <v>1098</v>
      </c>
      <c r="X488" t="s">
        <v>280</v>
      </c>
      <c r="Y488">
        <v>2880</v>
      </c>
      <c r="AB488">
        <v>6.9</v>
      </c>
      <c r="AC488" t="s">
        <v>210</v>
      </c>
      <c r="AD488">
        <v>0.3</v>
      </c>
      <c r="AH488">
        <v>7.4</v>
      </c>
      <c r="AI488">
        <v>5</v>
      </c>
      <c r="AV488" t="s">
        <v>88</v>
      </c>
      <c r="BA488">
        <v>7.4</v>
      </c>
    </row>
    <row r="489" spans="1:53" hidden="1" x14ac:dyDescent="0.3">
      <c r="A489" t="s">
        <v>1094</v>
      </c>
      <c r="B489" t="s">
        <v>1102</v>
      </c>
      <c r="C489" t="s">
        <v>1052</v>
      </c>
      <c r="H489">
        <v>4</v>
      </c>
      <c r="I489" t="s">
        <v>56</v>
      </c>
      <c r="J489">
        <v>4.0000000000000002E-4</v>
      </c>
      <c r="K489" t="s">
        <v>57</v>
      </c>
      <c r="O489">
        <v>0</v>
      </c>
      <c r="T489">
        <v>55</v>
      </c>
      <c r="V489">
        <v>80</v>
      </c>
      <c r="W489" t="s">
        <v>1098</v>
      </c>
      <c r="X489" t="s">
        <v>280</v>
      </c>
      <c r="Y489">
        <v>2880</v>
      </c>
      <c r="AB489">
        <v>6.9</v>
      </c>
      <c r="AC489" t="s">
        <v>210</v>
      </c>
      <c r="AD489">
        <v>0.02</v>
      </c>
      <c r="AH489">
        <v>6.9</v>
      </c>
      <c r="AI489">
        <v>5</v>
      </c>
      <c r="AV489" t="s">
        <v>88</v>
      </c>
      <c r="BA489">
        <v>6.9</v>
      </c>
    </row>
    <row r="490" spans="1:53" hidden="1" x14ac:dyDescent="0.3">
      <c r="A490" t="s">
        <v>1094</v>
      </c>
      <c r="B490" t="s">
        <v>1102</v>
      </c>
      <c r="C490" t="s">
        <v>1052</v>
      </c>
      <c r="H490">
        <v>4</v>
      </c>
      <c r="I490" t="s">
        <v>56</v>
      </c>
      <c r="J490">
        <v>4.0000000000000002E-4</v>
      </c>
      <c r="K490" t="s">
        <v>57</v>
      </c>
      <c r="O490">
        <v>0</v>
      </c>
      <c r="T490">
        <v>75</v>
      </c>
      <c r="V490">
        <v>80</v>
      </c>
      <c r="W490" t="s">
        <v>1099</v>
      </c>
      <c r="X490" t="s">
        <v>280</v>
      </c>
      <c r="Y490">
        <v>2880</v>
      </c>
      <c r="AB490">
        <v>4.8</v>
      </c>
      <c r="AC490" t="s">
        <v>210</v>
      </c>
      <c r="AD490">
        <v>0.05</v>
      </c>
      <c r="AH490">
        <v>6.9</v>
      </c>
      <c r="AI490">
        <v>5</v>
      </c>
      <c r="AV490" t="s">
        <v>88</v>
      </c>
      <c r="BA490">
        <v>6.9</v>
      </c>
    </row>
    <row r="491" spans="1:53" hidden="1" x14ac:dyDescent="0.3">
      <c r="A491" t="s">
        <v>1094</v>
      </c>
      <c r="B491" t="s">
        <v>1102</v>
      </c>
      <c r="C491" t="s">
        <v>1052</v>
      </c>
      <c r="H491">
        <v>4</v>
      </c>
      <c r="I491" t="s">
        <v>56</v>
      </c>
      <c r="J491">
        <v>4.0000000000000002E-4</v>
      </c>
      <c r="K491" t="s">
        <v>57</v>
      </c>
      <c r="O491">
        <v>0</v>
      </c>
      <c r="T491">
        <v>65</v>
      </c>
      <c r="V491">
        <v>80</v>
      </c>
      <c r="W491" t="s">
        <v>1099</v>
      </c>
      <c r="X491" t="s">
        <v>280</v>
      </c>
      <c r="Y491">
        <v>2880</v>
      </c>
      <c r="AB491">
        <v>7</v>
      </c>
      <c r="AC491" t="s">
        <v>210</v>
      </c>
      <c r="AD491">
        <v>0.3</v>
      </c>
      <c r="AH491">
        <v>7.4</v>
      </c>
      <c r="AI491">
        <v>5</v>
      </c>
      <c r="AV491" t="s">
        <v>88</v>
      </c>
      <c r="BA491">
        <v>7.4</v>
      </c>
    </row>
    <row r="492" spans="1:53" hidden="1" x14ac:dyDescent="0.3">
      <c r="A492" t="s">
        <v>1094</v>
      </c>
      <c r="B492" t="s">
        <v>1102</v>
      </c>
      <c r="C492" t="s">
        <v>1052</v>
      </c>
      <c r="H492">
        <v>4</v>
      </c>
      <c r="I492" t="s">
        <v>56</v>
      </c>
      <c r="J492">
        <v>4.0000000000000002E-4</v>
      </c>
      <c r="K492" t="s">
        <v>57</v>
      </c>
      <c r="O492">
        <v>0</v>
      </c>
      <c r="T492">
        <v>55</v>
      </c>
      <c r="V492">
        <v>80</v>
      </c>
      <c r="W492" t="s">
        <v>1099</v>
      </c>
      <c r="X492" t="s">
        <v>280</v>
      </c>
      <c r="Y492">
        <v>2880</v>
      </c>
      <c r="AB492">
        <v>6.8</v>
      </c>
      <c r="AC492" t="s">
        <v>210</v>
      </c>
      <c r="AD492">
        <v>0.02</v>
      </c>
      <c r="AH492">
        <v>6.9</v>
      </c>
      <c r="AI492">
        <v>5</v>
      </c>
      <c r="AV492" t="s">
        <v>88</v>
      </c>
      <c r="BA492">
        <v>6.9</v>
      </c>
    </row>
    <row r="493" spans="1:53" hidden="1" x14ac:dyDescent="0.3">
      <c r="A493" t="s">
        <v>1094</v>
      </c>
      <c r="B493" t="s">
        <v>1102</v>
      </c>
      <c r="C493" t="s">
        <v>1052</v>
      </c>
      <c r="H493">
        <v>4</v>
      </c>
      <c r="I493" t="s">
        <v>56</v>
      </c>
      <c r="J493">
        <v>4.0000000000000002E-4</v>
      </c>
      <c r="K493" t="s">
        <v>57</v>
      </c>
      <c r="O493">
        <v>0</v>
      </c>
      <c r="T493">
        <v>75</v>
      </c>
      <c r="V493">
        <v>80</v>
      </c>
      <c r="W493" t="s">
        <v>1100</v>
      </c>
      <c r="X493" t="s">
        <v>280</v>
      </c>
      <c r="Y493">
        <v>2880</v>
      </c>
      <c r="AB493">
        <v>6</v>
      </c>
      <c r="AC493" t="s">
        <v>210</v>
      </c>
      <c r="AD493">
        <v>0.06</v>
      </c>
      <c r="AH493">
        <v>6.9</v>
      </c>
      <c r="AI493">
        <v>5</v>
      </c>
      <c r="AV493" t="s">
        <v>88</v>
      </c>
      <c r="BA493">
        <v>6.9</v>
      </c>
    </row>
    <row r="494" spans="1:53" hidden="1" x14ac:dyDescent="0.3">
      <c r="A494" t="s">
        <v>1094</v>
      </c>
      <c r="B494" t="s">
        <v>1102</v>
      </c>
      <c r="C494" t="s">
        <v>1052</v>
      </c>
      <c r="H494">
        <v>4</v>
      </c>
      <c r="I494" t="s">
        <v>56</v>
      </c>
      <c r="J494">
        <v>4.0000000000000002E-4</v>
      </c>
      <c r="K494" t="s">
        <v>57</v>
      </c>
      <c r="O494">
        <v>0</v>
      </c>
      <c r="T494">
        <v>65</v>
      </c>
      <c r="V494">
        <v>80</v>
      </c>
      <c r="W494" t="s">
        <v>1100</v>
      </c>
      <c r="X494" t="s">
        <v>280</v>
      </c>
      <c r="Y494">
        <v>2880</v>
      </c>
      <c r="AB494">
        <v>7.2</v>
      </c>
      <c r="AC494" t="s">
        <v>210</v>
      </c>
      <c r="AD494">
        <v>0.2</v>
      </c>
      <c r="AH494">
        <v>7.4</v>
      </c>
      <c r="AI494">
        <v>5</v>
      </c>
      <c r="AV494" t="s">
        <v>88</v>
      </c>
      <c r="BA494">
        <v>7.4</v>
      </c>
    </row>
    <row r="495" spans="1:53" hidden="1" x14ac:dyDescent="0.3">
      <c r="A495" t="s">
        <v>1094</v>
      </c>
      <c r="B495" t="s">
        <v>1102</v>
      </c>
      <c r="C495" t="s">
        <v>1052</v>
      </c>
      <c r="H495">
        <v>4</v>
      </c>
      <c r="I495" t="s">
        <v>56</v>
      </c>
      <c r="J495">
        <v>4.0000000000000002E-4</v>
      </c>
      <c r="K495" t="s">
        <v>57</v>
      </c>
      <c r="O495">
        <v>0</v>
      </c>
      <c r="T495">
        <v>55</v>
      </c>
      <c r="V495">
        <v>80</v>
      </c>
      <c r="W495" t="s">
        <v>1100</v>
      </c>
      <c r="X495" t="s">
        <v>280</v>
      </c>
      <c r="Y495">
        <v>2880</v>
      </c>
      <c r="AB495">
        <v>6.8</v>
      </c>
      <c r="AC495" t="s">
        <v>210</v>
      </c>
      <c r="AD495">
        <v>0.03</v>
      </c>
      <c r="AH495">
        <v>6.9</v>
      </c>
      <c r="AI495">
        <v>5</v>
      </c>
      <c r="AV495" t="s">
        <v>88</v>
      </c>
      <c r="BA495">
        <v>6.9</v>
      </c>
    </row>
    <row r="496" spans="1:53" hidden="1" x14ac:dyDescent="0.3">
      <c r="A496" t="s">
        <v>1094</v>
      </c>
      <c r="B496" t="s">
        <v>1102</v>
      </c>
      <c r="C496" t="s">
        <v>1052</v>
      </c>
      <c r="O496">
        <v>0</v>
      </c>
      <c r="T496">
        <v>75</v>
      </c>
      <c r="V496">
        <v>80</v>
      </c>
      <c r="W496" t="s">
        <v>1103</v>
      </c>
      <c r="X496" t="s">
        <v>280</v>
      </c>
      <c r="Y496">
        <v>2880</v>
      </c>
      <c r="AB496">
        <v>0</v>
      </c>
      <c r="AC496" t="s">
        <v>210</v>
      </c>
      <c r="AD496">
        <v>0</v>
      </c>
      <c r="AH496">
        <v>6.9</v>
      </c>
      <c r="AI496">
        <v>5</v>
      </c>
      <c r="BA496">
        <v>6.9</v>
      </c>
    </row>
    <row r="497" spans="1:53" hidden="1" x14ac:dyDescent="0.3">
      <c r="A497" t="s">
        <v>1094</v>
      </c>
      <c r="B497" t="s">
        <v>1102</v>
      </c>
      <c r="C497" t="s">
        <v>1052</v>
      </c>
      <c r="O497">
        <v>0</v>
      </c>
      <c r="T497">
        <v>65</v>
      </c>
      <c r="V497">
        <v>80</v>
      </c>
      <c r="W497" t="s">
        <v>1103</v>
      </c>
      <c r="X497" t="s">
        <v>280</v>
      </c>
      <c r="Y497">
        <v>2880</v>
      </c>
      <c r="AB497">
        <v>7.1</v>
      </c>
      <c r="AC497" t="s">
        <v>210</v>
      </c>
      <c r="AD497">
        <v>0.2</v>
      </c>
      <c r="AH497">
        <v>7.4</v>
      </c>
      <c r="AI497">
        <v>5</v>
      </c>
      <c r="BA497">
        <v>7.4</v>
      </c>
    </row>
    <row r="498" spans="1:53" hidden="1" x14ac:dyDescent="0.3">
      <c r="A498" t="s">
        <v>1094</v>
      </c>
      <c r="B498" t="s">
        <v>1102</v>
      </c>
      <c r="C498" t="s">
        <v>1052</v>
      </c>
      <c r="O498">
        <v>0</v>
      </c>
      <c r="T498">
        <v>55</v>
      </c>
      <c r="V498">
        <v>80</v>
      </c>
      <c r="W498" t="s">
        <v>1103</v>
      </c>
      <c r="X498" t="s">
        <v>280</v>
      </c>
      <c r="Y498">
        <v>2880</v>
      </c>
      <c r="AB498">
        <v>6.7</v>
      </c>
      <c r="AC498" t="s">
        <v>210</v>
      </c>
      <c r="AD498">
        <v>0.03</v>
      </c>
      <c r="AH498">
        <v>6.9</v>
      </c>
      <c r="AI498">
        <v>5</v>
      </c>
      <c r="BA498">
        <v>6.9</v>
      </c>
    </row>
    <row r="499" spans="1:53" hidden="1" x14ac:dyDescent="0.3">
      <c r="A499" t="s">
        <v>1094</v>
      </c>
      <c r="B499" t="s">
        <v>1102</v>
      </c>
      <c r="C499" t="s">
        <v>1052</v>
      </c>
      <c r="H499">
        <v>4</v>
      </c>
      <c r="I499" t="s">
        <v>56</v>
      </c>
      <c r="J499">
        <v>4.0000000000000002E-4</v>
      </c>
      <c r="K499" t="s">
        <v>57</v>
      </c>
      <c r="O499">
        <v>0</v>
      </c>
      <c r="T499">
        <v>65</v>
      </c>
      <c r="V499">
        <v>80</v>
      </c>
      <c r="W499" t="s">
        <v>1096</v>
      </c>
      <c r="X499" t="s">
        <v>280</v>
      </c>
      <c r="Y499">
        <v>4320</v>
      </c>
      <c r="AB499">
        <v>6.4</v>
      </c>
      <c r="AC499" t="s">
        <v>210</v>
      </c>
      <c r="AD499">
        <v>0.02</v>
      </c>
      <c r="AH499">
        <v>6.9</v>
      </c>
      <c r="AI499">
        <v>5</v>
      </c>
      <c r="AV499" t="s">
        <v>88</v>
      </c>
      <c r="BA499">
        <v>6.9</v>
      </c>
    </row>
    <row r="500" spans="1:53" hidden="1" x14ac:dyDescent="0.3">
      <c r="A500" t="s">
        <v>1094</v>
      </c>
      <c r="B500" t="s">
        <v>1102</v>
      </c>
      <c r="C500" t="s">
        <v>1052</v>
      </c>
      <c r="H500">
        <v>4</v>
      </c>
      <c r="I500" t="s">
        <v>56</v>
      </c>
      <c r="J500">
        <v>4.0000000000000002E-4</v>
      </c>
      <c r="K500" t="s">
        <v>57</v>
      </c>
      <c r="O500">
        <v>0</v>
      </c>
      <c r="T500">
        <v>65</v>
      </c>
      <c r="V500">
        <v>80</v>
      </c>
      <c r="W500" t="s">
        <v>1097</v>
      </c>
      <c r="X500" t="s">
        <v>280</v>
      </c>
      <c r="Y500">
        <v>4320</v>
      </c>
      <c r="AB500">
        <v>6.5</v>
      </c>
      <c r="AC500" t="s">
        <v>210</v>
      </c>
      <c r="AD500">
        <v>0.03</v>
      </c>
      <c r="AH500">
        <v>6.9</v>
      </c>
      <c r="AI500">
        <v>5</v>
      </c>
      <c r="AV500" t="s">
        <v>88</v>
      </c>
      <c r="BA500">
        <v>6.9</v>
      </c>
    </row>
    <row r="501" spans="1:53" hidden="1" x14ac:dyDescent="0.3">
      <c r="A501" t="s">
        <v>1094</v>
      </c>
      <c r="B501" t="s">
        <v>1102</v>
      </c>
      <c r="C501" t="s">
        <v>1052</v>
      </c>
      <c r="H501">
        <v>4</v>
      </c>
      <c r="I501" t="s">
        <v>56</v>
      </c>
      <c r="J501">
        <v>4.0000000000000002E-4</v>
      </c>
      <c r="K501" t="s">
        <v>57</v>
      </c>
      <c r="O501">
        <v>0</v>
      </c>
      <c r="T501">
        <v>65</v>
      </c>
      <c r="V501">
        <v>80</v>
      </c>
      <c r="W501" t="s">
        <v>1098</v>
      </c>
      <c r="X501" t="s">
        <v>280</v>
      </c>
      <c r="Y501">
        <v>4320</v>
      </c>
      <c r="AB501">
        <v>6.8</v>
      </c>
      <c r="AC501" t="s">
        <v>210</v>
      </c>
      <c r="AD501">
        <v>0.02</v>
      </c>
      <c r="AH501">
        <v>6.9</v>
      </c>
      <c r="AI501">
        <v>5</v>
      </c>
      <c r="AV501" t="s">
        <v>88</v>
      </c>
      <c r="BA501">
        <v>6.9</v>
      </c>
    </row>
    <row r="502" spans="1:53" hidden="1" x14ac:dyDescent="0.3">
      <c r="A502" t="s">
        <v>1094</v>
      </c>
      <c r="B502" t="s">
        <v>1102</v>
      </c>
      <c r="C502" t="s">
        <v>1052</v>
      </c>
      <c r="H502">
        <v>4</v>
      </c>
      <c r="I502" t="s">
        <v>56</v>
      </c>
      <c r="J502">
        <v>4.0000000000000002E-4</v>
      </c>
      <c r="K502" t="s">
        <v>57</v>
      </c>
      <c r="O502">
        <v>0</v>
      </c>
      <c r="T502">
        <v>65</v>
      </c>
      <c r="V502">
        <v>80</v>
      </c>
      <c r="W502" t="s">
        <v>1099</v>
      </c>
      <c r="X502" t="s">
        <v>280</v>
      </c>
      <c r="Y502">
        <v>4320</v>
      </c>
      <c r="AB502">
        <v>6.3</v>
      </c>
      <c r="AC502" t="s">
        <v>210</v>
      </c>
      <c r="AD502">
        <v>0.03</v>
      </c>
      <c r="AH502">
        <v>6.9</v>
      </c>
      <c r="AI502">
        <v>5</v>
      </c>
      <c r="AV502" t="s">
        <v>88</v>
      </c>
      <c r="BA502">
        <v>6.9</v>
      </c>
    </row>
    <row r="503" spans="1:53" hidden="1" x14ac:dyDescent="0.3">
      <c r="A503" t="s">
        <v>1094</v>
      </c>
      <c r="B503" t="s">
        <v>1102</v>
      </c>
      <c r="C503" t="s">
        <v>1052</v>
      </c>
      <c r="H503">
        <v>4</v>
      </c>
      <c r="I503" t="s">
        <v>56</v>
      </c>
      <c r="J503">
        <v>4.0000000000000002E-4</v>
      </c>
      <c r="K503" t="s">
        <v>57</v>
      </c>
      <c r="O503">
        <v>0</v>
      </c>
      <c r="T503">
        <v>65</v>
      </c>
      <c r="V503">
        <v>80</v>
      </c>
      <c r="W503" t="s">
        <v>1100</v>
      </c>
      <c r="X503" t="s">
        <v>280</v>
      </c>
      <c r="Y503">
        <v>4320</v>
      </c>
      <c r="AB503">
        <v>6.6</v>
      </c>
      <c r="AC503" t="s">
        <v>210</v>
      </c>
      <c r="AD503">
        <v>0.04</v>
      </c>
      <c r="AH503">
        <v>6.9</v>
      </c>
      <c r="AI503">
        <v>5</v>
      </c>
      <c r="AV503" t="s">
        <v>88</v>
      </c>
      <c r="BA503">
        <v>6.9</v>
      </c>
    </row>
    <row r="504" spans="1:53" hidden="1" x14ac:dyDescent="0.3">
      <c r="A504" t="s">
        <v>1094</v>
      </c>
      <c r="B504" t="s">
        <v>1102</v>
      </c>
      <c r="C504" t="s">
        <v>1052</v>
      </c>
      <c r="O504">
        <v>0</v>
      </c>
      <c r="T504">
        <v>65</v>
      </c>
      <c r="V504">
        <v>80</v>
      </c>
      <c r="W504" t="s">
        <v>1103</v>
      </c>
      <c r="X504" t="s">
        <v>280</v>
      </c>
      <c r="Y504">
        <v>4320</v>
      </c>
      <c r="AB504">
        <v>4.7</v>
      </c>
      <c r="AC504" t="s">
        <v>210</v>
      </c>
      <c r="AD504">
        <v>0.17</v>
      </c>
      <c r="AH504">
        <v>6.9</v>
      </c>
      <c r="AI504">
        <v>5</v>
      </c>
      <c r="BA504">
        <v>6.9</v>
      </c>
    </row>
    <row r="505" spans="1:53" hidden="1" x14ac:dyDescent="0.3">
      <c r="A505" t="s">
        <v>1094</v>
      </c>
      <c r="B505" t="s">
        <v>1102</v>
      </c>
      <c r="C505" t="s">
        <v>1052</v>
      </c>
      <c r="H505">
        <v>4</v>
      </c>
      <c r="I505" t="s">
        <v>56</v>
      </c>
      <c r="J505">
        <v>4.0000000000000002E-4</v>
      </c>
      <c r="K505" t="s">
        <v>57</v>
      </c>
      <c r="O505">
        <v>0</v>
      </c>
      <c r="T505">
        <v>75</v>
      </c>
      <c r="V505">
        <v>70</v>
      </c>
      <c r="W505" t="s">
        <v>1096</v>
      </c>
      <c r="X505" t="s">
        <v>280</v>
      </c>
      <c r="Y505">
        <v>1440</v>
      </c>
      <c r="AB505">
        <v>6.8</v>
      </c>
      <c r="AC505" t="s">
        <v>210</v>
      </c>
      <c r="AD505">
        <v>0.3</v>
      </c>
      <c r="AH505">
        <v>7.4</v>
      </c>
      <c r="AI505">
        <v>5</v>
      </c>
      <c r="AV505" t="s">
        <v>88</v>
      </c>
      <c r="BA505">
        <v>7.4</v>
      </c>
    </row>
    <row r="506" spans="1:53" hidden="1" x14ac:dyDescent="0.3">
      <c r="A506" t="s">
        <v>1094</v>
      </c>
      <c r="B506" t="s">
        <v>1102</v>
      </c>
      <c r="C506" t="s">
        <v>1052</v>
      </c>
      <c r="H506">
        <v>4</v>
      </c>
      <c r="I506" t="s">
        <v>56</v>
      </c>
      <c r="J506">
        <v>4.0000000000000002E-4</v>
      </c>
      <c r="K506" t="s">
        <v>57</v>
      </c>
      <c r="O506">
        <v>0</v>
      </c>
      <c r="T506">
        <v>55</v>
      </c>
      <c r="V506">
        <v>70</v>
      </c>
      <c r="W506" t="s">
        <v>1096</v>
      </c>
      <c r="X506" t="s">
        <v>280</v>
      </c>
      <c r="Y506">
        <v>1440</v>
      </c>
      <c r="AB506">
        <v>7.4</v>
      </c>
      <c r="AC506" t="s">
        <v>210</v>
      </c>
      <c r="AD506">
        <v>0.2</v>
      </c>
      <c r="AH506">
        <v>7.4</v>
      </c>
      <c r="AI506">
        <v>5</v>
      </c>
      <c r="AV506" t="s">
        <v>88</v>
      </c>
      <c r="BA506">
        <v>7.4</v>
      </c>
    </row>
    <row r="507" spans="1:53" hidden="1" x14ac:dyDescent="0.3">
      <c r="A507" t="s">
        <v>1094</v>
      </c>
      <c r="B507" t="s">
        <v>1102</v>
      </c>
      <c r="C507" t="s">
        <v>1052</v>
      </c>
      <c r="H507">
        <v>4</v>
      </c>
      <c r="I507" t="s">
        <v>56</v>
      </c>
      <c r="J507">
        <v>4.0000000000000002E-4</v>
      </c>
      <c r="K507" t="s">
        <v>57</v>
      </c>
      <c r="O507">
        <v>0</v>
      </c>
      <c r="T507">
        <v>75</v>
      </c>
      <c r="V507">
        <v>70</v>
      </c>
      <c r="W507" t="s">
        <v>1097</v>
      </c>
      <c r="X507" t="s">
        <v>280</v>
      </c>
      <c r="Y507">
        <v>1440</v>
      </c>
      <c r="AB507">
        <v>7.1</v>
      </c>
      <c r="AC507" t="s">
        <v>210</v>
      </c>
      <c r="AD507">
        <v>0.2</v>
      </c>
      <c r="AH507">
        <v>7.4</v>
      </c>
      <c r="AI507">
        <v>5</v>
      </c>
      <c r="AV507" t="s">
        <v>88</v>
      </c>
      <c r="BA507">
        <v>7.4</v>
      </c>
    </row>
    <row r="508" spans="1:53" hidden="1" x14ac:dyDescent="0.3">
      <c r="A508" t="s">
        <v>1094</v>
      </c>
      <c r="B508" t="s">
        <v>1102</v>
      </c>
      <c r="C508" t="s">
        <v>1052</v>
      </c>
      <c r="H508">
        <v>4</v>
      </c>
      <c r="I508" t="s">
        <v>56</v>
      </c>
      <c r="J508">
        <v>4.0000000000000002E-4</v>
      </c>
      <c r="K508" t="s">
        <v>57</v>
      </c>
      <c r="O508">
        <v>0</v>
      </c>
      <c r="T508">
        <v>55</v>
      </c>
      <c r="V508">
        <v>70</v>
      </c>
      <c r="W508" t="s">
        <v>1097</v>
      </c>
      <c r="X508" t="s">
        <v>280</v>
      </c>
      <c r="Y508">
        <v>1440</v>
      </c>
      <c r="AB508">
        <v>7.4</v>
      </c>
      <c r="AC508" t="s">
        <v>210</v>
      </c>
      <c r="AD508">
        <v>0.3</v>
      </c>
      <c r="AH508">
        <v>7.4</v>
      </c>
      <c r="AI508">
        <v>5</v>
      </c>
      <c r="AV508" t="s">
        <v>88</v>
      </c>
      <c r="BA508">
        <v>7.4</v>
      </c>
    </row>
    <row r="509" spans="1:53" hidden="1" x14ac:dyDescent="0.3">
      <c r="A509" t="s">
        <v>1094</v>
      </c>
      <c r="B509" t="s">
        <v>1102</v>
      </c>
      <c r="C509" t="s">
        <v>1052</v>
      </c>
      <c r="H509">
        <v>4</v>
      </c>
      <c r="I509" t="s">
        <v>56</v>
      </c>
      <c r="J509">
        <v>4.0000000000000002E-4</v>
      </c>
      <c r="K509" t="s">
        <v>57</v>
      </c>
      <c r="O509">
        <v>0</v>
      </c>
      <c r="T509">
        <v>75</v>
      </c>
      <c r="V509">
        <v>70</v>
      </c>
      <c r="W509" t="s">
        <v>1098</v>
      </c>
      <c r="X509" t="s">
        <v>280</v>
      </c>
      <c r="Y509">
        <v>1440</v>
      </c>
      <c r="AB509">
        <v>7</v>
      </c>
      <c r="AC509" t="s">
        <v>210</v>
      </c>
      <c r="AD509">
        <v>0.3</v>
      </c>
      <c r="AH509">
        <v>7.4</v>
      </c>
      <c r="AI509">
        <v>5</v>
      </c>
      <c r="AV509" t="s">
        <v>88</v>
      </c>
      <c r="BA509">
        <v>7.4</v>
      </c>
    </row>
    <row r="510" spans="1:53" hidden="1" x14ac:dyDescent="0.3">
      <c r="A510" t="s">
        <v>1094</v>
      </c>
      <c r="B510" t="s">
        <v>1102</v>
      </c>
      <c r="C510" t="s">
        <v>1052</v>
      </c>
      <c r="H510">
        <v>4</v>
      </c>
      <c r="I510" t="s">
        <v>56</v>
      </c>
      <c r="J510">
        <v>4.0000000000000002E-4</v>
      </c>
      <c r="K510" t="s">
        <v>57</v>
      </c>
      <c r="O510">
        <v>0</v>
      </c>
      <c r="T510">
        <v>55</v>
      </c>
      <c r="V510">
        <v>70</v>
      </c>
      <c r="W510" t="s">
        <v>1098</v>
      </c>
      <c r="X510" t="s">
        <v>280</v>
      </c>
      <c r="Y510">
        <v>1440</v>
      </c>
      <c r="AB510">
        <v>7.3</v>
      </c>
      <c r="AC510" t="s">
        <v>210</v>
      </c>
      <c r="AD510">
        <v>0.1</v>
      </c>
      <c r="AH510">
        <v>7.4</v>
      </c>
      <c r="AI510">
        <v>5</v>
      </c>
      <c r="AV510" t="s">
        <v>88</v>
      </c>
      <c r="BA510">
        <v>7.4</v>
      </c>
    </row>
    <row r="511" spans="1:53" hidden="1" x14ac:dyDescent="0.3">
      <c r="A511" t="s">
        <v>1094</v>
      </c>
      <c r="B511" t="s">
        <v>1102</v>
      </c>
      <c r="C511" t="s">
        <v>1052</v>
      </c>
      <c r="H511">
        <v>4</v>
      </c>
      <c r="I511" t="s">
        <v>56</v>
      </c>
      <c r="J511">
        <v>4.0000000000000002E-4</v>
      </c>
      <c r="K511" t="s">
        <v>57</v>
      </c>
      <c r="O511">
        <v>0</v>
      </c>
      <c r="T511">
        <v>75</v>
      </c>
      <c r="V511">
        <v>70</v>
      </c>
      <c r="W511" t="s">
        <v>1099</v>
      </c>
      <c r="X511" t="s">
        <v>280</v>
      </c>
      <c r="Y511">
        <v>1440</v>
      </c>
      <c r="AB511">
        <v>7</v>
      </c>
      <c r="AC511" t="s">
        <v>210</v>
      </c>
      <c r="AD511">
        <v>0.2</v>
      </c>
      <c r="AH511">
        <v>7.4</v>
      </c>
      <c r="AI511">
        <v>5</v>
      </c>
      <c r="AV511" t="s">
        <v>88</v>
      </c>
      <c r="BA511">
        <v>7.4</v>
      </c>
    </row>
    <row r="512" spans="1:53" hidden="1" x14ac:dyDescent="0.3">
      <c r="A512" t="s">
        <v>1094</v>
      </c>
      <c r="B512" t="s">
        <v>1102</v>
      </c>
      <c r="C512" t="s">
        <v>1052</v>
      </c>
      <c r="H512">
        <v>4</v>
      </c>
      <c r="I512" t="s">
        <v>56</v>
      </c>
      <c r="J512">
        <v>4.0000000000000002E-4</v>
      </c>
      <c r="K512" t="s">
        <v>57</v>
      </c>
      <c r="O512">
        <v>0</v>
      </c>
      <c r="T512">
        <v>55</v>
      </c>
      <c r="V512">
        <v>70</v>
      </c>
      <c r="W512" t="s">
        <v>1099</v>
      </c>
      <c r="X512" t="s">
        <v>280</v>
      </c>
      <c r="Y512">
        <v>1440</v>
      </c>
      <c r="AB512">
        <v>7.2</v>
      </c>
      <c r="AC512" t="s">
        <v>210</v>
      </c>
      <c r="AD512">
        <v>0.2</v>
      </c>
      <c r="AH512">
        <v>7.4</v>
      </c>
      <c r="AI512">
        <v>5</v>
      </c>
      <c r="AV512" t="s">
        <v>88</v>
      </c>
      <c r="BA512">
        <v>7.4</v>
      </c>
    </row>
    <row r="513" spans="1:53" hidden="1" x14ac:dyDescent="0.3">
      <c r="A513" t="s">
        <v>1094</v>
      </c>
      <c r="B513" t="s">
        <v>1102</v>
      </c>
      <c r="C513" t="s">
        <v>1052</v>
      </c>
      <c r="H513">
        <v>4</v>
      </c>
      <c r="I513" t="s">
        <v>56</v>
      </c>
      <c r="J513">
        <v>4.0000000000000002E-4</v>
      </c>
      <c r="K513" t="s">
        <v>57</v>
      </c>
      <c r="O513">
        <v>0</v>
      </c>
      <c r="T513">
        <v>75</v>
      </c>
      <c r="V513">
        <v>70</v>
      </c>
      <c r="W513" t="s">
        <v>1100</v>
      </c>
      <c r="X513" t="s">
        <v>280</v>
      </c>
      <c r="Y513">
        <v>1440</v>
      </c>
      <c r="AB513">
        <v>7.1</v>
      </c>
      <c r="AC513" t="s">
        <v>210</v>
      </c>
      <c r="AD513">
        <v>0.1</v>
      </c>
      <c r="AH513">
        <v>7.4</v>
      </c>
      <c r="AI513">
        <v>5</v>
      </c>
      <c r="AV513" t="s">
        <v>88</v>
      </c>
      <c r="BA513">
        <v>7.4</v>
      </c>
    </row>
    <row r="514" spans="1:53" hidden="1" x14ac:dyDescent="0.3">
      <c r="A514" t="s">
        <v>1094</v>
      </c>
      <c r="B514" t="s">
        <v>1102</v>
      </c>
      <c r="C514" t="s">
        <v>1052</v>
      </c>
      <c r="H514">
        <v>4</v>
      </c>
      <c r="I514" t="s">
        <v>56</v>
      </c>
      <c r="J514">
        <v>4.0000000000000002E-4</v>
      </c>
      <c r="K514" t="s">
        <v>57</v>
      </c>
      <c r="O514">
        <v>0</v>
      </c>
      <c r="T514">
        <v>55</v>
      </c>
      <c r="V514">
        <v>70</v>
      </c>
      <c r="W514" t="s">
        <v>1100</v>
      </c>
      <c r="X514" t="s">
        <v>280</v>
      </c>
      <c r="Y514">
        <v>1440</v>
      </c>
      <c r="AB514">
        <v>7.3</v>
      </c>
      <c r="AC514" t="s">
        <v>210</v>
      </c>
      <c r="AD514">
        <v>0.1</v>
      </c>
      <c r="AH514">
        <v>7.4</v>
      </c>
      <c r="AI514">
        <v>5</v>
      </c>
      <c r="AV514" t="s">
        <v>88</v>
      </c>
      <c r="BA514">
        <v>7.4</v>
      </c>
    </row>
    <row r="515" spans="1:53" hidden="1" x14ac:dyDescent="0.3">
      <c r="A515" t="s">
        <v>1094</v>
      </c>
      <c r="B515" t="s">
        <v>1102</v>
      </c>
      <c r="C515" t="s">
        <v>1052</v>
      </c>
      <c r="O515">
        <v>0</v>
      </c>
      <c r="T515">
        <v>75</v>
      </c>
      <c r="V515">
        <v>70</v>
      </c>
      <c r="W515" t="s">
        <v>1103</v>
      </c>
      <c r="X515" t="s">
        <v>280</v>
      </c>
      <c r="Y515">
        <v>1440</v>
      </c>
      <c r="AB515">
        <v>1.8</v>
      </c>
      <c r="AC515" t="s">
        <v>210</v>
      </c>
      <c r="AD515">
        <v>0.17</v>
      </c>
      <c r="AH515">
        <v>7.4</v>
      </c>
      <c r="AI515">
        <v>5</v>
      </c>
      <c r="BA515">
        <v>7.4</v>
      </c>
    </row>
    <row r="516" spans="1:53" hidden="1" x14ac:dyDescent="0.3">
      <c r="A516" t="s">
        <v>1094</v>
      </c>
      <c r="B516" t="s">
        <v>1102</v>
      </c>
      <c r="C516" t="s">
        <v>1052</v>
      </c>
      <c r="O516">
        <v>0</v>
      </c>
      <c r="T516">
        <v>55</v>
      </c>
      <c r="V516">
        <v>70</v>
      </c>
      <c r="W516" t="s">
        <v>1103</v>
      </c>
      <c r="X516" t="s">
        <v>280</v>
      </c>
      <c r="Y516">
        <v>1440</v>
      </c>
      <c r="AB516">
        <v>7.3</v>
      </c>
      <c r="AC516" t="s">
        <v>210</v>
      </c>
      <c r="AD516">
        <v>0.2</v>
      </c>
      <c r="AH516">
        <v>7.4</v>
      </c>
      <c r="AI516">
        <v>5</v>
      </c>
      <c r="BA516">
        <v>7.4</v>
      </c>
    </row>
    <row r="517" spans="1:53" hidden="1" x14ac:dyDescent="0.3">
      <c r="A517" t="s">
        <v>1094</v>
      </c>
      <c r="B517" t="s">
        <v>1102</v>
      </c>
      <c r="C517" t="s">
        <v>1052</v>
      </c>
      <c r="H517">
        <v>4</v>
      </c>
      <c r="I517" t="s">
        <v>56</v>
      </c>
      <c r="J517">
        <v>4.0000000000000002E-4</v>
      </c>
      <c r="K517" t="s">
        <v>57</v>
      </c>
      <c r="O517">
        <v>0</v>
      </c>
      <c r="T517">
        <v>65</v>
      </c>
      <c r="V517">
        <v>70</v>
      </c>
      <c r="W517" t="s">
        <v>1096</v>
      </c>
      <c r="X517" t="s">
        <v>280</v>
      </c>
      <c r="Y517">
        <v>2880</v>
      </c>
      <c r="AB517">
        <v>6.8</v>
      </c>
      <c r="AC517" t="s">
        <v>210</v>
      </c>
      <c r="AD517">
        <v>0.02</v>
      </c>
      <c r="AH517">
        <v>6.9</v>
      </c>
      <c r="AI517">
        <v>5</v>
      </c>
      <c r="AV517" t="s">
        <v>88</v>
      </c>
      <c r="BA517">
        <v>6.9</v>
      </c>
    </row>
    <row r="518" spans="1:53" hidden="1" x14ac:dyDescent="0.3">
      <c r="A518" t="s">
        <v>1094</v>
      </c>
      <c r="B518" t="s">
        <v>1102</v>
      </c>
      <c r="C518" t="s">
        <v>1052</v>
      </c>
      <c r="H518">
        <v>4</v>
      </c>
      <c r="I518" t="s">
        <v>56</v>
      </c>
      <c r="J518">
        <v>4.0000000000000002E-4</v>
      </c>
      <c r="K518" t="s">
        <v>57</v>
      </c>
      <c r="O518">
        <v>0</v>
      </c>
      <c r="T518">
        <v>65</v>
      </c>
      <c r="V518">
        <v>70</v>
      </c>
      <c r="W518" t="s">
        <v>1097</v>
      </c>
      <c r="X518" t="s">
        <v>280</v>
      </c>
      <c r="Y518">
        <v>2880</v>
      </c>
      <c r="AB518">
        <v>6.9</v>
      </c>
      <c r="AC518" t="s">
        <v>210</v>
      </c>
      <c r="AD518">
        <v>0.03</v>
      </c>
      <c r="AH518">
        <v>6.9</v>
      </c>
      <c r="AI518">
        <v>5</v>
      </c>
      <c r="AV518" t="s">
        <v>88</v>
      </c>
      <c r="BA518">
        <v>6.9</v>
      </c>
    </row>
    <row r="519" spans="1:53" hidden="1" x14ac:dyDescent="0.3">
      <c r="A519" t="s">
        <v>1094</v>
      </c>
      <c r="B519" t="s">
        <v>1102</v>
      </c>
      <c r="C519" t="s">
        <v>1052</v>
      </c>
      <c r="H519">
        <v>4</v>
      </c>
      <c r="I519" t="s">
        <v>56</v>
      </c>
      <c r="J519">
        <v>4.0000000000000002E-4</v>
      </c>
      <c r="K519" t="s">
        <v>57</v>
      </c>
      <c r="O519">
        <v>0</v>
      </c>
      <c r="T519">
        <v>65</v>
      </c>
      <c r="V519">
        <v>70</v>
      </c>
      <c r="W519" t="s">
        <v>1098</v>
      </c>
      <c r="X519" t="s">
        <v>280</v>
      </c>
      <c r="Y519">
        <v>2880</v>
      </c>
      <c r="AB519">
        <v>7</v>
      </c>
      <c r="AC519" t="s">
        <v>210</v>
      </c>
      <c r="AD519">
        <v>0.02</v>
      </c>
      <c r="AH519">
        <v>6.9</v>
      </c>
      <c r="AI519">
        <v>5</v>
      </c>
      <c r="AV519" t="s">
        <v>88</v>
      </c>
      <c r="BA519">
        <v>6.9</v>
      </c>
    </row>
    <row r="520" spans="1:53" hidden="1" x14ac:dyDescent="0.3">
      <c r="A520" t="s">
        <v>1094</v>
      </c>
      <c r="B520" t="s">
        <v>1102</v>
      </c>
      <c r="C520" t="s">
        <v>1052</v>
      </c>
      <c r="H520">
        <v>4</v>
      </c>
      <c r="I520" t="s">
        <v>56</v>
      </c>
      <c r="J520">
        <v>4.0000000000000002E-4</v>
      </c>
      <c r="K520" t="s">
        <v>57</v>
      </c>
      <c r="O520">
        <v>0</v>
      </c>
      <c r="T520">
        <v>65</v>
      </c>
      <c r="V520">
        <v>70</v>
      </c>
      <c r="W520" t="s">
        <v>1099</v>
      </c>
      <c r="X520" t="s">
        <v>280</v>
      </c>
      <c r="Y520">
        <v>2880</v>
      </c>
      <c r="AB520">
        <v>6.7</v>
      </c>
      <c r="AC520" t="s">
        <v>210</v>
      </c>
      <c r="AD520">
        <v>0.03</v>
      </c>
      <c r="AH520">
        <v>6.9</v>
      </c>
      <c r="AI520">
        <v>5</v>
      </c>
      <c r="AV520" t="s">
        <v>88</v>
      </c>
      <c r="BA520">
        <v>6.9</v>
      </c>
    </row>
    <row r="521" spans="1:53" hidden="1" x14ac:dyDescent="0.3">
      <c r="A521" t="s">
        <v>1094</v>
      </c>
      <c r="B521" t="s">
        <v>1102</v>
      </c>
      <c r="C521" t="s">
        <v>1052</v>
      </c>
      <c r="H521">
        <v>4</v>
      </c>
      <c r="I521" t="s">
        <v>56</v>
      </c>
      <c r="J521">
        <v>4.0000000000000002E-4</v>
      </c>
      <c r="K521" t="s">
        <v>57</v>
      </c>
      <c r="O521">
        <v>0</v>
      </c>
      <c r="T521">
        <v>65</v>
      </c>
      <c r="V521">
        <v>70</v>
      </c>
      <c r="W521" t="s">
        <v>1100</v>
      </c>
      <c r="X521" t="s">
        <v>280</v>
      </c>
      <c r="Y521">
        <v>2880</v>
      </c>
      <c r="AB521">
        <v>6.7</v>
      </c>
      <c r="AC521" t="s">
        <v>210</v>
      </c>
      <c r="AD521">
        <v>0.01</v>
      </c>
      <c r="AH521">
        <v>6.9</v>
      </c>
      <c r="AI521">
        <v>5</v>
      </c>
      <c r="AV521" t="s">
        <v>88</v>
      </c>
      <c r="BA521">
        <v>6.9</v>
      </c>
    </row>
    <row r="522" spans="1:53" hidden="1" x14ac:dyDescent="0.3">
      <c r="A522" t="s">
        <v>1094</v>
      </c>
      <c r="B522" t="s">
        <v>1102</v>
      </c>
      <c r="C522" t="s">
        <v>1052</v>
      </c>
      <c r="O522">
        <v>0</v>
      </c>
      <c r="T522">
        <v>65</v>
      </c>
      <c r="V522">
        <v>70</v>
      </c>
      <c r="W522" t="s">
        <v>1103</v>
      </c>
      <c r="X522" t="s">
        <v>280</v>
      </c>
      <c r="Y522">
        <v>2880</v>
      </c>
      <c r="AB522">
        <v>6.1</v>
      </c>
      <c r="AC522" t="s">
        <v>210</v>
      </c>
      <c r="AD522">
        <v>0.08</v>
      </c>
      <c r="AH522">
        <v>6.9</v>
      </c>
      <c r="AI522">
        <v>5</v>
      </c>
      <c r="BA522">
        <v>6.9</v>
      </c>
    </row>
    <row r="523" spans="1:53" hidden="1" x14ac:dyDescent="0.3">
      <c r="A523" t="s">
        <v>1094</v>
      </c>
      <c r="B523" t="s">
        <v>1102</v>
      </c>
      <c r="C523" t="s">
        <v>1052</v>
      </c>
      <c r="H523">
        <v>4</v>
      </c>
      <c r="I523" t="s">
        <v>56</v>
      </c>
      <c r="J523">
        <v>4.0000000000000002E-4</v>
      </c>
      <c r="K523" t="s">
        <v>57</v>
      </c>
      <c r="O523">
        <v>0</v>
      </c>
      <c r="T523">
        <v>75</v>
      </c>
      <c r="V523">
        <v>70</v>
      </c>
      <c r="W523" t="s">
        <v>1096</v>
      </c>
      <c r="X523" t="s">
        <v>280</v>
      </c>
      <c r="Y523">
        <v>4320</v>
      </c>
      <c r="AB523">
        <v>5.5</v>
      </c>
      <c r="AC523" t="s">
        <v>210</v>
      </c>
      <c r="AD523">
        <v>0.1</v>
      </c>
      <c r="AH523">
        <v>7.4</v>
      </c>
      <c r="AI523">
        <v>5</v>
      </c>
      <c r="AV523" t="s">
        <v>88</v>
      </c>
      <c r="BA523">
        <v>7.4</v>
      </c>
    </row>
    <row r="524" spans="1:53" hidden="1" x14ac:dyDescent="0.3">
      <c r="A524" t="s">
        <v>1094</v>
      </c>
      <c r="B524" t="s">
        <v>1102</v>
      </c>
      <c r="C524" t="s">
        <v>1052</v>
      </c>
      <c r="H524">
        <v>4</v>
      </c>
      <c r="I524" t="s">
        <v>56</v>
      </c>
      <c r="J524">
        <v>4.0000000000000002E-4</v>
      </c>
      <c r="K524" t="s">
        <v>57</v>
      </c>
      <c r="O524">
        <v>0</v>
      </c>
      <c r="T524">
        <v>55</v>
      </c>
      <c r="V524">
        <v>70</v>
      </c>
      <c r="W524" t="s">
        <v>1096</v>
      </c>
      <c r="X524" t="s">
        <v>280</v>
      </c>
      <c r="Y524">
        <v>4320</v>
      </c>
      <c r="AB524">
        <v>7.3</v>
      </c>
      <c r="AC524" t="s">
        <v>210</v>
      </c>
      <c r="AD524">
        <v>0.2</v>
      </c>
      <c r="AH524">
        <v>7.4</v>
      </c>
      <c r="AI524">
        <v>5</v>
      </c>
      <c r="AV524" t="s">
        <v>88</v>
      </c>
      <c r="BA524">
        <v>7.4</v>
      </c>
    </row>
    <row r="525" spans="1:53" hidden="1" x14ac:dyDescent="0.3">
      <c r="A525" t="s">
        <v>1094</v>
      </c>
      <c r="B525" t="s">
        <v>1102</v>
      </c>
      <c r="C525" t="s">
        <v>1052</v>
      </c>
      <c r="H525">
        <v>4</v>
      </c>
      <c r="I525" t="s">
        <v>56</v>
      </c>
      <c r="J525">
        <v>4.0000000000000002E-4</v>
      </c>
      <c r="K525" t="s">
        <v>57</v>
      </c>
      <c r="O525">
        <v>0</v>
      </c>
      <c r="T525">
        <v>75</v>
      </c>
      <c r="V525">
        <v>70</v>
      </c>
      <c r="W525" t="s">
        <v>1097</v>
      </c>
      <c r="X525" t="s">
        <v>280</v>
      </c>
      <c r="Y525">
        <v>4320</v>
      </c>
      <c r="AB525">
        <v>6.1</v>
      </c>
      <c r="AC525" t="s">
        <v>210</v>
      </c>
      <c r="AD525">
        <v>0.1</v>
      </c>
      <c r="AH525">
        <v>7.4</v>
      </c>
      <c r="AI525">
        <v>5</v>
      </c>
      <c r="AV525" t="s">
        <v>88</v>
      </c>
      <c r="BA525">
        <v>7.4</v>
      </c>
    </row>
    <row r="526" spans="1:53" hidden="1" x14ac:dyDescent="0.3">
      <c r="A526" t="s">
        <v>1094</v>
      </c>
      <c r="B526" t="s">
        <v>1102</v>
      </c>
      <c r="C526" t="s">
        <v>1052</v>
      </c>
      <c r="H526">
        <v>4</v>
      </c>
      <c r="I526" t="s">
        <v>56</v>
      </c>
      <c r="J526">
        <v>4.0000000000000002E-4</v>
      </c>
      <c r="K526" t="s">
        <v>57</v>
      </c>
      <c r="O526">
        <v>0</v>
      </c>
      <c r="T526">
        <v>55</v>
      </c>
      <c r="V526">
        <v>70</v>
      </c>
      <c r="W526" t="s">
        <v>1097</v>
      </c>
      <c r="X526" t="s">
        <v>280</v>
      </c>
      <c r="Y526">
        <v>4320</v>
      </c>
      <c r="AB526">
        <v>7.3</v>
      </c>
      <c r="AC526" t="s">
        <v>210</v>
      </c>
      <c r="AD526">
        <v>0.2</v>
      </c>
      <c r="AH526">
        <v>7.4</v>
      </c>
      <c r="AI526">
        <v>5</v>
      </c>
      <c r="AV526" t="s">
        <v>88</v>
      </c>
      <c r="BA526">
        <v>7.4</v>
      </c>
    </row>
    <row r="527" spans="1:53" hidden="1" x14ac:dyDescent="0.3">
      <c r="A527" t="s">
        <v>1094</v>
      </c>
      <c r="B527" t="s">
        <v>1102</v>
      </c>
      <c r="C527" t="s">
        <v>1052</v>
      </c>
      <c r="H527">
        <v>4</v>
      </c>
      <c r="I527" t="s">
        <v>56</v>
      </c>
      <c r="J527">
        <v>4.0000000000000002E-4</v>
      </c>
      <c r="K527" t="s">
        <v>57</v>
      </c>
      <c r="O527">
        <v>0</v>
      </c>
      <c r="T527">
        <v>75</v>
      </c>
      <c r="V527">
        <v>70</v>
      </c>
      <c r="W527" t="s">
        <v>1098</v>
      </c>
      <c r="X527" t="s">
        <v>280</v>
      </c>
      <c r="Y527">
        <v>4320</v>
      </c>
      <c r="AB527">
        <v>5</v>
      </c>
      <c r="AC527" t="s">
        <v>210</v>
      </c>
      <c r="AD527">
        <v>0.4</v>
      </c>
      <c r="AH527">
        <v>7.4</v>
      </c>
      <c r="AI527">
        <v>5</v>
      </c>
      <c r="AV527" t="s">
        <v>88</v>
      </c>
      <c r="BA527">
        <v>7.4</v>
      </c>
    </row>
    <row r="528" spans="1:53" hidden="1" x14ac:dyDescent="0.3">
      <c r="A528" t="s">
        <v>1094</v>
      </c>
      <c r="B528" t="s">
        <v>1102</v>
      </c>
      <c r="C528" t="s">
        <v>1052</v>
      </c>
      <c r="H528">
        <v>4</v>
      </c>
      <c r="I528" t="s">
        <v>56</v>
      </c>
      <c r="J528">
        <v>4.0000000000000002E-4</v>
      </c>
      <c r="K528" t="s">
        <v>57</v>
      </c>
      <c r="O528">
        <v>0</v>
      </c>
      <c r="T528">
        <v>55</v>
      </c>
      <c r="V528">
        <v>70</v>
      </c>
      <c r="W528" t="s">
        <v>1098</v>
      </c>
      <c r="X528" t="s">
        <v>280</v>
      </c>
      <c r="Y528">
        <v>4320</v>
      </c>
      <c r="AB528">
        <v>7</v>
      </c>
      <c r="AC528" t="s">
        <v>210</v>
      </c>
      <c r="AD528">
        <v>0.3</v>
      </c>
      <c r="AH528">
        <v>7.4</v>
      </c>
      <c r="AI528">
        <v>5</v>
      </c>
      <c r="AV528" t="s">
        <v>88</v>
      </c>
      <c r="BA528">
        <v>7.4</v>
      </c>
    </row>
    <row r="529" spans="1:53" hidden="1" x14ac:dyDescent="0.3">
      <c r="A529" t="s">
        <v>1094</v>
      </c>
      <c r="B529" t="s">
        <v>1102</v>
      </c>
      <c r="C529" t="s">
        <v>1052</v>
      </c>
      <c r="H529">
        <v>4</v>
      </c>
      <c r="I529" t="s">
        <v>56</v>
      </c>
      <c r="J529">
        <v>4.0000000000000002E-4</v>
      </c>
      <c r="K529" t="s">
        <v>57</v>
      </c>
      <c r="O529">
        <v>0</v>
      </c>
      <c r="T529">
        <v>75</v>
      </c>
      <c r="V529">
        <v>70</v>
      </c>
      <c r="W529" t="s">
        <v>1099</v>
      </c>
      <c r="X529" t="s">
        <v>280</v>
      </c>
      <c r="Y529">
        <v>4320</v>
      </c>
      <c r="AB529">
        <v>5.7</v>
      </c>
      <c r="AC529" t="s">
        <v>210</v>
      </c>
      <c r="AD529">
        <v>0.3</v>
      </c>
      <c r="AH529">
        <v>7.4</v>
      </c>
      <c r="AI529">
        <v>5</v>
      </c>
      <c r="AV529" t="s">
        <v>88</v>
      </c>
      <c r="BA529">
        <v>7.4</v>
      </c>
    </row>
    <row r="530" spans="1:53" hidden="1" x14ac:dyDescent="0.3">
      <c r="A530" t="s">
        <v>1094</v>
      </c>
      <c r="B530" t="s">
        <v>1102</v>
      </c>
      <c r="C530" t="s">
        <v>1052</v>
      </c>
      <c r="H530">
        <v>4</v>
      </c>
      <c r="I530" t="s">
        <v>56</v>
      </c>
      <c r="J530">
        <v>4.0000000000000002E-4</v>
      </c>
      <c r="K530" t="s">
        <v>57</v>
      </c>
      <c r="O530">
        <v>0</v>
      </c>
      <c r="T530">
        <v>55</v>
      </c>
      <c r="V530">
        <v>70</v>
      </c>
      <c r="W530" t="s">
        <v>1099</v>
      </c>
      <c r="X530" t="s">
        <v>280</v>
      </c>
      <c r="Y530">
        <v>4320</v>
      </c>
      <c r="AB530">
        <v>7.2</v>
      </c>
      <c r="AC530" t="s">
        <v>210</v>
      </c>
      <c r="AD530">
        <v>0.1</v>
      </c>
      <c r="AH530">
        <v>7.4</v>
      </c>
      <c r="AI530">
        <v>5</v>
      </c>
      <c r="AV530" t="s">
        <v>88</v>
      </c>
      <c r="BA530">
        <v>7.4</v>
      </c>
    </row>
    <row r="531" spans="1:53" hidden="1" x14ac:dyDescent="0.3">
      <c r="A531" t="s">
        <v>1094</v>
      </c>
      <c r="B531" t="s">
        <v>1102</v>
      </c>
      <c r="C531" t="s">
        <v>1052</v>
      </c>
      <c r="H531">
        <v>4</v>
      </c>
      <c r="I531" t="s">
        <v>56</v>
      </c>
      <c r="J531">
        <v>4.0000000000000002E-4</v>
      </c>
      <c r="K531" t="s">
        <v>57</v>
      </c>
      <c r="O531">
        <v>0</v>
      </c>
      <c r="T531">
        <v>75</v>
      </c>
      <c r="V531">
        <v>70</v>
      </c>
      <c r="W531" t="s">
        <v>1100</v>
      </c>
      <c r="X531" t="s">
        <v>280</v>
      </c>
      <c r="Y531">
        <v>4320</v>
      </c>
      <c r="AB531">
        <v>7.1</v>
      </c>
      <c r="AC531" t="s">
        <v>210</v>
      </c>
      <c r="AD531">
        <v>0.2</v>
      </c>
      <c r="AH531">
        <v>7.4</v>
      </c>
      <c r="AI531">
        <v>5</v>
      </c>
      <c r="AV531" t="s">
        <v>88</v>
      </c>
      <c r="BA531">
        <v>7.4</v>
      </c>
    </row>
    <row r="532" spans="1:53" hidden="1" x14ac:dyDescent="0.3">
      <c r="A532" t="s">
        <v>1094</v>
      </c>
      <c r="B532" t="s">
        <v>1102</v>
      </c>
      <c r="C532" t="s">
        <v>1052</v>
      </c>
      <c r="H532">
        <v>4</v>
      </c>
      <c r="I532" t="s">
        <v>56</v>
      </c>
      <c r="J532">
        <v>4.0000000000000002E-4</v>
      </c>
      <c r="K532" t="s">
        <v>57</v>
      </c>
      <c r="O532">
        <v>0</v>
      </c>
      <c r="T532">
        <v>55</v>
      </c>
      <c r="V532">
        <v>70</v>
      </c>
      <c r="W532" t="s">
        <v>1100</v>
      </c>
      <c r="X532" t="s">
        <v>280</v>
      </c>
      <c r="Y532">
        <v>4320</v>
      </c>
      <c r="AB532">
        <v>7.1</v>
      </c>
      <c r="AC532" t="s">
        <v>210</v>
      </c>
      <c r="AD532">
        <v>0.3</v>
      </c>
      <c r="AH532">
        <v>7.4</v>
      </c>
      <c r="AI532">
        <v>5</v>
      </c>
      <c r="AV532" t="s">
        <v>88</v>
      </c>
      <c r="BA532">
        <v>7.4</v>
      </c>
    </row>
    <row r="533" spans="1:53" hidden="1" x14ac:dyDescent="0.3">
      <c r="A533" t="s">
        <v>1094</v>
      </c>
      <c r="B533" t="s">
        <v>1102</v>
      </c>
      <c r="C533" t="s">
        <v>1052</v>
      </c>
      <c r="O533">
        <v>0</v>
      </c>
      <c r="T533">
        <v>75</v>
      </c>
      <c r="V533">
        <v>70</v>
      </c>
      <c r="W533" t="s">
        <v>1103</v>
      </c>
      <c r="X533" t="s">
        <v>280</v>
      </c>
      <c r="Y533">
        <v>4320</v>
      </c>
      <c r="AB533">
        <v>0</v>
      </c>
      <c r="AC533" t="s">
        <v>210</v>
      </c>
      <c r="AD533">
        <v>0</v>
      </c>
      <c r="AH533">
        <v>7.4</v>
      </c>
      <c r="AI533">
        <v>5</v>
      </c>
      <c r="BA533">
        <v>7.4</v>
      </c>
    </row>
    <row r="534" spans="1:53" hidden="1" x14ac:dyDescent="0.3">
      <c r="A534" t="s">
        <v>1094</v>
      </c>
      <c r="B534" t="s">
        <v>1102</v>
      </c>
      <c r="C534" t="s">
        <v>1052</v>
      </c>
      <c r="O534">
        <v>0</v>
      </c>
      <c r="T534">
        <v>55</v>
      </c>
      <c r="V534">
        <v>70</v>
      </c>
      <c r="W534" t="s">
        <v>1103</v>
      </c>
      <c r="X534" t="s">
        <v>280</v>
      </c>
      <c r="Y534">
        <v>4320</v>
      </c>
      <c r="AB534">
        <v>7.1</v>
      </c>
      <c r="AC534" t="s">
        <v>210</v>
      </c>
      <c r="AD534">
        <v>0.1</v>
      </c>
      <c r="AH534">
        <v>7.4</v>
      </c>
      <c r="AI534">
        <v>5</v>
      </c>
      <c r="BA534">
        <v>7.4</v>
      </c>
    </row>
    <row r="535" spans="1:53" hidden="1" x14ac:dyDescent="0.3">
      <c r="A535" t="s">
        <v>1117</v>
      </c>
      <c r="C535" t="s">
        <v>1052</v>
      </c>
      <c r="O535">
        <v>0</v>
      </c>
      <c r="T535">
        <v>300</v>
      </c>
      <c r="V535">
        <v>50</v>
      </c>
      <c r="W535" t="s">
        <v>1118</v>
      </c>
      <c r="X535" t="s">
        <v>280</v>
      </c>
      <c r="Y535">
        <v>0.52704627669472837</v>
      </c>
      <c r="AB535">
        <v>6.0350140056022399</v>
      </c>
      <c r="AC535" t="s">
        <v>85</v>
      </c>
      <c r="AE535" t="s">
        <v>138</v>
      </c>
      <c r="AI535">
        <v>6</v>
      </c>
    </row>
    <row r="536" spans="1:53" hidden="1" x14ac:dyDescent="0.3">
      <c r="A536" t="s">
        <v>1117</v>
      </c>
      <c r="C536" t="s">
        <v>1052</v>
      </c>
      <c r="O536">
        <v>0</v>
      </c>
      <c r="T536">
        <v>300</v>
      </c>
      <c r="V536">
        <v>50</v>
      </c>
      <c r="W536" t="s">
        <v>1118</v>
      </c>
      <c r="X536" t="s">
        <v>280</v>
      </c>
      <c r="Y536">
        <v>0.16666666666666671</v>
      </c>
      <c r="AB536">
        <v>6.0350140056022399</v>
      </c>
      <c r="AC536" t="s">
        <v>85</v>
      </c>
      <c r="AE536" t="s">
        <v>138</v>
      </c>
      <c r="AI536">
        <v>6</v>
      </c>
    </row>
    <row r="537" spans="1:53" hidden="1" x14ac:dyDescent="0.3">
      <c r="A537" t="s">
        <v>1117</v>
      </c>
      <c r="C537" t="s">
        <v>1052</v>
      </c>
      <c r="O537">
        <v>0</v>
      </c>
      <c r="T537">
        <v>300</v>
      </c>
      <c r="V537">
        <v>50</v>
      </c>
      <c r="W537" t="s">
        <v>1118</v>
      </c>
      <c r="X537" t="s">
        <v>280</v>
      </c>
      <c r="Y537">
        <v>5.2704627669472842E-2</v>
      </c>
      <c r="AB537">
        <v>5.9369747899159604</v>
      </c>
      <c r="AC537" t="s">
        <v>85</v>
      </c>
      <c r="AE537" t="s">
        <v>138</v>
      </c>
      <c r="AI537">
        <v>6</v>
      </c>
    </row>
    <row r="538" spans="1:53" hidden="1" x14ac:dyDescent="0.3">
      <c r="A538" t="s">
        <v>1117</v>
      </c>
      <c r="C538" t="s">
        <v>1052</v>
      </c>
      <c r="O538">
        <v>0</v>
      </c>
      <c r="T538">
        <v>300</v>
      </c>
      <c r="V538">
        <v>50</v>
      </c>
      <c r="W538" t="s">
        <v>1118</v>
      </c>
      <c r="X538" t="s">
        <v>280</v>
      </c>
      <c r="Y538">
        <v>1.6935311687261999E-2</v>
      </c>
      <c r="AB538">
        <v>5.0684329287270398</v>
      </c>
      <c r="AC538" t="s">
        <v>85</v>
      </c>
      <c r="AE538" t="s">
        <v>138</v>
      </c>
      <c r="AI538">
        <v>6</v>
      </c>
    </row>
    <row r="539" spans="1:53" hidden="1" x14ac:dyDescent="0.3">
      <c r="A539" t="s">
        <v>1117</v>
      </c>
      <c r="C539" t="s">
        <v>1052</v>
      </c>
      <c r="O539">
        <v>0</v>
      </c>
      <c r="T539">
        <v>300</v>
      </c>
      <c r="V539">
        <v>50</v>
      </c>
      <c r="W539" t="s">
        <v>1118</v>
      </c>
      <c r="X539" t="s">
        <v>280</v>
      </c>
      <c r="Y539">
        <v>5.3554157816617497E-3</v>
      </c>
      <c r="AB539">
        <v>0.93678026766262001</v>
      </c>
      <c r="AC539" t="s">
        <v>85</v>
      </c>
      <c r="AE539" t="s">
        <v>138</v>
      </c>
      <c r="AI539">
        <v>6</v>
      </c>
    </row>
    <row r="540" spans="1:53" hidden="1" x14ac:dyDescent="0.3">
      <c r="A540" t="s">
        <v>1117</v>
      </c>
      <c r="C540" t="s">
        <v>1052</v>
      </c>
      <c r="O540">
        <v>0</v>
      </c>
      <c r="T540">
        <v>300</v>
      </c>
      <c r="V540">
        <v>50</v>
      </c>
      <c r="W540" t="s">
        <v>1118</v>
      </c>
      <c r="X540" t="s">
        <v>280</v>
      </c>
      <c r="Y540">
        <v>1.6402283164750201E-3</v>
      </c>
      <c r="AB540">
        <v>0.71307967631497005</v>
      </c>
      <c r="AC540" t="s">
        <v>85</v>
      </c>
      <c r="AE540" t="s">
        <v>138</v>
      </c>
      <c r="AI540">
        <v>6</v>
      </c>
    </row>
    <row r="541" spans="1:53" hidden="1" x14ac:dyDescent="0.3">
      <c r="A541" t="s">
        <v>1117</v>
      </c>
      <c r="C541" t="s">
        <v>1052</v>
      </c>
      <c r="O541">
        <v>0</v>
      </c>
      <c r="T541">
        <v>295.93495934959299</v>
      </c>
      <c r="V541">
        <v>50</v>
      </c>
      <c r="W541" t="s">
        <v>1118</v>
      </c>
      <c r="X541" t="s">
        <v>280</v>
      </c>
      <c r="Y541">
        <v>1.666666666666667E-3</v>
      </c>
      <c r="AB541">
        <v>0.65660250769524831</v>
      </c>
      <c r="AC541" t="s">
        <v>85</v>
      </c>
      <c r="AE541" t="s">
        <v>138</v>
      </c>
      <c r="AI541">
        <v>6</v>
      </c>
    </row>
    <row r="542" spans="1:53" hidden="1" x14ac:dyDescent="0.3">
      <c r="A542" t="s">
        <v>1117</v>
      </c>
      <c r="C542" t="s">
        <v>1052</v>
      </c>
      <c r="O542">
        <v>0</v>
      </c>
      <c r="T542">
        <v>424.66124661246602</v>
      </c>
      <c r="V542">
        <v>50</v>
      </c>
      <c r="W542" t="s">
        <v>1118</v>
      </c>
      <c r="X542" t="s">
        <v>280</v>
      </c>
      <c r="Y542">
        <v>1.666666666666667E-3</v>
      </c>
      <c r="AB542">
        <v>1.1455802241864079</v>
      </c>
      <c r="AC542" t="s">
        <v>85</v>
      </c>
      <c r="AE542" t="s">
        <v>138</v>
      </c>
      <c r="AI542">
        <v>6</v>
      </c>
    </row>
    <row r="543" spans="1:53" hidden="1" x14ac:dyDescent="0.3">
      <c r="A543" t="s">
        <v>1117</v>
      </c>
      <c r="C543" t="s">
        <v>1052</v>
      </c>
      <c r="O543">
        <v>0</v>
      </c>
      <c r="T543">
        <v>549.32249322493203</v>
      </c>
      <c r="V543">
        <v>50</v>
      </c>
      <c r="W543" t="s">
        <v>1118</v>
      </c>
      <c r="X543" t="s">
        <v>280</v>
      </c>
      <c r="Y543">
        <v>1.666666666666667E-3</v>
      </c>
      <c r="AB543">
        <v>2.4204149850383621</v>
      </c>
      <c r="AC543" t="s">
        <v>85</v>
      </c>
      <c r="AE543" t="s">
        <v>138</v>
      </c>
      <c r="AI543">
        <v>6</v>
      </c>
    </row>
    <row r="544" spans="1:53" hidden="1" x14ac:dyDescent="0.3">
      <c r="A544" t="s">
        <v>1117</v>
      </c>
      <c r="C544" t="s">
        <v>1052</v>
      </c>
      <c r="O544">
        <v>0</v>
      </c>
      <c r="T544">
        <v>676.69376693766901</v>
      </c>
      <c r="V544">
        <v>50</v>
      </c>
      <c r="W544" t="s">
        <v>1118</v>
      </c>
      <c r="X544" t="s">
        <v>280</v>
      </c>
      <c r="Y544">
        <v>1.666666666666667E-3</v>
      </c>
      <c r="AB544">
        <v>4.6906686687473238</v>
      </c>
      <c r="AC544" t="s">
        <v>85</v>
      </c>
      <c r="AE544" t="s">
        <v>138</v>
      </c>
      <c r="AI544">
        <v>6</v>
      </c>
    </row>
    <row r="545" spans="1:53" hidden="1" x14ac:dyDescent="0.3">
      <c r="A545" t="s">
        <v>1117</v>
      </c>
      <c r="C545" t="s">
        <v>1052</v>
      </c>
      <c r="O545">
        <v>0</v>
      </c>
      <c r="T545">
        <v>800</v>
      </c>
      <c r="V545">
        <v>50</v>
      </c>
      <c r="W545" t="s">
        <v>1118</v>
      </c>
      <c r="X545" t="s">
        <v>280</v>
      </c>
      <c r="Y545">
        <v>1.666666666666667E-3</v>
      </c>
      <c r="AB545">
        <v>7.2228747005765488</v>
      </c>
      <c r="AC545" t="s">
        <v>85</v>
      </c>
      <c r="AE545" t="s">
        <v>138</v>
      </c>
      <c r="AI545">
        <v>6</v>
      </c>
    </row>
    <row r="546" spans="1:53" hidden="1" x14ac:dyDescent="0.3">
      <c r="A546" t="s">
        <v>1119</v>
      </c>
      <c r="C546" t="s">
        <v>1052</v>
      </c>
      <c r="H546">
        <v>4</v>
      </c>
      <c r="I546" t="s">
        <v>56</v>
      </c>
      <c r="J546">
        <v>4.0000000000000002E-4</v>
      </c>
      <c r="K546" t="s">
        <v>57</v>
      </c>
      <c r="O546">
        <v>0</v>
      </c>
      <c r="T546">
        <v>60</v>
      </c>
      <c r="V546">
        <v>90</v>
      </c>
      <c r="W546" t="s">
        <v>1120</v>
      </c>
      <c r="X546" t="s">
        <v>280</v>
      </c>
      <c r="Y546">
        <v>1440</v>
      </c>
      <c r="AB546">
        <v>7.5</v>
      </c>
      <c r="AC546" t="s">
        <v>210</v>
      </c>
      <c r="AD546" t="s">
        <v>98</v>
      </c>
      <c r="AE546" t="s">
        <v>63</v>
      </c>
      <c r="AH546">
        <v>7.7</v>
      </c>
      <c r="AI546">
        <v>5</v>
      </c>
      <c r="AV546" t="s">
        <v>88</v>
      </c>
      <c r="BA546">
        <v>7.7</v>
      </c>
    </row>
    <row r="547" spans="1:53" hidden="1" x14ac:dyDescent="0.3">
      <c r="A547" t="s">
        <v>1119</v>
      </c>
      <c r="C547" t="s">
        <v>1052</v>
      </c>
      <c r="H547">
        <v>4</v>
      </c>
      <c r="I547" t="s">
        <v>56</v>
      </c>
      <c r="J547">
        <v>4.0000000000000002E-4</v>
      </c>
      <c r="K547" t="s">
        <v>57</v>
      </c>
      <c r="O547">
        <v>0</v>
      </c>
      <c r="T547">
        <v>60</v>
      </c>
      <c r="V547">
        <v>60</v>
      </c>
      <c r="W547" t="s">
        <v>1100</v>
      </c>
      <c r="X547" t="s">
        <v>280</v>
      </c>
      <c r="Y547">
        <v>1440</v>
      </c>
      <c r="AB547">
        <v>7.3</v>
      </c>
      <c r="AC547" t="s">
        <v>210</v>
      </c>
      <c r="AD547" t="s">
        <v>321</v>
      </c>
      <c r="AE547" t="s">
        <v>63</v>
      </c>
      <c r="AH547">
        <v>7.3</v>
      </c>
      <c r="AI547">
        <v>5</v>
      </c>
      <c r="AV547" t="s">
        <v>88</v>
      </c>
      <c r="BA547">
        <v>7.3</v>
      </c>
    </row>
    <row r="548" spans="1:53" hidden="1" x14ac:dyDescent="0.3">
      <c r="A548" t="s">
        <v>1119</v>
      </c>
      <c r="C548" t="s">
        <v>1052</v>
      </c>
      <c r="H548">
        <v>4</v>
      </c>
      <c r="I548" t="s">
        <v>56</v>
      </c>
      <c r="J548">
        <v>4.0000000000000002E-4</v>
      </c>
      <c r="K548" t="s">
        <v>57</v>
      </c>
      <c r="O548">
        <v>0</v>
      </c>
      <c r="T548">
        <v>60</v>
      </c>
      <c r="V548">
        <v>90</v>
      </c>
      <c r="W548" t="s">
        <v>1121</v>
      </c>
      <c r="X548" t="s">
        <v>280</v>
      </c>
      <c r="Y548">
        <v>1440</v>
      </c>
      <c r="AB548">
        <v>7.2</v>
      </c>
      <c r="AC548" t="s">
        <v>210</v>
      </c>
      <c r="AD548" t="s">
        <v>106</v>
      </c>
      <c r="AE548" t="s">
        <v>63</v>
      </c>
      <c r="AH548">
        <v>7.3</v>
      </c>
      <c r="AI548">
        <v>5</v>
      </c>
      <c r="AV548" t="s">
        <v>88</v>
      </c>
      <c r="BA548">
        <v>7.3</v>
      </c>
    </row>
    <row r="549" spans="1:53" hidden="1" x14ac:dyDescent="0.3">
      <c r="A549" t="s">
        <v>1119</v>
      </c>
      <c r="C549" t="s">
        <v>1052</v>
      </c>
      <c r="H549">
        <v>4</v>
      </c>
      <c r="I549" t="s">
        <v>56</v>
      </c>
      <c r="J549">
        <v>4.0000000000000002E-4</v>
      </c>
      <c r="K549" t="s">
        <v>57</v>
      </c>
      <c r="O549">
        <v>0</v>
      </c>
      <c r="T549">
        <v>60</v>
      </c>
      <c r="V549">
        <v>60</v>
      </c>
      <c r="W549" t="s">
        <v>1122</v>
      </c>
      <c r="X549" t="s">
        <v>280</v>
      </c>
      <c r="Y549">
        <v>1440</v>
      </c>
      <c r="AB549">
        <v>7.2</v>
      </c>
      <c r="AC549" t="s">
        <v>210</v>
      </c>
      <c r="AD549" t="s">
        <v>106</v>
      </c>
      <c r="AE549" t="s">
        <v>63</v>
      </c>
      <c r="AH549">
        <v>7.3</v>
      </c>
      <c r="AI549">
        <v>5</v>
      </c>
      <c r="AV549" t="s">
        <v>88</v>
      </c>
      <c r="BA549">
        <v>7.3</v>
      </c>
    </row>
    <row r="550" spans="1:53" hidden="1" x14ac:dyDescent="0.3">
      <c r="A550" t="s">
        <v>1119</v>
      </c>
      <c r="C550" t="s">
        <v>1052</v>
      </c>
      <c r="H550">
        <v>4</v>
      </c>
      <c r="I550" t="s">
        <v>56</v>
      </c>
      <c r="J550">
        <v>4.0000000000000002E-4</v>
      </c>
      <c r="K550" t="s">
        <v>57</v>
      </c>
      <c r="O550">
        <v>0</v>
      </c>
      <c r="T550">
        <v>60</v>
      </c>
      <c r="V550">
        <v>60</v>
      </c>
      <c r="W550" t="s">
        <v>1123</v>
      </c>
      <c r="X550" t="s">
        <v>280</v>
      </c>
      <c r="Y550">
        <v>1440</v>
      </c>
      <c r="AB550">
        <v>7.2</v>
      </c>
      <c r="AC550" t="s">
        <v>210</v>
      </c>
      <c r="AD550" t="s">
        <v>321</v>
      </c>
      <c r="AE550" t="s">
        <v>63</v>
      </c>
      <c r="AH550">
        <v>7.3</v>
      </c>
      <c r="AI550">
        <v>5</v>
      </c>
      <c r="AV550" t="s">
        <v>88</v>
      </c>
      <c r="BA550">
        <v>7.3</v>
      </c>
    </row>
    <row r="551" spans="1:53" hidden="1" x14ac:dyDescent="0.3">
      <c r="A551" t="s">
        <v>1119</v>
      </c>
      <c r="C551" t="s">
        <v>1052</v>
      </c>
      <c r="H551">
        <v>4</v>
      </c>
      <c r="I551" t="s">
        <v>56</v>
      </c>
      <c r="J551">
        <v>4.0000000000000002E-4</v>
      </c>
      <c r="K551" t="s">
        <v>57</v>
      </c>
      <c r="O551">
        <v>0</v>
      </c>
      <c r="T551">
        <v>60</v>
      </c>
      <c r="V551">
        <v>60</v>
      </c>
      <c r="W551" t="s">
        <v>1120</v>
      </c>
      <c r="X551" t="s">
        <v>280</v>
      </c>
      <c r="Y551">
        <v>1440</v>
      </c>
      <c r="AB551">
        <v>7.2</v>
      </c>
      <c r="AC551" t="s">
        <v>210</v>
      </c>
      <c r="AD551" t="s">
        <v>325</v>
      </c>
      <c r="AE551" t="s">
        <v>63</v>
      </c>
      <c r="AH551">
        <v>7.3</v>
      </c>
      <c r="AI551">
        <v>5</v>
      </c>
      <c r="AV551" t="s">
        <v>88</v>
      </c>
      <c r="BA551">
        <v>7.3</v>
      </c>
    </row>
    <row r="552" spans="1:53" hidden="1" x14ac:dyDescent="0.3">
      <c r="A552" t="s">
        <v>1119</v>
      </c>
      <c r="C552" t="s">
        <v>1052</v>
      </c>
      <c r="H552">
        <v>4</v>
      </c>
      <c r="I552" t="s">
        <v>56</v>
      </c>
      <c r="J552">
        <v>4.0000000000000002E-4</v>
      </c>
      <c r="K552" t="s">
        <v>57</v>
      </c>
      <c r="O552">
        <v>0</v>
      </c>
      <c r="T552">
        <v>60</v>
      </c>
      <c r="V552">
        <v>90</v>
      </c>
      <c r="W552" t="s">
        <v>1100</v>
      </c>
      <c r="X552" t="s">
        <v>280</v>
      </c>
      <c r="Y552">
        <v>1440</v>
      </c>
      <c r="AB552">
        <v>7.1</v>
      </c>
      <c r="AC552" t="s">
        <v>210</v>
      </c>
      <c r="AD552" t="s">
        <v>325</v>
      </c>
      <c r="AE552" t="s">
        <v>63</v>
      </c>
      <c r="AH552">
        <v>7.3</v>
      </c>
      <c r="AI552">
        <v>5</v>
      </c>
      <c r="AV552" t="s">
        <v>88</v>
      </c>
      <c r="BA552">
        <v>7.3</v>
      </c>
    </row>
    <row r="553" spans="1:53" hidden="1" x14ac:dyDescent="0.3">
      <c r="A553" t="s">
        <v>1119</v>
      </c>
      <c r="C553" t="s">
        <v>1052</v>
      </c>
      <c r="H553">
        <v>4</v>
      </c>
      <c r="I553" t="s">
        <v>56</v>
      </c>
      <c r="J553">
        <v>4.0000000000000002E-4</v>
      </c>
      <c r="K553" t="s">
        <v>57</v>
      </c>
      <c r="O553">
        <v>0</v>
      </c>
      <c r="T553">
        <v>60</v>
      </c>
      <c r="V553">
        <v>90</v>
      </c>
      <c r="W553" t="s">
        <v>1120</v>
      </c>
      <c r="X553" t="s">
        <v>280</v>
      </c>
      <c r="Y553">
        <v>1440</v>
      </c>
      <c r="AB553">
        <v>7.1</v>
      </c>
      <c r="AC553" t="s">
        <v>210</v>
      </c>
      <c r="AD553" t="s">
        <v>106</v>
      </c>
      <c r="AE553" t="s">
        <v>63</v>
      </c>
      <c r="AH553">
        <v>7.3</v>
      </c>
      <c r="AI553">
        <v>5</v>
      </c>
      <c r="AV553" t="s">
        <v>88</v>
      </c>
      <c r="BA553">
        <v>7.3</v>
      </c>
    </row>
    <row r="554" spans="1:53" hidden="1" x14ac:dyDescent="0.3">
      <c r="A554" t="s">
        <v>1119</v>
      </c>
      <c r="C554" t="s">
        <v>1052</v>
      </c>
      <c r="H554">
        <v>4</v>
      </c>
      <c r="I554" t="s">
        <v>56</v>
      </c>
      <c r="J554">
        <v>4.0000000000000002E-4</v>
      </c>
      <c r="K554" t="s">
        <v>57</v>
      </c>
      <c r="O554">
        <v>0</v>
      </c>
      <c r="T554">
        <v>60</v>
      </c>
      <c r="V554">
        <v>90</v>
      </c>
      <c r="W554" t="s">
        <v>1124</v>
      </c>
      <c r="X554" t="s">
        <v>280</v>
      </c>
      <c r="Y554">
        <v>1440</v>
      </c>
      <c r="AB554">
        <v>7.1</v>
      </c>
      <c r="AC554" t="s">
        <v>210</v>
      </c>
      <c r="AD554" t="s">
        <v>335</v>
      </c>
      <c r="AE554" t="s">
        <v>63</v>
      </c>
      <c r="AH554">
        <v>7.7</v>
      </c>
      <c r="AI554">
        <v>5</v>
      </c>
      <c r="AV554" t="s">
        <v>88</v>
      </c>
      <c r="BA554">
        <v>7.7</v>
      </c>
    </row>
    <row r="555" spans="1:53" hidden="1" x14ac:dyDescent="0.3">
      <c r="A555" t="s">
        <v>1119</v>
      </c>
      <c r="C555" t="s">
        <v>1052</v>
      </c>
      <c r="H555">
        <v>4</v>
      </c>
      <c r="I555" t="s">
        <v>56</v>
      </c>
      <c r="J555">
        <v>4.0000000000000002E-4</v>
      </c>
      <c r="K555" t="s">
        <v>57</v>
      </c>
      <c r="O555">
        <v>0</v>
      </c>
      <c r="T555">
        <v>60</v>
      </c>
      <c r="V555">
        <v>90</v>
      </c>
      <c r="W555" t="s">
        <v>1121</v>
      </c>
      <c r="X555" t="s">
        <v>280</v>
      </c>
      <c r="Y555">
        <v>1440</v>
      </c>
      <c r="AB555">
        <v>7.6</v>
      </c>
      <c r="AC555" t="s">
        <v>210</v>
      </c>
      <c r="AD555" t="s">
        <v>325</v>
      </c>
      <c r="AE555" t="s">
        <v>63</v>
      </c>
      <c r="AH555">
        <v>7.7</v>
      </c>
      <c r="AI555">
        <v>5</v>
      </c>
      <c r="AV555" t="s">
        <v>88</v>
      </c>
      <c r="BA555">
        <v>7.7</v>
      </c>
    </row>
    <row r="556" spans="1:53" hidden="1" x14ac:dyDescent="0.3">
      <c r="A556" t="s">
        <v>1119</v>
      </c>
      <c r="C556" t="s">
        <v>1052</v>
      </c>
      <c r="H556">
        <v>4</v>
      </c>
      <c r="I556" t="s">
        <v>56</v>
      </c>
      <c r="J556">
        <v>4.0000000000000002E-4</v>
      </c>
      <c r="K556" t="s">
        <v>57</v>
      </c>
      <c r="O556">
        <v>0</v>
      </c>
      <c r="T556">
        <v>60</v>
      </c>
      <c r="V556">
        <v>60</v>
      </c>
      <c r="W556" t="s">
        <v>1100</v>
      </c>
      <c r="X556" t="s">
        <v>280</v>
      </c>
      <c r="Y556">
        <v>1440</v>
      </c>
      <c r="AB556">
        <v>7.6</v>
      </c>
      <c r="AC556" t="s">
        <v>210</v>
      </c>
      <c r="AD556" t="s">
        <v>325</v>
      </c>
      <c r="AE556" t="s">
        <v>63</v>
      </c>
      <c r="AH556">
        <v>7.7</v>
      </c>
      <c r="AI556">
        <v>5</v>
      </c>
      <c r="AV556" t="s">
        <v>88</v>
      </c>
      <c r="BA556">
        <v>7.7</v>
      </c>
    </row>
    <row r="557" spans="1:53" hidden="1" x14ac:dyDescent="0.3">
      <c r="A557" t="s">
        <v>1119</v>
      </c>
      <c r="C557" t="s">
        <v>1052</v>
      </c>
      <c r="H557">
        <v>4</v>
      </c>
      <c r="I557" t="s">
        <v>56</v>
      </c>
      <c r="J557">
        <v>4.0000000000000002E-4</v>
      </c>
      <c r="K557" t="s">
        <v>57</v>
      </c>
      <c r="O557">
        <v>0</v>
      </c>
      <c r="T557">
        <v>60</v>
      </c>
      <c r="V557">
        <v>90</v>
      </c>
      <c r="W557" t="s">
        <v>1100</v>
      </c>
      <c r="X557" t="s">
        <v>280</v>
      </c>
      <c r="Y557">
        <v>1440</v>
      </c>
      <c r="AB557">
        <v>7.5</v>
      </c>
      <c r="AC557" t="s">
        <v>210</v>
      </c>
      <c r="AD557" t="s">
        <v>1125</v>
      </c>
      <c r="AE557" t="s">
        <v>63</v>
      </c>
      <c r="AH557">
        <v>7.7</v>
      </c>
      <c r="AI557">
        <v>5</v>
      </c>
      <c r="AV557" t="s">
        <v>88</v>
      </c>
      <c r="BA557">
        <v>7.7</v>
      </c>
    </row>
    <row r="558" spans="1:53" hidden="1" x14ac:dyDescent="0.3">
      <c r="A558" t="s">
        <v>1119</v>
      </c>
      <c r="C558" t="s">
        <v>1052</v>
      </c>
      <c r="H558">
        <v>4</v>
      </c>
      <c r="I558" t="s">
        <v>56</v>
      </c>
      <c r="J558">
        <v>4.0000000000000002E-4</v>
      </c>
      <c r="K558" t="s">
        <v>57</v>
      </c>
      <c r="O558">
        <v>0</v>
      </c>
      <c r="T558">
        <v>60</v>
      </c>
      <c r="V558">
        <v>90</v>
      </c>
      <c r="W558" t="s">
        <v>1100</v>
      </c>
      <c r="X558" t="s">
        <v>280</v>
      </c>
      <c r="Y558">
        <v>10080</v>
      </c>
      <c r="AB558">
        <v>7.5</v>
      </c>
      <c r="AC558" t="s">
        <v>210</v>
      </c>
      <c r="AD558" t="s">
        <v>325</v>
      </c>
      <c r="AE558" t="s">
        <v>63</v>
      </c>
      <c r="AH558">
        <v>7.7</v>
      </c>
      <c r="AI558">
        <v>5</v>
      </c>
      <c r="AV558" t="s">
        <v>88</v>
      </c>
      <c r="BA558">
        <v>7.7</v>
      </c>
    </row>
    <row r="559" spans="1:53" hidden="1" x14ac:dyDescent="0.3">
      <c r="A559" t="s">
        <v>1119</v>
      </c>
      <c r="C559" t="s">
        <v>1052</v>
      </c>
      <c r="H559">
        <v>4</v>
      </c>
      <c r="I559" t="s">
        <v>56</v>
      </c>
      <c r="J559">
        <v>4.0000000000000002E-4</v>
      </c>
      <c r="K559" t="s">
        <v>57</v>
      </c>
      <c r="O559">
        <v>0</v>
      </c>
      <c r="T559">
        <v>60</v>
      </c>
      <c r="V559">
        <v>60</v>
      </c>
      <c r="W559" t="s">
        <v>1124</v>
      </c>
      <c r="X559" t="s">
        <v>280</v>
      </c>
      <c r="Y559">
        <v>1440</v>
      </c>
      <c r="AB559">
        <v>7.5</v>
      </c>
      <c r="AC559" t="s">
        <v>210</v>
      </c>
      <c r="AD559" t="s">
        <v>98</v>
      </c>
      <c r="AE559" t="s">
        <v>63</v>
      </c>
      <c r="AH559">
        <v>7.7</v>
      </c>
      <c r="AI559">
        <v>5</v>
      </c>
      <c r="AV559" t="s">
        <v>88</v>
      </c>
      <c r="BA559">
        <v>7.7</v>
      </c>
    </row>
    <row r="560" spans="1:53" hidden="1" x14ac:dyDescent="0.3">
      <c r="A560" t="s">
        <v>1119</v>
      </c>
      <c r="C560" t="s">
        <v>1052</v>
      </c>
      <c r="H560">
        <v>4</v>
      </c>
      <c r="I560" t="s">
        <v>56</v>
      </c>
      <c r="J560">
        <v>4.0000000000000002E-4</v>
      </c>
      <c r="K560" t="s">
        <v>57</v>
      </c>
      <c r="O560">
        <v>0</v>
      </c>
      <c r="T560">
        <v>60</v>
      </c>
      <c r="V560">
        <v>60</v>
      </c>
      <c r="W560" t="s">
        <v>1121</v>
      </c>
      <c r="X560" t="s">
        <v>280</v>
      </c>
      <c r="Y560">
        <v>1440</v>
      </c>
      <c r="AB560">
        <v>7.5</v>
      </c>
      <c r="AC560" t="s">
        <v>210</v>
      </c>
      <c r="AD560" t="s">
        <v>106</v>
      </c>
      <c r="AE560" t="s">
        <v>63</v>
      </c>
      <c r="AH560">
        <v>7.7</v>
      </c>
      <c r="AI560">
        <v>5</v>
      </c>
      <c r="AV560" t="s">
        <v>88</v>
      </c>
      <c r="BA560">
        <v>7.7</v>
      </c>
    </row>
    <row r="561" spans="1:53" hidden="1" x14ac:dyDescent="0.3">
      <c r="A561" t="s">
        <v>1119</v>
      </c>
      <c r="C561" t="s">
        <v>1052</v>
      </c>
      <c r="H561">
        <v>4</v>
      </c>
      <c r="I561" t="s">
        <v>56</v>
      </c>
      <c r="J561">
        <v>4.0000000000000002E-4</v>
      </c>
      <c r="K561" t="s">
        <v>57</v>
      </c>
      <c r="O561">
        <v>0</v>
      </c>
      <c r="T561">
        <v>60</v>
      </c>
      <c r="V561">
        <v>90</v>
      </c>
      <c r="W561" t="s">
        <v>1120</v>
      </c>
      <c r="X561" t="s">
        <v>280</v>
      </c>
      <c r="Y561">
        <v>10080</v>
      </c>
      <c r="AB561">
        <v>7.4</v>
      </c>
      <c r="AC561" t="s">
        <v>210</v>
      </c>
      <c r="AD561" t="s">
        <v>1126</v>
      </c>
      <c r="AE561" t="s">
        <v>63</v>
      </c>
      <c r="AH561">
        <v>7.7</v>
      </c>
      <c r="AI561">
        <v>5</v>
      </c>
      <c r="AV561" t="s">
        <v>88</v>
      </c>
      <c r="BA561">
        <v>7.7</v>
      </c>
    </row>
    <row r="562" spans="1:53" hidden="1" x14ac:dyDescent="0.3">
      <c r="A562" t="s">
        <v>1119</v>
      </c>
      <c r="C562" t="s">
        <v>1052</v>
      </c>
      <c r="H562">
        <v>4</v>
      </c>
      <c r="I562" t="s">
        <v>56</v>
      </c>
      <c r="J562">
        <v>4.0000000000000002E-4</v>
      </c>
      <c r="K562" t="s">
        <v>57</v>
      </c>
      <c r="O562">
        <v>0</v>
      </c>
      <c r="T562">
        <v>60</v>
      </c>
      <c r="V562">
        <v>60</v>
      </c>
      <c r="W562" t="s">
        <v>1120</v>
      </c>
      <c r="X562" t="s">
        <v>280</v>
      </c>
      <c r="Y562">
        <v>1440</v>
      </c>
      <c r="AB562">
        <v>7.4</v>
      </c>
      <c r="AC562" t="s">
        <v>210</v>
      </c>
      <c r="AD562" t="s">
        <v>98</v>
      </c>
      <c r="AE562" t="s">
        <v>63</v>
      </c>
      <c r="AH562">
        <v>7.7</v>
      </c>
      <c r="AI562">
        <v>5</v>
      </c>
      <c r="AV562" t="s">
        <v>88</v>
      </c>
      <c r="BA562">
        <v>7.7</v>
      </c>
    </row>
    <row r="563" spans="1:53" hidden="1" x14ac:dyDescent="0.3">
      <c r="A563" t="s">
        <v>1119</v>
      </c>
      <c r="C563" t="s">
        <v>1052</v>
      </c>
      <c r="H563">
        <v>4</v>
      </c>
      <c r="I563" t="s">
        <v>56</v>
      </c>
      <c r="J563">
        <v>4.0000000000000002E-4</v>
      </c>
      <c r="K563" t="s">
        <v>57</v>
      </c>
      <c r="O563">
        <v>0</v>
      </c>
      <c r="T563">
        <v>77</v>
      </c>
      <c r="V563">
        <v>60</v>
      </c>
      <c r="W563" t="s">
        <v>1100</v>
      </c>
      <c r="X563" t="s">
        <v>280</v>
      </c>
      <c r="Y563">
        <v>10080</v>
      </c>
      <c r="AB563">
        <v>7.4</v>
      </c>
      <c r="AC563" t="s">
        <v>210</v>
      </c>
      <c r="AD563" t="s">
        <v>120</v>
      </c>
      <c r="AE563" t="s">
        <v>63</v>
      </c>
      <c r="AH563">
        <v>7.7</v>
      </c>
      <c r="AI563">
        <v>5</v>
      </c>
      <c r="AV563" t="s">
        <v>88</v>
      </c>
      <c r="BA563">
        <v>7.7</v>
      </c>
    </row>
    <row r="564" spans="1:53" hidden="1" x14ac:dyDescent="0.3">
      <c r="A564" t="s">
        <v>1119</v>
      </c>
      <c r="C564" t="s">
        <v>1052</v>
      </c>
      <c r="H564">
        <v>4</v>
      </c>
      <c r="I564" t="s">
        <v>56</v>
      </c>
      <c r="J564">
        <v>4.0000000000000002E-4</v>
      </c>
      <c r="K564" t="s">
        <v>57</v>
      </c>
      <c r="O564">
        <v>0</v>
      </c>
      <c r="T564">
        <v>60</v>
      </c>
      <c r="V564">
        <v>60</v>
      </c>
      <c r="W564" t="s">
        <v>1100</v>
      </c>
      <c r="X564" t="s">
        <v>280</v>
      </c>
      <c r="Y564">
        <v>10080</v>
      </c>
      <c r="AB564">
        <v>7.4</v>
      </c>
      <c r="AC564" t="s">
        <v>210</v>
      </c>
      <c r="AD564" t="s">
        <v>1125</v>
      </c>
      <c r="AE564" t="s">
        <v>63</v>
      </c>
      <c r="AH564">
        <v>7.7</v>
      </c>
      <c r="AI564">
        <v>5</v>
      </c>
      <c r="AV564" t="s">
        <v>88</v>
      </c>
      <c r="BA564">
        <v>7.7</v>
      </c>
    </row>
    <row r="565" spans="1:53" hidden="1" x14ac:dyDescent="0.3">
      <c r="A565" t="s">
        <v>1119</v>
      </c>
      <c r="C565" t="s">
        <v>1052</v>
      </c>
      <c r="H565">
        <v>4</v>
      </c>
      <c r="I565" t="s">
        <v>56</v>
      </c>
      <c r="J565">
        <v>4.0000000000000002E-4</v>
      </c>
      <c r="K565" t="s">
        <v>57</v>
      </c>
      <c r="O565">
        <v>0</v>
      </c>
      <c r="T565">
        <v>77</v>
      </c>
      <c r="V565">
        <v>60</v>
      </c>
      <c r="W565" t="s">
        <v>1100</v>
      </c>
      <c r="X565" t="s">
        <v>280</v>
      </c>
      <c r="Y565">
        <v>1440</v>
      </c>
      <c r="AB565">
        <v>7.3</v>
      </c>
      <c r="AC565" t="s">
        <v>210</v>
      </c>
      <c r="AD565" t="s">
        <v>106</v>
      </c>
      <c r="AE565" t="s">
        <v>63</v>
      </c>
      <c r="AH565">
        <v>7.3</v>
      </c>
      <c r="AI565">
        <v>5</v>
      </c>
      <c r="AV565" t="s">
        <v>88</v>
      </c>
      <c r="BA565">
        <v>7.3</v>
      </c>
    </row>
    <row r="566" spans="1:53" hidden="1" x14ac:dyDescent="0.3">
      <c r="A566" t="s">
        <v>1119</v>
      </c>
      <c r="C566" t="s">
        <v>1052</v>
      </c>
      <c r="H566">
        <v>4</v>
      </c>
      <c r="I566" t="s">
        <v>56</v>
      </c>
      <c r="J566">
        <v>4.0000000000000002E-4</v>
      </c>
      <c r="K566" t="s">
        <v>57</v>
      </c>
      <c r="O566">
        <v>0</v>
      </c>
      <c r="T566">
        <v>60</v>
      </c>
      <c r="V566">
        <v>90</v>
      </c>
      <c r="W566" t="s">
        <v>1122</v>
      </c>
      <c r="X566" t="s">
        <v>280</v>
      </c>
      <c r="Y566">
        <v>1440</v>
      </c>
      <c r="AB566">
        <v>7.3</v>
      </c>
      <c r="AC566" t="s">
        <v>210</v>
      </c>
      <c r="AD566" t="s">
        <v>619</v>
      </c>
      <c r="AE566" t="s">
        <v>63</v>
      </c>
      <c r="AH566">
        <v>7.7</v>
      </c>
      <c r="AI566">
        <v>5</v>
      </c>
      <c r="AV566" t="s">
        <v>88</v>
      </c>
      <c r="BA566">
        <v>7.7</v>
      </c>
    </row>
    <row r="567" spans="1:53" hidden="1" x14ac:dyDescent="0.3">
      <c r="A567" t="s">
        <v>1119</v>
      </c>
      <c r="C567" t="s">
        <v>1052</v>
      </c>
      <c r="H567">
        <v>4</v>
      </c>
      <c r="I567" t="s">
        <v>56</v>
      </c>
      <c r="J567">
        <v>4.0000000000000002E-4</v>
      </c>
      <c r="K567" t="s">
        <v>57</v>
      </c>
      <c r="O567">
        <v>0</v>
      </c>
      <c r="T567">
        <v>60</v>
      </c>
      <c r="V567">
        <v>90</v>
      </c>
      <c r="W567" t="s">
        <v>1096</v>
      </c>
      <c r="X567" t="s">
        <v>280</v>
      </c>
      <c r="Y567">
        <v>1440</v>
      </c>
      <c r="AB567">
        <v>7.3</v>
      </c>
      <c r="AC567" t="s">
        <v>210</v>
      </c>
      <c r="AD567" t="s">
        <v>558</v>
      </c>
      <c r="AE567" t="s">
        <v>63</v>
      </c>
      <c r="AH567">
        <v>7.7</v>
      </c>
      <c r="AI567">
        <v>5</v>
      </c>
      <c r="AV567" t="s">
        <v>88</v>
      </c>
      <c r="BA567">
        <v>7.7</v>
      </c>
    </row>
    <row r="568" spans="1:53" hidden="1" x14ac:dyDescent="0.3">
      <c r="A568" t="s">
        <v>1119</v>
      </c>
      <c r="C568" t="s">
        <v>1052</v>
      </c>
      <c r="H568">
        <v>4</v>
      </c>
      <c r="I568" t="s">
        <v>56</v>
      </c>
      <c r="J568">
        <v>4.0000000000000002E-4</v>
      </c>
      <c r="K568" t="s">
        <v>57</v>
      </c>
      <c r="O568">
        <v>0</v>
      </c>
      <c r="T568">
        <v>68</v>
      </c>
      <c r="V568">
        <v>75</v>
      </c>
      <c r="W568" t="s">
        <v>1100</v>
      </c>
      <c r="X568" t="s">
        <v>280</v>
      </c>
      <c r="Y568">
        <v>5760</v>
      </c>
      <c r="AB568">
        <v>7.3</v>
      </c>
      <c r="AC568" t="s">
        <v>210</v>
      </c>
      <c r="AD568" t="s">
        <v>325</v>
      </c>
      <c r="AE568" t="s">
        <v>63</v>
      </c>
      <c r="AH568">
        <v>7.7</v>
      </c>
      <c r="AI568">
        <v>5</v>
      </c>
      <c r="AV568" t="s">
        <v>88</v>
      </c>
      <c r="BA568">
        <v>7.7</v>
      </c>
    </row>
    <row r="569" spans="1:53" hidden="1" x14ac:dyDescent="0.3">
      <c r="A569" t="s">
        <v>1119</v>
      </c>
      <c r="C569" t="s">
        <v>1052</v>
      </c>
      <c r="H569">
        <v>4</v>
      </c>
      <c r="I569" t="s">
        <v>56</v>
      </c>
      <c r="J569">
        <v>4.0000000000000002E-4</v>
      </c>
      <c r="K569" t="s">
        <v>57</v>
      </c>
      <c r="O569">
        <v>0</v>
      </c>
      <c r="T569">
        <v>60</v>
      </c>
      <c r="V569">
        <v>75</v>
      </c>
      <c r="W569" t="s">
        <v>1100</v>
      </c>
      <c r="X569" t="s">
        <v>280</v>
      </c>
      <c r="Y569">
        <v>5760</v>
      </c>
      <c r="AB569">
        <v>7.3</v>
      </c>
      <c r="AC569" t="s">
        <v>210</v>
      </c>
      <c r="AD569" t="s">
        <v>106</v>
      </c>
      <c r="AE569" t="s">
        <v>63</v>
      </c>
      <c r="AH569">
        <v>7.2</v>
      </c>
      <c r="AI569">
        <v>5</v>
      </c>
      <c r="AV569" t="s">
        <v>88</v>
      </c>
      <c r="BA569">
        <v>7.2</v>
      </c>
    </row>
    <row r="570" spans="1:53" hidden="1" x14ac:dyDescent="0.3">
      <c r="A570" t="s">
        <v>1119</v>
      </c>
      <c r="C570" t="s">
        <v>1052</v>
      </c>
      <c r="H570">
        <v>4</v>
      </c>
      <c r="I570" t="s">
        <v>56</v>
      </c>
      <c r="J570">
        <v>4.0000000000000002E-4</v>
      </c>
      <c r="K570" t="s">
        <v>57</v>
      </c>
      <c r="O570">
        <v>0</v>
      </c>
      <c r="T570">
        <v>60</v>
      </c>
      <c r="V570">
        <v>60</v>
      </c>
      <c r="W570" t="s">
        <v>1122</v>
      </c>
      <c r="X570" t="s">
        <v>280</v>
      </c>
      <c r="Y570">
        <v>1440</v>
      </c>
      <c r="AB570">
        <v>7.3</v>
      </c>
      <c r="AC570" t="s">
        <v>210</v>
      </c>
      <c r="AD570" t="s">
        <v>106</v>
      </c>
      <c r="AE570" t="s">
        <v>63</v>
      </c>
      <c r="AH570">
        <v>7.7</v>
      </c>
      <c r="AI570">
        <v>5</v>
      </c>
      <c r="AV570" t="s">
        <v>88</v>
      </c>
      <c r="BA570">
        <v>7.7</v>
      </c>
    </row>
    <row r="571" spans="1:53" hidden="1" x14ac:dyDescent="0.3">
      <c r="A571" t="s">
        <v>1119</v>
      </c>
      <c r="C571" t="s">
        <v>1052</v>
      </c>
      <c r="H571">
        <v>4</v>
      </c>
      <c r="I571" t="s">
        <v>56</v>
      </c>
      <c r="J571">
        <v>4.0000000000000002E-4</v>
      </c>
      <c r="K571" t="s">
        <v>57</v>
      </c>
      <c r="O571">
        <v>0</v>
      </c>
      <c r="T571">
        <v>77</v>
      </c>
      <c r="V571">
        <v>60</v>
      </c>
      <c r="W571" t="s">
        <v>1100</v>
      </c>
      <c r="X571" t="s">
        <v>280</v>
      </c>
      <c r="Y571">
        <v>1440</v>
      </c>
      <c r="AB571">
        <v>7.3</v>
      </c>
      <c r="AC571" t="s">
        <v>210</v>
      </c>
      <c r="AD571" t="s">
        <v>106</v>
      </c>
      <c r="AE571" t="s">
        <v>63</v>
      </c>
      <c r="AH571">
        <v>7.7</v>
      </c>
      <c r="AI571">
        <v>5</v>
      </c>
      <c r="AV571" t="s">
        <v>88</v>
      </c>
      <c r="BA571">
        <v>7.7</v>
      </c>
    </row>
    <row r="572" spans="1:53" hidden="1" x14ac:dyDescent="0.3">
      <c r="A572" t="s">
        <v>1119</v>
      </c>
      <c r="C572" t="s">
        <v>1052</v>
      </c>
      <c r="H572">
        <v>4</v>
      </c>
      <c r="I572" t="s">
        <v>56</v>
      </c>
      <c r="J572">
        <v>4.0000000000000002E-4</v>
      </c>
      <c r="K572" t="s">
        <v>57</v>
      </c>
      <c r="O572">
        <v>0</v>
      </c>
      <c r="T572">
        <v>60</v>
      </c>
      <c r="V572">
        <v>60</v>
      </c>
      <c r="W572" t="s">
        <v>1122</v>
      </c>
      <c r="X572" t="s">
        <v>280</v>
      </c>
      <c r="Y572">
        <v>10080</v>
      </c>
      <c r="AB572">
        <v>7.3</v>
      </c>
      <c r="AC572" t="s">
        <v>210</v>
      </c>
      <c r="AD572" t="s">
        <v>1127</v>
      </c>
      <c r="AE572" t="s">
        <v>63</v>
      </c>
      <c r="AH572">
        <v>7.7</v>
      </c>
      <c r="AI572">
        <v>5</v>
      </c>
      <c r="AV572" t="s">
        <v>88</v>
      </c>
      <c r="BA572">
        <v>7.7</v>
      </c>
    </row>
    <row r="573" spans="1:53" hidden="1" x14ac:dyDescent="0.3">
      <c r="A573" t="s">
        <v>1119</v>
      </c>
      <c r="C573" t="s">
        <v>1052</v>
      </c>
      <c r="H573">
        <v>4</v>
      </c>
      <c r="I573" t="s">
        <v>56</v>
      </c>
      <c r="J573">
        <v>4.0000000000000002E-4</v>
      </c>
      <c r="K573" t="s">
        <v>57</v>
      </c>
      <c r="O573">
        <v>0</v>
      </c>
      <c r="T573">
        <v>60</v>
      </c>
      <c r="V573">
        <v>60</v>
      </c>
      <c r="W573" t="s">
        <v>1120</v>
      </c>
      <c r="X573" t="s">
        <v>280</v>
      </c>
      <c r="Y573">
        <v>10080</v>
      </c>
      <c r="AB573">
        <v>7.3</v>
      </c>
      <c r="AC573" t="s">
        <v>210</v>
      </c>
      <c r="AD573" t="s">
        <v>1128</v>
      </c>
      <c r="AE573" t="s">
        <v>63</v>
      </c>
      <c r="AH573">
        <v>7.7</v>
      </c>
      <c r="AI573">
        <v>5</v>
      </c>
      <c r="AV573" t="s">
        <v>88</v>
      </c>
      <c r="BA573">
        <v>7.7</v>
      </c>
    </row>
    <row r="574" spans="1:53" hidden="1" x14ac:dyDescent="0.3">
      <c r="A574" t="s">
        <v>1119</v>
      </c>
      <c r="C574" t="s">
        <v>1052</v>
      </c>
      <c r="H574">
        <v>4</v>
      </c>
      <c r="I574" t="s">
        <v>56</v>
      </c>
      <c r="J574">
        <v>4.0000000000000002E-4</v>
      </c>
      <c r="K574" t="s">
        <v>57</v>
      </c>
      <c r="O574">
        <v>0</v>
      </c>
      <c r="T574">
        <v>60</v>
      </c>
      <c r="V574">
        <v>60</v>
      </c>
      <c r="W574" t="s">
        <v>1096</v>
      </c>
      <c r="X574" t="s">
        <v>280</v>
      </c>
      <c r="Y574">
        <v>1440</v>
      </c>
      <c r="AB574">
        <v>7.2</v>
      </c>
      <c r="AC574" t="s">
        <v>210</v>
      </c>
      <c r="AD574" t="s">
        <v>98</v>
      </c>
      <c r="AE574" t="s">
        <v>63</v>
      </c>
      <c r="AH574">
        <v>7.7</v>
      </c>
      <c r="AI574">
        <v>5</v>
      </c>
      <c r="AV574" t="s">
        <v>88</v>
      </c>
      <c r="BA574">
        <v>7.7</v>
      </c>
    </row>
    <row r="575" spans="1:53" hidden="1" x14ac:dyDescent="0.3">
      <c r="A575" t="s">
        <v>1119</v>
      </c>
      <c r="C575" t="s">
        <v>1052</v>
      </c>
      <c r="H575">
        <v>4</v>
      </c>
      <c r="I575" t="s">
        <v>56</v>
      </c>
      <c r="J575">
        <v>4.0000000000000002E-4</v>
      </c>
      <c r="K575" t="s">
        <v>57</v>
      </c>
      <c r="O575">
        <v>0</v>
      </c>
      <c r="T575">
        <v>60</v>
      </c>
      <c r="V575">
        <v>60</v>
      </c>
      <c r="W575" t="s">
        <v>1129</v>
      </c>
      <c r="X575" t="s">
        <v>280</v>
      </c>
      <c r="Y575">
        <v>10080</v>
      </c>
      <c r="AB575">
        <v>7.2</v>
      </c>
      <c r="AC575" t="s">
        <v>210</v>
      </c>
      <c r="AD575" t="s">
        <v>1127</v>
      </c>
      <c r="AE575" t="s">
        <v>63</v>
      </c>
      <c r="AH575">
        <v>7.7</v>
      </c>
      <c r="AI575">
        <v>5</v>
      </c>
      <c r="AV575" t="s">
        <v>88</v>
      </c>
      <c r="BA575">
        <v>7.7</v>
      </c>
    </row>
    <row r="576" spans="1:53" hidden="1" x14ac:dyDescent="0.3">
      <c r="A576" t="s">
        <v>1119</v>
      </c>
      <c r="C576" t="s">
        <v>1052</v>
      </c>
      <c r="H576">
        <v>4</v>
      </c>
      <c r="I576" t="s">
        <v>56</v>
      </c>
      <c r="J576">
        <v>4.0000000000000002E-4</v>
      </c>
      <c r="K576" t="s">
        <v>57</v>
      </c>
      <c r="O576">
        <v>0</v>
      </c>
      <c r="T576">
        <v>68</v>
      </c>
      <c r="V576">
        <v>75</v>
      </c>
      <c r="W576" t="s">
        <v>1100</v>
      </c>
      <c r="X576" t="s">
        <v>280</v>
      </c>
      <c r="Y576">
        <v>1440</v>
      </c>
      <c r="AB576">
        <v>7.1</v>
      </c>
      <c r="AC576" t="s">
        <v>210</v>
      </c>
      <c r="AD576" t="s">
        <v>314</v>
      </c>
      <c r="AE576" t="s">
        <v>63</v>
      </c>
      <c r="AH576">
        <v>7.2</v>
      </c>
      <c r="AI576">
        <v>5</v>
      </c>
      <c r="AV576" t="s">
        <v>88</v>
      </c>
      <c r="BA576">
        <v>7.2</v>
      </c>
    </row>
    <row r="577" spans="1:53" hidden="1" x14ac:dyDescent="0.3">
      <c r="A577" t="s">
        <v>1119</v>
      </c>
      <c r="C577" t="s">
        <v>1052</v>
      </c>
      <c r="H577">
        <v>4</v>
      </c>
      <c r="I577" t="s">
        <v>56</v>
      </c>
      <c r="J577">
        <v>4.0000000000000002E-4</v>
      </c>
      <c r="K577" t="s">
        <v>57</v>
      </c>
      <c r="O577">
        <v>0</v>
      </c>
      <c r="T577">
        <v>60</v>
      </c>
      <c r="V577">
        <v>90</v>
      </c>
      <c r="W577" t="s">
        <v>1129</v>
      </c>
      <c r="X577" t="s">
        <v>280</v>
      </c>
      <c r="Y577">
        <v>1440</v>
      </c>
      <c r="AB577">
        <v>7.1</v>
      </c>
      <c r="AC577" t="s">
        <v>210</v>
      </c>
      <c r="AD577" t="s">
        <v>1130</v>
      </c>
      <c r="AE577" t="s">
        <v>63</v>
      </c>
      <c r="AH577">
        <v>7.7</v>
      </c>
      <c r="AI577">
        <v>5</v>
      </c>
      <c r="AV577" t="s">
        <v>88</v>
      </c>
      <c r="BA577">
        <v>7.7</v>
      </c>
    </row>
    <row r="578" spans="1:53" hidden="1" x14ac:dyDescent="0.3">
      <c r="A578" t="s">
        <v>1119</v>
      </c>
      <c r="C578" t="s">
        <v>1052</v>
      </c>
      <c r="H578">
        <v>4</v>
      </c>
      <c r="I578" t="s">
        <v>56</v>
      </c>
      <c r="J578">
        <v>4.0000000000000002E-4</v>
      </c>
      <c r="K578" t="s">
        <v>57</v>
      </c>
      <c r="O578">
        <v>0</v>
      </c>
      <c r="T578">
        <v>68</v>
      </c>
      <c r="V578">
        <v>75</v>
      </c>
      <c r="W578" t="s">
        <v>1100</v>
      </c>
      <c r="X578" t="s">
        <v>280</v>
      </c>
      <c r="Y578">
        <v>1440</v>
      </c>
      <c r="AB578">
        <v>7.1</v>
      </c>
      <c r="AC578" t="s">
        <v>210</v>
      </c>
      <c r="AD578" t="s">
        <v>321</v>
      </c>
      <c r="AE578" t="s">
        <v>63</v>
      </c>
      <c r="AH578">
        <v>7.2</v>
      </c>
      <c r="AI578">
        <v>5</v>
      </c>
      <c r="AV578" t="s">
        <v>88</v>
      </c>
      <c r="BA578">
        <v>7.2</v>
      </c>
    </row>
    <row r="579" spans="1:53" hidden="1" x14ac:dyDescent="0.3">
      <c r="A579" t="s">
        <v>1119</v>
      </c>
      <c r="C579" t="s">
        <v>1052</v>
      </c>
      <c r="H579">
        <v>4</v>
      </c>
      <c r="I579" t="s">
        <v>56</v>
      </c>
      <c r="J579">
        <v>4.0000000000000002E-4</v>
      </c>
      <c r="K579" t="s">
        <v>57</v>
      </c>
      <c r="O579">
        <v>0</v>
      </c>
      <c r="T579">
        <v>68</v>
      </c>
      <c r="V579">
        <v>60</v>
      </c>
      <c r="W579" t="s">
        <v>1100</v>
      </c>
      <c r="X579" t="s">
        <v>280</v>
      </c>
      <c r="Y579">
        <v>5760</v>
      </c>
      <c r="AB579">
        <v>7.1</v>
      </c>
      <c r="AC579" t="s">
        <v>210</v>
      </c>
      <c r="AD579" t="s">
        <v>321</v>
      </c>
      <c r="AE579" t="s">
        <v>63</v>
      </c>
      <c r="AH579">
        <v>7.2</v>
      </c>
      <c r="AI579">
        <v>5</v>
      </c>
      <c r="AV579" t="s">
        <v>88</v>
      </c>
      <c r="BA579">
        <v>7.2</v>
      </c>
    </row>
    <row r="580" spans="1:53" hidden="1" x14ac:dyDescent="0.3">
      <c r="A580" t="s">
        <v>1119</v>
      </c>
      <c r="C580" t="s">
        <v>1052</v>
      </c>
      <c r="H580">
        <v>4</v>
      </c>
      <c r="I580" t="s">
        <v>56</v>
      </c>
      <c r="J580">
        <v>4.0000000000000002E-4</v>
      </c>
      <c r="K580" t="s">
        <v>57</v>
      </c>
      <c r="O580">
        <v>0</v>
      </c>
      <c r="T580">
        <v>60</v>
      </c>
      <c r="V580">
        <v>60</v>
      </c>
      <c r="W580" t="s">
        <v>1096</v>
      </c>
      <c r="X580" t="s">
        <v>280</v>
      </c>
      <c r="Y580">
        <v>10080</v>
      </c>
      <c r="AB580">
        <v>7.1</v>
      </c>
      <c r="AC580" t="s">
        <v>210</v>
      </c>
      <c r="AD580" t="s">
        <v>1131</v>
      </c>
      <c r="AE580" t="s">
        <v>63</v>
      </c>
      <c r="AH580">
        <v>7.7</v>
      </c>
      <c r="AI580">
        <v>5</v>
      </c>
      <c r="AV580" t="s">
        <v>88</v>
      </c>
      <c r="BA580">
        <v>7.7</v>
      </c>
    </row>
    <row r="581" spans="1:53" hidden="1" x14ac:dyDescent="0.3">
      <c r="A581" t="s">
        <v>1119</v>
      </c>
      <c r="C581" t="s">
        <v>1052</v>
      </c>
      <c r="H581">
        <v>4</v>
      </c>
      <c r="I581" t="s">
        <v>56</v>
      </c>
      <c r="J581">
        <v>4.0000000000000002E-4</v>
      </c>
      <c r="K581" t="s">
        <v>57</v>
      </c>
      <c r="O581">
        <v>0</v>
      </c>
      <c r="T581">
        <v>68</v>
      </c>
      <c r="V581">
        <v>75</v>
      </c>
      <c r="W581" t="s">
        <v>1100</v>
      </c>
      <c r="X581" t="s">
        <v>280</v>
      </c>
      <c r="Y581">
        <v>5760</v>
      </c>
      <c r="AB581">
        <v>7</v>
      </c>
      <c r="AC581" t="s">
        <v>210</v>
      </c>
      <c r="AD581" t="s">
        <v>321</v>
      </c>
      <c r="AE581" t="s">
        <v>63</v>
      </c>
      <c r="AH581">
        <v>7.2</v>
      </c>
      <c r="AI581">
        <v>5</v>
      </c>
      <c r="AV581" t="s">
        <v>88</v>
      </c>
      <c r="BA581">
        <v>7.2</v>
      </c>
    </row>
    <row r="582" spans="1:53" hidden="1" x14ac:dyDescent="0.3">
      <c r="A582" t="s">
        <v>1119</v>
      </c>
      <c r="C582" t="s">
        <v>1052</v>
      </c>
      <c r="H582">
        <v>4</v>
      </c>
      <c r="I582" t="s">
        <v>56</v>
      </c>
      <c r="J582">
        <v>4.0000000000000002E-4</v>
      </c>
      <c r="K582" t="s">
        <v>57</v>
      </c>
      <c r="O582">
        <v>0</v>
      </c>
      <c r="T582">
        <v>60</v>
      </c>
      <c r="V582">
        <v>60</v>
      </c>
      <c r="W582" t="s">
        <v>1121</v>
      </c>
      <c r="X582" t="s">
        <v>280</v>
      </c>
      <c r="Y582">
        <v>1440</v>
      </c>
      <c r="AB582">
        <v>7</v>
      </c>
      <c r="AC582" t="s">
        <v>210</v>
      </c>
      <c r="AD582" t="s">
        <v>321</v>
      </c>
      <c r="AE582" t="s">
        <v>63</v>
      </c>
      <c r="AH582">
        <v>7.3</v>
      </c>
      <c r="AI582">
        <v>5</v>
      </c>
      <c r="AV582" t="s">
        <v>88</v>
      </c>
      <c r="BA582">
        <v>7.3</v>
      </c>
    </row>
    <row r="583" spans="1:53" hidden="1" x14ac:dyDescent="0.3">
      <c r="A583" t="s">
        <v>1119</v>
      </c>
      <c r="C583" t="s">
        <v>1052</v>
      </c>
      <c r="H583">
        <v>4</v>
      </c>
      <c r="I583" t="s">
        <v>56</v>
      </c>
      <c r="J583">
        <v>4.0000000000000002E-4</v>
      </c>
      <c r="K583" t="s">
        <v>57</v>
      </c>
      <c r="O583">
        <v>0</v>
      </c>
      <c r="T583">
        <v>68</v>
      </c>
      <c r="V583">
        <v>60</v>
      </c>
      <c r="W583" t="s">
        <v>1100</v>
      </c>
      <c r="X583" t="s">
        <v>280</v>
      </c>
      <c r="Y583">
        <v>5760</v>
      </c>
      <c r="AB583">
        <v>7</v>
      </c>
      <c r="AC583" t="s">
        <v>210</v>
      </c>
      <c r="AD583" t="s">
        <v>314</v>
      </c>
      <c r="AE583" t="s">
        <v>63</v>
      </c>
      <c r="AH583">
        <v>7.2</v>
      </c>
      <c r="AI583">
        <v>5</v>
      </c>
      <c r="AV583" t="s">
        <v>88</v>
      </c>
      <c r="BA583">
        <v>7.2</v>
      </c>
    </row>
    <row r="584" spans="1:53" hidden="1" x14ac:dyDescent="0.3">
      <c r="A584" t="s">
        <v>1119</v>
      </c>
      <c r="C584" t="s">
        <v>1052</v>
      </c>
      <c r="H584">
        <v>4</v>
      </c>
      <c r="I584" t="s">
        <v>56</v>
      </c>
      <c r="J584">
        <v>4.0000000000000002E-4</v>
      </c>
      <c r="K584" t="s">
        <v>57</v>
      </c>
      <c r="O584">
        <v>0</v>
      </c>
      <c r="T584">
        <v>60</v>
      </c>
      <c r="V584">
        <v>60</v>
      </c>
      <c r="W584" t="s">
        <v>1129</v>
      </c>
      <c r="X584" t="s">
        <v>280</v>
      </c>
      <c r="Y584">
        <v>1440</v>
      </c>
      <c r="AB584">
        <v>7</v>
      </c>
      <c r="AC584" t="s">
        <v>210</v>
      </c>
      <c r="AD584" t="s">
        <v>334</v>
      </c>
      <c r="AE584" t="s">
        <v>63</v>
      </c>
      <c r="AH584">
        <v>7.7</v>
      </c>
      <c r="AI584">
        <v>5</v>
      </c>
      <c r="AV584" t="s">
        <v>88</v>
      </c>
      <c r="BA584">
        <v>7.7</v>
      </c>
    </row>
    <row r="585" spans="1:53" hidden="1" x14ac:dyDescent="0.3">
      <c r="A585" t="s">
        <v>1119</v>
      </c>
      <c r="C585" t="s">
        <v>1052</v>
      </c>
      <c r="H585">
        <v>4</v>
      </c>
      <c r="I585" t="s">
        <v>56</v>
      </c>
      <c r="J585">
        <v>4.0000000000000002E-4</v>
      </c>
      <c r="K585" t="s">
        <v>57</v>
      </c>
      <c r="O585">
        <v>0</v>
      </c>
      <c r="T585">
        <v>60</v>
      </c>
      <c r="V585">
        <v>90</v>
      </c>
      <c r="W585" t="s">
        <v>1100</v>
      </c>
      <c r="X585" t="s">
        <v>280</v>
      </c>
      <c r="Y585">
        <v>10080</v>
      </c>
      <c r="AB585">
        <v>6.9</v>
      </c>
      <c r="AC585" t="s">
        <v>210</v>
      </c>
      <c r="AD585" t="s">
        <v>325</v>
      </c>
      <c r="AE585" t="s">
        <v>63</v>
      </c>
      <c r="AH585">
        <v>7.3</v>
      </c>
      <c r="AI585">
        <v>5</v>
      </c>
      <c r="AV585" t="s">
        <v>88</v>
      </c>
      <c r="BA585">
        <v>7.3</v>
      </c>
    </row>
    <row r="586" spans="1:53" hidden="1" x14ac:dyDescent="0.3">
      <c r="A586" t="s">
        <v>1119</v>
      </c>
      <c r="C586" t="s">
        <v>1052</v>
      </c>
      <c r="H586">
        <v>4</v>
      </c>
      <c r="I586" t="s">
        <v>56</v>
      </c>
      <c r="J586">
        <v>4.0000000000000002E-4</v>
      </c>
      <c r="K586" t="s">
        <v>57</v>
      </c>
      <c r="O586">
        <v>0</v>
      </c>
      <c r="T586">
        <v>60</v>
      </c>
      <c r="V586">
        <v>60</v>
      </c>
      <c r="W586" t="s">
        <v>1124</v>
      </c>
      <c r="X586" t="s">
        <v>280</v>
      </c>
      <c r="Y586">
        <v>1440</v>
      </c>
      <c r="AB586">
        <v>6.9</v>
      </c>
      <c r="AC586" t="s">
        <v>210</v>
      </c>
      <c r="AD586" t="s">
        <v>106</v>
      </c>
      <c r="AE586" t="s">
        <v>63</v>
      </c>
      <c r="AH586">
        <v>7.3</v>
      </c>
      <c r="AI586">
        <v>5</v>
      </c>
      <c r="AV586" t="s">
        <v>88</v>
      </c>
      <c r="BA586">
        <v>7.3</v>
      </c>
    </row>
    <row r="587" spans="1:53" hidden="1" x14ac:dyDescent="0.3">
      <c r="A587" t="s">
        <v>1119</v>
      </c>
      <c r="C587" t="s">
        <v>1052</v>
      </c>
      <c r="H587">
        <v>4</v>
      </c>
      <c r="I587" t="s">
        <v>56</v>
      </c>
      <c r="J587">
        <v>4.0000000000000002E-4</v>
      </c>
      <c r="K587" t="s">
        <v>57</v>
      </c>
      <c r="O587">
        <v>0</v>
      </c>
      <c r="T587">
        <v>60</v>
      </c>
      <c r="V587">
        <v>60</v>
      </c>
      <c r="W587" t="s">
        <v>1100</v>
      </c>
      <c r="X587" t="s">
        <v>280</v>
      </c>
      <c r="Y587">
        <v>10080</v>
      </c>
      <c r="AB587">
        <v>6.9</v>
      </c>
      <c r="AC587" t="s">
        <v>210</v>
      </c>
      <c r="AD587" t="s">
        <v>321</v>
      </c>
      <c r="AE587" t="s">
        <v>63</v>
      </c>
      <c r="AH587">
        <v>7.3</v>
      </c>
      <c r="AI587">
        <v>5</v>
      </c>
      <c r="AV587" t="s">
        <v>88</v>
      </c>
      <c r="BA587">
        <v>7.3</v>
      </c>
    </row>
    <row r="588" spans="1:53" hidden="1" x14ac:dyDescent="0.3">
      <c r="A588" t="s">
        <v>1119</v>
      </c>
      <c r="C588" t="s">
        <v>1052</v>
      </c>
      <c r="H588">
        <v>4</v>
      </c>
      <c r="I588" t="s">
        <v>56</v>
      </c>
      <c r="J588">
        <v>4.0000000000000002E-4</v>
      </c>
      <c r="K588" t="s">
        <v>57</v>
      </c>
      <c r="O588">
        <v>0</v>
      </c>
      <c r="T588">
        <v>68</v>
      </c>
      <c r="V588">
        <v>75</v>
      </c>
      <c r="W588" t="s">
        <v>1120</v>
      </c>
      <c r="X588" t="s">
        <v>280</v>
      </c>
      <c r="Y588">
        <v>5760</v>
      </c>
      <c r="AB588">
        <v>6.9</v>
      </c>
      <c r="AC588" t="s">
        <v>210</v>
      </c>
      <c r="AD588" t="s">
        <v>335</v>
      </c>
      <c r="AE588" t="s">
        <v>63</v>
      </c>
      <c r="AH588">
        <v>7.7</v>
      </c>
      <c r="AI588">
        <v>5</v>
      </c>
      <c r="AV588" t="s">
        <v>88</v>
      </c>
      <c r="BA588">
        <v>7.7</v>
      </c>
    </row>
    <row r="589" spans="1:53" hidden="1" x14ac:dyDescent="0.3">
      <c r="A589" t="s">
        <v>1119</v>
      </c>
      <c r="C589" t="s">
        <v>1052</v>
      </c>
      <c r="H589">
        <v>4</v>
      </c>
      <c r="I589" t="s">
        <v>56</v>
      </c>
      <c r="J589">
        <v>4.0000000000000002E-4</v>
      </c>
      <c r="K589" t="s">
        <v>57</v>
      </c>
      <c r="O589">
        <v>0</v>
      </c>
      <c r="T589">
        <v>60</v>
      </c>
      <c r="V589">
        <v>75</v>
      </c>
      <c r="W589" t="s">
        <v>1120</v>
      </c>
      <c r="X589" t="s">
        <v>280</v>
      </c>
      <c r="Y589">
        <v>5760</v>
      </c>
      <c r="AB589">
        <v>6.9</v>
      </c>
      <c r="AC589" t="s">
        <v>210</v>
      </c>
      <c r="AD589" t="s">
        <v>326</v>
      </c>
      <c r="AE589" t="s">
        <v>63</v>
      </c>
      <c r="AH589">
        <v>7.2</v>
      </c>
      <c r="AI589">
        <v>5</v>
      </c>
      <c r="AV589" t="s">
        <v>88</v>
      </c>
      <c r="BA589">
        <v>7.2</v>
      </c>
    </row>
    <row r="590" spans="1:53" hidden="1" x14ac:dyDescent="0.3">
      <c r="A590" t="s">
        <v>1119</v>
      </c>
      <c r="C590" t="s">
        <v>1052</v>
      </c>
      <c r="H590">
        <v>4</v>
      </c>
      <c r="I590" t="s">
        <v>56</v>
      </c>
      <c r="J590">
        <v>4.0000000000000002E-4</v>
      </c>
      <c r="K590" t="s">
        <v>57</v>
      </c>
      <c r="O590">
        <v>0</v>
      </c>
      <c r="T590">
        <v>60</v>
      </c>
      <c r="V590">
        <v>60</v>
      </c>
      <c r="W590" t="s">
        <v>1129</v>
      </c>
      <c r="X590" t="s">
        <v>280</v>
      </c>
      <c r="Y590">
        <v>1440</v>
      </c>
      <c r="AB590">
        <v>6.7</v>
      </c>
      <c r="AC590" t="s">
        <v>210</v>
      </c>
      <c r="AD590" t="s">
        <v>98</v>
      </c>
      <c r="AE590" t="s">
        <v>63</v>
      </c>
      <c r="AH590">
        <v>7.3</v>
      </c>
      <c r="AI590">
        <v>5</v>
      </c>
      <c r="AV590" t="s">
        <v>88</v>
      </c>
      <c r="BA590">
        <v>7.3</v>
      </c>
    </row>
    <row r="591" spans="1:53" hidden="1" x14ac:dyDescent="0.3">
      <c r="A591" t="s">
        <v>1119</v>
      </c>
      <c r="C591" t="s">
        <v>1052</v>
      </c>
      <c r="H591">
        <v>4</v>
      </c>
      <c r="I591" t="s">
        <v>56</v>
      </c>
      <c r="J591">
        <v>4.0000000000000002E-4</v>
      </c>
      <c r="K591" t="s">
        <v>57</v>
      </c>
      <c r="O591">
        <v>0</v>
      </c>
      <c r="T591">
        <v>68</v>
      </c>
      <c r="V591">
        <v>75</v>
      </c>
      <c r="W591" t="s">
        <v>1100</v>
      </c>
      <c r="X591" t="s">
        <v>280</v>
      </c>
      <c r="Y591">
        <v>10080</v>
      </c>
      <c r="AB591">
        <v>6.6</v>
      </c>
      <c r="AC591" t="s">
        <v>210</v>
      </c>
      <c r="AD591" t="s">
        <v>321</v>
      </c>
      <c r="AE591" t="s">
        <v>63</v>
      </c>
      <c r="AH591">
        <v>7.2</v>
      </c>
      <c r="AI591">
        <v>5</v>
      </c>
      <c r="AV591" t="s">
        <v>88</v>
      </c>
      <c r="BA591">
        <v>7.2</v>
      </c>
    </row>
    <row r="592" spans="1:53" hidden="1" x14ac:dyDescent="0.3">
      <c r="A592" t="s">
        <v>1119</v>
      </c>
      <c r="C592" t="s">
        <v>1052</v>
      </c>
      <c r="H592">
        <v>4</v>
      </c>
      <c r="I592" t="s">
        <v>56</v>
      </c>
      <c r="J592">
        <v>4.0000000000000002E-4</v>
      </c>
      <c r="K592" t="s">
        <v>57</v>
      </c>
      <c r="O592">
        <v>0</v>
      </c>
      <c r="T592">
        <v>60</v>
      </c>
      <c r="V592">
        <v>60</v>
      </c>
      <c r="W592" t="s">
        <v>1124</v>
      </c>
      <c r="X592" t="s">
        <v>280</v>
      </c>
      <c r="Y592">
        <v>10080</v>
      </c>
      <c r="AB592">
        <v>6.6</v>
      </c>
      <c r="AC592" t="s">
        <v>210</v>
      </c>
      <c r="AD592" t="s">
        <v>335</v>
      </c>
      <c r="AE592" t="s">
        <v>63</v>
      </c>
      <c r="AH592">
        <v>7.7</v>
      </c>
      <c r="AI592">
        <v>5</v>
      </c>
      <c r="AV592" t="s">
        <v>88</v>
      </c>
      <c r="BA592">
        <v>7.7</v>
      </c>
    </row>
    <row r="593" spans="1:53" hidden="1" x14ac:dyDescent="0.3">
      <c r="A593" t="s">
        <v>1119</v>
      </c>
      <c r="C593" t="s">
        <v>1052</v>
      </c>
      <c r="H593">
        <v>4</v>
      </c>
      <c r="I593" t="s">
        <v>56</v>
      </c>
      <c r="J593">
        <v>4.0000000000000002E-4</v>
      </c>
      <c r="K593" t="s">
        <v>57</v>
      </c>
      <c r="O593">
        <v>0</v>
      </c>
      <c r="T593">
        <v>60</v>
      </c>
      <c r="V593">
        <v>90</v>
      </c>
      <c r="W593" t="s">
        <v>1122</v>
      </c>
      <c r="X593" t="s">
        <v>280</v>
      </c>
      <c r="Y593">
        <v>1440</v>
      </c>
      <c r="AB593">
        <v>6.5</v>
      </c>
      <c r="AC593" t="s">
        <v>210</v>
      </c>
      <c r="AD593" t="s">
        <v>328</v>
      </c>
      <c r="AE593" t="s">
        <v>63</v>
      </c>
      <c r="AH593">
        <v>7.3</v>
      </c>
      <c r="AI593">
        <v>5</v>
      </c>
      <c r="AV593" t="s">
        <v>88</v>
      </c>
      <c r="BA593">
        <v>7.3</v>
      </c>
    </row>
    <row r="594" spans="1:53" hidden="1" x14ac:dyDescent="0.3">
      <c r="A594" t="s">
        <v>1119</v>
      </c>
      <c r="C594" t="s">
        <v>1052</v>
      </c>
      <c r="H594">
        <v>4</v>
      </c>
      <c r="I594" t="s">
        <v>56</v>
      </c>
      <c r="J594">
        <v>4.0000000000000002E-4</v>
      </c>
      <c r="K594" t="s">
        <v>57</v>
      </c>
      <c r="O594">
        <v>0</v>
      </c>
      <c r="T594">
        <v>68</v>
      </c>
      <c r="V594">
        <v>75</v>
      </c>
      <c r="W594" t="s">
        <v>1120</v>
      </c>
      <c r="X594" t="s">
        <v>280</v>
      </c>
      <c r="Y594">
        <v>1440</v>
      </c>
      <c r="AB594">
        <v>6.5</v>
      </c>
      <c r="AC594" t="s">
        <v>210</v>
      </c>
      <c r="AD594" t="s">
        <v>322</v>
      </c>
      <c r="AE594" t="s">
        <v>63</v>
      </c>
      <c r="AH594">
        <v>7.2</v>
      </c>
      <c r="AI594">
        <v>5</v>
      </c>
      <c r="AV594" t="s">
        <v>88</v>
      </c>
      <c r="BA594">
        <v>7.2</v>
      </c>
    </row>
    <row r="595" spans="1:53" hidden="1" x14ac:dyDescent="0.3">
      <c r="A595" t="s">
        <v>1119</v>
      </c>
      <c r="C595" t="s">
        <v>1052</v>
      </c>
      <c r="H595">
        <v>4</v>
      </c>
      <c r="I595" t="s">
        <v>56</v>
      </c>
      <c r="J595">
        <v>4.0000000000000002E-4</v>
      </c>
      <c r="K595" t="s">
        <v>57</v>
      </c>
      <c r="O595">
        <v>0</v>
      </c>
      <c r="T595">
        <v>77</v>
      </c>
      <c r="V595">
        <v>60</v>
      </c>
      <c r="W595" t="s">
        <v>1120</v>
      </c>
      <c r="X595" t="s">
        <v>280</v>
      </c>
      <c r="Y595">
        <v>1440</v>
      </c>
      <c r="AB595">
        <v>6.5</v>
      </c>
      <c r="AC595" t="s">
        <v>210</v>
      </c>
      <c r="AD595" t="s">
        <v>336</v>
      </c>
      <c r="AE595" t="s">
        <v>63</v>
      </c>
      <c r="AH595">
        <v>7.7</v>
      </c>
      <c r="AI595">
        <v>5</v>
      </c>
      <c r="AV595" t="s">
        <v>88</v>
      </c>
      <c r="BA595">
        <v>7.7</v>
      </c>
    </row>
    <row r="596" spans="1:53" hidden="1" x14ac:dyDescent="0.3">
      <c r="A596" t="s">
        <v>1119</v>
      </c>
      <c r="C596" t="s">
        <v>1052</v>
      </c>
      <c r="H596">
        <v>4</v>
      </c>
      <c r="I596" t="s">
        <v>56</v>
      </c>
      <c r="J596">
        <v>4.0000000000000002E-4</v>
      </c>
      <c r="K596" t="s">
        <v>57</v>
      </c>
      <c r="O596">
        <v>0</v>
      </c>
      <c r="T596">
        <v>60</v>
      </c>
      <c r="V596">
        <v>75</v>
      </c>
      <c r="W596" t="s">
        <v>1100</v>
      </c>
      <c r="X596" t="s">
        <v>280</v>
      </c>
      <c r="Y596">
        <v>5760</v>
      </c>
      <c r="AB596">
        <v>6.4</v>
      </c>
      <c r="AC596" t="s">
        <v>210</v>
      </c>
      <c r="AD596" t="s">
        <v>314</v>
      </c>
      <c r="AE596" t="s">
        <v>63</v>
      </c>
      <c r="AH596">
        <v>7.2</v>
      </c>
      <c r="AI596">
        <v>5</v>
      </c>
      <c r="AV596" t="s">
        <v>88</v>
      </c>
      <c r="BA596">
        <v>7.2</v>
      </c>
    </row>
    <row r="597" spans="1:53" hidden="1" x14ac:dyDescent="0.3">
      <c r="A597" t="s">
        <v>1119</v>
      </c>
      <c r="C597" t="s">
        <v>1052</v>
      </c>
      <c r="H597">
        <v>4</v>
      </c>
      <c r="I597" t="s">
        <v>56</v>
      </c>
      <c r="J597">
        <v>4.0000000000000002E-4</v>
      </c>
      <c r="K597" t="s">
        <v>57</v>
      </c>
      <c r="O597">
        <v>0</v>
      </c>
      <c r="T597">
        <v>60</v>
      </c>
      <c r="V597">
        <v>60</v>
      </c>
      <c r="W597" t="s">
        <v>1120</v>
      </c>
      <c r="X597" t="s">
        <v>280</v>
      </c>
      <c r="Y597">
        <v>10080</v>
      </c>
      <c r="AB597">
        <v>6.4</v>
      </c>
      <c r="AC597" t="s">
        <v>210</v>
      </c>
      <c r="AD597" t="s">
        <v>106</v>
      </c>
      <c r="AE597" t="s">
        <v>63</v>
      </c>
      <c r="AH597">
        <v>7.3</v>
      </c>
      <c r="AI597">
        <v>5</v>
      </c>
      <c r="AV597" t="s">
        <v>88</v>
      </c>
      <c r="BA597">
        <v>7.3</v>
      </c>
    </row>
    <row r="598" spans="1:53" hidden="1" x14ac:dyDescent="0.3">
      <c r="A598" t="s">
        <v>1119</v>
      </c>
      <c r="C598" t="s">
        <v>1052</v>
      </c>
      <c r="H598">
        <v>4</v>
      </c>
      <c r="I598" t="s">
        <v>56</v>
      </c>
      <c r="J598">
        <v>4.0000000000000002E-4</v>
      </c>
      <c r="K598" t="s">
        <v>57</v>
      </c>
      <c r="O598">
        <v>0</v>
      </c>
      <c r="T598">
        <v>77</v>
      </c>
      <c r="V598">
        <v>60</v>
      </c>
      <c r="W598" t="s">
        <v>1100</v>
      </c>
      <c r="X598" t="s">
        <v>280</v>
      </c>
      <c r="Y598">
        <v>10080</v>
      </c>
      <c r="AB598">
        <v>6.3</v>
      </c>
      <c r="AC598" t="s">
        <v>210</v>
      </c>
      <c r="AD598" t="s">
        <v>98</v>
      </c>
      <c r="AE598" t="s">
        <v>63</v>
      </c>
      <c r="AH598">
        <v>7.3</v>
      </c>
      <c r="AI598">
        <v>5</v>
      </c>
      <c r="AV598" t="s">
        <v>88</v>
      </c>
      <c r="BA598">
        <v>7.3</v>
      </c>
    </row>
    <row r="599" spans="1:53" hidden="1" x14ac:dyDescent="0.3">
      <c r="A599" t="s">
        <v>1119</v>
      </c>
      <c r="C599" t="s">
        <v>1052</v>
      </c>
      <c r="H599">
        <v>4</v>
      </c>
      <c r="I599" t="s">
        <v>56</v>
      </c>
      <c r="J599">
        <v>4.0000000000000002E-4</v>
      </c>
      <c r="K599" t="s">
        <v>57</v>
      </c>
      <c r="O599">
        <v>0</v>
      </c>
      <c r="T599">
        <v>68</v>
      </c>
      <c r="V599">
        <v>75</v>
      </c>
      <c r="W599" t="s">
        <v>1100</v>
      </c>
      <c r="X599" t="s">
        <v>280</v>
      </c>
      <c r="Y599">
        <v>10080</v>
      </c>
      <c r="AB599">
        <v>6.3</v>
      </c>
      <c r="AC599" t="s">
        <v>210</v>
      </c>
      <c r="AD599" t="s">
        <v>98</v>
      </c>
      <c r="AE599" t="s">
        <v>63</v>
      </c>
      <c r="AH599">
        <v>7.2</v>
      </c>
      <c r="AI599">
        <v>5</v>
      </c>
      <c r="AV599" t="s">
        <v>88</v>
      </c>
      <c r="BA599">
        <v>7.2</v>
      </c>
    </row>
    <row r="600" spans="1:53" hidden="1" x14ac:dyDescent="0.3">
      <c r="A600" t="s">
        <v>1119</v>
      </c>
      <c r="C600" t="s">
        <v>1052</v>
      </c>
      <c r="H600">
        <v>4</v>
      </c>
      <c r="I600" t="s">
        <v>56</v>
      </c>
      <c r="J600">
        <v>4.0000000000000002E-4</v>
      </c>
      <c r="K600" t="s">
        <v>57</v>
      </c>
      <c r="O600">
        <v>0</v>
      </c>
      <c r="T600">
        <v>68</v>
      </c>
      <c r="V600">
        <v>75</v>
      </c>
      <c r="W600" t="s">
        <v>1120</v>
      </c>
      <c r="X600" t="s">
        <v>280</v>
      </c>
      <c r="Y600">
        <v>1440</v>
      </c>
      <c r="AB600">
        <v>6.2</v>
      </c>
      <c r="AC600" t="s">
        <v>210</v>
      </c>
      <c r="AD600" t="s">
        <v>485</v>
      </c>
      <c r="AE600" t="s">
        <v>63</v>
      </c>
      <c r="AH600">
        <v>7.2</v>
      </c>
      <c r="AI600">
        <v>5</v>
      </c>
      <c r="AV600" t="s">
        <v>88</v>
      </c>
      <c r="BA600">
        <v>7.2</v>
      </c>
    </row>
    <row r="601" spans="1:53" hidden="1" x14ac:dyDescent="0.3">
      <c r="A601" t="s">
        <v>1119</v>
      </c>
      <c r="C601" t="s">
        <v>1052</v>
      </c>
      <c r="H601">
        <v>4</v>
      </c>
      <c r="I601" t="s">
        <v>56</v>
      </c>
      <c r="J601">
        <v>4.0000000000000002E-4</v>
      </c>
      <c r="K601" t="s">
        <v>57</v>
      </c>
      <c r="O601">
        <v>0</v>
      </c>
      <c r="T601">
        <v>77</v>
      </c>
      <c r="V601">
        <v>60</v>
      </c>
      <c r="W601" t="s">
        <v>1122</v>
      </c>
      <c r="X601" t="s">
        <v>280</v>
      </c>
      <c r="Y601">
        <v>1440</v>
      </c>
      <c r="AB601">
        <v>6.2</v>
      </c>
      <c r="AC601" t="s">
        <v>210</v>
      </c>
      <c r="AD601" t="s">
        <v>338</v>
      </c>
      <c r="AE601" t="s">
        <v>63</v>
      </c>
      <c r="AH601">
        <v>7.7</v>
      </c>
      <c r="AI601">
        <v>5</v>
      </c>
      <c r="AV601" t="s">
        <v>88</v>
      </c>
      <c r="BA601">
        <v>7.7</v>
      </c>
    </row>
    <row r="602" spans="1:53" hidden="1" x14ac:dyDescent="0.3">
      <c r="A602" t="s">
        <v>1119</v>
      </c>
      <c r="C602" t="s">
        <v>1052</v>
      </c>
      <c r="H602">
        <v>4</v>
      </c>
      <c r="I602" t="s">
        <v>56</v>
      </c>
      <c r="J602">
        <v>4.0000000000000002E-4</v>
      </c>
      <c r="K602" t="s">
        <v>57</v>
      </c>
      <c r="O602">
        <v>0</v>
      </c>
      <c r="T602">
        <v>77</v>
      </c>
      <c r="V602">
        <v>60</v>
      </c>
      <c r="W602" t="s">
        <v>1124</v>
      </c>
      <c r="X602" t="s">
        <v>280</v>
      </c>
      <c r="Y602">
        <v>1440</v>
      </c>
      <c r="AB602">
        <v>6.2</v>
      </c>
      <c r="AC602" t="s">
        <v>210</v>
      </c>
      <c r="AD602" t="s">
        <v>327</v>
      </c>
      <c r="AE602" t="s">
        <v>63</v>
      </c>
      <c r="AH602">
        <v>7.7</v>
      </c>
      <c r="AI602">
        <v>5</v>
      </c>
      <c r="AV602" t="s">
        <v>88</v>
      </c>
      <c r="BA602">
        <v>7.7</v>
      </c>
    </row>
    <row r="603" spans="1:53" hidden="1" x14ac:dyDescent="0.3">
      <c r="A603" t="s">
        <v>1119</v>
      </c>
      <c r="C603" t="s">
        <v>1052</v>
      </c>
      <c r="H603">
        <v>4</v>
      </c>
      <c r="I603" t="s">
        <v>56</v>
      </c>
      <c r="J603">
        <v>4.0000000000000002E-4</v>
      </c>
      <c r="K603" t="s">
        <v>57</v>
      </c>
      <c r="O603">
        <v>0</v>
      </c>
      <c r="T603">
        <v>77</v>
      </c>
      <c r="V603">
        <v>60</v>
      </c>
      <c r="W603" t="s">
        <v>1122</v>
      </c>
      <c r="X603" t="s">
        <v>280</v>
      </c>
      <c r="Y603">
        <v>1440</v>
      </c>
      <c r="AB603">
        <v>6</v>
      </c>
      <c r="AC603" t="s">
        <v>210</v>
      </c>
      <c r="AD603" t="s">
        <v>335</v>
      </c>
      <c r="AE603" t="s">
        <v>63</v>
      </c>
      <c r="AH603">
        <v>7.3</v>
      </c>
      <c r="AI603">
        <v>5</v>
      </c>
      <c r="AV603" t="s">
        <v>88</v>
      </c>
      <c r="BA603">
        <v>7.3</v>
      </c>
    </row>
    <row r="604" spans="1:53" hidden="1" x14ac:dyDescent="0.3">
      <c r="A604" t="s">
        <v>1119</v>
      </c>
      <c r="C604" t="s">
        <v>1052</v>
      </c>
      <c r="H604">
        <v>4</v>
      </c>
      <c r="I604" t="s">
        <v>56</v>
      </c>
      <c r="J604">
        <v>4.0000000000000002E-4</v>
      </c>
      <c r="K604" t="s">
        <v>57</v>
      </c>
      <c r="O604">
        <v>0</v>
      </c>
      <c r="T604">
        <v>77</v>
      </c>
      <c r="V604">
        <v>60</v>
      </c>
      <c r="W604" t="s">
        <v>1120</v>
      </c>
      <c r="X604" t="s">
        <v>280</v>
      </c>
      <c r="Y604">
        <v>1440</v>
      </c>
      <c r="AB604">
        <v>6</v>
      </c>
      <c r="AC604" t="s">
        <v>210</v>
      </c>
      <c r="AD604" t="s">
        <v>1132</v>
      </c>
      <c r="AE604" t="s">
        <v>63</v>
      </c>
      <c r="AH604">
        <v>7.3</v>
      </c>
      <c r="AI604">
        <v>5</v>
      </c>
      <c r="AV604" t="s">
        <v>88</v>
      </c>
      <c r="BA604">
        <v>7.3</v>
      </c>
    </row>
    <row r="605" spans="1:53" hidden="1" x14ac:dyDescent="0.3">
      <c r="A605" t="s">
        <v>1119</v>
      </c>
      <c r="C605" t="s">
        <v>1052</v>
      </c>
      <c r="H605">
        <v>4</v>
      </c>
      <c r="I605" t="s">
        <v>56</v>
      </c>
      <c r="J605">
        <v>4.0000000000000002E-4</v>
      </c>
      <c r="K605" t="s">
        <v>57</v>
      </c>
      <c r="O605">
        <v>0</v>
      </c>
      <c r="T605">
        <v>68</v>
      </c>
      <c r="V605">
        <v>75</v>
      </c>
      <c r="W605" t="s">
        <v>1120</v>
      </c>
      <c r="X605" t="s">
        <v>280</v>
      </c>
      <c r="Y605">
        <v>5760</v>
      </c>
      <c r="AB605">
        <v>5.9</v>
      </c>
      <c r="AC605" t="s">
        <v>210</v>
      </c>
      <c r="AD605" t="s">
        <v>492</v>
      </c>
      <c r="AE605" t="s">
        <v>63</v>
      </c>
      <c r="AH605">
        <v>7.3</v>
      </c>
      <c r="AI605">
        <v>5</v>
      </c>
      <c r="AV605" t="s">
        <v>88</v>
      </c>
      <c r="BA605">
        <v>7.3</v>
      </c>
    </row>
    <row r="606" spans="1:53" hidden="1" x14ac:dyDescent="0.3">
      <c r="A606" t="s">
        <v>1119</v>
      </c>
      <c r="C606" t="s">
        <v>1052</v>
      </c>
      <c r="H606">
        <v>4</v>
      </c>
      <c r="I606" t="s">
        <v>56</v>
      </c>
      <c r="J606">
        <v>4.0000000000000002E-4</v>
      </c>
      <c r="K606" t="s">
        <v>57</v>
      </c>
      <c r="O606">
        <v>0</v>
      </c>
      <c r="T606">
        <v>68</v>
      </c>
      <c r="V606">
        <v>60</v>
      </c>
      <c r="W606" t="s">
        <v>1120</v>
      </c>
      <c r="X606" t="s">
        <v>280</v>
      </c>
      <c r="Y606">
        <v>5760</v>
      </c>
      <c r="AB606">
        <v>5.8</v>
      </c>
      <c r="AC606" t="s">
        <v>210</v>
      </c>
      <c r="AD606" t="s">
        <v>1133</v>
      </c>
      <c r="AE606" t="s">
        <v>63</v>
      </c>
      <c r="AH606">
        <v>7.2</v>
      </c>
      <c r="AI606">
        <v>5</v>
      </c>
      <c r="AV606" t="s">
        <v>88</v>
      </c>
      <c r="BA606">
        <v>7.2</v>
      </c>
    </row>
    <row r="607" spans="1:53" hidden="1" x14ac:dyDescent="0.3">
      <c r="A607" t="s">
        <v>1119</v>
      </c>
      <c r="C607" t="s">
        <v>1052</v>
      </c>
      <c r="H607">
        <v>4</v>
      </c>
      <c r="I607" t="s">
        <v>56</v>
      </c>
      <c r="J607">
        <v>4.0000000000000002E-4</v>
      </c>
      <c r="K607" t="s">
        <v>57</v>
      </c>
      <c r="O607">
        <v>0</v>
      </c>
      <c r="T607">
        <v>77</v>
      </c>
      <c r="V607">
        <v>60</v>
      </c>
      <c r="W607" t="s">
        <v>1120</v>
      </c>
      <c r="X607" t="s">
        <v>280</v>
      </c>
      <c r="Y607">
        <v>10080</v>
      </c>
      <c r="AB607">
        <v>5.8</v>
      </c>
      <c r="AC607" t="s">
        <v>210</v>
      </c>
      <c r="AD607" t="s">
        <v>1126</v>
      </c>
      <c r="AE607" t="s">
        <v>63</v>
      </c>
      <c r="AH607">
        <v>7.7</v>
      </c>
      <c r="AI607">
        <v>5</v>
      </c>
      <c r="AV607" t="s">
        <v>88</v>
      </c>
      <c r="BA607">
        <v>7.7</v>
      </c>
    </row>
    <row r="608" spans="1:53" hidden="1" x14ac:dyDescent="0.3">
      <c r="A608" t="s">
        <v>1119</v>
      </c>
      <c r="C608" t="s">
        <v>1052</v>
      </c>
      <c r="H608">
        <v>4</v>
      </c>
      <c r="I608" t="s">
        <v>56</v>
      </c>
      <c r="J608">
        <v>4.0000000000000002E-4</v>
      </c>
      <c r="K608" t="s">
        <v>57</v>
      </c>
      <c r="O608">
        <v>0</v>
      </c>
      <c r="T608">
        <v>60</v>
      </c>
      <c r="V608">
        <v>90</v>
      </c>
      <c r="W608" t="s">
        <v>1123</v>
      </c>
      <c r="X608" t="s">
        <v>280</v>
      </c>
      <c r="Y608">
        <v>1440</v>
      </c>
      <c r="AB608">
        <v>5.7</v>
      </c>
      <c r="AC608" t="s">
        <v>210</v>
      </c>
      <c r="AD608" t="s">
        <v>410</v>
      </c>
      <c r="AE608" t="s">
        <v>63</v>
      </c>
      <c r="AH608">
        <v>7.3</v>
      </c>
      <c r="AI608">
        <v>5</v>
      </c>
      <c r="AV608" t="s">
        <v>88</v>
      </c>
      <c r="BA608">
        <v>7.3</v>
      </c>
    </row>
    <row r="609" spans="1:53" hidden="1" x14ac:dyDescent="0.3">
      <c r="A609" t="s">
        <v>1119</v>
      </c>
      <c r="C609" t="s">
        <v>1052</v>
      </c>
      <c r="H609">
        <v>4</v>
      </c>
      <c r="I609" t="s">
        <v>56</v>
      </c>
      <c r="J609">
        <v>4.0000000000000002E-4</v>
      </c>
      <c r="K609" t="s">
        <v>57</v>
      </c>
      <c r="O609">
        <v>0</v>
      </c>
      <c r="T609">
        <v>77</v>
      </c>
      <c r="V609">
        <v>60</v>
      </c>
      <c r="W609" t="s">
        <v>1123</v>
      </c>
      <c r="X609" t="s">
        <v>280</v>
      </c>
      <c r="Y609">
        <v>1440</v>
      </c>
      <c r="AB609">
        <v>5.7</v>
      </c>
      <c r="AC609" t="s">
        <v>210</v>
      </c>
      <c r="AD609" t="s">
        <v>1126</v>
      </c>
      <c r="AE609" t="s">
        <v>63</v>
      </c>
      <c r="AH609">
        <v>7.3</v>
      </c>
      <c r="AI609">
        <v>5</v>
      </c>
      <c r="AV609" t="s">
        <v>88</v>
      </c>
      <c r="BA609">
        <v>7.3</v>
      </c>
    </row>
    <row r="610" spans="1:53" hidden="1" x14ac:dyDescent="0.3">
      <c r="A610" t="s">
        <v>1119</v>
      </c>
      <c r="C610" t="s">
        <v>1052</v>
      </c>
      <c r="H610">
        <v>4</v>
      </c>
      <c r="I610" t="s">
        <v>56</v>
      </c>
      <c r="J610">
        <v>4.0000000000000002E-4</v>
      </c>
      <c r="K610" t="s">
        <v>57</v>
      </c>
      <c r="O610">
        <v>0</v>
      </c>
      <c r="T610">
        <v>77</v>
      </c>
      <c r="V610">
        <v>60</v>
      </c>
      <c r="W610" t="s">
        <v>1129</v>
      </c>
      <c r="X610" t="s">
        <v>280</v>
      </c>
      <c r="Y610">
        <v>1440</v>
      </c>
      <c r="AB610">
        <v>5.6</v>
      </c>
      <c r="AC610" t="s">
        <v>210</v>
      </c>
      <c r="AD610" t="s">
        <v>936</v>
      </c>
      <c r="AE610" t="s">
        <v>63</v>
      </c>
      <c r="AH610">
        <v>7.3</v>
      </c>
      <c r="AI610">
        <v>5</v>
      </c>
      <c r="AV610" t="s">
        <v>88</v>
      </c>
      <c r="BA610">
        <v>7.3</v>
      </c>
    </row>
    <row r="611" spans="1:53" hidden="1" x14ac:dyDescent="0.3">
      <c r="A611" t="s">
        <v>1119</v>
      </c>
      <c r="C611" t="s">
        <v>1052</v>
      </c>
      <c r="H611">
        <v>4</v>
      </c>
      <c r="I611" t="s">
        <v>56</v>
      </c>
      <c r="J611">
        <v>4.0000000000000002E-4</v>
      </c>
      <c r="K611" t="s">
        <v>57</v>
      </c>
      <c r="O611">
        <v>0</v>
      </c>
      <c r="T611">
        <v>77</v>
      </c>
      <c r="V611">
        <v>60</v>
      </c>
      <c r="W611" t="s">
        <v>1124</v>
      </c>
      <c r="X611" t="s">
        <v>280</v>
      </c>
      <c r="Y611">
        <v>1440</v>
      </c>
      <c r="AB611">
        <v>5.6</v>
      </c>
      <c r="AC611" t="s">
        <v>210</v>
      </c>
      <c r="AD611" t="s">
        <v>333</v>
      </c>
      <c r="AE611" t="s">
        <v>63</v>
      </c>
      <c r="AH611">
        <v>7.3</v>
      </c>
      <c r="AI611">
        <v>5</v>
      </c>
      <c r="AV611" t="s">
        <v>88</v>
      </c>
      <c r="BA611">
        <v>7.3</v>
      </c>
    </row>
    <row r="612" spans="1:53" hidden="1" x14ac:dyDescent="0.3">
      <c r="A612" t="s">
        <v>1119</v>
      </c>
      <c r="C612" t="s">
        <v>1052</v>
      </c>
      <c r="H612">
        <v>4</v>
      </c>
      <c r="I612" t="s">
        <v>56</v>
      </c>
      <c r="J612">
        <v>4.0000000000000002E-4</v>
      </c>
      <c r="K612" t="s">
        <v>57</v>
      </c>
      <c r="O612">
        <v>0</v>
      </c>
      <c r="T612">
        <v>77</v>
      </c>
      <c r="V612">
        <v>60</v>
      </c>
      <c r="W612" t="s">
        <v>1096</v>
      </c>
      <c r="X612" t="s">
        <v>280</v>
      </c>
      <c r="Y612">
        <v>1440</v>
      </c>
      <c r="AB612">
        <v>5.6</v>
      </c>
      <c r="AC612" t="s">
        <v>210</v>
      </c>
      <c r="AD612" t="s">
        <v>1132</v>
      </c>
      <c r="AE612" t="s">
        <v>63</v>
      </c>
      <c r="AH612">
        <v>7.7</v>
      </c>
      <c r="AI612">
        <v>5</v>
      </c>
      <c r="AV612" t="s">
        <v>88</v>
      </c>
      <c r="BA612">
        <v>7.7</v>
      </c>
    </row>
    <row r="613" spans="1:53" hidden="1" x14ac:dyDescent="0.3">
      <c r="A613" t="s">
        <v>1119</v>
      </c>
      <c r="C613" t="s">
        <v>1052</v>
      </c>
      <c r="H613">
        <v>4</v>
      </c>
      <c r="I613" t="s">
        <v>56</v>
      </c>
      <c r="J613">
        <v>4.0000000000000002E-4</v>
      </c>
      <c r="K613" t="s">
        <v>57</v>
      </c>
      <c r="O613">
        <v>0</v>
      </c>
      <c r="T613">
        <v>60</v>
      </c>
      <c r="V613">
        <v>60</v>
      </c>
      <c r="W613" t="s">
        <v>1129</v>
      </c>
      <c r="X613" t="s">
        <v>280</v>
      </c>
      <c r="Y613">
        <v>10080</v>
      </c>
      <c r="AB613">
        <v>5.5</v>
      </c>
      <c r="AC613" t="s">
        <v>210</v>
      </c>
      <c r="AD613" t="s">
        <v>340</v>
      </c>
      <c r="AE613" t="s">
        <v>63</v>
      </c>
      <c r="AH613">
        <v>7.3</v>
      </c>
      <c r="AI613">
        <v>5</v>
      </c>
      <c r="AV613" t="s">
        <v>88</v>
      </c>
      <c r="BA613">
        <v>7.3</v>
      </c>
    </row>
    <row r="614" spans="1:53" hidden="1" x14ac:dyDescent="0.3">
      <c r="A614" t="s">
        <v>1119</v>
      </c>
      <c r="C614" t="s">
        <v>1052</v>
      </c>
      <c r="H614">
        <v>4</v>
      </c>
      <c r="I614" t="s">
        <v>56</v>
      </c>
      <c r="J614">
        <v>4.0000000000000002E-4</v>
      </c>
      <c r="K614" t="s">
        <v>57</v>
      </c>
      <c r="O614">
        <v>0</v>
      </c>
      <c r="T614">
        <v>68</v>
      </c>
      <c r="V614">
        <v>60</v>
      </c>
      <c r="W614" t="s">
        <v>1122</v>
      </c>
      <c r="X614" t="s">
        <v>280</v>
      </c>
      <c r="Y614">
        <v>5760</v>
      </c>
      <c r="AB614">
        <v>5.4</v>
      </c>
      <c r="AC614" t="s">
        <v>210</v>
      </c>
      <c r="AD614" t="s">
        <v>492</v>
      </c>
      <c r="AE614" t="s">
        <v>63</v>
      </c>
      <c r="AH614">
        <v>7.2</v>
      </c>
      <c r="AI614">
        <v>5</v>
      </c>
      <c r="AV614" t="s">
        <v>88</v>
      </c>
      <c r="BA614">
        <v>7.2</v>
      </c>
    </row>
    <row r="615" spans="1:53" hidden="1" x14ac:dyDescent="0.3">
      <c r="A615" t="s">
        <v>1119</v>
      </c>
      <c r="C615" t="s">
        <v>1052</v>
      </c>
      <c r="H615">
        <v>4</v>
      </c>
      <c r="I615" t="s">
        <v>56</v>
      </c>
      <c r="J615">
        <v>4.0000000000000002E-4</v>
      </c>
      <c r="K615" t="s">
        <v>57</v>
      </c>
      <c r="O615">
        <v>0</v>
      </c>
      <c r="T615">
        <v>60</v>
      </c>
      <c r="V615">
        <v>60</v>
      </c>
      <c r="W615" t="s">
        <v>1122</v>
      </c>
      <c r="X615" t="s">
        <v>280</v>
      </c>
      <c r="Y615">
        <v>10080</v>
      </c>
      <c r="AB615">
        <v>5.3</v>
      </c>
      <c r="AC615" t="s">
        <v>210</v>
      </c>
      <c r="AD615" t="s">
        <v>106</v>
      </c>
      <c r="AE615" t="s">
        <v>63</v>
      </c>
      <c r="AH615">
        <v>7.3</v>
      </c>
      <c r="AI615">
        <v>5</v>
      </c>
      <c r="AV615" t="s">
        <v>88</v>
      </c>
      <c r="BA615">
        <v>7.3</v>
      </c>
    </row>
    <row r="616" spans="1:53" hidden="1" x14ac:dyDescent="0.3">
      <c r="A616" t="s">
        <v>1119</v>
      </c>
      <c r="C616" t="s">
        <v>1052</v>
      </c>
      <c r="H616">
        <v>4</v>
      </c>
      <c r="I616" t="s">
        <v>56</v>
      </c>
      <c r="J616">
        <v>4.0000000000000002E-4</v>
      </c>
      <c r="K616" t="s">
        <v>57</v>
      </c>
      <c r="O616">
        <v>0</v>
      </c>
      <c r="T616">
        <v>60</v>
      </c>
      <c r="V616">
        <v>60</v>
      </c>
      <c r="W616" t="s">
        <v>1124</v>
      </c>
      <c r="X616" t="s">
        <v>280</v>
      </c>
      <c r="Y616">
        <v>10080</v>
      </c>
      <c r="AB616">
        <v>5.0999999999999899</v>
      </c>
      <c r="AC616" t="s">
        <v>210</v>
      </c>
      <c r="AD616" t="s">
        <v>324</v>
      </c>
      <c r="AE616" t="s">
        <v>63</v>
      </c>
      <c r="AH616">
        <v>7.3</v>
      </c>
      <c r="AI616">
        <v>5</v>
      </c>
      <c r="AV616" t="s">
        <v>88</v>
      </c>
      <c r="BA616">
        <v>7.3</v>
      </c>
    </row>
    <row r="617" spans="1:53" hidden="1" x14ac:dyDescent="0.3">
      <c r="A617" t="s">
        <v>1119</v>
      </c>
      <c r="C617" t="s">
        <v>1052</v>
      </c>
      <c r="H617">
        <v>4</v>
      </c>
      <c r="I617" t="s">
        <v>56</v>
      </c>
      <c r="J617">
        <v>4.0000000000000002E-4</v>
      </c>
      <c r="K617" t="s">
        <v>57</v>
      </c>
      <c r="O617">
        <v>0</v>
      </c>
      <c r="T617">
        <v>60</v>
      </c>
      <c r="V617">
        <v>90</v>
      </c>
      <c r="W617" t="s">
        <v>1129</v>
      </c>
      <c r="X617" t="s">
        <v>280</v>
      </c>
      <c r="Y617">
        <v>1440</v>
      </c>
      <c r="AB617">
        <v>5</v>
      </c>
      <c r="AC617" t="s">
        <v>210</v>
      </c>
      <c r="AD617" t="s">
        <v>130</v>
      </c>
      <c r="AE617" t="s">
        <v>63</v>
      </c>
      <c r="AH617">
        <v>7.3</v>
      </c>
      <c r="AI617">
        <v>5</v>
      </c>
      <c r="AV617" t="s">
        <v>88</v>
      </c>
      <c r="BA617">
        <v>7.3</v>
      </c>
    </row>
    <row r="618" spans="1:53" hidden="1" x14ac:dyDescent="0.3">
      <c r="A618" t="s">
        <v>1119</v>
      </c>
      <c r="C618" t="s">
        <v>1052</v>
      </c>
      <c r="H618">
        <v>4</v>
      </c>
      <c r="I618" t="s">
        <v>56</v>
      </c>
      <c r="J618">
        <v>4.0000000000000002E-4</v>
      </c>
      <c r="K618" t="s">
        <v>57</v>
      </c>
      <c r="O618">
        <v>0</v>
      </c>
      <c r="T618">
        <v>60</v>
      </c>
      <c r="V618">
        <v>75</v>
      </c>
      <c r="W618" t="s">
        <v>1120</v>
      </c>
      <c r="X618" t="s">
        <v>280</v>
      </c>
      <c r="Y618">
        <v>5760</v>
      </c>
      <c r="AB618">
        <v>5</v>
      </c>
      <c r="AC618" t="s">
        <v>210</v>
      </c>
      <c r="AD618" t="s">
        <v>330</v>
      </c>
      <c r="AE618" t="s">
        <v>63</v>
      </c>
      <c r="AH618">
        <v>7.2</v>
      </c>
      <c r="AI618">
        <v>5</v>
      </c>
      <c r="AV618" t="s">
        <v>88</v>
      </c>
      <c r="BA618">
        <v>7.2</v>
      </c>
    </row>
    <row r="619" spans="1:53" hidden="1" x14ac:dyDescent="0.3">
      <c r="A619" t="s">
        <v>1119</v>
      </c>
      <c r="C619" t="s">
        <v>1052</v>
      </c>
      <c r="H619">
        <v>4</v>
      </c>
      <c r="I619" t="s">
        <v>56</v>
      </c>
      <c r="J619">
        <v>4.0000000000000002E-4</v>
      </c>
      <c r="K619" t="s">
        <v>57</v>
      </c>
      <c r="O619">
        <v>0</v>
      </c>
      <c r="T619">
        <v>77</v>
      </c>
      <c r="V619">
        <v>60</v>
      </c>
      <c r="W619" t="s">
        <v>1129</v>
      </c>
      <c r="X619" t="s">
        <v>280</v>
      </c>
      <c r="Y619">
        <v>1440</v>
      </c>
      <c r="AB619">
        <v>5</v>
      </c>
      <c r="AC619" t="s">
        <v>210</v>
      </c>
      <c r="AD619" t="s">
        <v>341</v>
      </c>
      <c r="AE619" t="s">
        <v>63</v>
      </c>
      <c r="AH619">
        <v>7.7</v>
      </c>
      <c r="AI619">
        <v>5</v>
      </c>
      <c r="AV619" t="s">
        <v>88</v>
      </c>
      <c r="BA619">
        <v>7.7</v>
      </c>
    </row>
    <row r="620" spans="1:53" hidden="1" x14ac:dyDescent="0.3">
      <c r="A620" t="s">
        <v>1119</v>
      </c>
      <c r="C620" t="s">
        <v>1052</v>
      </c>
      <c r="H620">
        <v>4</v>
      </c>
      <c r="I620" t="s">
        <v>56</v>
      </c>
      <c r="J620">
        <v>4.0000000000000002E-4</v>
      </c>
      <c r="K620" t="s">
        <v>57</v>
      </c>
      <c r="O620">
        <v>0</v>
      </c>
      <c r="T620">
        <v>60</v>
      </c>
      <c r="V620">
        <v>75</v>
      </c>
      <c r="W620" t="s">
        <v>1124</v>
      </c>
      <c r="X620" t="s">
        <v>280</v>
      </c>
      <c r="Y620">
        <v>5760</v>
      </c>
      <c r="AB620">
        <v>4.7</v>
      </c>
      <c r="AC620" t="s">
        <v>210</v>
      </c>
      <c r="AD620" t="s">
        <v>333</v>
      </c>
      <c r="AE620" t="s">
        <v>63</v>
      </c>
      <c r="AH620">
        <v>7.2</v>
      </c>
      <c r="AI620">
        <v>5</v>
      </c>
      <c r="AV620" t="s">
        <v>88</v>
      </c>
      <c r="BA620">
        <v>7.2</v>
      </c>
    </row>
    <row r="621" spans="1:53" hidden="1" x14ac:dyDescent="0.3">
      <c r="A621" t="s">
        <v>1119</v>
      </c>
      <c r="C621" t="s">
        <v>1052</v>
      </c>
      <c r="H621">
        <v>4</v>
      </c>
      <c r="I621" t="s">
        <v>56</v>
      </c>
      <c r="J621">
        <v>4.0000000000000002E-4</v>
      </c>
      <c r="K621" t="s">
        <v>57</v>
      </c>
      <c r="O621">
        <v>0</v>
      </c>
      <c r="T621">
        <v>60</v>
      </c>
      <c r="V621">
        <v>90</v>
      </c>
      <c r="W621" t="s">
        <v>1124</v>
      </c>
      <c r="X621" t="s">
        <v>280</v>
      </c>
      <c r="Y621">
        <v>1440</v>
      </c>
      <c r="AB621">
        <v>4.5999999999999899</v>
      </c>
      <c r="AC621" t="s">
        <v>210</v>
      </c>
      <c r="AD621" t="s">
        <v>324</v>
      </c>
      <c r="AE621" t="s">
        <v>63</v>
      </c>
      <c r="AH621">
        <v>7.3</v>
      </c>
      <c r="AI621">
        <v>5</v>
      </c>
      <c r="AV621" t="s">
        <v>88</v>
      </c>
      <c r="BA621">
        <v>7.3</v>
      </c>
    </row>
    <row r="622" spans="1:53" hidden="1" x14ac:dyDescent="0.3">
      <c r="A622" t="s">
        <v>1119</v>
      </c>
      <c r="C622" t="s">
        <v>1052</v>
      </c>
      <c r="H622">
        <v>4</v>
      </c>
      <c r="I622" t="s">
        <v>56</v>
      </c>
      <c r="J622">
        <v>4.0000000000000002E-4</v>
      </c>
      <c r="K622" t="s">
        <v>57</v>
      </c>
      <c r="O622">
        <v>0</v>
      </c>
      <c r="T622">
        <v>77</v>
      </c>
      <c r="V622">
        <v>75</v>
      </c>
      <c r="W622" t="s">
        <v>1100</v>
      </c>
      <c r="X622" t="s">
        <v>280</v>
      </c>
      <c r="Y622">
        <v>5760</v>
      </c>
      <c r="AB622">
        <v>4.5999999999999899</v>
      </c>
      <c r="AC622" t="s">
        <v>210</v>
      </c>
      <c r="AD622" t="s">
        <v>321</v>
      </c>
      <c r="AE622" t="s">
        <v>63</v>
      </c>
      <c r="AH622">
        <v>7.2</v>
      </c>
      <c r="AI622">
        <v>5</v>
      </c>
      <c r="AV622" t="s">
        <v>88</v>
      </c>
      <c r="BA622">
        <v>7.2</v>
      </c>
    </row>
    <row r="623" spans="1:53" hidden="1" x14ac:dyDescent="0.3">
      <c r="A623" t="s">
        <v>1119</v>
      </c>
      <c r="C623" t="s">
        <v>1052</v>
      </c>
      <c r="H623">
        <v>4</v>
      </c>
      <c r="I623" t="s">
        <v>56</v>
      </c>
      <c r="J623">
        <v>4.0000000000000002E-4</v>
      </c>
      <c r="K623" t="s">
        <v>57</v>
      </c>
      <c r="O623">
        <v>0</v>
      </c>
      <c r="T623">
        <v>60</v>
      </c>
      <c r="V623">
        <v>90</v>
      </c>
      <c r="W623" t="s">
        <v>1120</v>
      </c>
      <c r="X623" t="s">
        <v>280</v>
      </c>
      <c r="Y623">
        <v>10080</v>
      </c>
      <c r="AB623">
        <v>4.5</v>
      </c>
      <c r="AC623" t="s">
        <v>210</v>
      </c>
      <c r="AD623" t="s">
        <v>1134</v>
      </c>
      <c r="AE623" t="s">
        <v>63</v>
      </c>
      <c r="AH623">
        <v>7.3</v>
      </c>
      <c r="AI623">
        <v>5</v>
      </c>
      <c r="AV623" t="s">
        <v>88</v>
      </c>
      <c r="BA623">
        <v>7.3</v>
      </c>
    </row>
    <row r="624" spans="1:53" hidden="1" x14ac:dyDescent="0.3">
      <c r="A624" t="s">
        <v>1119</v>
      </c>
      <c r="C624" t="s">
        <v>1052</v>
      </c>
      <c r="H624">
        <v>4</v>
      </c>
      <c r="I624" t="s">
        <v>56</v>
      </c>
      <c r="J624">
        <v>4.0000000000000002E-4</v>
      </c>
      <c r="K624" t="s">
        <v>57</v>
      </c>
      <c r="O624">
        <v>0</v>
      </c>
      <c r="T624">
        <v>60</v>
      </c>
      <c r="V624">
        <v>60</v>
      </c>
      <c r="W624" t="s">
        <v>1123</v>
      </c>
      <c r="X624" t="s">
        <v>280</v>
      </c>
      <c r="Y624">
        <v>10080</v>
      </c>
      <c r="AB624">
        <v>4.5</v>
      </c>
      <c r="AC624" t="s">
        <v>210</v>
      </c>
      <c r="AD624" t="s">
        <v>936</v>
      </c>
      <c r="AE624" t="s">
        <v>63</v>
      </c>
      <c r="AH624">
        <v>7.3</v>
      </c>
      <c r="AI624">
        <v>5</v>
      </c>
      <c r="AV624" t="s">
        <v>88</v>
      </c>
      <c r="BA624">
        <v>7.3</v>
      </c>
    </row>
    <row r="625" spans="1:53" hidden="1" x14ac:dyDescent="0.3">
      <c r="A625" t="s">
        <v>1119</v>
      </c>
      <c r="C625" t="s">
        <v>1052</v>
      </c>
      <c r="H625">
        <v>4</v>
      </c>
      <c r="I625" t="s">
        <v>56</v>
      </c>
      <c r="J625">
        <v>4.0000000000000002E-4</v>
      </c>
      <c r="K625" t="s">
        <v>57</v>
      </c>
      <c r="O625">
        <v>0</v>
      </c>
      <c r="T625">
        <v>68</v>
      </c>
      <c r="V625">
        <v>90</v>
      </c>
      <c r="W625" t="s">
        <v>1100</v>
      </c>
      <c r="X625" t="s">
        <v>280</v>
      </c>
      <c r="Y625">
        <v>5760</v>
      </c>
      <c r="AB625">
        <v>4.5</v>
      </c>
      <c r="AC625" t="s">
        <v>210</v>
      </c>
      <c r="AD625" t="s">
        <v>326</v>
      </c>
      <c r="AE625" t="s">
        <v>63</v>
      </c>
      <c r="AH625">
        <v>7.2</v>
      </c>
      <c r="AI625">
        <v>5</v>
      </c>
      <c r="AV625" t="s">
        <v>88</v>
      </c>
      <c r="BA625">
        <v>7.2</v>
      </c>
    </row>
    <row r="626" spans="1:53" hidden="1" x14ac:dyDescent="0.3">
      <c r="A626" t="s">
        <v>1119</v>
      </c>
      <c r="C626" t="s">
        <v>1052</v>
      </c>
      <c r="H626">
        <v>4</v>
      </c>
      <c r="I626" t="s">
        <v>56</v>
      </c>
      <c r="J626">
        <v>4.0000000000000002E-4</v>
      </c>
      <c r="K626" t="s">
        <v>57</v>
      </c>
      <c r="O626">
        <v>0</v>
      </c>
      <c r="T626">
        <v>68</v>
      </c>
      <c r="V626">
        <v>60</v>
      </c>
      <c r="W626" t="s">
        <v>1124</v>
      </c>
      <c r="X626" t="s">
        <v>280</v>
      </c>
      <c r="Y626">
        <v>5760</v>
      </c>
      <c r="AB626">
        <v>4.5</v>
      </c>
      <c r="AC626" t="s">
        <v>210</v>
      </c>
      <c r="AD626" t="s">
        <v>328</v>
      </c>
      <c r="AE626" t="s">
        <v>63</v>
      </c>
      <c r="AH626">
        <v>7.2</v>
      </c>
      <c r="AI626">
        <v>5</v>
      </c>
      <c r="AV626" t="s">
        <v>88</v>
      </c>
      <c r="BA626">
        <v>7.2</v>
      </c>
    </row>
    <row r="627" spans="1:53" hidden="1" x14ac:dyDescent="0.3">
      <c r="A627" t="s">
        <v>1119</v>
      </c>
      <c r="C627" t="s">
        <v>1052</v>
      </c>
      <c r="H627">
        <v>4</v>
      </c>
      <c r="I627" t="s">
        <v>56</v>
      </c>
      <c r="J627">
        <v>4.0000000000000002E-4</v>
      </c>
      <c r="K627" t="s">
        <v>57</v>
      </c>
      <c r="O627">
        <v>0</v>
      </c>
      <c r="T627">
        <v>68</v>
      </c>
      <c r="V627">
        <v>75</v>
      </c>
      <c r="W627" t="s">
        <v>1124</v>
      </c>
      <c r="X627" t="s">
        <v>280</v>
      </c>
      <c r="Y627">
        <v>1440</v>
      </c>
      <c r="AB627">
        <v>4.3</v>
      </c>
      <c r="AC627" t="s">
        <v>210</v>
      </c>
      <c r="AD627" t="s">
        <v>334</v>
      </c>
      <c r="AE627" t="s">
        <v>63</v>
      </c>
      <c r="AH627">
        <v>7.2</v>
      </c>
      <c r="AI627">
        <v>5</v>
      </c>
      <c r="AV627" t="s">
        <v>88</v>
      </c>
      <c r="BA627">
        <v>7.2</v>
      </c>
    </row>
    <row r="628" spans="1:53" hidden="1" x14ac:dyDescent="0.3">
      <c r="A628" t="s">
        <v>1119</v>
      </c>
      <c r="C628" t="s">
        <v>1052</v>
      </c>
      <c r="H628">
        <v>4</v>
      </c>
      <c r="I628" t="s">
        <v>56</v>
      </c>
      <c r="J628">
        <v>4.0000000000000002E-4</v>
      </c>
      <c r="K628" t="s">
        <v>57</v>
      </c>
      <c r="O628">
        <v>0</v>
      </c>
      <c r="T628">
        <v>68</v>
      </c>
      <c r="V628">
        <v>90</v>
      </c>
      <c r="W628" t="s">
        <v>1100</v>
      </c>
      <c r="X628" t="s">
        <v>280</v>
      </c>
      <c r="Y628">
        <v>5760</v>
      </c>
      <c r="AB628">
        <v>4.2</v>
      </c>
      <c r="AC628" t="s">
        <v>210</v>
      </c>
      <c r="AD628" t="s">
        <v>325</v>
      </c>
      <c r="AE628" t="s">
        <v>63</v>
      </c>
      <c r="AH628">
        <v>7.2</v>
      </c>
      <c r="AI628">
        <v>5</v>
      </c>
      <c r="AV628" t="s">
        <v>88</v>
      </c>
      <c r="BA628">
        <v>7.2</v>
      </c>
    </row>
    <row r="629" spans="1:53" hidden="1" x14ac:dyDescent="0.3">
      <c r="A629" t="s">
        <v>1119</v>
      </c>
      <c r="C629" t="s">
        <v>1052</v>
      </c>
      <c r="H629">
        <v>4</v>
      </c>
      <c r="I629" t="s">
        <v>56</v>
      </c>
      <c r="J629">
        <v>4.0000000000000002E-4</v>
      </c>
      <c r="K629" t="s">
        <v>57</v>
      </c>
      <c r="O629">
        <v>0</v>
      </c>
      <c r="T629">
        <v>68</v>
      </c>
      <c r="V629">
        <v>75</v>
      </c>
      <c r="W629" t="s">
        <v>1122</v>
      </c>
      <c r="X629" t="s">
        <v>280</v>
      </c>
      <c r="Y629">
        <v>1440</v>
      </c>
      <c r="AB629">
        <v>4.2</v>
      </c>
      <c r="AC629" t="s">
        <v>210</v>
      </c>
      <c r="AD629" t="s">
        <v>326</v>
      </c>
      <c r="AE629" t="s">
        <v>63</v>
      </c>
      <c r="AH629">
        <v>7.2</v>
      </c>
      <c r="AI629">
        <v>5</v>
      </c>
      <c r="AV629" t="s">
        <v>88</v>
      </c>
      <c r="BA629">
        <v>7.2</v>
      </c>
    </row>
    <row r="630" spans="1:53" hidden="1" x14ac:dyDescent="0.3">
      <c r="A630" t="s">
        <v>1119</v>
      </c>
      <c r="C630" t="s">
        <v>1052</v>
      </c>
      <c r="H630">
        <v>4</v>
      </c>
      <c r="I630" t="s">
        <v>56</v>
      </c>
      <c r="J630">
        <v>4.0000000000000002E-4</v>
      </c>
      <c r="K630" t="s">
        <v>57</v>
      </c>
      <c r="O630">
        <v>0</v>
      </c>
      <c r="T630">
        <v>68</v>
      </c>
      <c r="V630">
        <v>60</v>
      </c>
      <c r="W630" t="s">
        <v>1129</v>
      </c>
      <c r="X630" t="s">
        <v>280</v>
      </c>
      <c r="Y630">
        <v>5760</v>
      </c>
      <c r="AB630">
        <v>4</v>
      </c>
      <c r="AC630" t="s">
        <v>210</v>
      </c>
      <c r="AD630" t="s">
        <v>321</v>
      </c>
      <c r="AE630" t="s">
        <v>63</v>
      </c>
      <c r="AH630">
        <v>7.2</v>
      </c>
      <c r="AI630">
        <v>5</v>
      </c>
      <c r="AV630" t="s">
        <v>88</v>
      </c>
      <c r="BA630">
        <v>7.2</v>
      </c>
    </row>
    <row r="631" spans="1:53" hidden="1" x14ac:dyDescent="0.3">
      <c r="A631" t="s">
        <v>1119</v>
      </c>
      <c r="C631" t="s">
        <v>1052</v>
      </c>
      <c r="H631">
        <v>4</v>
      </c>
      <c r="I631" t="s">
        <v>56</v>
      </c>
      <c r="J631">
        <v>4.0000000000000002E-4</v>
      </c>
      <c r="K631" t="s">
        <v>57</v>
      </c>
      <c r="O631">
        <v>0</v>
      </c>
      <c r="T631">
        <v>68</v>
      </c>
      <c r="V631">
        <v>75</v>
      </c>
      <c r="W631" t="s">
        <v>1124</v>
      </c>
      <c r="X631" t="s">
        <v>280</v>
      </c>
      <c r="Y631">
        <v>1440</v>
      </c>
      <c r="AB631">
        <v>3.9</v>
      </c>
      <c r="AC631" t="s">
        <v>210</v>
      </c>
      <c r="AD631" t="s">
        <v>336</v>
      </c>
      <c r="AE631" t="s">
        <v>63</v>
      </c>
      <c r="AH631">
        <v>7.2</v>
      </c>
      <c r="AI631">
        <v>5</v>
      </c>
      <c r="AV631" t="s">
        <v>88</v>
      </c>
      <c r="BA631">
        <v>7.2</v>
      </c>
    </row>
    <row r="632" spans="1:53" hidden="1" x14ac:dyDescent="0.3">
      <c r="A632" t="s">
        <v>1119</v>
      </c>
      <c r="C632" t="s">
        <v>1052</v>
      </c>
      <c r="H632">
        <v>4</v>
      </c>
      <c r="I632" t="s">
        <v>56</v>
      </c>
      <c r="J632">
        <v>4.0000000000000002E-4</v>
      </c>
      <c r="K632" t="s">
        <v>57</v>
      </c>
      <c r="O632">
        <v>0</v>
      </c>
      <c r="T632">
        <v>60</v>
      </c>
      <c r="V632">
        <v>75</v>
      </c>
      <c r="W632" t="s">
        <v>1122</v>
      </c>
      <c r="X632" t="s">
        <v>280</v>
      </c>
      <c r="Y632">
        <v>5760</v>
      </c>
      <c r="AB632">
        <v>3.9</v>
      </c>
      <c r="AC632" t="s">
        <v>210</v>
      </c>
      <c r="AD632" t="s">
        <v>324</v>
      </c>
      <c r="AE632" t="s">
        <v>63</v>
      </c>
      <c r="AH632">
        <v>7.2</v>
      </c>
      <c r="AI632">
        <v>5</v>
      </c>
      <c r="AV632" t="s">
        <v>88</v>
      </c>
      <c r="BA632">
        <v>7.2</v>
      </c>
    </row>
    <row r="633" spans="1:53" hidden="1" x14ac:dyDescent="0.3">
      <c r="A633" t="s">
        <v>1119</v>
      </c>
      <c r="C633" t="s">
        <v>1052</v>
      </c>
      <c r="H633">
        <v>4</v>
      </c>
      <c r="I633" t="s">
        <v>56</v>
      </c>
      <c r="J633">
        <v>4.0000000000000002E-4</v>
      </c>
      <c r="K633" t="s">
        <v>57</v>
      </c>
      <c r="O633">
        <v>0</v>
      </c>
      <c r="T633">
        <v>68</v>
      </c>
      <c r="V633">
        <v>75</v>
      </c>
      <c r="W633" t="s">
        <v>1124</v>
      </c>
      <c r="X633" t="s">
        <v>280</v>
      </c>
      <c r="Y633">
        <v>5760</v>
      </c>
      <c r="AB633">
        <v>3.9</v>
      </c>
      <c r="AC633" t="s">
        <v>210</v>
      </c>
      <c r="AD633" t="s">
        <v>333</v>
      </c>
      <c r="AE633" t="s">
        <v>63</v>
      </c>
      <c r="AH633">
        <v>7.7</v>
      </c>
      <c r="AI633">
        <v>5</v>
      </c>
      <c r="AV633" t="s">
        <v>88</v>
      </c>
      <c r="BA633">
        <v>7.7</v>
      </c>
    </row>
    <row r="634" spans="1:53" hidden="1" x14ac:dyDescent="0.3">
      <c r="A634" t="s">
        <v>1119</v>
      </c>
      <c r="C634" t="s">
        <v>1052</v>
      </c>
      <c r="H634">
        <v>4</v>
      </c>
      <c r="I634" t="s">
        <v>56</v>
      </c>
      <c r="J634">
        <v>4.0000000000000002E-4</v>
      </c>
      <c r="K634" t="s">
        <v>57</v>
      </c>
      <c r="O634">
        <v>0</v>
      </c>
      <c r="T634">
        <v>68</v>
      </c>
      <c r="V634">
        <v>60</v>
      </c>
      <c r="W634" t="s">
        <v>1122</v>
      </c>
      <c r="X634" t="s">
        <v>280</v>
      </c>
      <c r="Y634">
        <v>5760</v>
      </c>
      <c r="AB634">
        <v>3.6</v>
      </c>
      <c r="AC634" t="s">
        <v>210</v>
      </c>
      <c r="AD634" t="s">
        <v>340</v>
      </c>
      <c r="AE634" t="s">
        <v>63</v>
      </c>
      <c r="AH634">
        <v>7.2</v>
      </c>
      <c r="AI634">
        <v>5</v>
      </c>
      <c r="AV634" t="s">
        <v>88</v>
      </c>
      <c r="BA634">
        <v>7.2</v>
      </c>
    </row>
    <row r="635" spans="1:53" hidden="1" x14ac:dyDescent="0.3">
      <c r="A635" t="s">
        <v>1119</v>
      </c>
      <c r="C635" t="s">
        <v>1052</v>
      </c>
      <c r="H635">
        <v>4</v>
      </c>
      <c r="I635" t="s">
        <v>56</v>
      </c>
      <c r="J635">
        <v>4.0000000000000002E-4</v>
      </c>
      <c r="K635" t="s">
        <v>57</v>
      </c>
      <c r="O635">
        <v>0</v>
      </c>
      <c r="T635">
        <v>68</v>
      </c>
      <c r="V635">
        <v>75</v>
      </c>
      <c r="W635" t="s">
        <v>1129</v>
      </c>
      <c r="X635" t="s">
        <v>280</v>
      </c>
      <c r="Y635">
        <v>5760</v>
      </c>
      <c r="AB635">
        <v>3.6</v>
      </c>
      <c r="AC635" t="s">
        <v>210</v>
      </c>
      <c r="AD635" t="s">
        <v>331</v>
      </c>
      <c r="AE635" t="s">
        <v>63</v>
      </c>
      <c r="AH635">
        <v>7.7</v>
      </c>
      <c r="AI635">
        <v>5</v>
      </c>
      <c r="AV635" t="s">
        <v>88</v>
      </c>
      <c r="BA635">
        <v>7.7</v>
      </c>
    </row>
    <row r="636" spans="1:53" hidden="1" x14ac:dyDescent="0.3">
      <c r="A636" t="s">
        <v>1119</v>
      </c>
      <c r="C636" t="s">
        <v>1052</v>
      </c>
      <c r="H636">
        <v>4</v>
      </c>
      <c r="I636" t="s">
        <v>56</v>
      </c>
      <c r="J636">
        <v>4.0000000000000002E-4</v>
      </c>
      <c r="K636" t="s">
        <v>57</v>
      </c>
      <c r="O636">
        <v>0</v>
      </c>
      <c r="T636">
        <v>60</v>
      </c>
      <c r="V636">
        <v>75</v>
      </c>
      <c r="W636" t="s">
        <v>1124</v>
      </c>
      <c r="X636" t="s">
        <v>280</v>
      </c>
      <c r="Y636">
        <v>5760</v>
      </c>
      <c r="AB636">
        <v>3.3</v>
      </c>
      <c r="AC636" t="s">
        <v>210</v>
      </c>
      <c r="AD636" t="s">
        <v>340</v>
      </c>
      <c r="AE636" t="s">
        <v>63</v>
      </c>
      <c r="AH636">
        <v>7.2</v>
      </c>
      <c r="AI636">
        <v>5</v>
      </c>
      <c r="AV636" t="s">
        <v>88</v>
      </c>
      <c r="BA636">
        <v>7.2</v>
      </c>
    </row>
    <row r="637" spans="1:53" hidden="1" x14ac:dyDescent="0.3">
      <c r="A637" t="s">
        <v>1119</v>
      </c>
      <c r="C637" t="s">
        <v>1052</v>
      </c>
      <c r="H637">
        <v>4</v>
      </c>
      <c r="I637" t="s">
        <v>56</v>
      </c>
      <c r="J637">
        <v>4.0000000000000002E-4</v>
      </c>
      <c r="K637" t="s">
        <v>57</v>
      </c>
      <c r="O637">
        <v>0</v>
      </c>
      <c r="T637">
        <v>68</v>
      </c>
      <c r="V637">
        <v>75</v>
      </c>
      <c r="W637" t="s">
        <v>1122</v>
      </c>
      <c r="X637" t="s">
        <v>280</v>
      </c>
      <c r="Y637">
        <v>1440</v>
      </c>
      <c r="AB637">
        <v>3.1</v>
      </c>
      <c r="AC637" t="s">
        <v>210</v>
      </c>
      <c r="AD637" t="s">
        <v>322</v>
      </c>
      <c r="AE637" t="s">
        <v>63</v>
      </c>
      <c r="AH637">
        <v>7.2</v>
      </c>
      <c r="AI637">
        <v>5</v>
      </c>
      <c r="AV637" t="s">
        <v>88</v>
      </c>
      <c r="BA637">
        <v>7.2</v>
      </c>
    </row>
    <row r="638" spans="1:53" hidden="1" x14ac:dyDescent="0.3">
      <c r="A638" t="s">
        <v>1119</v>
      </c>
      <c r="C638" t="s">
        <v>1052</v>
      </c>
      <c r="H638">
        <v>4</v>
      </c>
      <c r="I638" t="s">
        <v>56</v>
      </c>
      <c r="J638">
        <v>4.0000000000000002E-4</v>
      </c>
      <c r="K638" t="s">
        <v>57</v>
      </c>
      <c r="O638">
        <v>0</v>
      </c>
      <c r="T638">
        <v>77</v>
      </c>
      <c r="V638">
        <v>75</v>
      </c>
      <c r="W638" t="s">
        <v>1100</v>
      </c>
      <c r="X638" t="s">
        <v>280</v>
      </c>
      <c r="Y638">
        <v>5760</v>
      </c>
      <c r="AB638">
        <v>3</v>
      </c>
      <c r="AC638" t="s">
        <v>210</v>
      </c>
      <c r="AD638" t="s">
        <v>106</v>
      </c>
      <c r="AE638" t="s">
        <v>63</v>
      </c>
      <c r="AH638">
        <v>7.2</v>
      </c>
      <c r="AI638">
        <v>5</v>
      </c>
      <c r="AV638" t="s">
        <v>88</v>
      </c>
      <c r="BA638">
        <v>7.2</v>
      </c>
    </row>
    <row r="639" spans="1:53" hidden="1" x14ac:dyDescent="0.3">
      <c r="A639" t="s">
        <v>1119</v>
      </c>
      <c r="C639" t="s">
        <v>1052</v>
      </c>
      <c r="H639">
        <v>4</v>
      </c>
      <c r="I639" t="s">
        <v>56</v>
      </c>
      <c r="J639">
        <v>4.0000000000000002E-4</v>
      </c>
      <c r="K639" t="s">
        <v>57</v>
      </c>
      <c r="O639">
        <v>0</v>
      </c>
      <c r="T639">
        <v>68</v>
      </c>
      <c r="V639">
        <v>60</v>
      </c>
      <c r="W639" t="s">
        <v>1124</v>
      </c>
      <c r="X639" t="s">
        <v>280</v>
      </c>
      <c r="Y639">
        <v>5760</v>
      </c>
      <c r="AB639">
        <v>2.8</v>
      </c>
      <c r="AC639" t="s">
        <v>210</v>
      </c>
      <c r="AD639" t="s">
        <v>335</v>
      </c>
      <c r="AE639" t="s">
        <v>63</v>
      </c>
      <c r="AH639">
        <v>7.2</v>
      </c>
      <c r="AI639">
        <v>5</v>
      </c>
      <c r="AV639" t="s">
        <v>88</v>
      </c>
      <c r="BA639">
        <v>7.2</v>
      </c>
    </row>
    <row r="640" spans="1:53" hidden="1" x14ac:dyDescent="0.3">
      <c r="A640" t="s">
        <v>1119</v>
      </c>
      <c r="C640" t="s">
        <v>1052</v>
      </c>
      <c r="H640">
        <v>4</v>
      </c>
      <c r="I640" t="s">
        <v>56</v>
      </c>
      <c r="J640">
        <v>4.0000000000000002E-4</v>
      </c>
      <c r="K640" t="s">
        <v>57</v>
      </c>
      <c r="O640">
        <v>0</v>
      </c>
      <c r="T640">
        <v>60</v>
      </c>
      <c r="V640">
        <v>90</v>
      </c>
      <c r="W640" t="s">
        <v>1121</v>
      </c>
      <c r="X640" t="s">
        <v>280</v>
      </c>
      <c r="Y640">
        <v>10080</v>
      </c>
      <c r="AB640">
        <v>2.7</v>
      </c>
      <c r="AC640" t="s">
        <v>210</v>
      </c>
      <c r="AD640" t="s">
        <v>340</v>
      </c>
      <c r="AE640" t="s">
        <v>63</v>
      </c>
      <c r="AH640">
        <v>7.3</v>
      </c>
      <c r="AI640">
        <v>5</v>
      </c>
      <c r="AV640" t="s">
        <v>88</v>
      </c>
      <c r="BA640">
        <v>7.3</v>
      </c>
    </row>
    <row r="641" spans="1:53" hidden="1" x14ac:dyDescent="0.3">
      <c r="A641" t="s">
        <v>1119</v>
      </c>
      <c r="C641" t="s">
        <v>1052</v>
      </c>
      <c r="H641">
        <v>4</v>
      </c>
      <c r="I641" t="s">
        <v>56</v>
      </c>
      <c r="J641">
        <v>4.0000000000000002E-4</v>
      </c>
      <c r="K641" t="s">
        <v>57</v>
      </c>
      <c r="O641">
        <v>0</v>
      </c>
      <c r="T641">
        <v>60</v>
      </c>
      <c r="V641">
        <v>75</v>
      </c>
      <c r="W641" t="s">
        <v>1122</v>
      </c>
      <c r="X641" t="s">
        <v>280</v>
      </c>
      <c r="Y641">
        <v>5760</v>
      </c>
      <c r="AB641">
        <v>2.7</v>
      </c>
      <c r="AC641" t="s">
        <v>210</v>
      </c>
      <c r="AD641" t="s">
        <v>321</v>
      </c>
      <c r="AE641" t="s">
        <v>63</v>
      </c>
      <c r="AH641">
        <v>7.2</v>
      </c>
      <c r="AI641">
        <v>5</v>
      </c>
      <c r="AV641" t="s">
        <v>88</v>
      </c>
      <c r="BA641">
        <v>7.2</v>
      </c>
    </row>
    <row r="642" spans="1:53" hidden="1" x14ac:dyDescent="0.3">
      <c r="A642" t="s">
        <v>1119</v>
      </c>
      <c r="C642" t="s">
        <v>1052</v>
      </c>
      <c r="H642">
        <v>4</v>
      </c>
      <c r="I642" t="s">
        <v>56</v>
      </c>
      <c r="J642">
        <v>4.0000000000000002E-4</v>
      </c>
      <c r="K642" t="s">
        <v>57</v>
      </c>
      <c r="O642">
        <v>0</v>
      </c>
      <c r="T642">
        <v>60</v>
      </c>
      <c r="V642">
        <v>60</v>
      </c>
      <c r="W642" t="s">
        <v>1121</v>
      </c>
      <c r="X642" t="s">
        <v>280</v>
      </c>
      <c r="Y642">
        <v>10080</v>
      </c>
      <c r="AB642">
        <v>2.7</v>
      </c>
      <c r="AC642" t="s">
        <v>210</v>
      </c>
      <c r="AD642" t="s">
        <v>336</v>
      </c>
      <c r="AE642" t="s">
        <v>63</v>
      </c>
      <c r="AH642">
        <v>7.7</v>
      </c>
      <c r="AI642">
        <v>5</v>
      </c>
      <c r="AV642" t="s">
        <v>88</v>
      </c>
      <c r="BA642">
        <v>7.7</v>
      </c>
    </row>
    <row r="643" spans="1:53" hidden="1" x14ac:dyDescent="0.3">
      <c r="A643" t="s">
        <v>1119</v>
      </c>
      <c r="C643" t="s">
        <v>1052</v>
      </c>
      <c r="H643">
        <v>4</v>
      </c>
      <c r="I643" t="s">
        <v>56</v>
      </c>
      <c r="J643">
        <v>4.0000000000000002E-4</v>
      </c>
      <c r="K643" t="s">
        <v>57</v>
      </c>
      <c r="O643">
        <v>0</v>
      </c>
      <c r="T643">
        <v>60</v>
      </c>
      <c r="V643">
        <v>90</v>
      </c>
      <c r="W643" t="s">
        <v>1124</v>
      </c>
      <c r="X643" t="s">
        <v>280</v>
      </c>
      <c r="Y643">
        <v>10080</v>
      </c>
      <c r="AB643">
        <v>2.4</v>
      </c>
      <c r="AC643" t="s">
        <v>210</v>
      </c>
      <c r="AD643" t="s">
        <v>332</v>
      </c>
      <c r="AE643" t="s">
        <v>63</v>
      </c>
      <c r="AH643">
        <v>7.7</v>
      </c>
      <c r="AI643">
        <v>5</v>
      </c>
      <c r="AV643" t="s">
        <v>88</v>
      </c>
      <c r="BA643">
        <v>7.7</v>
      </c>
    </row>
    <row r="644" spans="1:53" hidden="1" x14ac:dyDescent="0.3">
      <c r="A644" t="s">
        <v>1119</v>
      </c>
      <c r="C644" t="s">
        <v>1052</v>
      </c>
      <c r="H644">
        <v>4</v>
      </c>
      <c r="I644" t="s">
        <v>56</v>
      </c>
      <c r="J644">
        <v>4.0000000000000002E-4</v>
      </c>
      <c r="K644" t="s">
        <v>57</v>
      </c>
      <c r="O644">
        <v>0</v>
      </c>
      <c r="T644">
        <v>60</v>
      </c>
      <c r="V644">
        <v>90</v>
      </c>
      <c r="W644" t="s">
        <v>1121</v>
      </c>
      <c r="X644" t="s">
        <v>280</v>
      </c>
      <c r="Y644">
        <v>10080</v>
      </c>
      <c r="AB644">
        <v>2.4</v>
      </c>
      <c r="AC644" t="s">
        <v>210</v>
      </c>
      <c r="AD644" t="s">
        <v>322</v>
      </c>
      <c r="AE644" t="s">
        <v>63</v>
      </c>
      <c r="AH644">
        <v>7.7</v>
      </c>
      <c r="AI644">
        <v>5</v>
      </c>
      <c r="AV644" t="s">
        <v>88</v>
      </c>
      <c r="BA644">
        <v>7.7</v>
      </c>
    </row>
    <row r="645" spans="1:53" hidden="1" x14ac:dyDescent="0.3">
      <c r="A645" t="s">
        <v>1119</v>
      </c>
      <c r="C645" t="s">
        <v>1052</v>
      </c>
      <c r="H645">
        <v>4</v>
      </c>
      <c r="I645" t="s">
        <v>56</v>
      </c>
      <c r="J645">
        <v>4.0000000000000002E-4</v>
      </c>
      <c r="K645" t="s">
        <v>57</v>
      </c>
      <c r="O645">
        <v>0</v>
      </c>
      <c r="T645">
        <v>68</v>
      </c>
      <c r="V645">
        <v>75</v>
      </c>
      <c r="W645" t="s">
        <v>1129</v>
      </c>
      <c r="X645" t="s">
        <v>280</v>
      </c>
      <c r="Y645">
        <v>1440</v>
      </c>
      <c r="AB645">
        <v>2.1</v>
      </c>
      <c r="AC645" t="s">
        <v>210</v>
      </c>
      <c r="AD645" t="s">
        <v>327</v>
      </c>
      <c r="AE645" t="s">
        <v>63</v>
      </c>
      <c r="AH645">
        <v>7.2</v>
      </c>
      <c r="AI645">
        <v>5</v>
      </c>
      <c r="AV645" t="s">
        <v>88</v>
      </c>
      <c r="BA645">
        <v>7.2</v>
      </c>
    </row>
    <row r="646" spans="1:53" hidden="1" x14ac:dyDescent="0.3">
      <c r="A646" t="s">
        <v>1119</v>
      </c>
      <c r="C646" t="s">
        <v>1052</v>
      </c>
      <c r="H646">
        <v>4</v>
      </c>
      <c r="I646" t="s">
        <v>56</v>
      </c>
      <c r="J646">
        <v>4.0000000000000002E-4</v>
      </c>
      <c r="K646" t="s">
        <v>57</v>
      </c>
      <c r="O646">
        <v>0</v>
      </c>
      <c r="T646">
        <v>60</v>
      </c>
      <c r="V646">
        <v>75</v>
      </c>
      <c r="W646" t="s">
        <v>1129</v>
      </c>
      <c r="X646" t="s">
        <v>280</v>
      </c>
      <c r="Y646">
        <v>5760</v>
      </c>
      <c r="AB646">
        <v>2</v>
      </c>
      <c r="AC646" t="s">
        <v>210</v>
      </c>
      <c r="AD646" t="s">
        <v>334</v>
      </c>
      <c r="AE646" t="s">
        <v>63</v>
      </c>
      <c r="AH646">
        <v>7.2</v>
      </c>
      <c r="AI646">
        <v>5</v>
      </c>
      <c r="AV646" t="s">
        <v>88</v>
      </c>
      <c r="BA646">
        <v>7.2</v>
      </c>
    </row>
    <row r="647" spans="1:53" hidden="1" x14ac:dyDescent="0.3">
      <c r="A647" t="s">
        <v>1119</v>
      </c>
      <c r="C647" t="s">
        <v>1052</v>
      </c>
      <c r="H647">
        <v>4</v>
      </c>
      <c r="I647" t="s">
        <v>56</v>
      </c>
      <c r="J647">
        <v>4.0000000000000002E-4</v>
      </c>
      <c r="K647" t="s">
        <v>57</v>
      </c>
      <c r="O647">
        <v>0</v>
      </c>
      <c r="T647">
        <v>60</v>
      </c>
      <c r="V647">
        <v>60</v>
      </c>
      <c r="W647" t="s">
        <v>1121</v>
      </c>
      <c r="X647" t="s">
        <v>280</v>
      </c>
      <c r="Y647">
        <v>10080</v>
      </c>
      <c r="AB647">
        <v>1.7</v>
      </c>
      <c r="AC647" t="s">
        <v>210</v>
      </c>
      <c r="AD647" t="s">
        <v>330</v>
      </c>
      <c r="AE647" t="s">
        <v>63</v>
      </c>
      <c r="AH647">
        <v>7.3</v>
      </c>
      <c r="AI647">
        <v>5</v>
      </c>
      <c r="AV647" t="s">
        <v>88</v>
      </c>
      <c r="BA647">
        <v>7.3</v>
      </c>
    </row>
    <row r="648" spans="1:53" hidden="1" x14ac:dyDescent="0.3">
      <c r="A648" t="s">
        <v>1119</v>
      </c>
      <c r="C648" t="s">
        <v>1052</v>
      </c>
      <c r="H648">
        <v>4</v>
      </c>
      <c r="I648" t="s">
        <v>56</v>
      </c>
      <c r="J648">
        <v>4.0000000000000002E-4</v>
      </c>
      <c r="K648" t="s">
        <v>57</v>
      </c>
      <c r="O648">
        <v>0</v>
      </c>
      <c r="T648">
        <v>77</v>
      </c>
      <c r="V648">
        <v>60</v>
      </c>
      <c r="W648" t="s">
        <v>1124</v>
      </c>
      <c r="X648" t="s">
        <v>280</v>
      </c>
      <c r="Y648">
        <v>10080</v>
      </c>
      <c r="AB648">
        <v>1.7</v>
      </c>
      <c r="AC648" t="s">
        <v>210</v>
      </c>
      <c r="AD648" t="s">
        <v>324</v>
      </c>
      <c r="AE648" t="s">
        <v>63</v>
      </c>
      <c r="AH648">
        <v>7.7</v>
      </c>
      <c r="AI648">
        <v>5</v>
      </c>
      <c r="AV648" t="s">
        <v>88</v>
      </c>
      <c r="BA648">
        <v>7.7</v>
      </c>
    </row>
    <row r="649" spans="1:53" hidden="1" x14ac:dyDescent="0.3">
      <c r="A649" t="s">
        <v>1119</v>
      </c>
      <c r="C649" t="s">
        <v>1052</v>
      </c>
      <c r="H649">
        <v>4</v>
      </c>
      <c r="I649" t="s">
        <v>56</v>
      </c>
      <c r="J649">
        <v>4.0000000000000002E-4</v>
      </c>
      <c r="K649" t="s">
        <v>57</v>
      </c>
      <c r="O649">
        <v>0</v>
      </c>
      <c r="T649">
        <v>68</v>
      </c>
      <c r="V649">
        <v>60</v>
      </c>
      <c r="W649" t="s">
        <v>1129</v>
      </c>
      <c r="X649" t="s">
        <v>280</v>
      </c>
      <c r="Y649">
        <v>5760</v>
      </c>
      <c r="AB649">
        <v>1.4</v>
      </c>
      <c r="AC649" t="s">
        <v>210</v>
      </c>
      <c r="AD649" t="s">
        <v>331</v>
      </c>
      <c r="AE649" t="s">
        <v>63</v>
      </c>
      <c r="AH649">
        <v>7.2</v>
      </c>
      <c r="AI649">
        <v>5</v>
      </c>
      <c r="AV649" t="s">
        <v>88</v>
      </c>
      <c r="BA649">
        <v>7.2</v>
      </c>
    </row>
    <row r="650" spans="1:53" hidden="1" x14ac:dyDescent="0.3">
      <c r="A650" t="s">
        <v>1119</v>
      </c>
      <c r="C650" t="s">
        <v>1052</v>
      </c>
      <c r="H650">
        <v>4</v>
      </c>
      <c r="I650" t="s">
        <v>56</v>
      </c>
      <c r="J650">
        <v>4.0000000000000002E-4</v>
      </c>
      <c r="K650" t="s">
        <v>57</v>
      </c>
      <c r="O650">
        <v>0</v>
      </c>
      <c r="T650">
        <v>68</v>
      </c>
      <c r="V650">
        <v>75</v>
      </c>
      <c r="W650" t="s">
        <v>1122</v>
      </c>
      <c r="X650" t="s">
        <v>280</v>
      </c>
      <c r="Y650">
        <v>5760</v>
      </c>
      <c r="AB650">
        <v>1.2</v>
      </c>
      <c r="AC650" t="s">
        <v>210</v>
      </c>
      <c r="AD650" t="s">
        <v>98</v>
      </c>
      <c r="AE650" t="s">
        <v>63</v>
      </c>
      <c r="AH650">
        <v>7.7</v>
      </c>
      <c r="AI650">
        <v>5</v>
      </c>
      <c r="AV650" t="s">
        <v>88</v>
      </c>
      <c r="BA650">
        <v>7.7</v>
      </c>
    </row>
    <row r="651" spans="1:53" hidden="1" x14ac:dyDescent="0.3">
      <c r="A651" t="s">
        <v>1119</v>
      </c>
      <c r="C651" t="s">
        <v>1052</v>
      </c>
      <c r="H651">
        <v>4</v>
      </c>
      <c r="I651" t="s">
        <v>56</v>
      </c>
      <c r="J651">
        <v>4.0000000000000002E-4</v>
      </c>
      <c r="K651" t="s">
        <v>57</v>
      </c>
      <c r="O651">
        <v>0</v>
      </c>
      <c r="T651">
        <v>77</v>
      </c>
      <c r="V651">
        <v>90</v>
      </c>
      <c r="W651" t="s">
        <v>1100</v>
      </c>
      <c r="X651" t="s">
        <v>280</v>
      </c>
      <c r="Y651">
        <v>1440</v>
      </c>
      <c r="AB651">
        <v>0.9</v>
      </c>
      <c r="AC651" t="s">
        <v>210</v>
      </c>
      <c r="AD651" t="s">
        <v>98</v>
      </c>
      <c r="AE651" t="s">
        <v>63</v>
      </c>
      <c r="AH651">
        <v>7.7</v>
      </c>
      <c r="AI651">
        <v>5</v>
      </c>
      <c r="AV651" t="s">
        <v>88</v>
      </c>
      <c r="BA651">
        <v>7.7</v>
      </c>
    </row>
    <row r="652" spans="1:53" hidden="1" x14ac:dyDescent="0.3">
      <c r="A652" t="s">
        <v>1119</v>
      </c>
      <c r="C652" t="s">
        <v>1052</v>
      </c>
      <c r="H652">
        <v>4</v>
      </c>
      <c r="I652" t="s">
        <v>56</v>
      </c>
      <c r="J652">
        <v>4.0000000000000002E-4</v>
      </c>
      <c r="K652" t="s">
        <v>57</v>
      </c>
      <c r="O652">
        <v>0</v>
      </c>
      <c r="T652">
        <v>60</v>
      </c>
      <c r="V652">
        <v>90</v>
      </c>
      <c r="W652" t="s">
        <v>1124</v>
      </c>
      <c r="X652" t="s">
        <v>280</v>
      </c>
      <c r="Y652">
        <v>10080</v>
      </c>
      <c r="AB652">
        <v>0.8</v>
      </c>
      <c r="AC652" t="s">
        <v>210</v>
      </c>
      <c r="AD652" t="s">
        <v>328</v>
      </c>
      <c r="AE652" t="s">
        <v>63</v>
      </c>
      <c r="AH652">
        <v>7.3</v>
      </c>
      <c r="AI652">
        <v>5</v>
      </c>
      <c r="AV652" t="s">
        <v>88</v>
      </c>
      <c r="BA652">
        <v>7.3</v>
      </c>
    </row>
    <row r="653" spans="1:53" hidden="1" x14ac:dyDescent="0.3">
      <c r="A653" t="s">
        <v>1119</v>
      </c>
      <c r="C653" t="s">
        <v>1052</v>
      </c>
      <c r="H653">
        <v>4</v>
      </c>
      <c r="I653" t="s">
        <v>56</v>
      </c>
      <c r="J653">
        <v>4.0000000000000002E-4</v>
      </c>
      <c r="K653" t="s">
        <v>57</v>
      </c>
      <c r="O653">
        <v>0</v>
      </c>
      <c r="T653">
        <v>68</v>
      </c>
      <c r="V653">
        <v>75</v>
      </c>
      <c r="W653" t="s">
        <v>1124</v>
      </c>
      <c r="X653" t="s">
        <v>280</v>
      </c>
      <c r="Y653">
        <v>5760</v>
      </c>
      <c r="AB653">
        <v>0.8</v>
      </c>
      <c r="AC653" t="s">
        <v>210</v>
      </c>
      <c r="AD653" t="s">
        <v>325</v>
      </c>
      <c r="AE653" t="s">
        <v>63</v>
      </c>
      <c r="AH653">
        <v>7.3</v>
      </c>
      <c r="AI653">
        <v>5</v>
      </c>
      <c r="AV653" t="s">
        <v>88</v>
      </c>
      <c r="BA653">
        <v>7.3</v>
      </c>
    </row>
    <row r="654" spans="1:53" hidden="1" x14ac:dyDescent="0.3">
      <c r="A654" t="s">
        <v>1119</v>
      </c>
      <c r="C654" t="s">
        <v>1052</v>
      </c>
      <c r="H654">
        <v>4</v>
      </c>
      <c r="I654" t="s">
        <v>56</v>
      </c>
      <c r="J654">
        <v>4.0000000000000002E-4</v>
      </c>
      <c r="K654" t="s">
        <v>57</v>
      </c>
      <c r="O654">
        <v>0</v>
      </c>
      <c r="T654">
        <v>77</v>
      </c>
      <c r="V654">
        <v>90</v>
      </c>
      <c r="W654" t="s">
        <v>1129</v>
      </c>
      <c r="X654" t="s">
        <v>280</v>
      </c>
      <c r="Y654">
        <v>1440</v>
      </c>
      <c r="AB654">
        <v>0.6</v>
      </c>
      <c r="AC654" t="s">
        <v>210</v>
      </c>
      <c r="AD654" t="s">
        <v>321</v>
      </c>
      <c r="AE654" t="s">
        <v>63</v>
      </c>
      <c r="AH654">
        <v>7.3</v>
      </c>
      <c r="AI654">
        <v>5</v>
      </c>
      <c r="AV654" t="s">
        <v>88</v>
      </c>
      <c r="BA654">
        <v>7.3</v>
      </c>
    </row>
    <row r="655" spans="1:53" hidden="1" x14ac:dyDescent="0.3">
      <c r="A655" t="s">
        <v>1119</v>
      </c>
      <c r="C655" t="s">
        <v>1052</v>
      </c>
      <c r="H655">
        <v>4</v>
      </c>
      <c r="I655" t="s">
        <v>56</v>
      </c>
      <c r="J655">
        <v>4.0000000000000002E-4</v>
      </c>
      <c r="K655" t="s">
        <v>57</v>
      </c>
      <c r="O655">
        <v>0</v>
      </c>
      <c r="T655">
        <v>68</v>
      </c>
      <c r="V655">
        <v>75</v>
      </c>
      <c r="W655" t="s">
        <v>1129</v>
      </c>
      <c r="X655" t="s">
        <v>280</v>
      </c>
      <c r="Y655">
        <v>5760</v>
      </c>
      <c r="AB655">
        <v>0.5</v>
      </c>
      <c r="AC655" t="s">
        <v>210</v>
      </c>
      <c r="AD655" t="s">
        <v>328</v>
      </c>
      <c r="AE655" t="s">
        <v>63</v>
      </c>
      <c r="AH655">
        <v>7.3</v>
      </c>
      <c r="AI655">
        <v>5</v>
      </c>
      <c r="AV655" t="s">
        <v>88</v>
      </c>
      <c r="BA655">
        <v>7.3</v>
      </c>
    </row>
    <row r="656" spans="1:53" hidden="1" x14ac:dyDescent="0.3">
      <c r="A656" t="s">
        <v>1119</v>
      </c>
      <c r="C656" t="s">
        <v>1052</v>
      </c>
      <c r="H656">
        <v>4</v>
      </c>
      <c r="I656" t="s">
        <v>56</v>
      </c>
      <c r="J656">
        <v>4.0000000000000002E-4</v>
      </c>
      <c r="K656" t="s">
        <v>57</v>
      </c>
      <c r="O656">
        <v>0</v>
      </c>
      <c r="T656">
        <v>60</v>
      </c>
      <c r="V656">
        <v>90</v>
      </c>
      <c r="W656" t="s">
        <v>1129</v>
      </c>
      <c r="X656" t="s">
        <v>280</v>
      </c>
      <c r="Y656">
        <v>10080</v>
      </c>
      <c r="AB656">
        <v>0.5</v>
      </c>
      <c r="AC656" t="s">
        <v>210</v>
      </c>
      <c r="AD656" t="s">
        <v>106</v>
      </c>
      <c r="AE656" t="s">
        <v>63</v>
      </c>
      <c r="AH656">
        <v>7.7</v>
      </c>
      <c r="AI656">
        <v>5</v>
      </c>
      <c r="AV656" t="s">
        <v>88</v>
      </c>
      <c r="BA656">
        <v>7.7</v>
      </c>
    </row>
    <row r="657" spans="1:53" hidden="1" x14ac:dyDescent="0.3">
      <c r="A657" t="s">
        <v>1119</v>
      </c>
      <c r="C657" t="s">
        <v>1052</v>
      </c>
      <c r="H657">
        <v>4</v>
      </c>
      <c r="I657" t="s">
        <v>56</v>
      </c>
      <c r="J657">
        <v>4.0000000000000002E-4</v>
      </c>
      <c r="K657" t="s">
        <v>57</v>
      </c>
      <c r="O657">
        <v>0</v>
      </c>
      <c r="T657">
        <v>68</v>
      </c>
      <c r="V657">
        <v>75</v>
      </c>
      <c r="W657" t="s">
        <v>1129</v>
      </c>
      <c r="X657" t="s">
        <v>280</v>
      </c>
      <c r="Y657">
        <v>1440</v>
      </c>
      <c r="AB657">
        <v>0.4</v>
      </c>
      <c r="AC657" t="s">
        <v>210</v>
      </c>
      <c r="AD657" t="s">
        <v>321</v>
      </c>
      <c r="AE657" t="s">
        <v>63</v>
      </c>
      <c r="AH657">
        <v>7.2</v>
      </c>
      <c r="AI657">
        <v>5</v>
      </c>
      <c r="AV657" t="s">
        <v>88</v>
      </c>
      <c r="BA657">
        <v>7.2</v>
      </c>
    </row>
    <row r="658" spans="1:53" hidden="1" x14ac:dyDescent="0.3">
      <c r="A658" t="s">
        <v>1119</v>
      </c>
      <c r="C658" t="s">
        <v>1052</v>
      </c>
      <c r="H658">
        <v>4</v>
      </c>
      <c r="I658" t="s">
        <v>56</v>
      </c>
      <c r="J658">
        <v>4.0000000000000002E-4</v>
      </c>
      <c r="K658" t="s">
        <v>57</v>
      </c>
      <c r="O658">
        <v>0</v>
      </c>
      <c r="T658">
        <v>60</v>
      </c>
      <c r="V658">
        <v>75</v>
      </c>
      <c r="W658" t="s">
        <v>1129</v>
      </c>
      <c r="X658" t="s">
        <v>280</v>
      </c>
      <c r="Y658">
        <v>5760</v>
      </c>
      <c r="AB658">
        <v>0.4</v>
      </c>
      <c r="AC658" t="s">
        <v>210</v>
      </c>
      <c r="AD658" t="s">
        <v>321</v>
      </c>
      <c r="AE658" t="s">
        <v>63</v>
      </c>
      <c r="AH658">
        <v>7.2</v>
      </c>
      <c r="AI658">
        <v>5</v>
      </c>
      <c r="AV658" t="s">
        <v>88</v>
      </c>
      <c r="BA658">
        <v>7.2</v>
      </c>
    </row>
    <row r="659" spans="1:53" hidden="1" x14ac:dyDescent="0.3">
      <c r="A659" t="s">
        <v>1119</v>
      </c>
      <c r="C659" t="s">
        <v>1052</v>
      </c>
      <c r="H659">
        <v>4</v>
      </c>
      <c r="I659" t="s">
        <v>56</v>
      </c>
      <c r="J659">
        <v>4.0000000000000002E-4</v>
      </c>
      <c r="K659" t="s">
        <v>57</v>
      </c>
      <c r="O659">
        <v>0</v>
      </c>
      <c r="T659">
        <v>68</v>
      </c>
      <c r="V659">
        <v>75</v>
      </c>
      <c r="W659" t="s">
        <v>1123</v>
      </c>
      <c r="X659" t="s">
        <v>280</v>
      </c>
      <c r="Y659">
        <v>1440</v>
      </c>
      <c r="AB659">
        <v>0.3</v>
      </c>
      <c r="AC659" t="s">
        <v>210</v>
      </c>
      <c r="AD659" t="s">
        <v>321</v>
      </c>
      <c r="AE659" t="s">
        <v>63</v>
      </c>
      <c r="AH659">
        <v>7.2</v>
      </c>
      <c r="AI659">
        <v>5</v>
      </c>
      <c r="AV659" t="s">
        <v>88</v>
      </c>
      <c r="BA659">
        <v>7.2</v>
      </c>
    </row>
    <row r="660" spans="1:53" hidden="1" x14ac:dyDescent="0.3">
      <c r="A660" t="s">
        <v>1119</v>
      </c>
      <c r="C660" t="s">
        <v>1052</v>
      </c>
      <c r="H660">
        <v>4</v>
      </c>
      <c r="I660" t="s">
        <v>56</v>
      </c>
      <c r="J660">
        <v>4.0000000000000002E-4</v>
      </c>
      <c r="K660" t="s">
        <v>57</v>
      </c>
      <c r="O660">
        <v>0</v>
      </c>
      <c r="T660">
        <v>68</v>
      </c>
      <c r="V660">
        <v>75</v>
      </c>
      <c r="W660" t="s">
        <v>1122</v>
      </c>
      <c r="X660" t="s">
        <v>280</v>
      </c>
      <c r="Y660">
        <v>5760</v>
      </c>
      <c r="AB660">
        <v>0.3</v>
      </c>
      <c r="AC660" t="s">
        <v>210</v>
      </c>
      <c r="AD660" t="s">
        <v>321</v>
      </c>
      <c r="AE660" t="s">
        <v>63</v>
      </c>
      <c r="AH660">
        <v>7.3</v>
      </c>
      <c r="AI660">
        <v>5</v>
      </c>
      <c r="AV660" t="s">
        <v>88</v>
      </c>
      <c r="BA660">
        <v>7.3</v>
      </c>
    </row>
    <row r="661" spans="1:53" hidden="1" x14ac:dyDescent="0.3">
      <c r="A661" t="s">
        <v>1119</v>
      </c>
      <c r="C661" t="s">
        <v>1052</v>
      </c>
      <c r="H661">
        <v>4</v>
      </c>
      <c r="I661" t="s">
        <v>56</v>
      </c>
      <c r="J661">
        <v>4.0000000000000002E-4</v>
      </c>
      <c r="K661" t="s">
        <v>57</v>
      </c>
      <c r="O661">
        <v>0</v>
      </c>
      <c r="T661">
        <v>68</v>
      </c>
      <c r="V661">
        <v>60</v>
      </c>
      <c r="W661" t="s">
        <v>1120</v>
      </c>
      <c r="X661" t="s">
        <v>280</v>
      </c>
      <c r="Y661">
        <v>5760</v>
      </c>
      <c r="AB661">
        <v>0.3</v>
      </c>
      <c r="AC661" t="s">
        <v>210</v>
      </c>
      <c r="AD661" t="s">
        <v>321</v>
      </c>
      <c r="AE661" t="s">
        <v>63</v>
      </c>
      <c r="AH661">
        <v>7.2</v>
      </c>
      <c r="AI661">
        <v>5</v>
      </c>
      <c r="AV661" t="s">
        <v>88</v>
      </c>
      <c r="BA661">
        <v>7.2</v>
      </c>
    </row>
    <row r="662" spans="1:53" hidden="1" x14ac:dyDescent="0.3">
      <c r="A662" t="s">
        <v>1119</v>
      </c>
      <c r="C662" t="s">
        <v>1052</v>
      </c>
      <c r="H662">
        <v>4</v>
      </c>
      <c r="I662" t="s">
        <v>56</v>
      </c>
      <c r="J662">
        <v>4.0000000000000002E-4</v>
      </c>
      <c r="K662" t="s">
        <v>57</v>
      </c>
      <c r="O662">
        <v>0</v>
      </c>
      <c r="T662">
        <v>77</v>
      </c>
      <c r="V662">
        <v>90</v>
      </c>
      <c r="W662" t="s">
        <v>1124</v>
      </c>
      <c r="X662" t="s">
        <v>280</v>
      </c>
      <c r="Y662">
        <v>1440</v>
      </c>
      <c r="AB662">
        <v>0.3</v>
      </c>
      <c r="AC662" t="s">
        <v>210</v>
      </c>
      <c r="AD662" t="s">
        <v>321</v>
      </c>
      <c r="AE662" t="s">
        <v>63</v>
      </c>
      <c r="AH662">
        <v>7.7</v>
      </c>
      <c r="AI662">
        <v>5</v>
      </c>
      <c r="AV662" t="s">
        <v>88</v>
      </c>
      <c r="BA662">
        <v>7.7</v>
      </c>
    </row>
    <row r="663" spans="1:53" hidden="1" x14ac:dyDescent="0.3">
      <c r="A663" t="s">
        <v>1119</v>
      </c>
      <c r="C663" t="s">
        <v>1052</v>
      </c>
      <c r="H663">
        <v>4</v>
      </c>
      <c r="I663" t="s">
        <v>56</v>
      </c>
      <c r="J663">
        <v>4.0000000000000002E-4</v>
      </c>
      <c r="K663" t="s">
        <v>57</v>
      </c>
      <c r="O663">
        <v>0</v>
      </c>
      <c r="T663">
        <v>68</v>
      </c>
      <c r="V663">
        <v>75</v>
      </c>
      <c r="W663" t="s">
        <v>1096</v>
      </c>
      <c r="X663" t="s">
        <v>280</v>
      </c>
      <c r="Y663">
        <v>1440</v>
      </c>
      <c r="AB663">
        <v>0.3</v>
      </c>
      <c r="AC663" t="s">
        <v>210</v>
      </c>
      <c r="AD663" t="s">
        <v>106</v>
      </c>
      <c r="AE663" t="s">
        <v>63</v>
      </c>
      <c r="AH663">
        <v>7.2</v>
      </c>
      <c r="AI663">
        <v>5</v>
      </c>
      <c r="AV663" t="s">
        <v>88</v>
      </c>
      <c r="BA663">
        <v>7.2</v>
      </c>
    </row>
    <row r="664" spans="1:53" hidden="1" x14ac:dyDescent="0.3">
      <c r="A664" t="s">
        <v>1119</v>
      </c>
      <c r="C664" t="s">
        <v>1052</v>
      </c>
      <c r="H664">
        <v>4</v>
      </c>
      <c r="I664" t="s">
        <v>56</v>
      </c>
      <c r="J664">
        <v>4.0000000000000002E-4</v>
      </c>
      <c r="K664" t="s">
        <v>57</v>
      </c>
      <c r="O664">
        <v>0</v>
      </c>
      <c r="T664">
        <v>77</v>
      </c>
      <c r="V664">
        <v>75</v>
      </c>
      <c r="W664" t="s">
        <v>1129</v>
      </c>
      <c r="X664" t="s">
        <v>280</v>
      </c>
      <c r="Y664">
        <v>5760</v>
      </c>
      <c r="AB664">
        <v>0.3</v>
      </c>
      <c r="AC664" t="s">
        <v>210</v>
      </c>
      <c r="AD664" t="s">
        <v>321</v>
      </c>
      <c r="AE664" t="s">
        <v>63</v>
      </c>
      <c r="AH664">
        <v>7.2</v>
      </c>
      <c r="AI664">
        <v>5</v>
      </c>
      <c r="AV664" t="s">
        <v>88</v>
      </c>
      <c r="BA664">
        <v>7.2</v>
      </c>
    </row>
    <row r="665" spans="1:53" hidden="1" x14ac:dyDescent="0.3">
      <c r="A665" t="s">
        <v>1119</v>
      </c>
      <c r="C665" t="s">
        <v>1052</v>
      </c>
      <c r="H665">
        <v>4</v>
      </c>
      <c r="I665" t="s">
        <v>56</v>
      </c>
      <c r="J665">
        <v>4.0000000000000002E-4</v>
      </c>
      <c r="K665" t="s">
        <v>57</v>
      </c>
      <c r="O665">
        <v>0</v>
      </c>
      <c r="T665">
        <v>60</v>
      </c>
      <c r="V665">
        <v>90</v>
      </c>
      <c r="W665" t="s">
        <v>1123</v>
      </c>
      <c r="X665" t="s">
        <v>280</v>
      </c>
      <c r="Y665">
        <v>10080</v>
      </c>
      <c r="AB665">
        <v>0.2</v>
      </c>
      <c r="AC665" t="s">
        <v>210</v>
      </c>
      <c r="AD665" t="s">
        <v>321</v>
      </c>
      <c r="AE665" t="s">
        <v>63</v>
      </c>
      <c r="AH665">
        <v>7.3</v>
      </c>
      <c r="AI665">
        <v>5</v>
      </c>
      <c r="AV665" t="s">
        <v>88</v>
      </c>
      <c r="BA665">
        <v>7.3</v>
      </c>
    </row>
    <row r="666" spans="1:53" hidden="1" x14ac:dyDescent="0.3">
      <c r="A666" t="s">
        <v>1119</v>
      </c>
      <c r="C666" t="s">
        <v>1052</v>
      </c>
      <c r="H666">
        <v>4</v>
      </c>
      <c r="I666" t="s">
        <v>56</v>
      </c>
      <c r="J666">
        <v>4.0000000000000002E-4</v>
      </c>
      <c r="K666" t="s">
        <v>57</v>
      </c>
      <c r="O666">
        <v>0</v>
      </c>
      <c r="T666">
        <v>60</v>
      </c>
      <c r="V666">
        <v>90</v>
      </c>
      <c r="W666" t="s">
        <v>1096</v>
      </c>
      <c r="X666" t="s">
        <v>280</v>
      </c>
      <c r="Y666">
        <v>10080</v>
      </c>
      <c r="AB666">
        <v>0.2</v>
      </c>
      <c r="AC666" t="s">
        <v>210</v>
      </c>
      <c r="AD666" t="s">
        <v>106</v>
      </c>
      <c r="AE666" t="s">
        <v>63</v>
      </c>
      <c r="AH666">
        <v>7.7</v>
      </c>
      <c r="AI666">
        <v>5</v>
      </c>
      <c r="AV666" t="s">
        <v>88</v>
      </c>
      <c r="BA666">
        <v>7.7</v>
      </c>
    </row>
    <row r="667" spans="1:53" hidden="1" x14ac:dyDescent="0.3">
      <c r="A667" t="s">
        <v>1119</v>
      </c>
      <c r="C667" t="s">
        <v>1052</v>
      </c>
      <c r="H667">
        <v>4</v>
      </c>
      <c r="I667" t="s">
        <v>56</v>
      </c>
      <c r="J667">
        <v>4.0000000000000002E-4</v>
      </c>
      <c r="K667" t="s">
        <v>57</v>
      </c>
      <c r="O667">
        <v>0</v>
      </c>
      <c r="T667">
        <v>77</v>
      </c>
      <c r="V667">
        <v>90</v>
      </c>
      <c r="W667" t="s">
        <v>1100</v>
      </c>
      <c r="X667" t="s">
        <v>280</v>
      </c>
      <c r="Y667">
        <v>10080</v>
      </c>
      <c r="AB667">
        <v>0.2</v>
      </c>
      <c r="AC667" t="s">
        <v>210</v>
      </c>
      <c r="AD667" t="s">
        <v>106</v>
      </c>
      <c r="AE667" t="s">
        <v>63</v>
      </c>
      <c r="AH667">
        <v>7.7</v>
      </c>
      <c r="AI667">
        <v>5</v>
      </c>
      <c r="AV667" t="s">
        <v>88</v>
      </c>
      <c r="BA667">
        <v>7.7</v>
      </c>
    </row>
    <row r="668" spans="1:53" hidden="1" x14ac:dyDescent="0.3">
      <c r="A668" t="s">
        <v>1119</v>
      </c>
      <c r="C668" t="s">
        <v>1052</v>
      </c>
      <c r="H668">
        <v>4</v>
      </c>
      <c r="I668" t="s">
        <v>56</v>
      </c>
      <c r="J668">
        <v>4.0000000000000002E-4</v>
      </c>
      <c r="K668" t="s">
        <v>57</v>
      </c>
      <c r="O668">
        <v>0</v>
      </c>
      <c r="T668">
        <v>77</v>
      </c>
      <c r="V668">
        <v>75</v>
      </c>
      <c r="W668" t="s">
        <v>1096</v>
      </c>
      <c r="X668" t="s">
        <v>280</v>
      </c>
      <c r="Y668">
        <v>5760</v>
      </c>
      <c r="AB668">
        <v>0.2</v>
      </c>
      <c r="AC668" t="s">
        <v>210</v>
      </c>
      <c r="AD668" t="s">
        <v>321</v>
      </c>
      <c r="AE668" t="s">
        <v>63</v>
      </c>
      <c r="AH668">
        <v>7.2</v>
      </c>
      <c r="AI668">
        <v>5</v>
      </c>
      <c r="AV668" t="s">
        <v>88</v>
      </c>
      <c r="BA668">
        <v>7.2</v>
      </c>
    </row>
    <row r="669" spans="1:53" hidden="1" x14ac:dyDescent="0.3">
      <c r="A669" t="s">
        <v>1119</v>
      </c>
      <c r="C669" t="s">
        <v>1052</v>
      </c>
      <c r="H669">
        <v>4</v>
      </c>
      <c r="I669" t="s">
        <v>56</v>
      </c>
      <c r="J669">
        <v>4.0000000000000002E-4</v>
      </c>
      <c r="K669" t="s">
        <v>57</v>
      </c>
      <c r="O669">
        <v>0</v>
      </c>
      <c r="T669">
        <v>68</v>
      </c>
      <c r="V669">
        <v>75</v>
      </c>
      <c r="W669" t="s">
        <v>1096</v>
      </c>
      <c r="X669" t="s">
        <v>280</v>
      </c>
      <c r="Y669">
        <v>5760</v>
      </c>
      <c r="AB669">
        <v>0.2</v>
      </c>
      <c r="AC669" t="s">
        <v>210</v>
      </c>
      <c r="AD669" t="s">
        <v>321</v>
      </c>
      <c r="AE669" t="s">
        <v>63</v>
      </c>
      <c r="AH669">
        <v>7.7</v>
      </c>
      <c r="AI669">
        <v>5</v>
      </c>
      <c r="AV669" t="s">
        <v>88</v>
      </c>
      <c r="BA669">
        <v>7.7</v>
      </c>
    </row>
    <row r="670" spans="1:53" hidden="1" x14ac:dyDescent="0.3">
      <c r="A670" t="s">
        <v>1119</v>
      </c>
      <c r="C670" t="s">
        <v>1052</v>
      </c>
      <c r="H670">
        <v>4</v>
      </c>
      <c r="I670" t="s">
        <v>56</v>
      </c>
      <c r="J670">
        <v>4.0000000000000002E-4</v>
      </c>
      <c r="K670" t="s">
        <v>57</v>
      </c>
      <c r="O670">
        <v>0</v>
      </c>
      <c r="T670">
        <v>68</v>
      </c>
      <c r="V670">
        <v>75</v>
      </c>
      <c r="W670" t="s">
        <v>1124</v>
      </c>
      <c r="X670" t="s">
        <v>280</v>
      </c>
      <c r="Y670">
        <v>10080</v>
      </c>
      <c r="AB670">
        <v>0.2</v>
      </c>
      <c r="AC670" t="s">
        <v>210</v>
      </c>
      <c r="AD670" t="s">
        <v>106</v>
      </c>
      <c r="AE670" t="s">
        <v>63</v>
      </c>
      <c r="AH670">
        <v>7.2</v>
      </c>
      <c r="AI670">
        <v>5</v>
      </c>
      <c r="AV670" t="s">
        <v>88</v>
      </c>
      <c r="BA670">
        <v>7.2</v>
      </c>
    </row>
    <row r="671" spans="1:53" hidden="1" x14ac:dyDescent="0.3">
      <c r="A671" t="s">
        <v>1119</v>
      </c>
      <c r="C671" t="s">
        <v>1052</v>
      </c>
      <c r="H671">
        <v>4</v>
      </c>
      <c r="I671" t="s">
        <v>56</v>
      </c>
      <c r="J671">
        <v>4.0000000000000002E-4</v>
      </c>
      <c r="K671" t="s">
        <v>57</v>
      </c>
      <c r="O671">
        <v>0</v>
      </c>
      <c r="T671">
        <v>68</v>
      </c>
      <c r="V671">
        <v>75</v>
      </c>
      <c r="W671" t="s">
        <v>1124</v>
      </c>
      <c r="X671" t="s">
        <v>280</v>
      </c>
      <c r="Y671">
        <v>10080</v>
      </c>
      <c r="AB671">
        <v>0.1</v>
      </c>
      <c r="AC671" t="s">
        <v>210</v>
      </c>
      <c r="AD671" t="s">
        <v>321</v>
      </c>
      <c r="AE671" t="s">
        <v>63</v>
      </c>
      <c r="AH671">
        <v>7.2</v>
      </c>
      <c r="AI671">
        <v>5</v>
      </c>
      <c r="AV671" t="s">
        <v>88</v>
      </c>
      <c r="BA671">
        <v>7.2</v>
      </c>
    </row>
    <row r="672" spans="1:53" hidden="1" x14ac:dyDescent="0.3">
      <c r="A672" t="s">
        <v>1119</v>
      </c>
      <c r="C672" t="s">
        <v>1052</v>
      </c>
      <c r="H672">
        <v>4</v>
      </c>
      <c r="I672" t="s">
        <v>56</v>
      </c>
      <c r="J672">
        <v>4.0000000000000002E-4</v>
      </c>
      <c r="K672" t="s">
        <v>57</v>
      </c>
      <c r="O672">
        <v>0</v>
      </c>
      <c r="T672">
        <v>68</v>
      </c>
      <c r="V672">
        <v>60</v>
      </c>
      <c r="W672" t="s">
        <v>1096</v>
      </c>
      <c r="X672" t="s">
        <v>280</v>
      </c>
      <c r="Y672">
        <v>5760</v>
      </c>
      <c r="AB672">
        <v>0.1</v>
      </c>
      <c r="AC672" t="s">
        <v>210</v>
      </c>
      <c r="AD672" t="s">
        <v>321</v>
      </c>
      <c r="AE672" t="s">
        <v>63</v>
      </c>
      <c r="AH672">
        <v>7.2</v>
      </c>
      <c r="AI672">
        <v>5</v>
      </c>
      <c r="AV672" t="s">
        <v>88</v>
      </c>
      <c r="BA672">
        <v>7.2</v>
      </c>
    </row>
    <row r="673" spans="1:53" hidden="1" x14ac:dyDescent="0.3">
      <c r="A673" t="s">
        <v>1119</v>
      </c>
      <c r="C673" t="s">
        <v>1052</v>
      </c>
      <c r="H673">
        <v>4</v>
      </c>
      <c r="I673" t="s">
        <v>56</v>
      </c>
      <c r="J673">
        <v>4.0000000000000002E-4</v>
      </c>
      <c r="K673" t="s">
        <v>57</v>
      </c>
      <c r="O673">
        <v>0</v>
      </c>
      <c r="T673">
        <v>77</v>
      </c>
      <c r="V673">
        <v>90</v>
      </c>
      <c r="W673" t="s">
        <v>1122</v>
      </c>
      <c r="X673" t="s">
        <v>280</v>
      </c>
      <c r="Y673">
        <v>1440</v>
      </c>
      <c r="AB673">
        <v>0</v>
      </c>
      <c r="AC673" t="s">
        <v>210</v>
      </c>
      <c r="AD673" t="s">
        <v>194</v>
      </c>
      <c r="AE673" t="s">
        <v>63</v>
      </c>
      <c r="AH673">
        <v>7.3</v>
      </c>
      <c r="AI673">
        <v>5</v>
      </c>
      <c r="AV673" t="s">
        <v>88</v>
      </c>
      <c r="BA673">
        <v>7.3</v>
      </c>
    </row>
    <row r="674" spans="1:53" hidden="1" x14ac:dyDescent="0.3">
      <c r="A674" t="s">
        <v>1119</v>
      </c>
      <c r="C674" t="s">
        <v>1052</v>
      </c>
      <c r="H674">
        <v>4</v>
      </c>
      <c r="I674" t="s">
        <v>56</v>
      </c>
      <c r="J674">
        <v>4.0000000000000002E-4</v>
      </c>
      <c r="K674" t="s">
        <v>57</v>
      </c>
      <c r="O674">
        <v>0</v>
      </c>
      <c r="T674">
        <v>77</v>
      </c>
      <c r="V674">
        <v>90</v>
      </c>
      <c r="W674" t="s">
        <v>1123</v>
      </c>
      <c r="X674" t="s">
        <v>280</v>
      </c>
      <c r="Y674">
        <v>1440</v>
      </c>
      <c r="AB674">
        <v>0</v>
      </c>
      <c r="AC674" t="s">
        <v>210</v>
      </c>
      <c r="AD674" t="s">
        <v>194</v>
      </c>
      <c r="AE674" t="s">
        <v>63</v>
      </c>
      <c r="AH674">
        <v>7.3</v>
      </c>
      <c r="AI674">
        <v>5</v>
      </c>
      <c r="AV674" t="s">
        <v>88</v>
      </c>
      <c r="BA674">
        <v>7.3</v>
      </c>
    </row>
    <row r="675" spans="1:53" hidden="1" x14ac:dyDescent="0.3">
      <c r="A675" t="s">
        <v>1119</v>
      </c>
      <c r="C675" t="s">
        <v>1052</v>
      </c>
      <c r="H675">
        <v>4</v>
      </c>
      <c r="I675" t="s">
        <v>56</v>
      </c>
      <c r="J675">
        <v>4.0000000000000002E-4</v>
      </c>
      <c r="K675" t="s">
        <v>57</v>
      </c>
      <c r="O675">
        <v>0</v>
      </c>
      <c r="T675">
        <v>77</v>
      </c>
      <c r="V675">
        <v>90</v>
      </c>
      <c r="W675" t="s">
        <v>1100</v>
      </c>
      <c r="X675" t="s">
        <v>280</v>
      </c>
      <c r="Y675">
        <v>1440</v>
      </c>
      <c r="AB675">
        <v>0</v>
      </c>
      <c r="AC675" t="s">
        <v>210</v>
      </c>
      <c r="AD675" t="s">
        <v>194</v>
      </c>
      <c r="AE675" t="s">
        <v>63</v>
      </c>
      <c r="AH675">
        <v>7.3</v>
      </c>
      <c r="AI675">
        <v>5</v>
      </c>
      <c r="AV675" t="s">
        <v>88</v>
      </c>
      <c r="BA675">
        <v>7.3</v>
      </c>
    </row>
    <row r="676" spans="1:53" hidden="1" x14ac:dyDescent="0.3">
      <c r="A676" t="s">
        <v>1119</v>
      </c>
      <c r="C676" t="s">
        <v>1052</v>
      </c>
      <c r="H676">
        <v>4</v>
      </c>
      <c r="I676" t="s">
        <v>56</v>
      </c>
      <c r="J676">
        <v>4.0000000000000002E-4</v>
      </c>
      <c r="K676" t="s">
        <v>57</v>
      </c>
      <c r="O676">
        <v>0</v>
      </c>
      <c r="T676">
        <v>77</v>
      </c>
      <c r="V676">
        <v>90</v>
      </c>
      <c r="W676" t="s">
        <v>1124</v>
      </c>
      <c r="X676" t="s">
        <v>280</v>
      </c>
      <c r="Y676">
        <v>1440</v>
      </c>
      <c r="AB676">
        <v>0</v>
      </c>
      <c r="AC676" t="s">
        <v>210</v>
      </c>
      <c r="AD676" t="s">
        <v>194</v>
      </c>
      <c r="AE676" t="s">
        <v>63</v>
      </c>
      <c r="AH676">
        <v>7.3</v>
      </c>
      <c r="AI676">
        <v>5</v>
      </c>
      <c r="AV676" t="s">
        <v>88</v>
      </c>
      <c r="BA676">
        <v>7.3</v>
      </c>
    </row>
    <row r="677" spans="1:53" hidden="1" x14ac:dyDescent="0.3">
      <c r="A677" t="s">
        <v>1119</v>
      </c>
      <c r="C677" t="s">
        <v>1052</v>
      </c>
      <c r="H677">
        <v>4</v>
      </c>
      <c r="I677" t="s">
        <v>56</v>
      </c>
      <c r="J677">
        <v>4.0000000000000002E-4</v>
      </c>
      <c r="K677" t="s">
        <v>57</v>
      </c>
      <c r="O677">
        <v>0</v>
      </c>
      <c r="T677">
        <v>77</v>
      </c>
      <c r="V677">
        <v>90</v>
      </c>
      <c r="W677" t="s">
        <v>1120</v>
      </c>
      <c r="X677" t="s">
        <v>280</v>
      </c>
      <c r="Y677">
        <v>1440</v>
      </c>
      <c r="AB677">
        <v>0</v>
      </c>
      <c r="AC677" t="s">
        <v>210</v>
      </c>
      <c r="AD677" t="s">
        <v>194</v>
      </c>
      <c r="AE677" t="s">
        <v>63</v>
      </c>
      <c r="AH677">
        <v>7.3</v>
      </c>
      <c r="AI677">
        <v>5</v>
      </c>
      <c r="AV677" t="s">
        <v>88</v>
      </c>
      <c r="BA677">
        <v>7.3</v>
      </c>
    </row>
    <row r="678" spans="1:53" hidden="1" x14ac:dyDescent="0.3">
      <c r="A678" t="s">
        <v>1119</v>
      </c>
      <c r="C678" t="s">
        <v>1052</v>
      </c>
      <c r="H678">
        <v>4</v>
      </c>
      <c r="I678" t="s">
        <v>56</v>
      </c>
      <c r="J678">
        <v>4.0000000000000002E-4</v>
      </c>
      <c r="K678" t="s">
        <v>57</v>
      </c>
      <c r="O678">
        <v>0</v>
      </c>
      <c r="T678">
        <v>77</v>
      </c>
      <c r="V678">
        <v>90</v>
      </c>
      <c r="W678" t="s">
        <v>1121</v>
      </c>
      <c r="X678" t="s">
        <v>280</v>
      </c>
      <c r="Y678">
        <v>1440</v>
      </c>
      <c r="AB678">
        <v>0</v>
      </c>
      <c r="AC678" t="s">
        <v>210</v>
      </c>
      <c r="AD678" t="s">
        <v>194</v>
      </c>
      <c r="AE678" t="s">
        <v>63</v>
      </c>
      <c r="AH678">
        <v>7.3</v>
      </c>
      <c r="AI678">
        <v>5</v>
      </c>
      <c r="AV678" t="s">
        <v>88</v>
      </c>
      <c r="BA678">
        <v>7.3</v>
      </c>
    </row>
    <row r="679" spans="1:53" hidden="1" x14ac:dyDescent="0.3">
      <c r="A679" t="s">
        <v>1119</v>
      </c>
      <c r="C679" t="s">
        <v>1052</v>
      </c>
      <c r="H679">
        <v>4</v>
      </c>
      <c r="I679" t="s">
        <v>56</v>
      </c>
      <c r="J679">
        <v>4.0000000000000002E-4</v>
      </c>
      <c r="K679" t="s">
        <v>57</v>
      </c>
      <c r="O679">
        <v>0</v>
      </c>
      <c r="T679">
        <v>68</v>
      </c>
      <c r="V679">
        <v>90</v>
      </c>
      <c r="W679" t="s">
        <v>1122</v>
      </c>
      <c r="X679" t="s">
        <v>280</v>
      </c>
      <c r="Y679">
        <v>5760</v>
      </c>
      <c r="AB679">
        <v>0</v>
      </c>
      <c r="AC679" t="s">
        <v>210</v>
      </c>
      <c r="AD679" t="s">
        <v>194</v>
      </c>
      <c r="AE679" t="s">
        <v>63</v>
      </c>
      <c r="AH679">
        <v>7.2</v>
      </c>
      <c r="AI679">
        <v>5</v>
      </c>
      <c r="AV679" t="s">
        <v>88</v>
      </c>
      <c r="BA679">
        <v>7.2</v>
      </c>
    </row>
    <row r="680" spans="1:53" hidden="1" x14ac:dyDescent="0.3">
      <c r="A680" t="s">
        <v>1119</v>
      </c>
      <c r="C680" t="s">
        <v>1052</v>
      </c>
      <c r="H680">
        <v>4</v>
      </c>
      <c r="I680" t="s">
        <v>56</v>
      </c>
      <c r="J680">
        <v>4.0000000000000002E-4</v>
      </c>
      <c r="K680" t="s">
        <v>57</v>
      </c>
      <c r="O680">
        <v>0</v>
      </c>
      <c r="T680">
        <v>68</v>
      </c>
      <c r="V680">
        <v>90</v>
      </c>
      <c r="W680" t="s">
        <v>1123</v>
      </c>
      <c r="X680" t="s">
        <v>280</v>
      </c>
      <c r="Y680">
        <v>5760</v>
      </c>
      <c r="AB680">
        <v>0</v>
      </c>
      <c r="AC680" t="s">
        <v>210</v>
      </c>
      <c r="AD680" t="s">
        <v>194</v>
      </c>
      <c r="AE680" t="s">
        <v>63</v>
      </c>
      <c r="AH680">
        <v>7.2</v>
      </c>
      <c r="AI680">
        <v>5</v>
      </c>
      <c r="AV680" t="s">
        <v>88</v>
      </c>
      <c r="BA680">
        <v>7.2</v>
      </c>
    </row>
    <row r="681" spans="1:53" hidden="1" x14ac:dyDescent="0.3">
      <c r="A681" t="s">
        <v>1119</v>
      </c>
      <c r="C681" t="s">
        <v>1052</v>
      </c>
      <c r="H681">
        <v>4</v>
      </c>
      <c r="I681" t="s">
        <v>56</v>
      </c>
      <c r="J681">
        <v>4.0000000000000002E-4</v>
      </c>
      <c r="K681" t="s">
        <v>57</v>
      </c>
      <c r="O681">
        <v>0</v>
      </c>
      <c r="T681">
        <v>68</v>
      </c>
      <c r="V681">
        <v>90</v>
      </c>
      <c r="W681" t="s">
        <v>1129</v>
      </c>
      <c r="X681" t="s">
        <v>280</v>
      </c>
      <c r="Y681">
        <v>5760</v>
      </c>
      <c r="AB681">
        <v>0</v>
      </c>
      <c r="AC681" t="s">
        <v>210</v>
      </c>
      <c r="AD681" t="s">
        <v>194</v>
      </c>
      <c r="AE681" t="s">
        <v>63</v>
      </c>
      <c r="AH681">
        <v>7.2</v>
      </c>
      <c r="AI681">
        <v>5</v>
      </c>
      <c r="AV681" t="s">
        <v>88</v>
      </c>
      <c r="BA681">
        <v>7.2</v>
      </c>
    </row>
    <row r="682" spans="1:53" hidden="1" x14ac:dyDescent="0.3">
      <c r="A682" t="s">
        <v>1119</v>
      </c>
      <c r="C682" t="s">
        <v>1052</v>
      </c>
      <c r="H682">
        <v>4</v>
      </c>
      <c r="I682" t="s">
        <v>56</v>
      </c>
      <c r="J682">
        <v>4.0000000000000002E-4</v>
      </c>
      <c r="K682" t="s">
        <v>57</v>
      </c>
      <c r="O682">
        <v>0</v>
      </c>
      <c r="T682">
        <v>68</v>
      </c>
      <c r="V682">
        <v>90</v>
      </c>
      <c r="W682" t="s">
        <v>1124</v>
      </c>
      <c r="X682" t="s">
        <v>280</v>
      </c>
      <c r="Y682">
        <v>5760</v>
      </c>
      <c r="AB682">
        <v>0</v>
      </c>
      <c r="AC682" t="s">
        <v>210</v>
      </c>
      <c r="AD682" t="s">
        <v>194</v>
      </c>
      <c r="AE682" t="s">
        <v>63</v>
      </c>
      <c r="AH682">
        <v>7.2</v>
      </c>
      <c r="AI682">
        <v>5</v>
      </c>
      <c r="AV682" t="s">
        <v>88</v>
      </c>
      <c r="BA682">
        <v>7.2</v>
      </c>
    </row>
    <row r="683" spans="1:53" hidden="1" x14ac:dyDescent="0.3">
      <c r="A683" t="s">
        <v>1119</v>
      </c>
      <c r="C683" t="s">
        <v>1052</v>
      </c>
      <c r="H683">
        <v>4</v>
      </c>
      <c r="I683" t="s">
        <v>56</v>
      </c>
      <c r="J683">
        <v>4.0000000000000002E-4</v>
      </c>
      <c r="K683" t="s">
        <v>57</v>
      </c>
      <c r="O683">
        <v>0</v>
      </c>
      <c r="T683">
        <v>68</v>
      </c>
      <c r="V683">
        <v>90</v>
      </c>
      <c r="W683" t="s">
        <v>1120</v>
      </c>
      <c r="X683" t="s">
        <v>280</v>
      </c>
      <c r="Y683">
        <v>5760</v>
      </c>
      <c r="AB683">
        <v>0</v>
      </c>
      <c r="AC683" t="s">
        <v>210</v>
      </c>
      <c r="AD683" t="s">
        <v>194</v>
      </c>
      <c r="AE683" t="s">
        <v>63</v>
      </c>
      <c r="AH683">
        <v>7.2</v>
      </c>
      <c r="AI683">
        <v>5</v>
      </c>
      <c r="AV683" t="s">
        <v>88</v>
      </c>
      <c r="BA683">
        <v>7.2</v>
      </c>
    </row>
    <row r="684" spans="1:53" hidden="1" x14ac:dyDescent="0.3">
      <c r="A684" t="s">
        <v>1119</v>
      </c>
      <c r="C684" t="s">
        <v>1052</v>
      </c>
      <c r="H684">
        <v>4</v>
      </c>
      <c r="I684" t="s">
        <v>56</v>
      </c>
      <c r="J684">
        <v>4.0000000000000002E-4</v>
      </c>
      <c r="K684" t="s">
        <v>57</v>
      </c>
      <c r="O684">
        <v>0</v>
      </c>
      <c r="T684">
        <v>68</v>
      </c>
      <c r="V684">
        <v>90</v>
      </c>
      <c r="W684" t="s">
        <v>1121</v>
      </c>
      <c r="X684" t="s">
        <v>280</v>
      </c>
      <c r="Y684">
        <v>5760</v>
      </c>
      <c r="AB684">
        <v>0</v>
      </c>
      <c r="AC684" t="s">
        <v>210</v>
      </c>
      <c r="AD684" t="s">
        <v>194</v>
      </c>
      <c r="AE684" t="s">
        <v>63</v>
      </c>
      <c r="AH684">
        <v>7.2</v>
      </c>
      <c r="AI684">
        <v>5</v>
      </c>
      <c r="AV684" t="s">
        <v>88</v>
      </c>
      <c r="BA684">
        <v>7.2</v>
      </c>
    </row>
    <row r="685" spans="1:53" hidden="1" x14ac:dyDescent="0.3">
      <c r="A685" t="s">
        <v>1119</v>
      </c>
      <c r="C685" t="s">
        <v>1052</v>
      </c>
      <c r="H685">
        <v>4</v>
      </c>
      <c r="I685" t="s">
        <v>56</v>
      </c>
      <c r="J685">
        <v>4.0000000000000002E-4</v>
      </c>
      <c r="K685" t="s">
        <v>57</v>
      </c>
      <c r="O685">
        <v>0</v>
      </c>
      <c r="T685">
        <v>77</v>
      </c>
      <c r="V685">
        <v>90</v>
      </c>
      <c r="W685" t="s">
        <v>1122</v>
      </c>
      <c r="X685" t="s">
        <v>280</v>
      </c>
      <c r="Y685">
        <v>10080</v>
      </c>
      <c r="AB685">
        <v>0</v>
      </c>
      <c r="AC685" t="s">
        <v>210</v>
      </c>
      <c r="AD685" t="s">
        <v>194</v>
      </c>
      <c r="AE685" t="s">
        <v>63</v>
      </c>
      <c r="AH685">
        <v>7.3</v>
      </c>
      <c r="AI685">
        <v>5</v>
      </c>
      <c r="AV685" t="s">
        <v>88</v>
      </c>
      <c r="BA685">
        <v>7.3</v>
      </c>
    </row>
    <row r="686" spans="1:53" hidden="1" x14ac:dyDescent="0.3">
      <c r="A686" t="s">
        <v>1119</v>
      </c>
      <c r="C686" t="s">
        <v>1052</v>
      </c>
      <c r="H686">
        <v>4</v>
      </c>
      <c r="I686" t="s">
        <v>56</v>
      </c>
      <c r="J686">
        <v>4.0000000000000002E-4</v>
      </c>
      <c r="K686" t="s">
        <v>57</v>
      </c>
      <c r="O686">
        <v>0</v>
      </c>
      <c r="T686">
        <v>60</v>
      </c>
      <c r="V686">
        <v>90</v>
      </c>
      <c r="W686" t="s">
        <v>1122</v>
      </c>
      <c r="X686" t="s">
        <v>280</v>
      </c>
      <c r="Y686">
        <v>10080</v>
      </c>
      <c r="AB686">
        <v>0</v>
      </c>
      <c r="AC686" t="s">
        <v>210</v>
      </c>
      <c r="AD686" t="s">
        <v>194</v>
      </c>
      <c r="AE686" t="s">
        <v>63</v>
      </c>
      <c r="AH686">
        <v>7.3</v>
      </c>
      <c r="AI686">
        <v>5</v>
      </c>
      <c r="AV686" t="s">
        <v>88</v>
      </c>
      <c r="BA686">
        <v>7.3</v>
      </c>
    </row>
    <row r="687" spans="1:53" hidden="1" x14ac:dyDescent="0.3">
      <c r="A687" t="s">
        <v>1119</v>
      </c>
      <c r="C687" t="s">
        <v>1052</v>
      </c>
      <c r="H687">
        <v>4</v>
      </c>
      <c r="I687" t="s">
        <v>56</v>
      </c>
      <c r="J687">
        <v>4.0000000000000002E-4</v>
      </c>
      <c r="K687" t="s">
        <v>57</v>
      </c>
      <c r="O687">
        <v>0</v>
      </c>
      <c r="T687">
        <v>77</v>
      </c>
      <c r="V687">
        <v>90</v>
      </c>
      <c r="W687" t="s">
        <v>1123</v>
      </c>
      <c r="X687" t="s">
        <v>280</v>
      </c>
      <c r="Y687">
        <v>10080</v>
      </c>
      <c r="AB687">
        <v>0</v>
      </c>
      <c r="AC687" t="s">
        <v>210</v>
      </c>
      <c r="AD687" t="s">
        <v>194</v>
      </c>
      <c r="AE687" t="s">
        <v>63</v>
      </c>
      <c r="AH687">
        <v>7.3</v>
      </c>
      <c r="AI687">
        <v>5</v>
      </c>
      <c r="AV687" t="s">
        <v>88</v>
      </c>
      <c r="BA687">
        <v>7.3</v>
      </c>
    </row>
    <row r="688" spans="1:53" hidden="1" x14ac:dyDescent="0.3">
      <c r="A688" t="s">
        <v>1119</v>
      </c>
      <c r="C688" t="s">
        <v>1052</v>
      </c>
      <c r="H688">
        <v>4</v>
      </c>
      <c r="I688" t="s">
        <v>56</v>
      </c>
      <c r="J688">
        <v>4.0000000000000002E-4</v>
      </c>
      <c r="K688" t="s">
        <v>57</v>
      </c>
      <c r="O688">
        <v>0</v>
      </c>
      <c r="T688">
        <v>77</v>
      </c>
      <c r="V688">
        <v>90</v>
      </c>
      <c r="W688" t="s">
        <v>1100</v>
      </c>
      <c r="X688" t="s">
        <v>280</v>
      </c>
      <c r="Y688">
        <v>10080</v>
      </c>
      <c r="AB688">
        <v>0</v>
      </c>
      <c r="AC688" t="s">
        <v>210</v>
      </c>
      <c r="AD688" t="s">
        <v>194</v>
      </c>
      <c r="AE688" t="s">
        <v>63</v>
      </c>
      <c r="AH688">
        <v>7.3</v>
      </c>
      <c r="AI688">
        <v>5</v>
      </c>
      <c r="AV688" t="s">
        <v>88</v>
      </c>
      <c r="BA688">
        <v>7.3</v>
      </c>
    </row>
    <row r="689" spans="1:53" hidden="1" x14ac:dyDescent="0.3">
      <c r="A689" t="s">
        <v>1119</v>
      </c>
      <c r="C689" t="s">
        <v>1052</v>
      </c>
      <c r="H689">
        <v>4</v>
      </c>
      <c r="I689" t="s">
        <v>56</v>
      </c>
      <c r="J689">
        <v>4.0000000000000002E-4</v>
      </c>
      <c r="K689" t="s">
        <v>57</v>
      </c>
      <c r="O689">
        <v>0</v>
      </c>
      <c r="T689">
        <v>77</v>
      </c>
      <c r="V689">
        <v>90</v>
      </c>
      <c r="W689" t="s">
        <v>1129</v>
      </c>
      <c r="X689" t="s">
        <v>280</v>
      </c>
      <c r="Y689">
        <v>10080</v>
      </c>
      <c r="AB689">
        <v>0</v>
      </c>
      <c r="AC689" t="s">
        <v>210</v>
      </c>
      <c r="AD689" t="s">
        <v>194</v>
      </c>
      <c r="AE689" t="s">
        <v>63</v>
      </c>
      <c r="AH689">
        <v>7.3</v>
      </c>
      <c r="AI689">
        <v>5</v>
      </c>
      <c r="AV689" t="s">
        <v>88</v>
      </c>
      <c r="BA689">
        <v>7.3</v>
      </c>
    </row>
    <row r="690" spans="1:53" hidden="1" x14ac:dyDescent="0.3">
      <c r="A690" t="s">
        <v>1119</v>
      </c>
      <c r="C690" t="s">
        <v>1052</v>
      </c>
      <c r="H690">
        <v>4</v>
      </c>
      <c r="I690" t="s">
        <v>56</v>
      </c>
      <c r="J690">
        <v>4.0000000000000002E-4</v>
      </c>
      <c r="K690" t="s">
        <v>57</v>
      </c>
      <c r="O690">
        <v>0</v>
      </c>
      <c r="T690">
        <v>60</v>
      </c>
      <c r="V690">
        <v>90</v>
      </c>
      <c r="W690" t="s">
        <v>1129</v>
      </c>
      <c r="X690" t="s">
        <v>280</v>
      </c>
      <c r="Y690">
        <v>10080</v>
      </c>
      <c r="AB690">
        <v>0</v>
      </c>
      <c r="AC690" t="s">
        <v>210</v>
      </c>
      <c r="AD690" t="s">
        <v>194</v>
      </c>
      <c r="AE690" t="s">
        <v>63</v>
      </c>
      <c r="AH690">
        <v>7.3</v>
      </c>
      <c r="AI690">
        <v>5</v>
      </c>
      <c r="AV690" t="s">
        <v>88</v>
      </c>
      <c r="BA690">
        <v>7.3</v>
      </c>
    </row>
    <row r="691" spans="1:53" hidden="1" x14ac:dyDescent="0.3">
      <c r="A691" t="s">
        <v>1119</v>
      </c>
      <c r="C691" t="s">
        <v>1052</v>
      </c>
      <c r="H691">
        <v>4</v>
      </c>
      <c r="I691" t="s">
        <v>56</v>
      </c>
      <c r="J691">
        <v>4.0000000000000002E-4</v>
      </c>
      <c r="K691" t="s">
        <v>57</v>
      </c>
      <c r="O691">
        <v>0</v>
      </c>
      <c r="T691">
        <v>77</v>
      </c>
      <c r="V691">
        <v>90</v>
      </c>
      <c r="W691" t="s">
        <v>1124</v>
      </c>
      <c r="X691" t="s">
        <v>280</v>
      </c>
      <c r="Y691">
        <v>10080</v>
      </c>
      <c r="AB691">
        <v>0</v>
      </c>
      <c r="AC691" t="s">
        <v>210</v>
      </c>
      <c r="AD691" t="s">
        <v>194</v>
      </c>
      <c r="AE691" t="s">
        <v>63</v>
      </c>
      <c r="AH691">
        <v>7.3</v>
      </c>
      <c r="AI691">
        <v>5</v>
      </c>
      <c r="AV691" t="s">
        <v>88</v>
      </c>
      <c r="BA691">
        <v>7.3</v>
      </c>
    </row>
    <row r="692" spans="1:53" hidden="1" x14ac:dyDescent="0.3">
      <c r="A692" t="s">
        <v>1119</v>
      </c>
      <c r="C692" t="s">
        <v>1052</v>
      </c>
      <c r="H692">
        <v>4</v>
      </c>
      <c r="I692" t="s">
        <v>56</v>
      </c>
      <c r="J692">
        <v>4.0000000000000002E-4</v>
      </c>
      <c r="K692" t="s">
        <v>57</v>
      </c>
      <c r="O692">
        <v>0</v>
      </c>
      <c r="T692">
        <v>77</v>
      </c>
      <c r="V692">
        <v>90</v>
      </c>
      <c r="W692" t="s">
        <v>1120</v>
      </c>
      <c r="X692" t="s">
        <v>280</v>
      </c>
      <c r="Y692">
        <v>10080</v>
      </c>
      <c r="AB692">
        <v>0</v>
      </c>
      <c r="AC692" t="s">
        <v>210</v>
      </c>
      <c r="AD692" t="s">
        <v>194</v>
      </c>
      <c r="AE692" t="s">
        <v>63</v>
      </c>
      <c r="AH692">
        <v>7.3</v>
      </c>
      <c r="AI692">
        <v>5</v>
      </c>
      <c r="AV692" t="s">
        <v>88</v>
      </c>
      <c r="BA692">
        <v>7.3</v>
      </c>
    </row>
    <row r="693" spans="1:53" hidden="1" x14ac:dyDescent="0.3">
      <c r="A693" t="s">
        <v>1119</v>
      </c>
      <c r="C693" t="s">
        <v>1052</v>
      </c>
      <c r="H693">
        <v>4</v>
      </c>
      <c r="I693" t="s">
        <v>56</v>
      </c>
      <c r="J693">
        <v>4.0000000000000002E-4</v>
      </c>
      <c r="K693" t="s">
        <v>57</v>
      </c>
      <c r="O693">
        <v>0</v>
      </c>
      <c r="T693">
        <v>77</v>
      </c>
      <c r="V693">
        <v>90</v>
      </c>
      <c r="W693" t="s">
        <v>1121</v>
      </c>
      <c r="X693" t="s">
        <v>280</v>
      </c>
      <c r="Y693">
        <v>10080</v>
      </c>
      <c r="AB693">
        <v>0</v>
      </c>
      <c r="AC693" t="s">
        <v>210</v>
      </c>
      <c r="AD693" t="s">
        <v>194</v>
      </c>
      <c r="AE693" t="s">
        <v>63</v>
      </c>
      <c r="AH693">
        <v>7.3</v>
      </c>
      <c r="AI693">
        <v>5</v>
      </c>
      <c r="AV693" t="s">
        <v>88</v>
      </c>
      <c r="BA693">
        <v>7.3</v>
      </c>
    </row>
    <row r="694" spans="1:53" hidden="1" x14ac:dyDescent="0.3">
      <c r="A694" t="s">
        <v>1119</v>
      </c>
      <c r="C694" t="s">
        <v>1052</v>
      </c>
      <c r="H694">
        <v>4</v>
      </c>
      <c r="I694" t="s">
        <v>56</v>
      </c>
      <c r="J694">
        <v>4.0000000000000002E-4</v>
      </c>
      <c r="K694" t="s">
        <v>57</v>
      </c>
      <c r="O694">
        <v>0</v>
      </c>
      <c r="T694">
        <v>68</v>
      </c>
      <c r="V694">
        <v>75</v>
      </c>
      <c r="W694" t="s">
        <v>1121</v>
      </c>
      <c r="X694" t="s">
        <v>280</v>
      </c>
      <c r="Y694">
        <v>1440</v>
      </c>
      <c r="AB694">
        <v>0</v>
      </c>
      <c r="AC694" t="s">
        <v>210</v>
      </c>
      <c r="AD694" t="s">
        <v>194</v>
      </c>
      <c r="AE694" t="s">
        <v>63</v>
      </c>
      <c r="AH694">
        <v>7.2</v>
      </c>
      <c r="AI694">
        <v>5</v>
      </c>
      <c r="AV694" t="s">
        <v>88</v>
      </c>
      <c r="BA694">
        <v>7.2</v>
      </c>
    </row>
    <row r="695" spans="1:53" hidden="1" x14ac:dyDescent="0.3">
      <c r="A695" t="s">
        <v>1119</v>
      </c>
      <c r="C695" t="s">
        <v>1052</v>
      </c>
      <c r="H695">
        <v>4</v>
      </c>
      <c r="I695" t="s">
        <v>56</v>
      </c>
      <c r="J695">
        <v>4.0000000000000002E-4</v>
      </c>
      <c r="K695" t="s">
        <v>57</v>
      </c>
      <c r="O695">
        <v>0</v>
      </c>
      <c r="T695">
        <v>77</v>
      </c>
      <c r="V695">
        <v>75</v>
      </c>
      <c r="W695" t="s">
        <v>1122</v>
      </c>
      <c r="X695" t="s">
        <v>280</v>
      </c>
      <c r="Y695">
        <v>5760</v>
      </c>
      <c r="AB695">
        <v>0</v>
      </c>
      <c r="AC695" t="s">
        <v>210</v>
      </c>
      <c r="AD695" t="s">
        <v>194</v>
      </c>
      <c r="AE695" t="s">
        <v>63</v>
      </c>
      <c r="AH695">
        <v>7.2</v>
      </c>
      <c r="AI695">
        <v>5</v>
      </c>
      <c r="AV695" t="s">
        <v>88</v>
      </c>
      <c r="BA695">
        <v>7.2</v>
      </c>
    </row>
    <row r="696" spans="1:53" hidden="1" x14ac:dyDescent="0.3">
      <c r="A696" t="s">
        <v>1119</v>
      </c>
      <c r="C696" t="s">
        <v>1052</v>
      </c>
      <c r="H696">
        <v>4</v>
      </c>
      <c r="I696" t="s">
        <v>56</v>
      </c>
      <c r="J696">
        <v>4.0000000000000002E-4</v>
      </c>
      <c r="K696" t="s">
        <v>57</v>
      </c>
      <c r="O696">
        <v>0</v>
      </c>
      <c r="T696">
        <v>77</v>
      </c>
      <c r="V696">
        <v>75</v>
      </c>
      <c r="W696" t="s">
        <v>1123</v>
      </c>
      <c r="X696" t="s">
        <v>280</v>
      </c>
      <c r="Y696">
        <v>5760</v>
      </c>
      <c r="AB696">
        <v>0</v>
      </c>
      <c r="AC696" t="s">
        <v>210</v>
      </c>
      <c r="AD696" t="s">
        <v>194</v>
      </c>
      <c r="AE696" t="s">
        <v>63</v>
      </c>
      <c r="AH696">
        <v>7.2</v>
      </c>
      <c r="AI696">
        <v>5</v>
      </c>
      <c r="AV696" t="s">
        <v>88</v>
      </c>
      <c r="BA696">
        <v>7.2</v>
      </c>
    </row>
    <row r="697" spans="1:53" hidden="1" x14ac:dyDescent="0.3">
      <c r="A697" t="s">
        <v>1119</v>
      </c>
      <c r="C697" t="s">
        <v>1052</v>
      </c>
      <c r="H697">
        <v>4</v>
      </c>
      <c r="I697" t="s">
        <v>56</v>
      </c>
      <c r="J697">
        <v>4.0000000000000002E-4</v>
      </c>
      <c r="K697" t="s">
        <v>57</v>
      </c>
      <c r="O697">
        <v>0</v>
      </c>
      <c r="T697">
        <v>68</v>
      </c>
      <c r="V697">
        <v>75</v>
      </c>
      <c r="W697" t="s">
        <v>1123</v>
      </c>
      <c r="X697" t="s">
        <v>280</v>
      </c>
      <c r="Y697">
        <v>5760</v>
      </c>
      <c r="AB697">
        <v>0</v>
      </c>
      <c r="AC697" t="s">
        <v>210</v>
      </c>
      <c r="AD697" t="s">
        <v>194</v>
      </c>
      <c r="AE697" t="s">
        <v>63</v>
      </c>
      <c r="AH697">
        <v>7.3</v>
      </c>
      <c r="AI697">
        <v>5</v>
      </c>
      <c r="AV697" t="s">
        <v>88</v>
      </c>
      <c r="BA697">
        <v>7.3</v>
      </c>
    </row>
    <row r="698" spans="1:53" hidden="1" x14ac:dyDescent="0.3">
      <c r="A698" t="s">
        <v>1119</v>
      </c>
      <c r="C698" t="s">
        <v>1052</v>
      </c>
      <c r="H698">
        <v>4</v>
      </c>
      <c r="I698" t="s">
        <v>56</v>
      </c>
      <c r="J698">
        <v>4.0000000000000002E-4</v>
      </c>
      <c r="K698" t="s">
        <v>57</v>
      </c>
      <c r="O698">
        <v>0</v>
      </c>
      <c r="T698">
        <v>60</v>
      </c>
      <c r="V698">
        <v>75</v>
      </c>
      <c r="W698" t="s">
        <v>1123</v>
      </c>
      <c r="X698" t="s">
        <v>280</v>
      </c>
      <c r="Y698">
        <v>5760</v>
      </c>
      <c r="AB698">
        <v>0</v>
      </c>
      <c r="AC698" t="s">
        <v>210</v>
      </c>
      <c r="AD698" t="s">
        <v>194</v>
      </c>
      <c r="AE698" t="s">
        <v>63</v>
      </c>
      <c r="AH698">
        <v>7.2</v>
      </c>
      <c r="AI698">
        <v>5</v>
      </c>
      <c r="AV698" t="s">
        <v>88</v>
      </c>
      <c r="BA698">
        <v>7.2</v>
      </c>
    </row>
    <row r="699" spans="1:53" hidden="1" x14ac:dyDescent="0.3">
      <c r="A699" t="s">
        <v>1119</v>
      </c>
      <c r="C699" t="s">
        <v>1052</v>
      </c>
      <c r="H699">
        <v>4</v>
      </c>
      <c r="I699" t="s">
        <v>56</v>
      </c>
      <c r="J699">
        <v>4.0000000000000002E-4</v>
      </c>
      <c r="K699" t="s">
        <v>57</v>
      </c>
      <c r="O699">
        <v>0</v>
      </c>
      <c r="T699">
        <v>77</v>
      </c>
      <c r="V699">
        <v>75</v>
      </c>
      <c r="W699" t="s">
        <v>1129</v>
      </c>
      <c r="X699" t="s">
        <v>280</v>
      </c>
      <c r="Y699">
        <v>5760</v>
      </c>
      <c r="AB699">
        <v>0</v>
      </c>
      <c r="AC699" t="s">
        <v>210</v>
      </c>
      <c r="AD699" t="s">
        <v>194</v>
      </c>
      <c r="AE699" t="s">
        <v>63</v>
      </c>
      <c r="AH699">
        <v>7.2</v>
      </c>
      <c r="AI699">
        <v>5</v>
      </c>
      <c r="AV699" t="s">
        <v>88</v>
      </c>
      <c r="BA699">
        <v>7.2</v>
      </c>
    </row>
    <row r="700" spans="1:53" hidden="1" x14ac:dyDescent="0.3">
      <c r="A700" t="s">
        <v>1119</v>
      </c>
      <c r="C700" t="s">
        <v>1052</v>
      </c>
      <c r="H700">
        <v>4</v>
      </c>
      <c r="I700" t="s">
        <v>56</v>
      </c>
      <c r="J700">
        <v>4.0000000000000002E-4</v>
      </c>
      <c r="K700" t="s">
        <v>57</v>
      </c>
      <c r="O700">
        <v>0</v>
      </c>
      <c r="T700">
        <v>77</v>
      </c>
      <c r="V700">
        <v>75</v>
      </c>
      <c r="W700" t="s">
        <v>1124</v>
      </c>
      <c r="X700" t="s">
        <v>280</v>
      </c>
      <c r="Y700">
        <v>5760</v>
      </c>
      <c r="AB700">
        <v>0</v>
      </c>
      <c r="AC700" t="s">
        <v>210</v>
      </c>
      <c r="AD700" t="s">
        <v>194</v>
      </c>
      <c r="AE700" t="s">
        <v>63</v>
      </c>
      <c r="AH700">
        <v>7.2</v>
      </c>
      <c r="AI700">
        <v>5</v>
      </c>
      <c r="AV700" t="s">
        <v>88</v>
      </c>
      <c r="BA700">
        <v>7.2</v>
      </c>
    </row>
    <row r="701" spans="1:53" hidden="1" x14ac:dyDescent="0.3">
      <c r="A701" t="s">
        <v>1119</v>
      </c>
      <c r="C701" t="s">
        <v>1052</v>
      </c>
      <c r="H701">
        <v>4</v>
      </c>
      <c r="I701" t="s">
        <v>56</v>
      </c>
      <c r="J701">
        <v>4.0000000000000002E-4</v>
      </c>
      <c r="K701" t="s">
        <v>57</v>
      </c>
      <c r="O701">
        <v>0</v>
      </c>
      <c r="T701">
        <v>77</v>
      </c>
      <c r="V701">
        <v>75</v>
      </c>
      <c r="W701" t="s">
        <v>1120</v>
      </c>
      <c r="X701" t="s">
        <v>280</v>
      </c>
      <c r="Y701">
        <v>5760</v>
      </c>
      <c r="AB701">
        <v>0</v>
      </c>
      <c r="AC701" t="s">
        <v>210</v>
      </c>
      <c r="AD701" t="s">
        <v>194</v>
      </c>
      <c r="AE701" t="s">
        <v>63</v>
      </c>
      <c r="AH701">
        <v>7.2</v>
      </c>
      <c r="AI701">
        <v>5</v>
      </c>
      <c r="AV701" t="s">
        <v>88</v>
      </c>
      <c r="BA701">
        <v>7.2</v>
      </c>
    </row>
    <row r="702" spans="1:53" hidden="1" x14ac:dyDescent="0.3">
      <c r="A702" t="s">
        <v>1119</v>
      </c>
      <c r="C702" t="s">
        <v>1052</v>
      </c>
      <c r="H702">
        <v>4</v>
      </c>
      <c r="I702" t="s">
        <v>56</v>
      </c>
      <c r="J702">
        <v>4.0000000000000002E-4</v>
      </c>
      <c r="K702" t="s">
        <v>57</v>
      </c>
      <c r="O702">
        <v>0</v>
      </c>
      <c r="T702">
        <v>77</v>
      </c>
      <c r="V702">
        <v>75</v>
      </c>
      <c r="W702" t="s">
        <v>1121</v>
      </c>
      <c r="X702" t="s">
        <v>280</v>
      </c>
      <c r="Y702">
        <v>5760</v>
      </c>
      <c r="AB702">
        <v>0</v>
      </c>
      <c r="AC702" t="s">
        <v>210</v>
      </c>
      <c r="AD702" t="s">
        <v>194</v>
      </c>
      <c r="AE702" t="s">
        <v>63</v>
      </c>
      <c r="AH702">
        <v>7.2</v>
      </c>
      <c r="AI702">
        <v>5</v>
      </c>
      <c r="AV702" t="s">
        <v>88</v>
      </c>
      <c r="BA702">
        <v>7.2</v>
      </c>
    </row>
    <row r="703" spans="1:53" hidden="1" x14ac:dyDescent="0.3">
      <c r="A703" t="s">
        <v>1119</v>
      </c>
      <c r="C703" t="s">
        <v>1052</v>
      </c>
      <c r="H703">
        <v>4</v>
      </c>
      <c r="I703" t="s">
        <v>56</v>
      </c>
      <c r="J703">
        <v>4.0000000000000002E-4</v>
      </c>
      <c r="K703" t="s">
        <v>57</v>
      </c>
      <c r="O703">
        <v>0</v>
      </c>
      <c r="T703">
        <v>68</v>
      </c>
      <c r="V703">
        <v>75</v>
      </c>
      <c r="W703" t="s">
        <v>1121</v>
      </c>
      <c r="X703" t="s">
        <v>280</v>
      </c>
      <c r="Y703">
        <v>5760</v>
      </c>
      <c r="AB703">
        <v>0</v>
      </c>
      <c r="AC703" t="s">
        <v>210</v>
      </c>
      <c r="AD703" t="s">
        <v>194</v>
      </c>
      <c r="AE703" t="s">
        <v>63</v>
      </c>
      <c r="AH703">
        <v>7.3</v>
      </c>
      <c r="AI703">
        <v>5</v>
      </c>
      <c r="AV703" t="s">
        <v>88</v>
      </c>
      <c r="BA703">
        <v>7.3</v>
      </c>
    </row>
    <row r="704" spans="1:53" hidden="1" x14ac:dyDescent="0.3">
      <c r="A704" t="s">
        <v>1119</v>
      </c>
      <c r="C704" t="s">
        <v>1052</v>
      </c>
      <c r="H704">
        <v>4</v>
      </c>
      <c r="I704" t="s">
        <v>56</v>
      </c>
      <c r="J704">
        <v>4.0000000000000002E-4</v>
      </c>
      <c r="K704" t="s">
        <v>57</v>
      </c>
      <c r="O704">
        <v>0</v>
      </c>
      <c r="T704">
        <v>60</v>
      </c>
      <c r="V704">
        <v>75</v>
      </c>
      <c r="W704" t="s">
        <v>1121</v>
      </c>
      <c r="X704" t="s">
        <v>280</v>
      </c>
      <c r="Y704">
        <v>5760</v>
      </c>
      <c r="AB704">
        <v>0</v>
      </c>
      <c r="AC704" t="s">
        <v>210</v>
      </c>
      <c r="AD704" t="s">
        <v>194</v>
      </c>
      <c r="AE704" t="s">
        <v>63</v>
      </c>
      <c r="AH704">
        <v>7.2</v>
      </c>
      <c r="AI704">
        <v>5</v>
      </c>
      <c r="AV704" t="s">
        <v>88</v>
      </c>
      <c r="BA704">
        <v>7.2</v>
      </c>
    </row>
    <row r="705" spans="1:53" hidden="1" x14ac:dyDescent="0.3">
      <c r="A705" t="s">
        <v>1119</v>
      </c>
      <c r="C705" t="s">
        <v>1052</v>
      </c>
      <c r="H705">
        <v>4</v>
      </c>
      <c r="I705" t="s">
        <v>56</v>
      </c>
      <c r="J705">
        <v>4.0000000000000002E-4</v>
      </c>
      <c r="K705" t="s">
        <v>57</v>
      </c>
      <c r="O705">
        <v>0</v>
      </c>
      <c r="T705">
        <v>68</v>
      </c>
      <c r="V705">
        <v>75</v>
      </c>
      <c r="W705" t="s">
        <v>1122</v>
      </c>
      <c r="X705" t="s">
        <v>280</v>
      </c>
      <c r="Y705">
        <v>10080</v>
      </c>
      <c r="AB705">
        <v>0</v>
      </c>
      <c r="AC705" t="s">
        <v>210</v>
      </c>
      <c r="AD705" t="s">
        <v>194</v>
      </c>
      <c r="AE705" t="s">
        <v>63</v>
      </c>
      <c r="AH705">
        <v>7.2</v>
      </c>
      <c r="AI705">
        <v>5</v>
      </c>
      <c r="AV705" t="s">
        <v>88</v>
      </c>
      <c r="BA705">
        <v>7.2</v>
      </c>
    </row>
    <row r="706" spans="1:53" hidden="1" x14ac:dyDescent="0.3">
      <c r="A706" t="s">
        <v>1119</v>
      </c>
      <c r="C706" t="s">
        <v>1052</v>
      </c>
      <c r="H706">
        <v>4</v>
      </c>
      <c r="I706" t="s">
        <v>56</v>
      </c>
      <c r="J706">
        <v>4.0000000000000002E-4</v>
      </c>
      <c r="K706" t="s">
        <v>57</v>
      </c>
      <c r="O706">
        <v>0</v>
      </c>
      <c r="T706">
        <v>68</v>
      </c>
      <c r="V706">
        <v>75</v>
      </c>
      <c r="W706" t="s">
        <v>1123</v>
      </c>
      <c r="X706" t="s">
        <v>280</v>
      </c>
      <c r="Y706">
        <v>10080</v>
      </c>
      <c r="AB706">
        <v>0</v>
      </c>
      <c r="AC706" t="s">
        <v>210</v>
      </c>
      <c r="AD706" t="s">
        <v>194</v>
      </c>
      <c r="AE706" t="s">
        <v>63</v>
      </c>
      <c r="AH706">
        <v>7.2</v>
      </c>
      <c r="AI706">
        <v>5</v>
      </c>
      <c r="AV706" t="s">
        <v>88</v>
      </c>
      <c r="BA706">
        <v>7.2</v>
      </c>
    </row>
    <row r="707" spans="1:53" hidden="1" x14ac:dyDescent="0.3">
      <c r="A707" t="s">
        <v>1119</v>
      </c>
      <c r="C707" t="s">
        <v>1052</v>
      </c>
      <c r="H707">
        <v>4</v>
      </c>
      <c r="I707" t="s">
        <v>56</v>
      </c>
      <c r="J707">
        <v>4.0000000000000002E-4</v>
      </c>
      <c r="K707" t="s">
        <v>57</v>
      </c>
      <c r="O707">
        <v>0</v>
      </c>
      <c r="T707">
        <v>68</v>
      </c>
      <c r="V707">
        <v>75</v>
      </c>
      <c r="W707" t="s">
        <v>1129</v>
      </c>
      <c r="X707" t="s">
        <v>280</v>
      </c>
      <c r="Y707">
        <v>10080</v>
      </c>
      <c r="AB707">
        <v>0</v>
      </c>
      <c r="AC707" t="s">
        <v>210</v>
      </c>
      <c r="AD707" t="s">
        <v>194</v>
      </c>
      <c r="AE707" t="s">
        <v>63</v>
      </c>
      <c r="AH707">
        <v>7.2</v>
      </c>
      <c r="AI707">
        <v>5</v>
      </c>
      <c r="AV707" t="s">
        <v>88</v>
      </c>
      <c r="BA707">
        <v>7.2</v>
      </c>
    </row>
    <row r="708" spans="1:53" hidden="1" x14ac:dyDescent="0.3">
      <c r="A708" t="s">
        <v>1119</v>
      </c>
      <c r="C708" t="s">
        <v>1052</v>
      </c>
      <c r="H708">
        <v>4</v>
      </c>
      <c r="I708" t="s">
        <v>56</v>
      </c>
      <c r="J708">
        <v>4.0000000000000002E-4</v>
      </c>
      <c r="K708" t="s">
        <v>57</v>
      </c>
      <c r="O708">
        <v>0</v>
      </c>
      <c r="T708">
        <v>68</v>
      </c>
      <c r="V708">
        <v>75</v>
      </c>
      <c r="W708" t="s">
        <v>1120</v>
      </c>
      <c r="X708" t="s">
        <v>280</v>
      </c>
      <c r="Y708">
        <v>10080</v>
      </c>
      <c r="AB708">
        <v>0</v>
      </c>
      <c r="AC708" t="s">
        <v>210</v>
      </c>
      <c r="AD708" t="s">
        <v>194</v>
      </c>
      <c r="AE708" t="s">
        <v>63</v>
      </c>
      <c r="AH708">
        <v>7.2</v>
      </c>
      <c r="AI708">
        <v>5</v>
      </c>
      <c r="AV708" t="s">
        <v>88</v>
      </c>
      <c r="BA708">
        <v>7.2</v>
      </c>
    </row>
    <row r="709" spans="1:53" hidden="1" x14ac:dyDescent="0.3">
      <c r="A709" t="s">
        <v>1119</v>
      </c>
      <c r="C709" t="s">
        <v>1052</v>
      </c>
      <c r="H709">
        <v>4</v>
      </c>
      <c r="I709" t="s">
        <v>56</v>
      </c>
      <c r="J709">
        <v>4.0000000000000002E-4</v>
      </c>
      <c r="K709" t="s">
        <v>57</v>
      </c>
      <c r="O709">
        <v>0</v>
      </c>
      <c r="T709">
        <v>68</v>
      </c>
      <c r="V709">
        <v>75</v>
      </c>
      <c r="W709" t="s">
        <v>1121</v>
      </c>
      <c r="X709" t="s">
        <v>280</v>
      </c>
      <c r="Y709">
        <v>10080</v>
      </c>
      <c r="AB709">
        <v>0</v>
      </c>
      <c r="AC709" t="s">
        <v>210</v>
      </c>
      <c r="AD709" t="s">
        <v>194</v>
      </c>
      <c r="AE709" t="s">
        <v>63</v>
      </c>
      <c r="AH709">
        <v>7.2</v>
      </c>
      <c r="AI709">
        <v>5</v>
      </c>
      <c r="AV709" t="s">
        <v>88</v>
      </c>
      <c r="BA709">
        <v>7.2</v>
      </c>
    </row>
    <row r="710" spans="1:53" hidden="1" x14ac:dyDescent="0.3">
      <c r="A710" t="s">
        <v>1119</v>
      </c>
      <c r="C710" t="s">
        <v>1052</v>
      </c>
      <c r="H710">
        <v>4</v>
      </c>
      <c r="I710" t="s">
        <v>56</v>
      </c>
      <c r="J710">
        <v>4.0000000000000002E-4</v>
      </c>
      <c r="K710" t="s">
        <v>57</v>
      </c>
      <c r="O710">
        <v>0</v>
      </c>
      <c r="T710">
        <v>77</v>
      </c>
      <c r="V710">
        <v>60</v>
      </c>
      <c r="W710" t="s">
        <v>1121</v>
      </c>
      <c r="X710" t="s">
        <v>280</v>
      </c>
      <c r="Y710">
        <v>1440</v>
      </c>
      <c r="AB710">
        <v>0</v>
      </c>
      <c r="AC710" t="s">
        <v>210</v>
      </c>
      <c r="AD710" t="s">
        <v>194</v>
      </c>
      <c r="AE710" t="s">
        <v>63</v>
      </c>
      <c r="AH710">
        <v>7.3</v>
      </c>
      <c r="AI710">
        <v>5</v>
      </c>
      <c r="AV710" t="s">
        <v>88</v>
      </c>
      <c r="BA710">
        <v>7.3</v>
      </c>
    </row>
    <row r="711" spans="1:53" hidden="1" x14ac:dyDescent="0.3">
      <c r="A711" t="s">
        <v>1119</v>
      </c>
      <c r="C711" t="s">
        <v>1052</v>
      </c>
      <c r="H711">
        <v>4</v>
      </c>
      <c r="I711" t="s">
        <v>56</v>
      </c>
      <c r="J711">
        <v>4.0000000000000002E-4</v>
      </c>
      <c r="K711" t="s">
        <v>57</v>
      </c>
      <c r="O711">
        <v>0</v>
      </c>
      <c r="T711">
        <v>68</v>
      </c>
      <c r="V711">
        <v>60</v>
      </c>
      <c r="W711" t="s">
        <v>1123</v>
      </c>
      <c r="X711" t="s">
        <v>280</v>
      </c>
      <c r="Y711">
        <v>5760</v>
      </c>
      <c r="AB711">
        <v>0</v>
      </c>
      <c r="AC711" t="s">
        <v>210</v>
      </c>
      <c r="AD711" t="s">
        <v>194</v>
      </c>
      <c r="AE711" t="s">
        <v>63</v>
      </c>
      <c r="AH711">
        <v>7.2</v>
      </c>
      <c r="AI711">
        <v>5</v>
      </c>
      <c r="AV711" t="s">
        <v>88</v>
      </c>
      <c r="BA711">
        <v>7.2</v>
      </c>
    </row>
    <row r="712" spans="1:53" hidden="1" x14ac:dyDescent="0.3">
      <c r="A712" t="s">
        <v>1119</v>
      </c>
      <c r="C712" t="s">
        <v>1052</v>
      </c>
      <c r="H712">
        <v>4</v>
      </c>
      <c r="I712" t="s">
        <v>56</v>
      </c>
      <c r="J712">
        <v>4.0000000000000002E-4</v>
      </c>
      <c r="K712" t="s">
        <v>57</v>
      </c>
      <c r="O712">
        <v>0</v>
      </c>
      <c r="T712">
        <v>68</v>
      </c>
      <c r="V712">
        <v>60</v>
      </c>
      <c r="W712" t="s">
        <v>1121</v>
      </c>
      <c r="X712" t="s">
        <v>280</v>
      </c>
      <c r="Y712">
        <v>5760</v>
      </c>
      <c r="AB712">
        <v>0</v>
      </c>
      <c r="AC712" t="s">
        <v>210</v>
      </c>
      <c r="AD712" t="s">
        <v>194</v>
      </c>
      <c r="AE712" t="s">
        <v>63</v>
      </c>
      <c r="AH712">
        <v>7.2</v>
      </c>
      <c r="AI712">
        <v>5</v>
      </c>
      <c r="AV712" t="s">
        <v>88</v>
      </c>
      <c r="BA712">
        <v>7.2</v>
      </c>
    </row>
    <row r="713" spans="1:53" hidden="1" x14ac:dyDescent="0.3">
      <c r="A713" t="s">
        <v>1119</v>
      </c>
      <c r="C713" t="s">
        <v>1052</v>
      </c>
      <c r="H713">
        <v>4</v>
      </c>
      <c r="I713" t="s">
        <v>56</v>
      </c>
      <c r="J713">
        <v>4.0000000000000002E-4</v>
      </c>
      <c r="K713" t="s">
        <v>57</v>
      </c>
      <c r="O713">
        <v>0</v>
      </c>
      <c r="T713">
        <v>77</v>
      </c>
      <c r="V713">
        <v>60</v>
      </c>
      <c r="W713" t="s">
        <v>1122</v>
      </c>
      <c r="X713" t="s">
        <v>280</v>
      </c>
      <c r="Y713">
        <v>10080</v>
      </c>
      <c r="AB713">
        <v>0</v>
      </c>
      <c r="AC713" t="s">
        <v>210</v>
      </c>
      <c r="AD713" t="s">
        <v>194</v>
      </c>
      <c r="AE713" t="s">
        <v>63</v>
      </c>
      <c r="AH713">
        <v>7.3</v>
      </c>
      <c r="AI713">
        <v>5</v>
      </c>
      <c r="AV713" t="s">
        <v>88</v>
      </c>
      <c r="BA713">
        <v>7.3</v>
      </c>
    </row>
    <row r="714" spans="1:53" hidden="1" x14ac:dyDescent="0.3">
      <c r="A714" t="s">
        <v>1119</v>
      </c>
      <c r="C714" t="s">
        <v>1052</v>
      </c>
      <c r="H714">
        <v>4</v>
      </c>
      <c r="I714" t="s">
        <v>56</v>
      </c>
      <c r="J714">
        <v>4.0000000000000002E-4</v>
      </c>
      <c r="K714" t="s">
        <v>57</v>
      </c>
      <c r="O714">
        <v>0</v>
      </c>
      <c r="T714">
        <v>77</v>
      </c>
      <c r="V714">
        <v>60</v>
      </c>
      <c r="W714" t="s">
        <v>1123</v>
      </c>
      <c r="X714" t="s">
        <v>280</v>
      </c>
      <c r="Y714">
        <v>10080</v>
      </c>
      <c r="AB714">
        <v>0</v>
      </c>
      <c r="AC714" t="s">
        <v>210</v>
      </c>
      <c r="AD714" t="s">
        <v>194</v>
      </c>
      <c r="AE714" t="s">
        <v>63</v>
      </c>
      <c r="AH714">
        <v>7.3</v>
      </c>
      <c r="AI714">
        <v>5</v>
      </c>
      <c r="AV714" t="s">
        <v>88</v>
      </c>
      <c r="BA714">
        <v>7.3</v>
      </c>
    </row>
    <row r="715" spans="1:53" hidden="1" x14ac:dyDescent="0.3">
      <c r="A715" t="s">
        <v>1119</v>
      </c>
      <c r="C715" t="s">
        <v>1052</v>
      </c>
      <c r="H715">
        <v>4</v>
      </c>
      <c r="I715" t="s">
        <v>56</v>
      </c>
      <c r="J715">
        <v>4.0000000000000002E-4</v>
      </c>
      <c r="K715" t="s">
        <v>57</v>
      </c>
      <c r="O715">
        <v>0</v>
      </c>
      <c r="T715">
        <v>77</v>
      </c>
      <c r="V715">
        <v>60</v>
      </c>
      <c r="W715" t="s">
        <v>1129</v>
      </c>
      <c r="X715" t="s">
        <v>280</v>
      </c>
      <c r="Y715">
        <v>10080</v>
      </c>
      <c r="AB715">
        <v>0</v>
      </c>
      <c r="AC715" t="s">
        <v>210</v>
      </c>
      <c r="AD715" t="s">
        <v>194</v>
      </c>
      <c r="AE715" t="s">
        <v>63</v>
      </c>
      <c r="AH715">
        <v>7.3</v>
      </c>
      <c r="AI715">
        <v>5</v>
      </c>
      <c r="AV715" t="s">
        <v>88</v>
      </c>
      <c r="BA715">
        <v>7.3</v>
      </c>
    </row>
    <row r="716" spans="1:53" hidden="1" x14ac:dyDescent="0.3">
      <c r="A716" t="s">
        <v>1119</v>
      </c>
      <c r="C716" t="s">
        <v>1052</v>
      </c>
      <c r="H716">
        <v>4</v>
      </c>
      <c r="I716" t="s">
        <v>56</v>
      </c>
      <c r="J716">
        <v>4.0000000000000002E-4</v>
      </c>
      <c r="K716" t="s">
        <v>57</v>
      </c>
      <c r="O716">
        <v>0</v>
      </c>
      <c r="T716">
        <v>77</v>
      </c>
      <c r="V716">
        <v>60</v>
      </c>
      <c r="W716" t="s">
        <v>1124</v>
      </c>
      <c r="X716" t="s">
        <v>280</v>
      </c>
      <c r="Y716">
        <v>10080</v>
      </c>
      <c r="AB716">
        <v>0</v>
      </c>
      <c r="AC716" t="s">
        <v>210</v>
      </c>
      <c r="AD716" t="s">
        <v>194</v>
      </c>
      <c r="AE716" t="s">
        <v>63</v>
      </c>
      <c r="AH716">
        <v>7.3</v>
      </c>
      <c r="AI716">
        <v>5</v>
      </c>
      <c r="AV716" t="s">
        <v>88</v>
      </c>
      <c r="BA716">
        <v>7.3</v>
      </c>
    </row>
    <row r="717" spans="1:53" hidden="1" x14ac:dyDescent="0.3">
      <c r="A717" t="s">
        <v>1119</v>
      </c>
      <c r="C717" t="s">
        <v>1052</v>
      </c>
      <c r="H717">
        <v>4</v>
      </c>
      <c r="I717" t="s">
        <v>56</v>
      </c>
      <c r="J717">
        <v>4.0000000000000002E-4</v>
      </c>
      <c r="K717" t="s">
        <v>57</v>
      </c>
      <c r="O717">
        <v>0</v>
      </c>
      <c r="T717">
        <v>77</v>
      </c>
      <c r="V717">
        <v>60</v>
      </c>
      <c r="W717" t="s">
        <v>1120</v>
      </c>
      <c r="X717" t="s">
        <v>280</v>
      </c>
      <c r="Y717">
        <v>10080</v>
      </c>
      <c r="AB717">
        <v>0</v>
      </c>
      <c r="AC717" t="s">
        <v>210</v>
      </c>
      <c r="AD717" t="s">
        <v>194</v>
      </c>
      <c r="AE717" t="s">
        <v>63</v>
      </c>
      <c r="AH717">
        <v>7.3</v>
      </c>
      <c r="AI717">
        <v>5</v>
      </c>
      <c r="AV717" t="s">
        <v>88</v>
      </c>
      <c r="BA717">
        <v>7.3</v>
      </c>
    </row>
    <row r="718" spans="1:53" hidden="1" x14ac:dyDescent="0.3">
      <c r="A718" t="s">
        <v>1119</v>
      </c>
      <c r="C718" t="s">
        <v>1052</v>
      </c>
      <c r="H718">
        <v>4</v>
      </c>
      <c r="I718" t="s">
        <v>56</v>
      </c>
      <c r="J718">
        <v>4.0000000000000002E-4</v>
      </c>
      <c r="K718" t="s">
        <v>57</v>
      </c>
      <c r="O718">
        <v>0</v>
      </c>
      <c r="T718">
        <v>77</v>
      </c>
      <c r="V718">
        <v>60</v>
      </c>
      <c r="W718" t="s">
        <v>1121</v>
      </c>
      <c r="X718" t="s">
        <v>280</v>
      </c>
      <c r="Y718">
        <v>10080</v>
      </c>
      <c r="AB718">
        <v>0</v>
      </c>
      <c r="AC718" t="s">
        <v>210</v>
      </c>
      <c r="AD718" t="s">
        <v>194</v>
      </c>
      <c r="AE718" t="s">
        <v>63</v>
      </c>
      <c r="AH718">
        <v>7.3</v>
      </c>
      <c r="AI718">
        <v>5</v>
      </c>
      <c r="AV718" t="s">
        <v>88</v>
      </c>
      <c r="BA718">
        <v>7.3</v>
      </c>
    </row>
    <row r="719" spans="1:53" hidden="1" x14ac:dyDescent="0.3">
      <c r="A719" t="s">
        <v>1119</v>
      </c>
      <c r="C719" t="s">
        <v>1052</v>
      </c>
      <c r="H719">
        <v>4</v>
      </c>
      <c r="I719" t="s">
        <v>56</v>
      </c>
      <c r="J719">
        <v>4.0000000000000002E-4</v>
      </c>
      <c r="K719" t="s">
        <v>57</v>
      </c>
      <c r="O719">
        <v>0</v>
      </c>
      <c r="T719">
        <v>77</v>
      </c>
      <c r="V719">
        <v>90</v>
      </c>
      <c r="W719" t="s">
        <v>1122</v>
      </c>
      <c r="X719" t="s">
        <v>280</v>
      </c>
      <c r="Y719">
        <v>1440</v>
      </c>
      <c r="AB719">
        <v>0</v>
      </c>
      <c r="AC719" t="s">
        <v>210</v>
      </c>
      <c r="AD719" t="s">
        <v>194</v>
      </c>
      <c r="AE719" t="s">
        <v>63</v>
      </c>
      <c r="AH719">
        <v>7.7</v>
      </c>
      <c r="AI719">
        <v>5</v>
      </c>
      <c r="AV719" t="s">
        <v>88</v>
      </c>
      <c r="BA719">
        <v>7.7</v>
      </c>
    </row>
    <row r="720" spans="1:53" hidden="1" x14ac:dyDescent="0.3">
      <c r="A720" t="s">
        <v>1119</v>
      </c>
      <c r="C720" t="s">
        <v>1052</v>
      </c>
      <c r="H720">
        <v>4</v>
      </c>
      <c r="I720" t="s">
        <v>56</v>
      </c>
      <c r="J720">
        <v>4.0000000000000002E-4</v>
      </c>
      <c r="K720" t="s">
        <v>57</v>
      </c>
      <c r="O720">
        <v>0</v>
      </c>
      <c r="T720">
        <v>77</v>
      </c>
      <c r="V720">
        <v>90</v>
      </c>
      <c r="W720" t="s">
        <v>1096</v>
      </c>
      <c r="X720" t="s">
        <v>280</v>
      </c>
      <c r="Y720">
        <v>1440</v>
      </c>
      <c r="AB720">
        <v>0</v>
      </c>
      <c r="AC720" t="s">
        <v>210</v>
      </c>
      <c r="AD720" t="s">
        <v>194</v>
      </c>
      <c r="AE720" t="s">
        <v>63</v>
      </c>
      <c r="AH720">
        <v>7.7</v>
      </c>
      <c r="AI720">
        <v>5</v>
      </c>
      <c r="AV720" t="s">
        <v>88</v>
      </c>
      <c r="BA720">
        <v>7.7</v>
      </c>
    </row>
    <row r="721" spans="1:53" hidden="1" x14ac:dyDescent="0.3">
      <c r="A721" t="s">
        <v>1119</v>
      </c>
      <c r="C721" t="s">
        <v>1052</v>
      </c>
      <c r="H721">
        <v>4</v>
      </c>
      <c r="I721" t="s">
        <v>56</v>
      </c>
      <c r="J721">
        <v>4.0000000000000002E-4</v>
      </c>
      <c r="K721" t="s">
        <v>57</v>
      </c>
      <c r="O721">
        <v>0</v>
      </c>
      <c r="T721">
        <v>77</v>
      </c>
      <c r="V721">
        <v>90</v>
      </c>
      <c r="W721" t="s">
        <v>1129</v>
      </c>
      <c r="X721" t="s">
        <v>280</v>
      </c>
      <c r="Y721">
        <v>1440</v>
      </c>
      <c r="AB721">
        <v>0</v>
      </c>
      <c r="AC721" t="s">
        <v>210</v>
      </c>
      <c r="AD721" t="s">
        <v>194</v>
      </c>
      <c r="AE721" t="s">
        <v>63</v>
      </c>
      <c r="AH721">
        <v>7.7</v>
      </c>
      <c r="AI721">
        <v>5</v>
      </c>
      <c r="AV721" t="s">
        <v>88</v>
      </c>
      <c r="BA721">
        <v>7.7</v>
      </c>
    </row>
    <row r="722" spans="1:53" hidden="1" x14ac:dyDescent="0.3">
      <c r="A722" t="s">
        <v>1119</v>
      </c>
      <c r="C722" t="s">
        <v>1052</v>
      </c>
      <c r="H722">
        <v>4</v>
      </c>
      <c r="I722" t="s">
        <v>56</v>
      </c>
      <c r="J722">
        <v>4.0000000000000002E-4</v>
      </c>
      <c r="K722" t="s">
        <v>57</v>
      </c>
      <c r="O722">
        <v>0</v>
      </c>
      <c r="T722">
        <v>77</v>
      </c>
      <c r="V722">
        <v>90</v>
      </c>
      <c r="W722" t="s">
        <v>1120</v>
      </c>
      <c r="X722" t="s">
        <v>280</v>
      </c>
      <c r="Y722">
        <v>1440</v>
      </c>
      <c r="AB722">
        <v>0</v>
      </c>
      <c r="AC722" t="s">
        <v>210</v>
      </c>
      <c r="AD722" t="s">
        <v>194</v>
      </c>
      <c r="AE722" t="s">
        <v>63</v>
      </c>
      <c r="AH722">
        <v>7.7</v>
      </c>
      <c r="AI722">
        <v>5</v>
      </c>
      <c r="AV722" t="s">
        <v>88</v>
      </c>
      <c r="BA722">
        <v>7.7</v>
      </c>
    </row>
    <row r="723" spans="1:53" hidden="1" x14ac:dyDescent="0.3">
      <c r="A723" t="s">
        <v>1119</v>
      </c>
      <c r="C723" t="s">
        <v>1052</v>
      </c>
      <c r="H723">
        <v>4</v>
      </c>
      <c r="I723" t="s">
        <v>56</v>
      </c>
      <c r="J723">
        <v>4.0000000000000002E-4</v>
      </c>
      <c r="K723" t="s">
        <v>57</v>
      </c>
      <c r="O723">
        <v>0</v>
      </c>
      <c r="T723">
        <v>77</v>
      </c>
      <c r="V723">
        <v>90</v>
      </c>
      <c r="W723" t="s">
        <v>1121</v>
      </c>
      <c r="X723" t="s">
        <v>280</v>
      </c>
      <c r="Y723">
        <v>1440</v>
      </c>
      <c r="AB723">
        <v>0</v>
      </c>
      <c r="AC723" t="s">
        <v>210</v>
      </c>
      <c r="AD723" t="s">
        <v>194</v>
      </c>
      <c r="AE723" t="s">
        <v>63</v>
      </c>
      <c r="AH723">
        <v>7.7</v>
      </c>
      <c r="AI723">
        <v>5</v>
      </c>
      <c r="AV723" t="s">
        <v>88</v>
      </c>
      <c r="BA723">
        <v>7.7</v>
      </c>
    </row>
    <row r="724" spans="1:53" hidden="1" x14ac:dyDescent="0.3">
      <c r="A724" t="s">
        <v>1119</v>
      </c>
      <c r="C724" t="s">
        <v>1052</v>
      </c>
      <c r="H724">
        <v>4</v>
      </c>
      <c r="I724" t="s">
        <v>56</v>
      </c>
      <c r="J724">
        <v>4.0000000000000002E-4</v>
      </c>
      <c r="K724" t="s">
        <v>57</v>
      </c>
      <c r="O724">
        <v>0</v>
      </c>
      <c r="T724">
        <v>68</v>
      </c>
      <c r="V724">
        <v>90</v>
      </c>
      <c r="W724" t="s">
        <v>1122</v>
      </c>
      <c r="X724" t="s">
        <v>280</v>
      </c>
      <c r="Y724">
        <v>5760</v>
      </c>
      <c r="AB724">
        <v>0</v>
      </c>
      <c r="AC724" t="s">
        <v>210</v>
      </c>
      <c r="AD724" t="s">
        <v>194</v>
      </c>
      <c r="AE724" t="s">
        <v>63</v>
      </c>
      <c r="AH724">
        <v>7.2</v>
      </c>
      <c r="AI724">
        <v>5</v>
      </c>
      <c r="AV724" t="s">
        <v>88</v>
      </c>
      <c r="BA724">
        <v>7.2</v>
      </c>
    </row>
    <row r="725" spans="1:53" hidden="1" x14ac:dyDescent="0.3">
      <c r="A725" t="s">
        <v>1119</v>
      </c>
      <c r="C725" t="s">
        <v>1052</v>
      </c>
      <c r="H725">
        <v>4</v>
      </c>
      <c r="I725" t="s">
        <v>56</v>
      </c>
      <c r="J725">
        <v>4.0000000000000002E-4</v>
      </c>
      <c r="K725" t="s">
        <v>57</v>
      </c>
      <c r="O725">
        <v>0</v>
      </c>
      <c r="T725">
        <v>68</v>
      </c>
      <c r="V725">
        <v>90</v>
      </c>
      <c r="W725" t="s">
        <v>1096</v>
      </c>
      <c r="X725" t="s">
        <v>280</v>
      </c>
      <c r="Y725">
        <v>5760</v>
      </c>
      <c r="AB725">
        <v>0</v>
      </c>
      <c r="AC725" t="s">
        <v>210</v>
      </c>
      <c r="AD725" t="s">
        <v>194</v>
      </c>
      <c r="AE725" t="s">
        <v>63</v>
      </c>
      <c r="AH725">
        <v>7.2</v>
      </c>
      <c r="AI725">
        <v>5</v>
      </c>
      <c r="AV725" t="s">
        <v>88</v>
      </c>
      <c r="BA725">
        <v>7.2</v>
      </c>
    </row>
    <row r="726" spans="1:53" hidden="1" x14ac:dyDescent="0.3">
      <c r="A726" t="s">
        <v>1119</v>
      </c>
      <c r="C726" t="s">
        <v>1052</v>
      </c>
      <c r="H726">
        <v>4</v>
      </c>
      <c r="I726" t="s">
        <v>56</v>
      </c>
      <c r="J726">
        <v>4.0000000000000002E-4</v>
      </c>
      <c r="K726" t="s">
        <v>57</v>
      </c>
      <c r="O726">
        <v>0</v>
      </c>
      <c r="T726">
        <v>68</v>
      </c>
      <c r="V726">
        <v>90</v>
      </c>
      <c r="W726" t="s">
        <v>1129</v>
      </c>
      <c r="X726" t="s">
        <v>280</v>
      </c>
      <c r="Y726">
        <v>5760</v>
      </c>
      <c r="AB726">
        <v>0</v>
      </c>
      <c r="AC726" t="s">
        <v>210</v>
      </c>
      <c r="AD726" t="s">
        <v>194</v>
      </c>
      <c r="AE726" t="s">
        <v>63</v>
      </c>
      <c r="AH726">
        <v>7.2</v>
      </c>
      <c r="AI726">
        <v>5</v>
      </c>
      <c r="AV726" t="s">
        <v>88</v>
      </c>
      <c r="BA726">
        <v>7.2</v>
      </c>
    </row>
    <row r="727" spans="1:53" hidden="1" x14ac:dyDescent="0.3">
      <c r="A727" t="s">
        <v>1119</v>
      </c>
      <c r="C727" t="s">
        <v>1052</v>
      </c>
      <c r="H727">
        <v>4</v>
      </c>
      <c r="I727" t="s">
        <v>56</v>
      </c>
      <c r="J727">
        <v>4.0000000000000002E-4</v>
      </c>
      <c r="K727" t="s">
        <v>57</v>
      </c>
      <c r="O727">
        <v>0</v>
      </c>
      <c r="T727">
        <v>68</v>
      </c>
      <c r="V727">
        <v>90</v>
      </c>
      <c r="W727" t="s">
        <v>1124</v>
      </c>
      <c r="X727" t="s">
        <v>280</v>
      </c>
      <c r="Y727">
        <v>5760</v>
      </c>
      <c r="AB727">
        <v>0</v>
      </c>
      <c r="AC727" t="s">
        <v>210</v>
      </c>
      <c r="AD727" t="s">
        <v>194</v>
      </c>
      <c r="AE727" t="s">
        <v>63</v>
      </c>
      <c r="AH727">
        <v>7.2</v>
      </c>
      <c r="AI727">
        <v>5</v>
      </c>
      <c r="AV727" t="s">
        <v>88</v>
      </c>
      <c r="BA727">
        <v>7.2</v>
      </c>
    </row>
    <row r="728" spans="1:53" hidden="1" x14ac:dyDescent="0.3">
      <c r="A728" t="s">
        <v>1119</v>
      </c>
      <c r="C728" t="s">
        <v>1052</v>
      </c>
      <c r="H728">
        <v>4</v>
      </c>
      <c r="I728" t="s">
        <v>56</v>
      </c>
      <c r="J728">
        <v>4.0000000000000002E-4</v>
      </c>
      <c r="K728" t="s">
        <v>57</v>
      </c>
      <c r="O728">
        <v>0</v>
      </c>
      <c r="T728">
        <v>68</v>
      </c>
      <c r="V728">
        <v>90</v>
      </c>
      <c r="W728" t="s">
        <v>1120</v>
      </c>
      <c r="X728" t="s">
        <v>280</v>
      </c>
      <c r="Y728">
        <v>5760</v>
      </c>
      <c r="AB728">
        <v>0</v>
      </c>
      <c r="AC728" t="s">
        <v>210</v>
      </c>
      <c r="AD728" t="s">
        <v>194</v>
      </c>
      <c r="AE728" t="s">
        <v>63</v>
      </c>
      <c r="AH728">
        <v>7.2</v>
      </c>
      <c r="AI728">
        <v>5</v>
      </c>
      <c r="AV728" t="s">
        <v>88</v>
      </c>
      <c r="BA728">
        <v>7.2</v>
      </c>
    </row>
    <row r="729" spans="1:53" hidden="1" x14ac:dyDescent="0.3">
      <c r="A729" t="s">
        <v>1119</v>
      </c>
      <c r="C729" t="s">
        <v>1052</v>
      </c>
      <c r="H729">
        <v>4</v>
      </c>
      <c r="I729" t="s">
        <v>56</v>
      </c>
      <c r="J729">
        <v>4.0000000000000002E-4</v>
      </c>
      <c r="K729" t="s">
        <v>57</v>
      </c>
      <c r="O729">
        <v>0</v>
      </c>
      <c r="T729">
        <v>68</v>
      </c>
      <c r="V729">
        <v>90</v>
      </c>
      <c r="W729" t="s">
        <v>1121</v>
      </c>
      <c r="X729" t="s">
        <v>280</v>
      </c>
      <c r="Y729">
        <v>5760</v>
      </c>
      <c r="AB729">
        <v>0</v>
      </c>
      <c r="AC729" t="s">
        <v>210</v>
      </c>
      <c r="AD729" t="s">
        <v>194</v>
      </c>
      <c r="AE729" t="s">
        <v>63</v>
      </c>
      <c r="AH729">
        <v>7.2</v>
      </c>
      <c r="AI729">
        <v>5</v>
      </c>
      <c r="AV729" t="s">
        <v>88</v>
      </c>
      <c r="BA729">
        <v>7.2</v>
      </c>
    </row>
    <row r="730" spans="1:53" hidden="1" x14ac:dyDescent="0.3">
      <c r="A730" t="s">
        <v>1119</v>
      </c>
      <c r="C730" t="s">
        <v>1052</v>
      </c>
      <c r="H730">
        <v>4</v>
      </c>
      <c r="I730" t="s">
        <v>56</v>
      </c>
      <c r="J730">
        <v>4.0000000000000002E-4</v>
      </c>
      <c r="K730" t="s">
        <v>57</v>
      </c>
      <c r="O730">
        <v>0</v>
      </c>
      <c r="T730">
        <v>77</v>
      </c>
      <c r="V730">
        <v>90</v>
      </c>
      <c r="W730" t="s">
        <v>1122</v>
      </c>
      <c r="X730" t="s">
        <v>280</v>
      </c>
      <c r="Y730">
        <v>10080</v>
      </c>
      <c r="AB730">
        <v>0</v>
      </c>
      <c r="AC730" t="s">
        <v>210</v>
      </c>
      <c r="AD730" t="s">
        <v>194</v>
      </c>
      <c r="AE730" t="s">
        <v>63</v>
      </c>
      <c r="AH730">
        <v>7.7</v>
      </c>
      <c r="AI730">
        <v>5</v>
      </c>
      <c r="AV730" t="s">
        <v>88</v>
      </c>
      <c r="BA730">
        <v>7.7</v>
      </c>
    </row>
    <row r="731" spans="1:53" hidden="1" x14ac:dyDescent="0.3">
      <c r="A731" t="s">
        <v>1119</v>
      </c>
      <c r="C731" t="s">
        <v>1052</v>
      </c>
      <c r="H731">
        <v>4</v>
      </c>
      <c r="I731" t="s">
        <v>56</v>
      </c>
      <c r="J731">
        <v>4.0000000000000002E-4</v>
      </c>
      <c r="K731" t="s">
        <v>57</v>
      </c>
      <c r="O731">
        <v>0</v>
      </c>
      <c r="T731">
        <v>60</v>
      </c>
      <c r="V731">
        <v>90</v>
      </c>
      <c r="W731" t="s">
        <v>1122</v>
      </c>
      <c r="X731" t="s">
        <v>280</v>
      </c>
      <c r="Y731">
        <v>10080</v>
      </c>
      <c r="AB731">
        <v>0</v>
      </c>
      <c r="AC731" t="s">
        <v>210</v>
      </c>
      <c r="AD731" t="s">
        <v>194</v>
      </c>
      <c r="AE731" t="s">
        <v>63</v>
      </c>
      <c r="AH731">
        <v>7.7</v>
      </c>
      <c r="AI731">
        <v>5</v>
      </c>
      <c r="AV731" t="s">
        <v>88</v>
      </c>
      <c r="BA731">
        <v>7.7</v>
      </c>
    </row>
    <row r="732" spans="1:53" hidden="1" x14ac:dyDescent="0.3">
      <c r="A732" t="s">
        <v>1119</v>
      </c>
      <c r="C732" t="s">
        <v>1052</v>
      </c>
      <c r="H732">
        <v>4</v>
      </c>
      <c r="I732" t="s">
        <v>56</v>
      </c>
      <c r="J732">
        <v>4.0000000000000002E-4</v>
      </c>
      <c r="K732" t="s">
        <v>57</v>
      </c>
      <c r="O732">
        <v>0</v>
      </c>
      <c r="T732">
        <v>77</v>
      </c>
      <c r="V732">
        <v>90</v>
      </c>
      <c r="W732" t="s">
        <v>1096</v>
      </c>
      <c r="X732" t="s">
        <v>280</v>
      </c>
      <c r="Y732">
        <v>10080</v>
      </c>
      <c r="AB732">
        <v>0</v>
      </c>
      <c r="AC732" t="s">
        <v>210</v>
      </c>
      <c r="AD732" t="s">
        <v>194</v>
      </c>
      <c r="AE732" t="s">
        <v>63</v>
      </c>
      <c r="AH732">
        <v>7.7</v>
      </c>
      <c r="AI732">
        <v>5</v>
      </c>
      <c r="AV732" t="s">
        <v>88</v>
      </c>
      <c r="BA732">
        <v>7.7</v>
      </c>
    </row>
    <row r="733" spans="1:53" hidden="1" x14ac:dyDescent="0.3">
      <c r="A733" t="s">
        <v>1119</v>
      </c>
      <c r="C733" t="s">
        <v>1052</v>
      </c>
      <c r="H733">
        <v>4</v>
      </c>
      <c r="I733" t="s">
        <v>56</v>
      </c>
      <c r="J733">
        <v>4.0000000000000002E-4</v>
      </c>
      <c r="K733" t="s">
        <v>57</v>
      </c>
      <c r="O733">
        <v>0</v>
      </c>
      <c r="T733">
        <v>77</v>
      </c>
      <c r="V733">
        <v>90</v>
      </c>
      <c r="W733" t="s">
        <v>1129</v>
      </c>
      <c r="X733" t="s">
        <v>280</v>
      </c>
      <c r="Y733">
        <v>10080</v>
      </c>
      <c r="AB733">
        <v>0</v>
      </c>
      <c r="AC733" t="s">
        <v>210</v>
      </c>
      <c r="AD733" t="s">
        <v>194</v>
      </c>
      <c r="AE733" t="s">
        <v>63</v>
      </c>
      <c r="AH733">
        <v>7.7</v>
      </c>
      <c r="AI733">
        <v>5</v>
      </c>
      <c r="AV733" t="s">
        <v>88</v>
      </c>
      <c r="BA733">
        <v>7.7</v>
      </c>
    </row>
    <row r="734" spans="1:53" hidden="1" x14ac:dyDescent="0.3">
      <c r="A734" t="s">
        <v>1119</v>
      </c>
      <c r="C734" t="s">
        <v>1052</v>
      </c>
      <c r="H734">
        <v>4</v>
      </c>
      <c r="I734" t="s">
        <v>56</v>
      </c>
      <c r="J734">
        <v>4.0000000000000002E-4</v>
      </c>
      <c r="K734" t="s">
        <v>57</v>
      </c>
      <c r="O734">
        <v>0</v>
      </c>
      <c r="T734">
        <v>77</v>
      </c>
      <c r="V734">
        <v>90</v>
      </c>
      <c r="W734" t="s">
        <v>1124</v>
      </c>
      <c r="X734" t="s">
        <v>280</v>
      </c>
      <c r="Y734">
        <v>10080</v>
      </c>
      <c r="AB734">
        <v>0</v>
      </c>
      <c r="AC734" t="s">
        <v>210</v>
      </c>
      <c r="AD734" t="s">
        <v>194</v>
      </c>
      <c r="AE734" t="s">
        <v>63</v>
      </c>
      <c r="AH734">
        <v>7.7</v>
      </c>
      <c r="AI734">
        <v>5</v>
      </c>
      <c r="AV734" t="s">
        <v>88</v>
      </c>
      <c r="BA734">
        <v>7.7</v>
      </c>
    </row>
    <row r="735" spans="1:53" hidden="1" x14ac:dyDescent="0.3">
      <c r="A735" t="s">
        <v>1119</v>
      </c>
      <c r="C735" t="s">
        <v>1052</v>
      </c>
      <c r="H735">
        <v>4</v>
      </c>
      <c r="I735" t="s">
        <v>56</v>
      </c>
      <c r="J735">
        <v>4.0000000000000002E-4</v>
      </c>
      <c r="K735" t="s">
        <v>57</v>
      </c>
      <c r="O735">
        <v>0</v>
      </c>
      <c r="T735">
        <v>77</v>
      </c>
      <c r="V735">
        <v>90</v>
      </c>
      <c r="W735" t="s">
        <v>1120</v>
      </c>
      <c r="X735" t="s">
        <v>280</v>
      </c>
      <c r="Y735">
        <v>10080</v>
      </c>
      <c r="AB735">
        <v>0</v>
      </c>
      <c r="AC735" t="s">
        <v>210</v>
      </c>
      <c r="AD735" t="s">
        <v>194</v>
      </c>
      <c r="AE735" t="s">
        <v>63</v>
      </c>
      <c r="AH735">
        <v>7.7</v>
      </c>
      <c r="AI735">
        <v>5</v>
      </c>
      <c r="AV735" t="s">
        <v>88</v>
      </c>
      <c r="BA735">
        <v>7.7</v>
      </c>
    </row>
    <row r="736" spans="1:53" hidden="1" x14ac:dyDescent="0.3">
      <c r="A736" t="s">
        <v>1119</v>
      </c>
      <c r="C736" t="s">
        <v>1052</v>
      </c>
      <c r="H736">
        <v>4</v>
      </c>
      <c r="I736" t="s">
        <v>56</v>
      </c>
      <c r="J736">
        <v>4.0000000000000002E-4</v>
      </c>
      <c r="K736" t="s">
        <v>57</v>
      </c>
      <c r="O736">
        <v>0</v>
      </c>
      <c r="T736">
        <v>77</v>
      </c>
      <c r="V736">
        <v>90</v>
      </c>
      <c r="W736" t="s">
        <v>1121</v>
      </c>
      <c r="X736" t="s">
        <v>280</v>
      </c>
      <c r="Y736">
        <v>10080</v>
      </c>
      <c r="Z736">
        <v>1</v>
      </c>
      <c r="AB736">
        <v>0</v>
      </c>
      <c r="AC736" t="s">
        <v>210</v>
      </c>
      <c r="AD736" t="s">
        <v>194</v>
      </c>
      <c r="AE736" t="s">
        <v>63</v>
      </c>
      <c r="AH736">
        <v>7.7</v>
      </c>
      <c r="AI736">
        <v>5</v>
      </c>
      <c r="AV736" t="s">
        <v>88</v>
      </c>
      <c r="BA736">
        <v>7.7</v>
      </c>
    </row>
    <row r="737" spans="1:53" hidden="1" x14ac:dyDescent="0.3">
      <c r="A737" t="s">
        <v>1119</v>
      </c>
      <c r="C737" t="s">
        <v>1052</v>
      </c>
      <c r="H737">
        <v>4</v>
      </c>
      <c r="I737" t="s">
        <v>56</v>
      </c>
      <c r="J737">
        <v>4.0000000000000002E-4</v>
      </c>
      <c r="K737" t="s">
        <v>57</v>
      </c>
      <c r="O737">
        <v>0</v>
      </c>
      <c r="T737">
        <v>68</v>
      </c>
      <c r="V737">
        <v>75</v>
      </c>
      <c r="W737" t="s">
        <v>1121</v>
      </c>
      <c r="X737" t="s">
        <v>280</v>
      </c>
      <c r="Y737">
        <v>1440</v>
      </c>
      <c r="Z737">
        <v>1</v>
      </c>
      <c r="AB737">
        <v>0</v>
      </c>
      <c r="AC737" t="s">
        <v>210</v>
      </c>
      <c r="AD737" t="s">
        <v>194</v>
      </c>
      <c r="AE737" t="s">
        <v>63</v>
      </c>
      <c r="AH737">
        <v>7.2</v>
      </c>
      <c r="AI737">
        <v>5</v>
      </c>
      <c r="AV737" t="s">
        <v>88</v>
      </c>
      <c r="BA737">
        <v>7.2</v>
      </c>
    </row>
    <row r="738" spans="1:53" hidden="1" x14ac:dyDescent="0.3">
      <c r="A738" t="s">
        <v>1119</v>
      </c>
      <c r="C738" t="s">
        <v>1052</v>
      </c>
      <c r="H738">
        <v>4</v>
      </c>
      <c r="I738" t="s">
        <v>56</v>
      </c>
      <c r="J738">
        <v>4.0000000000000002E-4</v>
      </c>
      <c r="K738" t="s">
        <v>57</v>
      </c>
      <c r="O738">
        <v>0</v>
      </c>
      <c r="T738">
        <v>77</v>
      </c>
      <c r="V738">
        <v>75</v>
      </c>
      <c r="W738" t="s">
        <v>1122</v>
      </c>
      <c r="X738" t="s">
        <v>280</v>
      </c>
      <c r="Y738">
        <v>5760</v>
      </c>
      <c r="Z738">
        <v>1</v>
      </c>
      <c r="AB738">
        <v>0</v>
      </c>
      <c r="AC738" t="s">
        <v>210</v>
      </c>
      <c r="AD738" t="s">
        <v>194</v>
      </c>
      <c r="AE738" t="s">
        <v>63</v>
      </c>
      <c r="AH738">
        <v>7.2</v>
      </c>
      <c r="AI738">
        <v>5</v>
      </c>
      <c r="AV738" t="s">
        <v>88</v>
      </c>
      <c r="BA738">
        <v>7.2</v>
      </c>
    </row>
    <row r="739" spans="1:53" hidden="1" x14ac:dyDescent="0.3">
      <c r="A739" t="s">
        <v>1119</v>
      </c>
      <c r="C739" t="s">
        <v>1052</v>
      </c>
      <c r="H739">
        <v>4</v>
      </c>
      <c r="I739" t="s">
        <v>56</v>
      </c>
      <c r="J739">
        <v>4.0000000000000002E-4</v>
      </c>
      <c r="K739" t="s">
        <v>57</v>
      </c>
      <c r="O739">
        <v>0</v>
      </c>
      <c r="T739">
        <v>60</v>
      </c>
      <c r="V739">
        <v>75</v>
      </c>
      <c r="W739" t="s">
        <v>1096</v>
      </c>
      <c r="X739" t="s">
        <v>280</v>
      </c>
      <c r="Y739">
        <v>5760</v>
      </c>
      <c r="Z739">
        <v>1</v>
      </c>
      <c r="AB739">
        <v>0</v>
      </c>
      <c r="AC739" t="s">
        <v>210</v>
      </c>
      <c r="AD739" t="s">
        <v>194</v>
      </c>
      <c r="AE739" t="s">
        <v>63</v>
      </c>
      <c r="AH739">
        <v>7.7</v>
      </c>
      <c r="AI739">
        <v>5</v>
      </c>
      <c r="AV739" t="s">
        <v>88</v>
      </c>
      <c r="BA739">
        <v>7.7</v>
      </c>
    </row>
    <row r="740" spans="1:53" hidden="1" x14ac:dyDescent="0.3">
      <c r="A740" t="s">
        <v>1119</v>
      </c>
      <c r="C740" t="s">
        <v>1052</v>
      </c>
      <c r="H740">
        <v>4</v>
      </c>
      <c r="I740" t="s">
        <v>56</v>
      </c>
      <c r="J740">
        <v>4.0000000000000002E-4</v>
      </c>
      <c r="K740" t="s">
        <v>57</v>
      </c>
      <c r="O740">
        <v>0</v>
      </c>
      <c r="T740">
        <v>77</v>
      </c>
      <c r="V740">
        <v>75</v>
      </c>
      <c r="W740" t="s">
        <v>1124</v>
      </c>
      <c r="X740" t="s">
        <v>280</v>
      </c>
      <c r="Y740">
        <v>5760</v>
      </c>
      <c r="AB740">
        <v>0</v>
      </c>
      <c r="AC740" t="s">
        <v>210</v>
      </c>
      <c r="AD740" t="s">
        <v>194</v>
      </c>
      <c r="AE740" t="s">
        <v>63</v>
      </c>
      <c r="AH740">
        <v>7.2</v>
      </c>
      <c r="AI740">
        <v>5</v>
      </c>
      <c r="AV740" t="s">
        <v>88</v>
      </c>
      <c r="BA740">
        <v>7.2</v>
      </c>
    </row>
    <row r="741" spans="1:53" hidden="1" x14ac:dyDescent="0.3">
      <c r="A741" t="s">
        <v>1119</v>
      </c>
      <c r="C741" t="s">
        <v>1052</v>
      </c>
      <c r="H741">
        <v>4</v>
      </c>
      <c r="I741" t="s">
        <v>56</v>
      </c>
      <c r="J741">
        <v>4.0000000000000002E-4</v>
      </c>
      <c r="K741" t="s">
        <v>57</v>
      </c>
      <c r="O741">
        <v>0</v>
      </c>
      <c r="T741">
        <v>77</v>
      </c>
      <c r="V741">
        <v>75</v>
      </c>
      <c r="W741" t="s">
        <v>1120</v>
      </c>
      <c r="X741" t="s">
        <v>280</v>
      </c>
      <c r="Y741">
        <v>5760</v>
      </c>
      <c r="AB741">
        <v>0</v>
      </c>
      <c r="AC741" t="s">
        <v>210</v>
      </c>
      <c r="AD741" t="s">
        <v>194</v>
      </c>
      <c r="AE741" t="s">
        <v>63</v>
      </c>
      <c r="AH741">
        <v>7.2</v>
      </c>
      <c r="AI741">
        <v>5</v>
      </c>
      <c r="AV741" t="s">
        <v>88</v>
      </c>
      <c r="BA741">
        <v>7.2</v>
      </c>
    </row>
    <row r="742" spans="1:53" hidden="1" x14ac:dyDescent="0.3">
      <c r="A742" t="s">
        <v>1119</v>
      </c>
      <c r="C742" t="s">
        <v>1052</v>
      </c>
      <c r="H742">
        <v>4</v>
      </c>
      <c r="I742" t="s">
        <v>56</v>
      </c>
      <c r="J742">
        <v>4.0000000000000002E-4</v>
      </c>
      <c r="K742" t="s">
        <v>57</v>
      </c>
      <c r="O742">
        <v>0</v>
      </c>
      <c r="T742">
        <v>77</v>
      </c>
      <c r="V742">
        <v>75</v>
      </c>
      <c r="W742" t="s">
        <v>1121</v>
      </c>
      <c r="X742" t="s">
        <v>280</v>
      </c>
      <c r="Y742">
        <v>5760</v>
      </c>
      <c r="AB742">
        <v>0</v>
      </c>
      <c r="AC742" t="s">
        <v>210</v>
      </c>
      <c r="AD742" t="s">
        <v>194</v>
      </c>
      <c r="AE742" t="s">
        <v>63</v>
      </c>
      <c r="AH742">
        <v>7.2</v>
      </c>
      <c r="AI742">
        <v>5</v>
      </c>
      <c r="AV742" t="s">
        <v>88</v>
      </c>
      <c r="BA742">
        <v>7.2</v>
      </c>
    </row>
    <row r="743" spans="1:53" hidden="1" x14ac:dyDescent="0.3">
      <c r="A743" t="s">
        <v>1119</v>
      </c>
      <c r="C743" t="s">
        <v>1052</v>
      </c>
      <c r="H743">
        <v>4</v>
      </c>
      <c r="I743" t="s">
        <v>56</v>
      </c>
      <c r="J743">
        <v>4.0000000000000002E-4</v>
      </c>
      <c r="K743" t="s">
        <v>57</v>
      </c>
      <c r="O743">
        <v>0</v>
      </c>
      <c r="T743">
        <v>68</v>
      </c>
      <c r="V743">
        <v>75</v>
      </c>
      <c r="W743" t="s">
        <v>1121</v>
      </c>
      <c r="X743" t="s">
        <v>280</v>
      </c>
      <c r="Y743">
        <v>5760</v>
      </c>
      <c r="AB743">
        <v>0</v>
      </c>
      <c r="AC743" t="s">
        <v>210</v>
      </c>
      <c r="AD743" t="s">
        <v>314</v>
      </c>
      <c r="AE743" t="s">
        <v>63</v>
      </c>
      <c r="AH743">
        <v>7.7</v>
      </c>
      <c r="AI743">
        <v>5</v>
      </c>
      <c r="AV743" t="s">
        <v>88</v>
      </c>
      <c r="BA743">
        <v>7.7</v>
      </c>
    </row>
    <row r="744" spans="1:53" hidden="1" x14ac:dyDescent="0.3">
      <c r="A744" t="s">
        <v>1119</v>
      </c>
      <c r="C744" t="s">
        <v>1052</v>
      </c>
      <c r="H744">
        <v>4</v>
      </c>
      <c r="I744" t="s">
        <v>56</v>
      </c>
      <c r="J744">
        <v>4.0000000000000002E-4</v>
      </c>
      <c r="K744" t="s">
        <v>57</v>
      </c>
      <c r="O744">
        <v>0</v>
      </c>
      <c r="T744">
        <v>60</v>
      </c>
      <c r="V744">
        <v>75</v>
      </c>
      <c r="W744" t="s">
        <v>1121</v>
      </c>
      <c r="X744" t="s">
        <v>280</v>
      </c>
      <c r="Y744">
        <v>5760</v>
      </c>
      <c r="Z744">
        <v>1</v>
      </c>
      <c r="AB744">
        <v>0</v>
      </c>
      <c r="AC744" t="s">
        <v>210</v>
      </c>
      <c r="AD744" t="s">
        <v>194</v>
      </c>
      <c r="AE744" t="s">
        <v>63</v>
      </c>
      <c r="AH744">
        <v>7.2</v>
      </c>
      <c r="AI744">
        <v>5</v>
      </c>
      <c r="AV744" t="s">
        <v>88</v>
      </c>
      <c r="BA744">
        <v>7.2</v>
      </c>
    </row>
    <row r="745" spans="1:53" hidden="1" x14ac:dyDescent="0.3">
      <c r="A745" t="s">
        <v>1119</v>
      </c>
      <c r="C745" t="s">
        <v>1052</v>
      </c>
      <c r="H745">
        <v>4</v>
      </c>
      <c r="I745" t="s">
        <v>56</v>
      </c>
      <c r="J745">
        <v>4.0000000000000002E-4</v>
      </c>
      <c r="K745" t="s">
        <v>57</v>
      </c>
      <c r="O745">
        <v>0</v>
      </c>
      <c r="T745">
        <v>68</v>
      </c>
      <c r="V745">
        <v>75</v>
      </c>
      <c r="W745" t="s">
        <v>1122</v>
      </c>
      <c r="X745" t="s">
        <v>280</v>
      </c>
      <c r="Y745">
        <v>10080</v>
      </c>
      <c r="Z745">
        <v>1</v>
      </c>
      <c r="AB745">
        <v>0</v>
      </c>
      <c r="AC745" t="s">
        <v>210</v>
      </c>
      <c r="AD745" t="s">
        <v>194</v>
      </c>
      <c r="AE745" t="s">
        <v>63</v>
      </c>
      <c r="AH745">
        <v>7.2</v>
      </c>
      <c r="AI745">
        <v>5</v>
      </c>
      <c r="AV745" t="s">
        <v>88</v>
      </c>
      <c r="BA745">
        <v>7.2</v>
      </c>
    </row>
    <row r="746" spans="1:53" hidden="1" x14ac:dyDescent="0.3">
      <c r="A746" t="s">
        <v>1119</v>
      </c>
      <c r="C746" t="s">
        <v>1052</v>
      </c>
      <c r="H746">
        <v>4</v>
      </c>
      <c r="I746" t="s">
        <v>56</v>
      </c>
      <c r="J746">
        <v>4.0000000000000002E-4</v>
      </c>
      <c r="K746" t="s">
        <v>57</v>
      </c>
      <c r="O746">
        <v>0</v>
      </c>
      <c r="T746">
        <v>68</v>
      </c>
      <c r="V746">
        <v>75</v>
      </c>
      <c r="W746" t="s">
        <v>1096</v>
      </c>
      <c r="X746" t="s">
        <v>280</v>
      </c>
      <c r="Y746">
        <v>10080</v>
      </c>
      <c r="Z746">
        <v>1</v>
      </c>
      <c r="AB746">
        <v>0</v>
      </c>
      <c r="AC746" t="s">
        <v>210</v>
      </c>
      <c r="AD746" t="s">
        <v>194</v>
      </c>
      <c r="AE746" t="s">
        <v>63</v>
      </c>
      <c r="AH746">
        <v>7.2</v>
      </c>
      <c r="AI746">
        <v>5</v>
      </c>
      <c r="AV746" t="s">
        <v>88</v>
      </c>
      <c r="BA746">
        <v>7.2</v>
      </c>
    </row>
    <row r="747" spans="1:53" hidden="1" x14ac:dyDescent="0.3">
      <c r="A747" t="s">
        <v>1119</v>
      </c>
      <c r="C747" t="s">
        <v>1052</v>
      </c>
      <c r="H747">
        <v>4</v>
      </c>
      <c r="I747" t="s">
        <v>56</v>
      </c>
      <c r="J747">
        <v>4.0000000000000002E-4</v>
      </c>
      <c r="K747" t="s">
        <v>57</v>
      </c>
      <c r="O747">
        <v>0</v>
      </c>
      <c r="T747">
        <v>68</v>
      </c>
      <c r="V747">
        <v>75</v>
      </c>
      <c r="W747" t="s">
        <v>1129</v>
      </c>
      <c r="X747" t="s">
        <v>280</v>
      </c>
      <c r="Y747">
        <v>10080</v>
      </c>
      <c r="AB747">
        <v>0</v>
      </c>
      <c r="AC747" t="s">
        <v>210</v>
      </c>
      <c r="AD747" t="s">
        <v>194</v>
      </c>
      <c r="AE747" t="s">
        <v>63</v>
      </c>
      <c r="AH747">
        <v>7.2</v>
      </c>
      <c r="AI747">
        <v>5</v>
      </c>
      <c r="AV747" t="s">
        <v>88</v>
      </c>
      <c r="BA747">
        <v>7.2</v>
      </c>
    </row>
    <row r="748" spans="1:53" hidden="1" x14ac:dyDescent="0.3">
      <c r="A748" t="s">
        <v>1119</v>
      </c>
      <c r="C748" t="s">
        <v>1052</v>
      </c>
      <c r="H748">
        <v>4</v>
      </c>
      <c r="I748" t="s">
        <v>56</v>
      </c>
      <c r="J748">
        <v>4.0000000000000002E-4</v>
      </c>
      <c r="K748" t="s">
        <v>57</v>
      </c>
      <c r="O748">
        <v>0</v>
      </c>
      <c r="T748">
        <v>68</v>
      </c>
      <c r="V748">
        <v>75</v>
      </c>
      <c r="W748" t="s">
        <v>1120</v>
      </c>
      <c r="X748" t="s">
        <v>280</v>
      </c>
      <c r="Y748">
        <v>10080</v>
      </c>
      <c r="AB748">
        <v>0</v>
      </c>
      <c r="AC748" t="s">
        <v>210</v>
      </c>
      <c r="AD748" t="s">
        <v>194</v>
      </c>
      <c r="AE748" t="s">
        <v>63</v>
      </c>
      <c r="AH748">
        <v>7.2</v>
      </c>
      <c r="AI748">
        <v>5</v>
      </c>
      <c r="AV748" t="s">
        <v>88</v>
      </c>
      <c r="BA748">
        <v>7.2</v>
      </c>
    </row>
    <row r="749" spans="1:53" hidden="1" x14ac:dyDescent="0.3">
      <c r="A749" t="s">
        <v>1119</v>
      </c>
      <c r="C749" t="s">
        <v>1052</v>
      </c>
      <c r="H749">
        <v>4</v>
      </c>
      <c r="I749" t="s">
        <v>56</v>
      </c>
      <c r="J749">
        <v>4.0000000000000002E-4</v>
      </c>
      <c r="K749" t="s">
        <v>57</v>
      </c>
      <c r="O749">
        <v>0</v>
      </c>
      <c r="T749">
        <v>68</v>
      </c>
      <c r="V749">
        <v>75</v>
      </c>
      <c r="W749" t="s">
        <v>1121</v>
      </c>
      <c r="X749" t="s">
        <v>280</v>
      </c>
      <c r="Y749">
        <v>10080</v>
      </c>
      <c r="AB749">
        <v>0</v>
      </c>
      <c r="AC749" t="s">
        <v>210</v>
      </c>
      <c r="AD749" t="s">
        <v>194</v>
      </c>
      <c r="AE749" t="s">
        <v>63</v>
      </c>
      <c r="AH749">
        <v>7.2</v>
      </c>
      <c r="AI749">
        <v>5</v>
      </c>
      <c r="AV749" t="s">
        <v>88</v>
      </c>
      <c r="BA749">
        <v>7.2</v>
      </c>
    </row>
    <row r="750" spans="1:53" hidden="1" x14ac:dyDescent="0.3">
      <c r="A750" t="s">
        <v>1119</v>
      </c>
      <c r="C750" t="s">
        <v>1052</v>
      </c>
      <c r="H750">
        <v>4</v>
      </c>
      <c r="I750" t="s">
        <v>56</v>
      </c>
      <c r="J750">
        <v>4.0000000000000002E-4</v>
      </c>
      <c r="K750" t="s">
        <v>57</v>
      </c>
      <c r="O750">
        <v>0</v>
      </c>
      <c r="T750">
        <v>77</v>
      </c>
      <c r="V750">
        <v>60</v>
      </c>
      <c r="W750" t="s">
        <v>1121</v>
      </c>
      <c r="X750" t="s">
        <v>280</v>
      </c>
      <c r="Y750">
        <v>1440</v>
      </c>
      <c r="AB750">
        <v>0</v>
      </c>
      <c r="AC750" t="s">
        <v>210</v>
      </c>
      <c r="AD750" t="s">
        <v>194</v>
      </c>
      <c r="AE750" t="s">
        <v>63</v>
      </c>
      <c r="AH750">
        <v>7.7</v>
      </c>
      <c r="AI750">
        <v>5</v>
      </c>
      <c r="AV750" t="s">
        <v>88</v>
      </c>
      <c r="BA750">
        <v>7.7</v>
      </c>
    </row>
    <row r="751" spans="1:53" hidden="1" x14ac:dyDescent="0.3">
      <c r="A751" t="s">
        <v>1119</v>
      </c>
      <c r="C751" t="s">
        <v>1052</v>
      </c>
      <c r="H751">
        <v>4</v>
      </c>
      <c r="I751" t="s">
        <v>56</v>
      </c>
      <c r="J751">
        <v>4.0000000000000002E-4</v>
      </c>
      <c r="K751" t="s">
        <v>57</v>
      </c>
      <c r="O751">
        <v>0</v>
      </c>
      <c r="T751">
        <v>68</v>
      </c>
      <c r="V751">
        <v>60</v>
      </c>
      <c r="W751" t="s">
        <v>1121</v>
      </c>
      <c r="X751" t="s">
        <v>280</v>
      </c>
      <c r="Y751">
        <v>5760</v>
      </c>
      <c r="AB751">
        <v>0</v>
      </c>
      <c r="AC751" t="s">
        <v>210</v>
      </c>
      <c r="AD751" t="s">
        <v>194</v>
      </c>
      <c r="AE751" t="s">
        <v>63</v>
      </c>
      <c r="AH751">
        <v>7.2</v>
      </c>
      <c r="AI751">
        <v>5</v>
      </c>
      <c r="AV751" t="s">
        <v>88</v>
      </c>
      <c r="BA751">
        <v>7.2</v>
      </c>
    </row>
    <row r="752" spans="1:53" hidden="1" x14ac:dyDescent="0.3">
      <c r="A752" t="s">
        <v>1119</v>
      </c>
      <c r="C752" t="s">
        <v>1052</v>
      </c>
      <c r="H752">
        <v>4</v>
      </c>
      <c r="I752" t="s">
        <v>56</v>
      </c>
      <c r="J752">
        <v>4.0000000000000002E-4</v>
      </c>
      <c r="K752" t="s">
        <v>57</v>
      </c>
      <c r="O752">
        <v>0</v>
      </c>
      <c r="T752">
        <v>77</v>
      </c>
      <c r="V752">
        <v>60</v>
      </c>
      <c r="W752" t="s">
        <v>1122</v>
      </c>
      <c r="X752" t="s">
        <v>280</v>
      </c>
      <c r="Y752">
        <v>10080</v>
      </c>
      <c r="AB752">
        <v>0</v>
      </c>
      <c r="AC752" t="s">
        <v>210</v>
      </c>
      <c r="AD752" t="s">
        <v>194</v>
      </c>
      <c r="AE752" t="s">
        <v>63</v>
      </c>
      <c r="AH752">
        <v>7.7</v>
      </c>
      <c r="AI752">
        <v>5</v>
      </c>
      <c r="AV752" t="s">
        <v>88</v>
      </c>
      <c r="BA752">
        <v>7.7</v>
      </c>
    </row>
    <row r="753" spans="1:53" hidden="1" x14ac:dyDescent="0.3">
      <c r="A753" t="s">
        <v>1119</v>
      </c>
      <c r="C753" t="s">
        <v>1052</v>
      </c>
      <c r="H753">
        <v>4</v>
      </c>
      <c r="I753" t="s">
        <v>56</v>
      </c>
      <c r="J753">
        <v>4.0000000000000002E-4</v>
      </c>
      <c r="K753" t="s">
        <v>57</v>
      </c>
      <c r="O753">
        <v>0</v>
      </c>
      <c r="T753">
        <v>77</v>
      </c>
      <c r="V753">
        <v>60</v>
      </c>
      <c r="W753" t="s">
        <v>1096</v>
      </c>
      <c r="X753" t="s">
        <v>280</v>
      </c>
      <c r="Y753">
        <v>10080</v>
      </c>
      <c r="AB753">
        <v>0</v>
      </c>
      <c r="AC753" t="s">
        <v>210</v>
      </c>
      <c r="AD753" t="s">
        <v>194</v>
      </c>
      <c r="AE753" t="s">
        <v>63</v>
      </c>
      <c r="AH753">
        <v>7.7</v>
      </c>
      <c r="AI753">
        <v>5</v>
      </c>
      <c r="AV753" t="s">
        <v>88</v>
      </c>
      <c r="BA753">
        <v>7.7</v>
      </c>
    </row>
    <row r="754" spans="1:53" hidden="1" x14ac:dyDescent="0.3">
      <c r="A754" t="s">
        <v>1119</v>
      </c>
      <c r="C754" t="s">
        <v>1052</v>
      </c>
      <c r="H754">
        <v>4</v>
      </c>
      <c r="I754" t="s">
        <v>56</v>
      </c>
      <c r="J754">
        <v>4.0000000000000002E-4</v>
      </c>
      <c r="K754" t="s">
        <v>57</v>
      </c>
      <c r="O754">
        <v>0</v>
      </c>
      <c r="T754">
        <v>77</v>
      </c>
      <c r="V754">
        <v>60</v>
      </c>
      <c r="W754" t="s">
        <v>1129</v>
      </c>
      <c r="X754" t="s">
        <v>280</v>
      </c>
      <c r="Y754">
        <v>10080</v>
      </c>
      <c r="AB754">
        <v>0</v>
      </c>
      <c r="AC754" t="s">
        <v>210</v>
      </c>
      <c r="AD754" t="s">
        <v>194</v>
      </c>
      <c r="AE754" t="s">
        <v>63</v>
      </c>
      <c r="AH754">
        <v>7.7</v>
      </c>
      <c r="AI754">
        <v>5</v>
      </c>
      <c r="AV754" t="s">
        <v>88</v>
      </c>
      <c r="BA754">
        <v>7.7</v>
      </c>
    </row>
    <row r="755" spans="1:53" hidden="1" x14ac:dyDescent="0.3">
      <c r="A755" t="s">
        <v>1119</v>
      </c>
      <c r="C755" t="s">
        <v>1052</v>
      </c>
      <c r="H755">
        <v>4</v>
      </c>
      <c r="I755" t="s">
        <v>56</v>
      </c>
      <c r="J755">
        <v>4.0000000000000002E-4</v>
      </c>
      <c r="K755" t="s">
        <v>57</v>
      </c>
      <c r="O755">
        <v>0</v>
      </c>
      <c r="T755">
        <v>77</v>
      </c>
      <c r="V755">
        <v>60</v>
      </c>
      <c r="W755" t="s">
        <v>1121</v>
      </c>
      <c r="X755" t="s">
        <v>280</v>
      </c>
      <c r="Y755">
        <v>10080</v>
      </c>
      <c r="AB755">
        <v>0</v>
      </c>
      <c r="AC755" t="s">
        <v>210</v>
      </c>
      <c r="AD755" t="s">
        <v>194</v>
      </c>
      <c r="AE755" t="s">
        <v>63</v>
      </c>
      <c r="AH755">
        <v>7.7</v>
      </c>
      <c r="AI755">
        <v>5</v>
      </c>
      <c r="AV755" t="s">
        <v>88</v>
      </c>
      <c r="BA755">
        <v>7.7</v>
      </c>
    </row>
    <row r="756" spans="1:53" x14ac:dyDescent="0.3">
      <c r="A756" t="s">
        <v>1135</v>
      </c>
      <c r="C756" t="s">
        <v>1052</v>
      </c>
      <c r="D756" t="s">
        <v>470</v>
      </c>
      <c r="E756">
        <v>100000</v>
      </c>
      <c r="H756">
        <v>5.5</v>
      </c>
      <c r="I756" t="s">
        <v>82</v>
      </c>
      <c r="J756">
        <v>5.4999999999999999E-6</v>
      </c>
      <c r="K756" t="s">
        <v>252</v>
      </c>
      <c r="L756" t="s">
        <v>58</v>
      </c>
      <c r="O756">
        <v>0.29927007299269998</v>
      </c>
      <c r="P756" t="s">
        <v>1136</v>
      </c>
      <c r="T756">
        <v>25</v>
      </c>
      <c r="V756">
        <v>50</v>
      </c>
      <c r="W756" t="s">
        <v>1137</v>
      </c>
      <c r="X756" t="s">
        <v>1138</v>
      </c>
      <c r="Y756">
        <v>1.8749999999999999E-2</v>
      </c>
      <c r="AB756">
        <v>1.0879120879120801</v>
      </c>
      <c r="AC756" t="s">
        <v>85</v>
      </c>
      <c r="AI756" t="s">
        <v>1139</v>
      </c>
      <c r="AV756" t="s">
        <v>256</v>
      </c>
    </row>
    <row r="757" spans="1:53" x14ac:dyDescent="0.3">
      <c r="A757" t="s">
        <v>1135</v>
      </c>
      <c r="C757" t="s">
        <v>1052</v>
      </c>
      <c r="D757" t="s">
        <v>470</v>
      </c>
      <c r="E757">
        <v>100000</v>
      </c>
      <c r="H757">
        <v>5.5</v>
      </c>
      <c r="I757" t="s">
        <v>82</v>
      </c>
      <c r="J757">
        <v>5.4999999999999999E-6</v>
      </c>
      <c r="K757" t="s">
        <v>252</v>
      </c>
      <c r="L757" t="s">
        <v>58</v>
      </c>
      <c r="O757">
        <v>0.51094890510948898</v>
      </c>
      <c r="P757" t="s">
        <v>1136</v>
      </c>
      <c r="T757">
        <v>25</v>
      </c>
      <c r="V757">
        <v>50</v>
      </c>
      <c r="W757" t="s">
        <v>1137</v>
      </c>
      <c r="X757" t="s">
        <v>1138</v>
      </c>
      <c r="Y757">
        <v>1.8749999999999999E-2</v>
      </c>
      <c r="AB757">
        <v>2.4769230769230699</v>
      </c>
      <c r="AC757" t="s">
        <v>85</v>
      </c>
      <c r="AI757" t="s">
        <v>1139</v>
      </c>
      <c r="AV757" t="s">
        <v>256</v>
      </c>
    </row>
    <row r="758" spans="1:53" x14ac:dyDescent="0.3">
      <c r="A758" t="s">
        <v>1135</v>
      </c>
      <c r="C758" t="s">
        <v>1052</v>
      </c>
      <c r="D758" t="s">
        <v>470</v>
      </c>
      <c r="E758">
        <v>100000</v>
      </c>
      <c r="H758">
        <v>5.5</v>
      </c>
      <c r="I758" t="s">
        <v>82</v>
      </c>
      <c r="J758">
        <v>5.4999999999999999E-6</v>
      </c>
      <c r="K758" t="s">
        <v>252</v>
      </c>
      <c r="L758" t="s">
        <v>58</v>
      </c>
      <c r="O758">
        <v>0.79014598540145908</v>
      </c>
      <c r="P758" t="s">
        <v>1136</v>
      </c>
      <c r="T758">
        <v>25</v>
      </c>
      <c r="V758">
        <v>50</v>
      </c>
      <c r="W758" t="s">
        <v>1137</v>
      </c>
      <c r="X758" t="s">
        <v>1138</v>
      </c>
      <c r="Y758">
        <v>1.8749999999999999E-2</v>
      </c>
      <c r="AB758">
        <v>4.0241758241758188</v>
      </c>
      <c r="AC758" t="s">
        <v>85</v>
      </c>
      <c r="AI758" t="s">
        <v>1139</v>
      </c>
      <c r="AV758" t="s">
        <v>256</v>
      </c>
    </row>
    <row r="759" spans="1:53" x14ac:dyDescent="0.3">
      <c r="A759" t="s">
        <v>1135</v>
      </c>
      <c r="C759" t="s">
        <v>1052</v>
      </c>
      <c r="D759" t="s">
        <v>470</v>
      </c>
      <c r="E759">
        <v>100000</v>
      </c>
      <c r="H759">
        <v>5.5</v>
      </c>
      <c r="I759" t="s">
        <v>82</v>
      </c>
      <c r="J759">
        <v>5.4999999999999999E-6</v>
      </c>
      <c r="K759" t="s">
        <v>252</v>
      </c>
      <c r="L759" t="s">
        <v>58</v>
      </c>
      <c r="O759">
        <v>1.23540145985401</v>
      </c>
      <c r="P759" t="s">
        <v>1136</v>
      </c>
      <c r="T759">
        <v>25</v>
      </c>
      <c r="V759">
        <v>50</v>
      </c>
      <c r="W759" t="s">
        <v>1137</v>
      </c>
      <c r="X759" t="s">
        <v>1138</v>
      </c>
      <c r="Y759">
        <v>1.8749999999999999E-2</v>
      </c>
      <c r="AB759">
        <v>4.4637362637362603</v>
      </c>
      <c r="AC759" t="s">
        <v>85</v>
      </c>
      <c r="AI759" t="s">
        <v>1139</v>
      </c>
      <c r="AV759" t="s">
        <v>256</v>
      </c>
    </row>
    <row r="760" spans="1:53" x14ac:dyDescent="0.3">
      <c r="A760" t="s">
        <v>1135</v>
      </c>
      <c r="C760" t="s">
        <v>1052</v>
      </c>
      <c r="D760" t="s">
        <v>470</v>
      </c>
      <c r="E760">
        <v>100000</v>
      </c>
      <c r="H760">
        <v>5.5</v>
      </c>
      <c r="I760" t="s">
        <v>82</v>
      </c>
      <c r="J760">
        <v>5.4999999999999999E-6</v>
      </c>
      <c r="K760" t="s">
        <v>252</v>
      </c>
      <c r="L760" t="s">
        <v>58</v>
      </c>
      <c r="O760">
        <v>1.50182481751824</v>
      </c>
      <c r="P760" t="s">
        <v>1136</v>
      </c>
      <c r="T760">
        <v>25</v>
      </c>
      <c r="V760">
        <v>50</v>
      </c>
      <c r="W760" t="s">
        <v>1137</v>
      </c>
      <c r="X760" t="s">
        <v>1138</v>
      </c>
      <c r="Y760">
        <v>1.8749999999999999E-2</v>
      </c>
      <c r="AB760">
        <v>4.6219780219780198</v>
      </c>
      <c r="AC760" t="s">
        <v>85</v>
      </c>
      <c r="AI760" t="s">
        <v>1139</v>
      </c>
      <c r="AV760" t="s">
        <v>256</v>
      </c>
    </row>
    <row r="761" spans="1:53" x14ac:dyDescent="0.3">
      <c r="A761" t="s">
        <v>1135</v>
      </c>
      <c r="C761" t="s">
        <v>1052</v>
      </c>
      <c r="D761" t="s">
        <v>470</v>
      </c>
      <c r="E761">
        <v>100000</v>
      </c>
      <c r="H761">
        <v>5.5</v>
      </c>
      <c r="I761" t="s">
        <v>82</v>
      </c>
      <c r="J761">
        <v>5.4999999999999999E-6</v>
      </c>
      <c r="K761" t="s">
        <v>252</v>
      </c>
      <c r="L761" t="s">
        <v>58</v>
      </c>
      <c r="O761">
        <v>0.30291970802919699</v>
      </c>
      <c r="P761" t="s">
        <v>1136</v>
      </c>
      <c r="T761">
        <v>25</v>
      </c>
      <c r="V761">
        <v>50</v>
      </c>
      <c r="W761" t="s">
        <v>1140</v>
      </c>
      <c r="X761" t="s">
        <v>1138</v>
      </c>
      <c r="Y761">
        <v>1.8749999999999999E-2</v>
      </c>
      <c r="AB761">
        <v>0.507692307692307</v>
      </c>
      <c r="AC761" t="s">
        <v>85</v>
      </c>
      <c r="AI761" t="s">
        <v>1139</v>
      </c>
      <c r="AV761" t="s">
        <v>256</v>
      </c>
    </row>
    <row r="762" spans="1:53" x14ac:dyDescent="0.3">
      <c r="A762" t="s">
        <v>1135</v>
      </c>
      <c r="C762" t="s">
        <v>1052</v>
      </c>
      <c r="D762" t="s">
        <v>470</v>
      </c>
      <c r="E762">
        <v>100000</v>
      </c>
      <c r="H762">
        <v>5.5</v>
      </c>
      <c r="I762" t="s">
        <v>82</v>
      </c>
      <c r="J762">
        <v>5.4999999999999999E-6</v>
      </c>
      <c r="K762" t="s">
        <v>252</v>
      </c>
      <c r="L762" t="s">
        <v>58</v>
      </c>
      <c r="O762">
        <v>0.50729927007299203</v>
      </c>
      <c r="P762" t="s">
        <v>1136</v>
      </c>
      <c r="T762">
        <v>25</v>
      </c>
      <c r="V762">
        <v>50</v>
      </c>
      <c r="W762" t="s">
        <v>1140</v>
      </c>
      <c r="X762" t="s">
        <v>1138</v>
      </c>
      <c r="Y762">
        <v>1.8749999999999999E-2</v>
      </c>
      <c r="AB762">
        <v>1.5714285714285701</v>
      </c>
      <c r="AC762" t="s">
        <v>85</v>
      </c>
      <c r="AI762" t="s">
        <v>1139</v>
      </c>
      <c r="AV762" t="s">
        <v>256</v>
      </c>
    </row>
    <row r="763" spans="1:53" x14ac:dyDescent="0.3">
      <c r="A763" t="s">
        <v>1135</v>
      </c>
      <c r="C763" t="s">
        <v>1052</v>
      </c>
      <c r="D763" t="s">
        <v>470</v>
      </c>
      <c r="E763">
        <v>100000</v>
      </c>
      <c r="H763">
        <v>5.5</v>
      </c>
      <c r="I763" t="s">
        <v>82</v>
      </c>
      <c r="J763">
        <v>5.4999999999999999E-6</v>
      </c>
      <c r="K763" t="s">
        <v>252</v>
      </c>
      <c r="L763" t="s">
        <v>58</v>
      </c>
      <c r="O763">
        <v>0.75364963503649596</v>
      </c>
      <c r="P763" t="s">
        <v>1136</v>
      </c>
      <c r="T763">
        <v>25</v>
      </c>
      <c r="V763">
        <v>50</v>
      </c>
      <c r="W763" t="s">
        <v>1140</v>
      </c>
      <c r="X763" t="s">
        <v>1138</v>
      </c>
      <c r="Y763">
        <v>1.8749999999999999E-2</v>
      </c>
      <c r="AB763">
        <v>2.3010989010989</v>
      </c>
      <c r="AC763" t="s">
        <v>85</v>
      </c>
      <c r="AI763" t="s">
        <v>1139</v>
      </c>
      <c r="AV763" t="s">
        <v>256</v>
      </c>
    </row>
    <row r="764" spans="1:53" x14ac:dyDescent="0.3">
      <c r="A764" t="s">
        <v>1135</v>
      </c>
      <c r="C764" t="s">
        <v>1052</v>
      </c>
      <c r="D764" t="s">
        <v>470</v>
      </c>
      <c r="E764">
        <v>100000</v>
      </c>
      <c r="H764">
        <v>5.5</v>
      </c>
      <c r="I764" t="s">
        <v>82</v>
      </c>
      <c r="J764">
        <v>5.4999999999999999E-6</v>
      </c>
      <c r="K764" t="s">
        <v>252</v>
      </c>
      <c r="L764" t="s">
        <v>58</v>
      </c>
      <c r="O764">
        <v>1.02189781021897</v>
      </c>
      <c r="P764" t="s">
        <v>1136</v>
      </c>
      <c r="T764">
        <v>25</v>
      </c>
      <c r="V764">
        <v>50</v>
      </c>
      <c r="W764" t="s">
        <v>1140</v>
      </c>
      <c r="X764" t="s">
        <v>1138</v>
      </c>
      <c r="Y764">
        <v>1.8749999999999999E-2</v>
      </c>
      <c r="AB764">
        <v>3.3999999999999901</v>
      </c>
      <c r="AC764" t="s">
        <v>85</v>
      </c>
      <c r="AI764" t="s">
        <v>1139</v>
      </c>
      <c r="AV764" t="s">
        <v>256</v>
      </c>
    </row>
    <row r="765" spans="1:53" x14ac:dyDescent="0.3">
      <c r="A765" t="s">
        <v>1135</v>
      </c>
      <c r="C765" t="s">
        <v>1052</v>
      </c>
      <c r="D765" t="s">
        <v>470</v>
      </c>
      <c r="E765">
        <v>100000</v>
      </c>
      <c r="H765">
        <v>5.5</v>
      </c>
      <c r="I765" t="s">
        <v>82</v>
      </c>
      <c r="J765">
        <v>5.4999999999999999E-6</v>
      </c>
      <c r="K765" t="s">
        <v>252</v>
      </c>
      <c r="L765" t="s">
        <v>58</v>
      </c>
      <c r="O765">
        <v>1.2317518248175101</v>
      </c>
      <c r="P765" t="s">
        <v>1136</v>
      </c>
      <c r="T765">
        <v>25</v>
      </c>
      <c r="V765">
        <v>50</v>
      </c>
      <c r="W765" t="s">
        <v>1140</v>
      </c>
      <c r="X765" t="s">
        <v>1138</v>
      </c>
      <c r="Y765">
        <v>1.8749999999999999E-2</v>
      </c>
      <c r="AB765">
        <v>4.0065934065934004</v>
      </c>
      <c r="AC765" t="s">
        <v>85</v>
      </c>
      <c r="AI765" t="s">
        <v>1139</v>
      </c>
      <c r="AV765" t="s">
        <v>256</v>
      </c>
    </row>
    <row r="766" spans="1:53" x14ac:dyDescent="0.3">
      <c r="A766" t="s">
        <v>1135</v>
      </c>
      <c r="C766" t="s">
        <v>1052</v>
      </c>
      <c r="D766" t="s">
        <v>470</v>
      </c>
      <c r="E766">
        <v>100000</v>
      </c>
      <c r="H766">
        <v>5.5</v>
      </c>
      <c r="I766" t="s">
        <v>82</v>
      </c>
      <c r="J766">
        <v>5.4999999999999999E-6</v>
      </c>
      <c r="K766" t="s">
        <v>252</v>
      </c>
      <c r="L766" t="s">
        <v>58</v>
      </c>
      <c r="O766">
        <v>1.4963503649634999</v>
      </c>
      <c r="P766" t="s">
        <v>1136</v>
      </c>
      <c r="T766">
        <v>25</v>
      </c>
      <c r="V766">
        <v>50</v>
      </c>
      <c r="W766" t="s">
        <v>1140</v>
      </c>
      <c r="X766" t="s">
        <v>1138</v>
      </c>
      <c r="Y766">
        <v>1.8749999999999999E-2</v>
      </c>
      <c r="AB766">
        <v>4.1472527472527396</v>
      </c>
      <c r="AC766" t="s">
        <v>85</v>
      </c>
      <c r="AI766" t="s">
        <v>1139</v>
      </c>
      <c r="AV766" t="s">
        <v>256</v>
      </c>
    </row>
    <row r="767" spans="1:53" x14ac:dyDescent="0.3">
      <c r="A767" t="s">
        <v>1135</v>
      </c>
      <c r="C767" t="s">
        <v>1052</v>
      </c>
      <c r="D767" t="s">
        <v>470</v>
      </c>
      <c r="E767">
        <v>100000</v>
      </c>
      <c r="H767">
        <v>5.5</v>
      </c>
      <c r="I767" t="s">
        <v>82</v>
      </c>
      <c r="J767">
        <v>5.4999999999999999E-6</v>
      </c>
      <c r="K767" t="s">
        <v>252</v>
      </c>
      <c r="L767" t="s">
        <v>58</v>
      </c>
      <c r="O767">
        <v>1.8248175182481699E-3</v>
      </c>
      <c r="P767" t="s">
        <v>1136</v>
      </c>
      <c r="T767">
        <v>25</v>
      </c>
      <c r="V767">
        <v>50</v>
      </c>
      <c r="W767" t="s">
        <v>1140</v>
      </c>
      <c r="X767" t="s">
        <v>1138</v>
      </c>
      <c r="Y767">
        <v>1.8749999999999999E-2</v>
      </c>
      <c r="AB767">
        <v>1.53846153846149E-2</v>
      </c>
      <c r="AC767" t="s">
        <v>85</v>
      </c>
      <c r="AI767" t="s">
        <v>1139</v>
      </c>
      <c r="AV767" t="s">
        <v>256</v>
      </c>
    </row>
    <row r="768" spans="1:53" x14ac:dyDescent="0.3">
      <c r="A768" t="s">
        <v>1135</v>
      </c>
      <c r="C768" t="s">
        <v>1052</v>
      </c>
      <c r="D768" t="s">
        <v>470</v>
      </c>
      <c r="E768">
        <v>100000</v>
      </c>
      <c r="H768">
        <v>5.5</v>
      </c>
      <c r="I768" t="s">
        <v>82</v>
      </c>
      <c r="J768">
        <v>5.4999999999999999E-6</v>
      </c>
      <c r="K768" t="s">
        <v>252</v>
      </c>
      <c r="L768" t="s">
        <v>58</v>
      </c>
      <c r="O768">
        <v>-1.8248175182482001E-3</v>
      </c>
      <c r="P768" t="s">
        <v>1136</v>
      </c>
      <c r="T768">
        <v>25</v>
      </c>
      <c r="V768">
        <v>50</v>
      </c>
      <c r="W768" t="s">
        <v>1141</v>
      </c>
      <c r="X768" t="s">
        <v>1138</v>
      </c>
      <c r="Y768">
        <v>1.8749999999999999E-2</v>
      </c>
      <c r="AB768">
        <v>1.53846153846149E-2</v>
      </c>
      <c r="AC768" t="s">
        <v>85</v>
      </c>
      <c r="AI768" t="s">
        <v>1139</v>
      </c>
      <c r="AV768" t="s">
        <v>256</v>
      </c>
    </row>
    <row r="769" spans="1:48" x14ac:dyDescent="0.3">
      <c r="A769" t="s">
        <v>1135</v>
      </c>
      <c r="C769" t="s">
        <v>1052</v>
      </c>
      <c r="D769" t="s">
        <v>470</v>
      </c>
      <c r="E769">
        <v>100000</v>
      </c>
      <c r="H769">
        <v>5.5</v>
      </c>
      <c r="I769" t="s">
        <v>82</v>
      </c>
      <c r="J769">
        <v>5.4999999999999999E-6</v>
      </c>
      <c r="K769" t="s">
        <v>252</v>
      </c>
      <c r="L769" t="s">
        <v>58</v>
      </c>
      <c r="O769">
        <v>0.50364963503649596</v>
      </c>
      <c r="P769" t="s">
        <v>1136</v>
      </c>
      <c r="T769">
        <v>25</v>
      </c>
      <c r="V769">
        <v>50</v>
      </c>
      <c r="W769" t="s">
        <v>1141</v>
      </c>
      <c r="X769" t="s">
        <v>1138</v>
      </c>
      <c r="Y769">
        <v>1.8749999999999999E-2</v>
      </c>
      <c r="AB769">
        <v>0.61318681318681201</v>
      </c>
      <c r="AC769" t="s">
        <v>85</v>
      </c>
      <c r="AI769" t="s">
        <v>1139</v>
      </c>
      <c r="AV769" t="s">
        <v>256</v>
      </c>
    </row>
    <row r="770" spans="1:48" x14ac:dyDescent="0.3">
      <c r="A770" t="s">
        <v>1135</v>
      </c>
      <c r="C770" t="s">
        <v>1052</v>
      </c>
      <c r="D770" t="s">
        <v>470</v>
      </c>
      <c r="E770">
        <v>100000</v>
      </c>
      <c r="H770">
        <v>5.5</v>
      </c>
      <c r="I770" t="s">
        <v>82</v>
      </c>
      <c r="J770">
        <v>5.4999999999999999E-6</v>
      </c>
      <c r="K770" t="s">
        <v>252</v>
      </c>
      <c r="L770" t="s">
        <v>58</v>
      </c>
      <c r="O770">
        <v>1.00182481751824</v>
      </c>
      <c r="P770" t="s">
        <v>1136</v>
      </c>
      <c r="T770">
        <v>25</v>
      </c>
      <c r="V770">
        <v>50</v>
      </c>
      <c r="W770" t="s">
        <v>1141</v>
      </c>
      <c r="X770" t="s">
        <v>1138</v>
      </c>
      <c r="Y770">
        <v>1.8749999999999999E-2</v>
      </c>
      <c r="AB770">
        <v>2.2659340659340601</v>
      </c>
      <c r="AC770" t="s">
        <v>85</v>
      </c>
      <c r="AI770" t="s">
        <v>1139</v>
      </c>
      <c r="AV770" t="s">
        <v>256</v>
      </c>
    </row>
    <row r="771" spans="1:48" x14ac:dyDescent="0.3">
      <c r="A771" t="s">
        <v>1135</v>
      </c>
      <c r="C771" t="s">
        <v>1052</v>
      </c>
      <c r="D771" t="s">
        <v>470</v>
      </c>
      <c r="E771">
        <v>100000</v>
      </c>
      <c r="H771">
        <v>5.5</v>
      </c>
      <c r="I771" t="s">
        <v>82</v>
      </c>
      <c r="J771">
        <v>5.4999999999999999E-6</v>
      </c>
      <c r="K771" t="s">
        <v>252</v>
      </c>
      <c r="L771" t="s">
        <v>58</v>
      </c>
      <c r="O771">
        <v>1.5</v>
      </c>
      <c r="P771" t="s">
        <v>1136</v>
      </c>
      <c r="T771">
        <v>25</v>
      </c>
      <c r="V771">
        <v>50</v>
      </c>
      <c r="W771" t="s">
        <v>1141</v>
      </c>
      <c r="X771" t="s">
        <v>1138</v>
      </c>
      <c r="Y771">
        <v>1.8749999999999999E-2</v>
      </c>
      <c r="AB771">
        <v>3.1098901098901002</v>
      </c>
      <c r="AC771" t="s">
        <v>85</v>
      </c>
      <c r="AI771" t="s">
        <v>1139</v>
      </c>
      <c r="AV771" t="s">
        <v>256</v>
      </c>
    </row>
    <row r="772" spans="1:48" x14ac:dyDescent="0.3">
      <c r="A772" t="s">
        <v>1135</v>
      </c>
      <c r="C772" t="s">
        <v>1052</v>
      </c>
      <c r="D772" t="s">
        <v>470</v>
      </c>
      <c r="E772">
        <v>100000</v>
      </c>
      <c r="H772">
        <v>20</v>
      </c>
      <c r="I772" t="s">
        <v>82</v>
      </c>
      <c r="J772">
        <v>2.0000000000000002E-5</v>
      </c>
      <c r="K772" t="s">
        <v>252</v>
      </c>
      <c r="L772" t="s">
        <v>58</v>
      </c>
      <c r="O772">
        <v>-4.1654717729905297E-3</v>
      </c>
      <c r="P772" t="s">
        <v>1136</v>
      </c>
      <c r="T772">
        <v>25</v>
      </c>
      <c r="V772">
        <v>50</v>
      </c>
      <c r="W772" t="s">
        <v>1141</v>
      </c>
      <c r="X772" t="s">
        <v>1138</v>
      </c>
      <c r="Y772">
        <v>1.8749999999999999E-2</v>
      </c>
      <c r="AB772">
        <v>4.9099267421556202E-3</v>
      </c>
      <c r="AC772" t="s">
        <v>85</v>
      </c>
      <c r="AI772" t="s">
        <v>1139</v>
      </c>
      <c r="AV772" t="s">
        <v>256</v>
      </c>
    </row>
    <row r="773" spans="1:48" x14ac:dyDescent="0.3">
      <c r="A773" t="s">
        <v>1135</v>
      </c>
      <c r="C773" t="s">
        <v>1052</v>
      </c>
      <c r="D773" t="s">
        <v>470</v>
      </c>
      <c r="E773">
        <v>100000</v>
      </c>
      <c r="H773">
        <v>20</v>
      </c>
      <c r="I773" t="s">
        <v>82</v>
      </c>
      <c r="J773">
        <v>2.0000000000000002E-5</v>
      </c>
      <c r="K773" t="s">
        <v>252</v>
      </c>
      <c r="L773" t="s">
        <v>58</v>
      </c>
      <c r="O773">
        <v>0.29946787401620401</v>
      </c>
      <c r="P773" t="s">
        <v>1136</v>
      </c>
      <c r="T773">
        <v>25</v>
      </c>
      <c r="V773">
        <v>50</v>
      </c>
      <c r="W773" t="s">
        <v>1141</v>
      </c>
      <c r="X773" t="s">
        <v>1138</v>
      </c>
      <c r="Y773">
        <v>1.8749999999999999E-2</v>
      </c>
      <c r="AB773">
        <v>0.686355617738305</v>
      </c>
      <c r="AC773" t="s">
        <v>85</v>
      </c>
      <c r="AI773" t="s">
        <v>1139</v>
      </c>
      <c r="AV773" t="s">
        <v>256</v>
      </c>
    </row>
    <row r="774" spans="1:48" x14ac:dyDescent="0.3">
      <c r="A774" t="s">
        <v>1135</v>
      </c>
      <c r="C774" t="s">
        <v>1052</v>
      </c>
      <c r="D774" t="s">
        <v>470</v>
      </c>
      <c r="E774">
        <v>100000</v>
      </c>
      <c r="H774">
        <v>20</v>
      </c>
      <c r="I774" t="s">
        <v>82</v>
      </c>
      <c r="J774">
        <v>2.0000000000000002E-5</v>
      </c>
      <c r="K774" t="s">
        <v>252</v>
      </c>
      <c r="L774" t="s">
        <v>58</v>
      </c>
      <c r="O774">
        <v>0.512938163890168</v>
      </c>
      <c r="P774" t="s">
        <v>1136</v>
      </c>
      <c r="T774">
        <v>25</v>
      </c>
      <c r="V774">
        <v>50</v>
      </c>
      <c r="W774" t="s">
        <v>1141</v>
      </c>
      <c r="X774" t="s">
        <v>1138</v>
      </c>
      <c r="Y774">
        <v>1.8749999999999999E-2</v>
      </c>
      <c r="AB774">
        <v>1.2023874699828201</v>
      </c>
      <c r="AC774" t="s">
        <v>85</v>
      </c>
      <c r="AI774" t="s">
        <v>1139</v>
      </c>
      <c r="AV774" t="s">
        <v>256</v>
      </c>
    </row>
    <row r="775" spans="1:48" x14ac:dyDescent="0.3">
      <c r="A775" t="s">
        <v>1135</v>
      </c>
      <c r="C775" t="s">
        <v>1052</v>
      </c>
      <c r="D775" t="s">
        <v>470</v>
      </c>
      <c r="E775">
        <v>100000</v>
      </c>
      <c r="H775">
        <v>20</v>
      </c>
      <c r="I775" t="s">
        <v>82</v>
      </c>
      <c r="J775">
        <v>2.0000000000000002E-5</v>
      </c>
      <c r="K775" t="s">
        <v>252</v>
      </c>
      <c r="L775" t="s">
        <v>58</v>
      </c>
      <c r="O775">
        <v>0.79278950463329012</v>
      </c>
      <c r="P775" t="s">
        <v>1136</v>
      </c>
      <c r="T775">
        <v>25</v>
      </c>
      <c r="V775">
        <v>50</v>
      </c>
      <c r="W775" t="s">
        <v>1141</v>
      </c>
      <c r="X775" t="s">
        <v>1138</v>
      </c>
      <c r="Y775">
        <v>1.8749999999999999E-2</v>
      </c>
      <c r="AB775">
        <v>1.9327296585645599</v>
      </c>
      <c r="AC775" t="s">
        <v>85</v>
      </c>
      <c r="AI775" t="s">
        <v>1139</v>
      </c>
      <c r="AV775" t="s">
        <v>256</v>
      </c>
    </row>
    <row r="776" spans="1:48" x14ac:dyDescent="0.3">
      <c r="A776" t="s">
        <v>1135</v>
      </c>
      <c r="C776" t="s">
        <v>1052</v>
      </c>
      <c r="D776" t="s">
        <v>470</v>
      </c>
      <c r="E776">
        <v>100000</v>
      </c>
      <c r="H776">
        <v>20</v>
      </c>
      <c r="I776" t="s">
        <v>82</v>
      </c>
      <c r="J776">
        <v>2.0000000000000002E-5</v>
      </c>
      <c r="K776" t="s">
        <v>252</v>
      </c>
      <c r="L776" t="s">
        <v>58</v>
      </c>
      <c r="O776">
        <v>1.2340050808327401</v>
      </c>
      <c r="P776" t="s">
        <v>1136</v>
      </c>
      <c r="T776">
        <v>25</v>
      </c>
      <c r="V776">
        <v>50</v>
      </c>
      <c r="W776" t="s">
        <v>1141</v>
      </c>
      <c r="X776" t="s">
        <v>1138</v>
      </c>
      <c r="Y776">
        <v>1.8749999999999999E-2</v>
      </c>
      <c r="AB776">
        <v>2.9256993386806598</v>
      </c>
      <c r="AC776" t="s">
        <v>85</v>
      </c>
      <c r="AI776" t="s">
        <v>1139</v>
      </c>
      <c r="AV776" t="s">
        <v>256</v>
      </c>
    </row>
    <row r="777" spans="1:48" x14ac:dyDescent="0.3">
      <c r="A777" t="s">
        <v>1135</v>
      </c>
      <c r="C777" t="s">
        <v>1052</v>
      </c>
      <c r="D777" t="s">
        <v>470</v>
      </c>
      <c r="E777">
        <v>100000</v>
      </c>
      <c r="H777">
        <v>20</v>
      </c>
      <c r="I777" t="s">
        <v>82</v>
      </c>
      <c r="J777">
        <v>2.0000000000000002E-5</v>
      </c>
      <c r="K777" t="s">
        <v>252</v>
      </c>
      <c r="L777" t="s">
        <v>58</v>
      </c>
      <c r="O777">
        <v>1.8437281841381801</v>
      </c>
      <c r="P777" t="s">
        <v>1136</v>
      </c>
      <c r="T777">
        <v>25</v>
      </c>
      <c r="V777">
        <v>50</v>
      </c>
      <c r="W777" t="s">
        <v>1141</v>
      </c>
      <c r="X777" t="s">
        <v>1138</v>
      </c>
      <c r="Y777">
        <v>1.8749999999999999E-2</v>
      </c>
      <c r="AB777">
        <v>4.1519933723230702</v>
      </c>
      <c r="AC777" t="s">
        <v>85</v>
      </c>
      <c r="AI777" t="s">
        <v>1139</v>
      </c>
      <c r="AV777" t="s">
        <v>256</v>
      </c>
    </row>
    <row r="778" spans="1:48" x14ac:dyDescent="0.3">
      <c r="A778" t="s">
        <v>1135</v>
      </c>
      <c r="C778" t="s">
        <v>1052</v>
      </c>
      <c r="D778" t="s">
        <v>470</v>
      </c>
      <c r="E778">
        <v>100000</v>
      </c>
      <c r="H778">
        <v>20</v>
      </c>
      <c r="I778" t="s">
        <v>82</v>
      </c>
      <c r="J778">
        <v>2.0000000000000002E-5</v>
      </c>
      <c r="K778" t="s">
        <v>252</v>
      </c>
      <c r="L778" t="s">
        <v>58</v>
      </c>
      <c r="O778">
        <v>1.2290478340597599</v>
      </c>
      <c r="P778" t="s">
        <v>1136</v>
      </c>
      <c r="T778">
        <v>25</v>
      </c>
      <c r="V778">
        <v>50</v>
      </c>
      <c r="W778" t="s">
        <v>1141</v>
      </c>
      <c r="X778" t="s">
        <v>1138</v>
      </c>
      <c r="Y778">
        <v>1.8749999999999999E-2</v>
      </c>
      <c r="AB778">
        <v>4.13137549414399</v>
      </c>
      <c r="AC778" t="s">
        <v>85</v>
      </c>
      <c r="AI778" t="s">
        <v>1139</v>
      </c>
      <c r="AV778" t="s">
        <v>256</v>
      </c>
    </row>
    <row r="779" spans="1:48" x14ac:dyDescent="0.3">
      <c r="A779" t="s">
        <v>1135</v>
      </c>
      <c r="C779" t="s">
        <v>1052</v>
      </c>
      <c r="D779" t="s">
        <v>470</v>
      </c>
      <c r="E779">
        <v>100000</v>
      </c>
      <c r="H779">
        <v>20</v>
      </c>
      <c r="I779" t="s">
        <v>82</v>
      </c>
      <c r="J779">
        <v>2.0000000000000002E-5</v>
      </c>
      <c r="K779" t="s">
        <v>252</v>
      </c>
      <c r="L779" t="s">
        <v>58</v>
      </c>
      <c r="O779">
        <v>0.78704121782880709</v>
      </c>
      <c r="P779" t="s">
        <v>1136</v>
      </c>
      <c r="T779">
        <v>25</v>
      </c>
      <c r="V779">
        <v>50</v>
      </c>
      <c r="W779" t="s">
        <v>1141</v>
      </c>
      <c r="X779" t="s">
        <v>1138</v>
      </c>
      <c r="Y779">
        <v>1.8749999999999999E-2</v>
      </c>
      <c r="AB779">
        <v>2.364086213728211</v>
      </c>
      <c r="AC779" t="s">
        <v>85</v>
      </c>
      <c r="AI779" t="s">
        <v>1139</v>
      </c>
      <c r="AV779" t="s">
        <v>256</v>
      </c>
    </row>
    <row r="780" spans="1:48" x14ac:dyDescent="0.3">
      <c r="A780" t="s">
        <v>1135</v>
      </c>
      <c r="C780" t="s">
        <v>1052</v>
      </c>
      <c r="D780" t="s">
        <v>470</v>
      </c>
      <c r="E780">
        <v>100000</v>
      </c>
      <c r="H780">
        <v>20</v>
      </c>
      <c r="I780" t="s">
        <v>82</v>
      </c>
      <c r="J780">
        <v>2.0000000000000002E-5</v>
      </c>
      <c r="K780" t="s">
        <v>252</v>
      </c>
      <c r="L780" t="s">
        <v>58</v>
      </c>
      <c r="O780">
        <v>0.51418619437712398</v>
      </c>
      <c r="P780" t="s">
        <v>1136</v>
      </c>
      <c r="T780">
        <v>25</v>
      </c>
      <c r="V780">
        <v>50</v>
      </c>
      <c r="W780" t="s">
        <v>1141</v>
      </c>
      <c r="X780" t="s">
        <v>1138</v>
      </c>
      <c r="Y780">
        <v>1.8749999999999999E-2</v>
      </c>
      <c r="AB780">
        <v>1.54434932716555</v>
      </c>
      <c r="AC780" t="s">
        <v>85</v>
      </c>
      <c r="AI780" t="s">
        <v>1139</v>
      </c>
      <c r="AV780" t="s">
        <v>256</v>
      </c>
    </row>
    <row r="781" spans="1:48" x14ac:dyDescent="0.3">
      <c r="A781" t="s">
        <v>1135</v>
      </c>
      <c r="C781" t="s">
        <v>1052</v>
      </c>
      <c r="D781" t="s">
        <v>470</v>
      </c>
      <c r="E781">
        <v>100000</v>
      </c>
      <c r="H781">
        <v>20</v>
      </c>
      <c r="I781" t="s">
        <v>82</v>
      </c>
      <c r="J781">
        <v>2.0000000000000002E-5</v>
      </c>
      <c r="K781" t="s">
        <v>252</v>
      </c>
      <c r="L781" t="s">
        <v>58</v>
      </c>
      <c r="O781">
        <v>0.30360943964762499</v>
      </c>
      <c r="P781" t="s">
        <v>1136</v>
      </c>
      <c r="T781">
        <v>25</v>
      </c>
      <c r="V781">
        <v>50</v>
      </c>
      <c r="W781" t="s">
        <v>1141</v>
      </c>
      <c r="X781" t="s">
        <v>1138</v>
      </c>
      <c r="Y781">
        <v>1.8749999999999999E-2</v>
      </c>
      <c r="AB781">
        <v>0.52860736631619698</v>
      </c>
      <c r="AC781" t="s">
        <v>85</v>
      </c>
      <c r="AI781" t="s">
        <v>1139</v>
      </c>
      <c r="AV781" t="s">
        <v>256</v>
      </c>
    </row>
    <row r="782" spans="1:48" x14ac:dyDescent="0.3">
      <c r="A782" t="s">
        <v>1135</v>
      </c>
      <c r="C782" t="s">
        <v>1052</v>
      </c>
      <c r="D782" t="s">
        <v>470</v>
      </c>
      <c r="E782">
        <v>100000</v>
      </c>
      <c r="H782">
        <v>20</v>
      </c>
      <c r="I782" t="s">
        <v>82</v>
      </c>
      <c r="J782">
        <v>2.0000000000000002E-5</v>
      </c>
      <c r="K782" t="s">
        <v>252</v>
      </c>
      <c r="L782" t="s">
        <v>58</v>
      </c>
      <c r="O782">
        <v>2.35899042581622E-3</v>
      </c>
      <c r="P782" t="s">
        <v>1136</v>
      </c>
      <c r="T782">
        <v>25</v>
      </c>
      <c r="V782">
        <v>50</v>
      </c>
      <c r="W782" t="s">
        <v>1141</v>
      </c>
      <c r="X782" t="s">
        <v>1138</v>
      </c>
      <c r="Y782">
        <v>1.8749999999999999E-2</v>
      </c>
      <c r="AB782">
        <v>-1.7105752189283799E-2</v>
      </c>
      <c r="AC782" t="s">
        <v>85</v>
      </c>
      <c r="AI782" t="s">
        <v>1139</v>
      </c>
      <c r="AV782" t="s">
        <v>256</v>
      </c>
    </row>
    <row r="783" spans="1:48" x14ac:dyDescent="0.3">
      <c r="A783" t="s">
        <v>1142</v>
      </c>
      <c r="C783" t="s">
        <v>1052</v>
      </c>
      <c r="H783">
        <v>10</v>
      </c>
      <c r="I783" t="s">
        <v>82</v>
      </c>
      <c r="J783">
        <v>9.9999999999999991E-6</v>
      </c>
      <c r="K783" t="s">
        <v>252</v>
      </c>
      <c r="O783">
        <v>20</v>
      </c>
      <c r="P783" t="s">
        <v>1143</v>
      </c>
      <c r="T783">
        <v>25</v>
      </c>
      <c r="V783">
        <v>50</v>
      </c>
      <c r="W783" t="s">
        <v>1057</v>
      </c>
      <c r="X783" t="s">
        <v>1144</v>
      </c>
      <c r="Y783">
        <v>15</v>
      </c>
      <c r="AB783">
        <v>2</v>
      </c>
      <c r="AC783" t="s">
        <v>85</v>
      </c>
      <c r="AI783">
        <v>3</v>
      </c>
      <c r="AV783" t="s">
        <v>256</v>
      </c>
    </row>
    <row r="784" spans="1:48" x14ac:dyDescent="0.3">
      <c r="A784" t="s">
        <v>1142</v>
      </c>
      <c r="C784" t="s">
        <v>1052</v>
      </c>
      <c r="H784">
        <v>10</v>
      </c>
      <c r="I784" t="s">
        <v>82</v>
      </c>
      <c r="J784">
        <v>9.9999999999999991E-6</v>
      </c>
      <c r="K784" t="s">
        <v>252</v>
      </c>
      <c r="O784">
        <v>20</v>
      </c>
      <c r="P784" t="s">
        <v>1143</v>
      </c>
      <c r="T784">
        <v>25</v>
      </c>
      <c r="V784">
        <v>50</v>
      </c>
      <c r="W784" t="s">
        <v>1057</v>
      </c>
      <c r="X784" t="s">
        <v>1144</v>
      </c>
      <c r="Y784">
        <v>15</v>
      </c>
      <c r="AB784">
        <v>3.7</v>
      </c>
      <c r="AC784" t="s">
        <v>85</v>
      </c>
      <c r="AI784">
        <v>3</v>
      </c>
      <c r="AV784" t="s">
        <v>256</v>
      </c>
    </row>
    <row r="785" spans="1:48" hidden="1" x14ac:dyDescent="0.3">
      <c r="A785" t="s">
        <v>1142</v>
      </c>
      <c r="C785" t="s">
        <v>1052</v>
      </c>
      <c r="H785">
        <v>32</v>
      </c>
      <c r="I785" t="s">
        <v>56</v>
      </c>
      <c r="J785">
        <v>3.2000000000000002E-3</v>
      </c>
      <c r="K785" t="s">
        <v>57</v>
      </c>
      <c r="O785">
        <v>20</v>
      </c>
      <c r="P785" t="s">
        <v>1143</v>
      </c>
      <c r="T785">
        <v>25</v>
      </c>
      <c r="V785">
        <v>50</v>
      </c>
      <c r="W785" t="s">
        <v>1145</v>
      </c>
      <c r="X785" t="s">
        <v>1144</v>
      </c>
      <c r="Y785">
        <v>15</v>
      </c>
      <c r="AB785">
        <v>1.5</v>
      </c>
      <c r="AC785" t="s">
        <v>85</v>
      </c>
      <c r="AI785">
        <v>3</v>
      </c>
      <c r="AV785" t="s">
        <v>88</v>
      </c>
    </row>
    <row r="786" spans="1:48" hidden="1" x14ac:dyDescent="0.3">
      <c r="A786" t="s">
        <v>1142</v>
      </c>
      <c r="C786" t="s">
        <v>1052</v>
      </c>
      <c r="H786">
        <v>32</v>
      </c>
      <c r="I786" t="s">
        <v>56</v>
      </c>
      <c r="J786">
        <v>3.2000000000000002E-3</v>
      </c>
      <c r="K786" t="s">
        <v>57</v>
      </c>
      <c r="O786">
        <v>20</v>
      </c>
      <c r="P786" t="s">
        <v>1143</v>
      </c>
      <c r="T786">
        <v>25</v>
      </c>
      <c r="V786">
        <v>50</v>
      </c>
      <c r="W786" t="s">
        <v>1145</v>
      </c>
      <c r="X786" t="s">
        <v>1144</v>
      </c>
      <c r="Y786">
        <v>15</v>
      </c>
      <c r="AB786">
        <v>2.7</v>
      </c>
      <c r="AC786" t="s">
        <v>85</v>
      </c>
      <c r="AI786">
        <v>3</v>
      </c>
      <c r="AV786" t="s">
        <v>88</v>
      </c>
    </row>
    <row r="787" spans="1:48" hidden="1" x14ac:dyDescent="0.3">
      <c r="A787" t="s">
        <v>1146</v>
      </c>
      <c r="C787" t="s">
        <v>1052</v>
      </c>
      <c r="L787" t="s">
        <v>58</v>
      </c>
      <c r="O787">
        <v>1285.5</v>
      </c>
      <c r="P787" t="s">
        <v>1087</v>
      </c>
      <c r="T787">
        <v>25</v>
      </c>
      <c r="V787">
        <v>50</v>
      </c>
      <c r="W787" t="s">
        <v>1147</v>
      </c>
      <c r="X787" t="s">
        <v>280</v>
      </c>
      <c r="Y787">
        <v>10</v>
      </c>
      <c r="AB787">
        <v>4.9999999999999802E-2</v>
      </c>
      <c r="AC787" t="s">
        <v>85</v>
      </c>
    </row>
    <row r="788" spans="1:48" hidden="1" x14ac:dyDescent="0.3">
      <c r="A788" t="s">
        <v>1146</v>
      </c>
      <c r="C788" t="s">
        <v>1052</v>
      </c>
      <c r="L788" t="s">
        <v>58</v>
      </c>
      <c r="O788">
        <v>1285.5</v>
      </c>
      <c r="P788" t="s">
        <v>1087</v>
      </c>
      <c r="T788">
        <v>25</v>
      </c>
      <c r="V788">
        <v>50</v>
      </c>
      <c r="W788" t="s">
        <v>1147</v>
      </c>
      <c r="X788" t="s">
        <v>280</v>
      </c>
      <c r="Y788">
        <v>20</v>
      </c>
      <c r="AB788">
        <v>6.9999999999999798E-2</v>
      </c>
      <c r="AC788" t="s">
        <v>85</v>
      </c>
    </row>
    <row r="789" spans="1:48" hidden="1" x14ac:dyDescent="0.3">
      <c r="A789" t="s">
        <v>1146</v>
      </c>
      <c r="C789" t="s">
        <v>1052</v>
      </c>
      <c r="L789" t="s">
        <v>58</v>
      </c>
      <c r="O789">
        <v>1285.5</v>
      </c>
      <c r="P789" t="s">
        <v>1087</v>
      </c>
      <c r="T789">
        <v>25</v>
      </c>
      <c r="V789">
        <v>50</v>
      </c>
      <c r="W789" t="s">
        <v>1147</v>
      </c>
      <c r="X789" t="s">
        <v>280</v>
      </c>
      <c r="Y789">
        <v>30</v>
      </c>
      <c r="AB789">
        <v>0.12999999999999901</v>
      </c>
      <c r="AC789" t="s">
        <v>85</v>
      </c>
    </row>
    <row r="790" spans="1:48" hidden="1" x14ac:dyDescent="0.3">
      <c r="A790" t="s">
        <v>1146</v>
      </c>
      <c r="C790" t="s">
        <v>1052</v>
      </c>
      <c r="L790" t="s">
        <v>58</v>
      </c>
      <c r="O790">
        <v>1285.5</v>
      </c>
      <c r="P790" t="s">
        <v>1087</v>
      </c>
      <c r="T790">
        <v>25</v>
      </c>
      <c r="V790">
        <v>50</v>
      </c>
      <c r="W790" t="s">
        <v>1147</v>
      </c>
      <c r="X790" t="s">
        <v>280</v>
      </c>
      <c r="Y790">
        <v>40</v>
      </c>
      <c r="AB790">
        <v>0.23999999999999899</v>
      </c>
      <c r="AC790" t="s">
        <v>85</v>
      </c>
    </row>
    <row r="791" spans="1:48" hidden="1" x14ac:dyDescent="0.3">
      <c r="A791" t="s">
        <v>1146</v>
      </c>
      <c r="C791" t="s">
        <v>1052</v>
      </c>
      <c r="L791" t="s">
        <v>58</v>
      </c>
      <c r="O791">
        <v>1285.5</v>
      </c>
      <c r="P791" t="s">
        <v>1087</v>
      </c>
      <c r="T791">
        <v>25</v>
      </c>
      <c r="V791">
        <v>50</v>
      </c>
      <c r="W791" t="s">
        <v>1147</v>
      </c>
      <c r="X791" t="s">
        <v>280</v>
      </c>
      <c r="Y791">
        <v>10</v>
      </c>
      <c r="AB791">
        <v>0.13999999999999899</v>
      </c>
      <c r="AC791" t="s">
        <v>85</v>
      </c>
    </row>
    <row r="792" spans="1:48" hidden="1" x14ac:dyDescent="0.3">
      <c r="A792" t="s">
        <v>1146</v>
      </c>
      <c r="C792" t="s">
        <v>1052</v>
      </c>
      <c r="L792" t="s">
        <v>58</v>
      </c>
      <c r="O792">
        <v>1285.5</v>
      </c>
      <c r="P792" t="s">
        <v>1087</v>
      </c>
      <c r="T792">
        <v>25</v>
      </c>
      <c r="V792">
        <v>50</v>
      </c>
      <c r="W792" t="s">
        <v>1147</v>
      </c>
      <c r="X792" t="s">
        <v>280</v>
      </c>
      <c r="Y792">
        <v>20</v>
      </c>
      <c r="AB792">
        <v>0.159999999999999</v>
      </c>
      <c r="AC792" t="s">
        <v>85</v>
      </c>
    </row>
    <row r="793" spans="1:48" hidden="1" x14ac:dyDescent="0.3">
      <c r="A793" t="s">
        <v>1146</v>
      </c>
      <c r="C793" t="s">
        <v>1052</v>
      </c>
      <c r="L793" t="s">
        <v>58</v>
      </c>
      <c r="O793">
        <v>1285.5</v>
      </c>
      <c r="P793" t="s">
        <v>1087</v>
      </c>
      <c r="T793">
        <v>25</v>
      </c>
      <c r="V793">
        <v>50</v>
      </c>
      <c r="W793" t="s">
        <v>1147</v>
      </c>
      <c r="X793" t="s">
        <v>280</v>
      </c>
      <c r="Y793">
        <v>30</v>
      </c>
      <c r="AB793">
        <v>0.23999999999999899</v>
      </c>
      <c r="AC793" t="s">
        <v>85</v>
      </c>
    </row>
    <row r="794" spans="1:48" hidden="1" x14ac:dyDescent="0.3">
      <c r="A794" t="s">
        <v>1146</v>
      </c>
      <c r="C794" t="s">
        <v>1052</v>
      </c>
      <c r="L794" t="s">
        <v>58</v>
      </c>
      <c r="O794">
        <v>1285.5</v>
      </c>
      <c r="P794" t="s">
        <v>1087</v>
      </c>
      <c r="T794">
        <v>25</v>
      </c>
      <c r="V794">
        <v>50</v>
      </c>
      <c r="W794" t="s">
        <v>1147</v>
      </c>
      <c r="X794" t="s">
        <v>280</v>
      </c>
      <c r="Y794">
        <v>40</v>
      </c>
      <c r="AB794">
        <v>0.27999999999999903</v>
      </c>
      <c r="AC794" t="s">
        <v>85</v>
      </c>
    </row>
    <row r="795" spans="1:48" hidden="1" x14ac:dyDescent="0.3">
      <c r="A795" t="s">
        <v>1146</v>
      </c>
      <c r="C795" t="s">
        <v>1052</v>
      </c>
      <c r="L795" t="s">
        <v>58</v>
      </c>
      <c r="O795">
        <v>1285.5</v>
      </c>
      <c r="P795" t="s">
        <v>1087</v>
      </c>
      <c r="T795">
        <v>25</v>
      </c>
      <c r="V795">
        <v>50</v>
      </c>
      <c r="W795" t="s">
        <v>1147</v>
      </c>
      <c r="X795" t="s">
        <v>280</v>
      </c>
      <c r="Y795">
        <v>10</v>
      </c>
      <c r="AB795">
        <v>0.16999999999999901</v>
      </c>
      <c r="AC795" t="s">
        <v>85</v>
      </c>
    </row>
    <row r="796" spans="1:48" hidden="1" x14ac:dyDescent="0.3">
      <c r="A796" t="s">
        <v>1146</v>
      </c>
      <c r="C796" t="s">
        <v>1052</v>
      </c>
      <c r="L796" t="s">
        <v>58</v>
      </c>
      <c r="O796">
        <v>1285.5</v>
      </c>
      <c r="P796" t="s">
        <v>1087</v>
      </c>
      <c r="T796">
        <v>25</v>
      </c>
      <c r="V796">
        <v>50</v>
      </c>
      <c r="W796" t="s">
        <v>1147</v>
      </c>
      <c r="X796" t="s">
        <v>280</v>
      </c>
      <c r="Y796">
        <v>20</v>
      </c>
      <c r="AB796">
        <v>0.23999999999999899</v>
      </c>
      <c r="AC796" t="s">
        <v>85</v>
      </c>
    </row>
    <row r="797" spans="1:48" hidden="1" x14ac:dyDescent="0.3">
      <c r="A797" t="s">
        <v>1146</v>
      </c>
      <c r="C797" t="s">
        <v>1052</v>
      </c>
      <c r="L797" t="s">
        <v>58</v>
      </c>
      <c r="O797">
        <v>1285.5</v>
      </c>
      <c r="P797" t="s">
        <v>1087</v>
      </c>
      <c r="T797">
        <v>25</v>
      </c>
      <c r="V797">
        <v>50</v>
      </c>
      <c r="W797" t="s">
        <v>1147</v>
      </c>
      <c r="X797" t="s">
        <v>280</v>
      </c>
      <c r="Y797">
        <v>30</v>
      </c>
      <c r="AB797">
        <v>0.27999999999999903</v>
      </c>
      <c r="AC797" t="s">
        <v>85</v>
      </c>
    </row>
    <row r="798" spans="1:48" hidden="1" x14ac:dyDescent="0.3">
      <c r="A798" t="s">
        <v>1146</v>
      </c>
      <c r="C798" t="s">
        <v>1052</v>
      </c>
      <c r="L798" t="s">
        <v>58</v>
      </c>
      <c r="O798">
        <v>1285.5</v>
      </c>
      <c r="P798" t="s">
        <v>1087</v>
      </c>
      <c r="T798">
        <v>25</v>
      </c>
      <c r="V798">
        <v>50</v>
      </c>
      <c r="W798" t="s">
        <v>1147</v>
      </c>
      <c r="X798" t="s">
        <v>280</v>
      </c>
      <c r="Y798">
        <v>50</v>
      </c>
      <c r="AB798">
        <v>0.80999999999999905</v>
      </c>
      <c r="AC798" t="s">
        <v>85</v>
      </c>
    </row>
    <row r="799" spans="1:48" hidden="1" x14ac:dyDescent="0.3">
      <c r="A799" t="s">
        <v>1146</v>
      </c>
      <c r="C799" t="s">
        <v>1052</v>
      </c>
      <c r="L799" t="s">
        <v>58</v>
      </c>
      <c r="T799">
        <v>25</v>
      </c>
      <c r="V799">
        <v>50</v>
      </c>
      <c r="W799" t="s">
        <v>1147</v>
      </c>
      <c r="X799" t="s">
        <v>280</v>
      </c>
      <c r="Y799">
        <v>10</v>
      </c>
      <c r="AB799">
        <v>0</v>
      </c>
      <c r="AC799" t="s">
        <v>85</v>
      </c>
    </row>
    <row r="800" spans="1:48" hidden="1" x14ac:dyDescent="0.3">
      <c r="A800" t="s">
        <v>1146</v>
      </c>
      <c r="C800" t="s">
        <v>1052</v>
      </c>
      <c r="L800" t="s">
        <v>58</v>
      </c>
      <c r="T800">
        <v>25</v>
      </c>
      <c r="V800">
        <v>50</v>
      </c>
      <c r="W800" t="s">
        <v>1147</v>
      </c>
      <c r="X800" t="s">
        <v>280</v>
      </c>
      <c r="Y800">
        <v>20</v>
      </c>
      <c r="AB800">
        <v>0.14612803567823801</v>
      </c>
      <c r="AC800" t="s">
        <v>85</v>
      </c>
    </row>
    <row r="801" spans="1:29" hidden="1" x14ac:dyDescent="0.3">
      <c r="A801" t="s">
        <v>1146</v>
      </c>
      <c r="C801" t="s">
        <v>1052</v>
      </c>
      <c r="L801" t="s">
        <v>58</v>
      </c>
      <c r="T801">
        <v>25</v>
      </c>
      <c r="V801">
        <v>50</v>
      </c>
      <c r="W801" t="s">
        <v>1147</v>
      </c>
      <c r="X801" t="s">
        <v>280</v>
      </c>
      <c r="Y801">
        <v>30</v>
      </c>
      <c r="AB801">
        <v>0.54190198259376698</v>
      </c>
      <c r="AC801" t="s">
        <v>85</v>
      </c>
    </row>
    <row r="802" spans="1:29" hidden="1" x14ac:dyDescent="0.3">
      <c r="A802" t="s">
        <v>1146</v>
      </c>
      <c r="C802" t="s">
        <v>1052</v>
      </c>
      <c r="L802" t="s">
        <v>58</v>
      </c>
      <c r="T802">
        <v>25</v>
      </c>
      <c r="V802">
        <v>50</v>
      </c>
      <c r="W802" t="s">
        <v>1147</v>
      </c>
      <c r="X802" t="s">
        <v>280</v>
      </c>
      <c r="Y802">
        <v>40</v>
      </c>
      <c r="AB802">
        <v>0.84509804001425604</v>
      </c>
      <c r="AC802" t="s">
        <v>85</v>
      </c>
    </row>
    <row r="803" spans="1:29" hidden="1" x14ac:dyDescent="0.3">
      <c r="A803" t="s">
        <v>1146</v>
      </c>
      <c r="C803" t="s">
        <v>1052</v>
      </c>
      <c r="L803" t="s">
        <v>58</v>
      </c>
      <c r="T803">
        <v>25</v>
      </c>
      <c r="V803">
        <v>50</v>
      </c>
      <c r="W803" t="s">
        <v>1147</v>
      </c>
      <c r="X803" t="s">
        <v>280</v>
      </c>
      <c r="Y803">
        <v>50</v>
      </c>
      <c r="AB803">
        <v>2.3679767852945899</v>
      </c>
      <c r="AC803" t="s">
        <v>85</v>
      </c>
    </row>
    <row r="804" spans="1:29" hidden="1" x14ac:dyDescent="0.3">
      <c r="A804" t="s">
        <v>1146</v>
      </c>
      <c r="C804" t="s">
        <v>1052</v>
      </c>
      <c r="L804" t="s">
        <v>58</v>
      </c>
      <c r="T804">
        <v>25</v>
      </c>
      <c r="V804">
        <v>50</v>
      </c>
      <c r="W804" t="s">
        <v>1147</v>
      </c>
      <c r="X804" t="s">
        <v>280</v>
      </c>
      <c r="Y804">
        <v>60</v>
      </c>
      <c r="AB804">
        <v>2.8450980400142498</v>
      </c>
      <c r="AC804" t="s">
        <v>85</v>
      </c>
    </row>
    <row r="805" spans="1:29" hidden="1" x14ac:dyDescent="0.3">
      <c r="A805" t="s">
        <v>1146</v>
      </c>
      <c r="C805" t="s">
        <v>1052</v>
      </c>
      <c r="L805" t="s">
        <v>58</v>
      </c>
      <c r="T805">
        <v>25</v>
      </c>
      <c r="V805">
        <v>50</v>
      </c>
      <c r="W805" t="s">
        <v>1147</v>
      </c>
      <c r="X805" t="s">
        <v>280</v>
      </c>
      <c r="Y805">
        <v>10</v>
      </c>
      <c r="AB805">
        <v>0</v>
      </c>
      <c r="AC805" t="s">
        <v>85</v>
      </c>
    </row>
    <row r="806" spans="1:29" hidden="1" x14ac:dyDescent="0.3">
      <c r="A806" t="s">
        <v>1146</v>
      </c>
      <c r="C806" t="s">
        <v>1052</v>
      </c>
      <c r="L806" t="s">
        <v>58</v>
      </c>
      <c r="T806">
        <v>25</v>
      </c>
      <c r="V806">
        <v>50</v>
      </c>
      <c r="W806" t="s">
        <v>1147</v>
      </c>
      <c r="X806" t="s">
        <v>280</v>
      </c>
      <c r="Y806">
        <v>20</v>
      </c>
      <c r="AB806">
        <v>6.6946789630613499E-2</v>
      </c>
      <c r="AC806" t="s">
        <v>85</v>
      </c>
    </row>
    <row r="807" spans="1:29" hidden="1" x14ac:dyDescent="0.3">
      <c r="A807" t="s">
        <v>1146</v>
      </c>
      <c r="C807" t="s">
        <v>1052</v>
      </c>
      <c r="L807" t="s">
        <v>58</v>
      </c>
      <c r="T807">
        <v>25</v>
      </c>
      <c r="V807">
        <v>50</v>
      </c>
      <c r="W807" t="s">
        <v>1147</v>
      </c>
      <c r="X807" t="s">
        <v>280</v>
      </c>
      <c r="Y807">
        <v>30</v>
      </c>
      <c r="AB807">
        <v>0.243038048686294</v>
      </c>
      <c r="AC807" t="s">
        <v>85</v>
      </c>
    </row>
    <row r="808" spans="1:29" hidden="1" x14ac:dyDescent="0.3">
      <c r="A808" t="s">
        <v>1146</v>
      </c>
      <c r="C808" t="s">
        <v>1052</v>
      </c>
      <c r="L808" t="s">
        <v>58</v>
      </c>
      <c r="T808">
        <v>25</v>
      </c>
      <c r="V808">
        <v>50</v>
      </c>
      <c r="W808" t="s">
        <v>1147</v>
      </c>
      <c r="X808" t="s">
        <v>280</v>
      </c>
      <c r="Y808">
        <v>40</v>
      </c>
      <c r="AB808">
        <v>0.37088177593800098</v>
      </c>
      <c r="AC808" t="s">
        <v>85</v>
      </c>
    </row>
    <row r="809" spans="1:29" hidden="1" x14ac:dyDescent="0.3">
      <c r="A809" t="s">
        <v>1146</v>
      </c>
      <c r="C809" t="s">
        <v>1052</v>
      </c>
      <c r="L809" t="s">
        <v>58</v>
      </c>
      <c r="T809">
        <v>25</v>
      </c>
      <c r="V809">
        <v>50</v>
      </c>
      <c r="W809" t="s">
        <v>1147</v>
      </c>
      <c r="X809" t="s">
        <v>280</v>
      </c>
      <c r="Y809">
        <v>50</v>
      </c>
      <c r="AB809">
        <v>0.55063181385266402</v>
      </c>
      <c r="AC809" t="s">
        <v>85</v>
      </c>
    </row>
    <row r="810" spans="1:29" hidden="1" x14ac:dyDescent="0.3">
      <c r="A810" t="s">
        <v>1146</v>
      </c>
      <c r="C810" t="s">
        <v>1052</v>
      </c>
      <c r="L810" t="s">
        <v>58</v>
      </c>
      <c r="T810">
        <v>25</v>
      </c>
      <c r="V810">
        <v>50</v>
      </c>
      <c r="W810" t="s">
        <v>1147</v>
      </c>
      <c r="X810" t="s">
        <v>280</v>
      </c>
      <c r="Y810">
        <v>60</v>
      </c>
      <c r="AB810">
        <v>0.544068044350275</v>
      </c>
      <c r="AC810" t="s">
        <v>85</v>
      </c>
    </row>
    <row r="811" spans="1:29" hidden="1" x14ac:dyDescent="0.3">
      <c r="A811" t="s">
        <v>1146</v>
      </c>
      <c r="C811" t="s">
        <v>1052</v>
      </c>
      <c r="L811" t="s">
        <v>58</v>
      </c>
      <c r="T811">
        <v>25</v>
      </c>
      <c r="V811">
        <v>50</v>
      </c>
      <c r="W811" t="s">
        <v>1147</v>
      </c>
      <c r="X811" t="s">
        <v>280</v>
      </c>
      <c r="Y811">
        <v>10</v>
      </c>
      <c r="AB811">
        <v>0</v>
      </c>
      <c r="AC811" t="s">
        <v>85</v>
      </c>
    </row>
    <row r="812" spans="1:29" hidden="1" x14ac:dyDescent="0.3">
      <c r="A812" t="s">
        <v>1146</v>
      </c>
      <c r="C812" t="s">
        <v>1052</v>
      </c>
      <c r="L812" t="s">
        <v>58</v>
      </c>
      <c r="T812">
        <v>25</v>
      </c>
      <c r="V812">
        <v>50</v>
      </c>
      <c r="W812" t="s">
        <v>1147</v>
      </c>
      <c r="X812" t="s">
        <v>280</v>
      </c>
      <c r="Y812">
        <v>20</v>
      </c>
      <c r="AB812">
        <v>6.62235680115172E-2</v>
      </c>
      <c r="AC812" t="s">
        <v>85</v>
      </c>
    </row>
    <row r="813" spans="1:29" hidden="1" x14ac:dyDescent="0.3">
      <c r="A813" t="s">
        <v>1146</v>
      </c>
      <c r="C813" t="s">
        <v>1052</v>
      </c>
      <c r="L813" t="s">
        <v>58</v>
      </c>
      <c r="T813">
        <v>25</v>
      </c>
      <c r="V813">
        <v>50</v>
      </c>
      <c r="W813" t="s">
        <v>1147</v>
      </c>
      <c r="X813" t="s">
        <v>280</v>
      </c>
      <c r="Y813">
        <v>30</v>
      </c>
      <c r="AB813">
        <v>6.4780727874105701E-2</v>
      </c>
      <c r="AC813" t="s">
        <v>85</v>
      </c>
    </row>
    <row r="814" spans="1:29" hidden="1" x14ac:dyDescent="0.3">
      <c r="A814" t="s">
        <v>1146</v>
      </c>
      <c r="C814" t="s">
        <v>1052</v>
      </c>
      <c r="L814" t="s">
        <v>58</v>
      </c>
      <c r="T814">
        <v>25</v>
      </c>
      <c r="V814">
        <v>50</v>
      </c>
      <c r="W814" t="s">
        <v>1147</v>
      </c>
      <c r="X814" t="s">
        <v>280</v>
      </c>
      <c r="Y814">
        <v>40</v>
      </c>
      <c r="AB814">
        <v>0.36797678529459399</v>
      </c>
      <c r="AC814" t="s">
        <v>85</v>
      </c>
    </row>
    <row r="815" spans="1:29" hidden="1" x14ac:dyDescent="0.3">
      <c r="A815" t="s">
        <v>1146</v>
      </c>
      <c r="C815" t="s">
        <v>1052</v>
      </c>
      <c r="L815" t="s">
        <v>58</v>
      </c>
      <c r="T815">
        <v>25</v>
      </c>
      <c r="V815">
        <v>50</v>
      </c>
      <c r="W815" t="s">
        <v>1147</v>
      </c>
      <c r="X815" t="s">
        <v>280</v>
      </c>
      <c r="Y815">
        <v>50</v>
      </c>
      <c r="AB815">
        <v>0.36797678529459399</v>
      </c>
      <c r="AC815" t="s">
        <v>85</v>
      </c>
    </row>
    <row r="816" spans="1:29" hidden="1" x14ac:dyDescent="0.3">
      <c r="A816" t="s">
        <v>1146</v>
      </c>
      <c r="C816" t="s">
        <v>1052</v>
      </c>
      <c r="L816" t="s">
        <v>58</v>
      </c>
      <c r="T816">
        <v>25</v>
      </c>
      <c r="V816">
        <v>50</v>
      </c>
      <c r="W816" t="s">
        <v>1147</v>
      </c>
      <c r="X816" t="s">
        <v>280</v>
      </c>
      <c r="Y816">
        <v>60</v>
      </c>
      <c r="AB816">
        <v>2.3679767852945899</v>
      </c>
      <c r="AC816" t="s">
        <v>85</v>
      </c>
    </row>
    <row r="817" spans="1:53" hidden="1" x14ac:dyDescent="0.3">
      <c r="A817" t="s">
        <v>347</v>
      </c>
      <c r="B817" t="s">
        <v>348</v>
      </c>
      <c r="C817" t="s">
        <v>1052</v>
      </c>
      <c r="D817" t="s">
        <v>81</v>
      </c>
      <c r="E817">
        <v>151000</v>
      </c>
      <c r="O817">
        <v>0</v>
      </c>
      <c r="T817">
        <v>132</v>
      </c>
      <c r="V817">
        <v>50</v>
      </c>
      <c r="W817" t="s">
        <v>1148</v>
      </c>
      <c r="X817" t="s">
        <v>255</v>
      </c>
      <c r="Y817">
        <v>4</v>
      </c>
      <c r="AB817">
        <v>0</v>
      </c>
      <c r="AC817" t="s">
        <v>297</v>
      </c>
      <c r="AI817">
        <v>31</v>
      </c>
      <c r="AT817" t="s">
        <v>65</v>
      </c>
      <c r="AZ817">
        <v>0</v>
      </c>
    </row>
    <row r="818" spans="1:53" hidden="1" x14ac:dyDescent="0.3">
      <c r="A818" t="s">
        <v>347</v>
      </c>
      <c r="B818" t="s">
        <v>348</v>
      </c>
      <c r="C818" t="s">
        <v>1052</v>
      </c>
      <c r="D818" t="s">
        <v>81</v>
      </c>
      <c r="E818">
        <v>291000</v>
      </c>
      <c r="O818">
        <v>0</v>
      </c>
      <c r="T818">
        <v>132</v>
      </c>
      <c r="V818">
        <v>50</v>
      </c>
      <c r="W818" t="s">
        <v>1148</v>
      </c>
      <c r="X818" t="s">
        <v>255</v>
      </c>
      <c r="Y818">
        <v>4</v>
      </c>
      <c r="AB818">
        <v>0</v>
      </c>
      <c r="AC818" t="s">
        <v>297</v>
      </c>
      <c r="AI818">
        <v>10</v>
      </c>
      <c r="AT818" t="s">
        <v>65</v>
      </c>
      <c r="AZ818">
        <v>0</v>
      </c>
    </row>
    <row r="819" spans="1:53" hidden="1" x14ac:dyDescent="0.3">
      <c r="A819" t="s">
        <v>347</v>
      </c>
      <c r="B819" t="s">
        <v>348</v>
      </c>
      <c r="C819" t="s">
        <v>1052</v>
      </c>
      <c r="D819" t="s">
        <v>81</v>
      </c>
      <c r="E819">
        <v>250000</v>
      </c>
      <c r="O819">
        <v>0</v>
      </c>
      <c r="T819">
        <v>132</v>
      </c>
      <c r="V819">
        <v>50</v>
      </c>
      <c r="W819" t="s">
        <v>350</v>
      </c>
      <c r="X819" t="s">
        <v>255</v>
      </c>
      <c r="Y819">
        <v>4</v>
      </c>
      <c r="AA819" t="s">
        <v>184</v>
      </c>
      <c r="AB819">
        <v>6.34</v>
      </c>
      <c r="AC819" t="s">
        <v>85</v>
      </c>
      <c r="AI819">
        <v>15</v>
      </c>
      <c r="AT819" t="s">
        <v>65</v>
      </c>
      <c r="AZ819">
        <v>0</v>
      </c>
      <c r="BA819">
        <v>6.34</v>
      </c>
    </row>
    <row r="820" spans="1:53" hidden="1" x14ac:dyDescent="0.3">
      <c r="A820" t="s">
        <v>347</v>
      </c>
      <c r="B820" t="s">
        <v>348</v>
      </c>
      <c r="C820" t="s">
        <v>1052</v>
      </c>
      <c r="D820" t="s">
        <v>81</v>
      </c>
      <c r="E820">
        <v>250000</v>
      </c>
      <c r="O820">
        <v>0</v>
      </c>
      <c r="T820">
        <v>132</v>
      </c>
      <c r="V820">
        <v>50</v>
      </c>
      <c r="W820" t="s">
        <v>351</v>
      </c>
      <c r="X820" t="s">
        <v>255</v>
      </c>
      <c r="Y820">
        <v>4</v>
      </c>
      <c r="AA820" t="s">
        <v>184</v>
      </c>
      <c r="AB820">
        <v>6.32</v>
      </c>
      <c r="AC820" t="s">
        <v>85</v>
      </c>
      <c r="AI820">
        <v>12</v>
      </c>
      <c r="AZ820">
        <v>0</v>
      </c>
      <c r="BA820">
        <v>6.32</v>
      </c>
    </row>
    <row r="821" spans="1:53" hidden="1" x14ac:dyDescent="0.3">
      <c r="A821" t="s">
        <v>1149</v>
      </c>
      <c r="C821" t="s">
        <v>1052</v>
      </c>
      <c r="O821">
        <v>11.186999999999999</v>
      </c>
      <c r="P821" t="s">
        <v>1150</v>
      </c>
      <c r="T821">
        <v>25</v>
      </c>
      <c r="V821">
        <v>50</v>
      </c>
      <c r="W821" t="s">
        <v>1151</v>
      </c>
      <c r="X821" t="s">
        <v>1152</v>
      </c>
      <c r="Y821">
        <v>0.18833333333333341</v>
      </c>
      <c r="AB821">
        <v>2.09</v>
      </c>
      <c r="AC821" t="s">
        <v>85</v>
      </c>
      <c r="AI821">
        <v>3</v>
      </c>
      <c r="AJ821" t="s">
        <v>201</v>
      </c>
    </row>
    <row r="822" spans="1:53" hidden="1" x14ac:dyDescent="0.3">
      <c r="A822" t="s">
        <v>1149</v>
      </c>
      <c r="C822" t="s">
        <v>1052</v>
      </c>
      <c r="O822">
        <v>11.186999999999999</v>
      </c>
      <c r="P822" t="s">
        <v>1150</v>
      </c>
      <c r="T822">
        <v>25</v>
      </c>
      <c r="V822">
        <v>50</v>
      </c>
      <c r="W822" t="s">
        <v>1151</v>
      </c>
      <c r="X822" t="s">
        <v>1152</v>
      </c>
      <c r="Y822">
        <v>0.18833333333333341</v>
      </c>
      <c r="AB822">
        <v>2.4300000000000002</v>
      </c>
      <c r="AC822" t="s">
        <v>85</v>
      </c>
      <c r="AI822">
        <v>3</v>
      </c>
      <c r="AJ822" t="s">
        <v>201</v>
      </c>
    </row>
    <row r="823" spans="1:53" hidden="1" x14ac:dyDescent="0.3">
      <c r="A823" t="s">
        <v>1149</v>
      </c>
      <c r="C823" t="s">
        <v>1052</v>
      </c>
      <c r="O823">
        <v>11.186999999999999</v>
      </c>
      <c r="P823" t="s">
        <v>1150</v>
      </c>
      <c r="T823">
        <v>25</v>
      </c>
      <c r="V823">
        <v>50</v>
      </c>
      <c r="W823" t="s">
        <v>1151</v>
      </c>
      <c r="X823" t="s">
        <v>1152</v>
      </c>
      <c r="Y823">
        <v>0.18833333333333341</v>
      </c>
      <c r="AB823">
        <v>2.79</v>
      </c>
      <c r="AC823" t="s">
        <v>85</v>
      </c>
      <c r="AI823">
        <v>3</v>
      </c>
      <c r="AJ823" t="s">
        <v>201</v>
      </c>
    </row>
    <row r="824" spans="1:53" hidden="1" x14ac:dyDescent="0.3">
      <c r="A824" t="s">
        <v>1149</v>
      </c>
      <c r="C824" t="s">
        <v>1052</v>
      </c>
      <c r="O824">
        <v>11.186999999999999</v>
      </c>
      <c r="P824" t="s">
        <v>1150</v>
      </c>
      <c r="T824">
        <v>25</v>
      </c>
      <c r="V824">
        <v>50</v>
      </c>
      <c r="W824" t="s">
        <v>1151</v>
      </c>
      <c r="X824" t="s">
        <v>1152</v>
      </c>
      <c r="Y824">
        <v>0.18833333333333341</v>
      </c>
      <c r="AB824">
        <v>3.22</v>
      </c>
      <c r="AC824" t="s">
        <v>85</v>
      </c>
      <c r="AI824">
        <v>3</v>
      </c>
      <c r="AJ824" t="s">
        <v>201</v>
      </c>
    </row>
    <row r="825" spans="1:53" hidden="1" x14ac:dyDescent="0.3">
      <c r="A825" t="s">
        <v>1149</v>
      </c>
      <c r="C825" t="s">
        <v>1052</v>
      </c>
      <c r="O825">
        <v>11.186999999999999</v>
      </c>
      <c r="P825" t="s">
        <v>1150</v>
      </c>
      <c r="T825">
        <v>25</v>
      </c>
      <c r="V825">
        <v>50</v>
      </c>
      <c r="W825" t="s">
        <v>1151</v>
      </c>
      <c r="X825" t="s">
        <v>1152</v>
      </c>
      <c r="Y825">
        <v>0.18833333333333341</v>
      </c>
      <c r="AB825">
        <v>1.36</v>
      </c>
      <c r="AC825" t="s">
        <v>85</v>
      </c>
      <c r="AI825">
        <v>3</v>
      </c>
      <c r="AJ825" t="s">
        <v>201</v>
      </c>
    </row>
    <row r="826" spans="1:53" hidden="1" x14ac:dyDescent="0.3">
      <c r="A826" t="s">
        <v>1149</v>
      </c>
      <c r="C826" t="s">
        <v>1052</v>
      </c>
      <c r="O826">
        <v>11.186999999999999</v>
      </c>
      <c r="P826" t="s">
        <v>1150</v>
      </c>
      <c r="T826">
        <v>25</v>
      </c>
      <c r="V826">
        <v>50</v>
      </c>
      <c r="W826" t="s">
        <v>1151</v>
      </c>
      <c r="X826" t="s">
        <v>1152</v>
      </c>
      <c r="Y826">
        <v>0.18833333333333341</v>
      </c>
      <c r="AB826">
        <v>1.39</v>
      </c>
      <c r="AC826" t="s">
        <v>85</v>
      </c>
      <c r="AI826">
        <v>3</v>
      </c>
      <c r="AJ826" t="s">
        <v>201</v>
      </c>
    </row>
    <row r="827" spans="1:53" hidden="1" x14ac:dyDescent="0.3">
      <c r="A827" t="s">
        <v>1149</v>
      </c>
      <c r="C827" t="s">
        <v>1052</v>
      </c>
      <c r="O827">
        <v>11.186999999999999</v>
      </c>
      <c r="P827" t="s">
        <v>1150</v>
      </c>
      <c r="T827">
        <v>25</v>
      </c>
      <c r="V827">
        <v>50</v>
      </c>
      <c r="W827" t="s">
        <v>1151</v>
      </c>
      <c r="X827" t="s">
        <v>1152</v>
      </c>
      <c r="Y827">
        <v>0.18833333333333341</v>
      </c>
      <c r="AB827">
        <v>1.44</v>
      </c>
      <c r="AC827" t="s">
        <v>85</v>
      </c>
      <c r="AI827">
        <v>3</v>
      </c>
      <c r="AJ827" t="s">
        <v>201</v>
      </c>
    </row>
    <row r="828" spans="1:53" hidden="1" x14ac:dyDescent="0.3">
      <c r="A828" t="s">
        <v>1149</v>
      </c>
      <c r="C828" t="s">
        <v>1052</v>
      </c>
      <c r="O828">
        <v>11.186999999999999</v>
      </c>
      <c r="P828" t="s">
        <v>1150</v>
      </c>
      <c r="T828">
        <v>25</v>
      </c>
      <c r="V828">
        <v>50</v>
      </c>
      <c r="W828" t="s">
        <v>1151</v>
      </c>
      <c r="X828" t="s">
        <v>1152</v>
      </c>
      <c r="Y828">
        <v>0.18833333333333341</v>
      </c>
      <c r="AB828">
        <v>1.66</v>
      </c>
      <c r="AC828" t="s">
        <v>85</v>
      </c>
      <c r="AI828">
        <v>3</v>
      </c>
      <c r="AJ828" t="s">
        <v>201</v>
      </c>
    </row>
    <row r="829" spans="1:53" hidden="1" x14ac:dyDescent="0.3">
      <c r="A829" t="s">
        <v>1153</v>
      </c>
      <c r="C829" t="s">
        <v>1052</v>
      </c>
      <c r="O829">
        <v>4380</v>
      </c>
      <c r="P829" t="s">
        <v>1154</v>
      </c>
      <c r="T829">
        <v>22</v>
      </c>
      <c r="V829">
        <v>50</v>
      </c>
      <c r="W829" t="s">
        <v>1155</v>
      </c>
      <c r="X829" t="s">
        <v>1058</v>
      </c>
      <c r="Y829">
        <v>0.5</v>
      </c>
      <c r="AB829">
        <v>23</v>
      </c>
      <c r="AC829" t="s">
        <v>1070</v>
      </c>
      <c r="AI829">
        <v>24</v>
      </c>
    </row>
    <row r="830" spans="1:53" hidden="1" x14ac:dyDescent="0.3">
      <c r="A830" t="s">
        <v>1153</v>
      </c>
      <c r="C830" t="s">
        <v>1052</v>
      </c>
      <c r="O830">
        <v>4380</v>
      </c>
      <c r="P830" t="s">
        <v>1154</v>
      </c>
      <c r="T830">
        <v>22</v>
      </c>
      <c r="V830">
        <v>50</v>
      </c>
      <c r="W830" t="s">
        <v>1155</v>
      </c>
      <c r="X830" t="s">
        <v>1058</v>
      </c>
      <c r="Y830">
        <v>0.5</v>
      </c>
      <c r="AB830">
        <v>14</v>
      </c>
      <c r="AC830" t="s">
        <v>1070</v>
      </c>
      <c r="AI830">
        <v>27</v>
      </c>
    </row>
    <row r="831" spans="1:53" hidden="1" x14ac:dyDescent="0.3">
      <c r="A831" t="s">
        <v>1153</v>
      </c>
      <c r="C831" t="s">
        <v>1052</v>
      </c>
      <c r="O831">
        <v>4380</v>
      </c>
      <c r="P831" t="s">
        <v>1154</v>
      </c>
      <c r="T831">
        <v>22</v>
      </c>
      <c r="V831">
        <v>50</v>
      </c>
      <c r="W831" t="s">
        <v>1155</v>
      </c>
      <c r="X831" t="s">
        <v>1058</v>
      </c>
      <c r="Y831">
        <v>0.5</v>
      </c>
      <c r="AB831">
        <v>25</v>
      </c>
      <c r="AC831" t="s">
        <v>1070</v>
      </c>
      <c r="AI831">
        <v>12</v>
      </c>
    </row>
    <row r="832" spans="1:53" hidden="1" x14ac:dyDescent="0.3">
      <c r="A832" t="s">
        <v>1153</v>
      </c>
      <c r="C832" t="s">
        <v>1052</v>
      </c>
      <c r="O832">
        <v>4380</v>
      </c>
      <c r="P832" t="s">
        <v>1154</v>
      </c>
      <c r="T832">
        <v>22</v>
      </c>
      <c r="V832">
        <v>50</v>
      </c>
      <c r="W832" t="s">
        <v>1155</v>
      </c>
      <c r="X832" t="s">
        <v>1058</v>
      </c>
      <c r="Y832">
        <v>0.5</v>
      </c>
      <c r="AB832">
        <v>26</v>
      </c>
      <c r="AC832" t="s">
        <v>1070</v>
      </c>
      <c r="AI832">
        <v>12</v>
      </c>
    </row>
    <row r="833" spans="1:35" hidden="1" x14ac:dyDescent="0.3">
      <c r="A833" t="s">
        <v>1153</v>
      </c>
      <c r="C833" t="s">
        <v>1052</v>
      </c>
      <c r="O833">
        <v>4380</v>
      </c>
      <c r="P833" t="s">
        <v>1154</v>
      </c>
      <c r="T833">
        <v>22</v>
      </c>
      <c r="V833">
        <v>50</v>
      </c>
      <c r="W833" t="s">
        <v>1155</v>
      </c>
      <c r="X833" t="s">
        <v>1058</v>
      </c>
      <c r="Y833">
        <v>0.5</v>
      </c>
      <c r="AB833">
        <v>16</v>
      </c>
      <c r="AC833" t="s">
        <v>1070</v>
      </c>
      <c r="AI833">
        <v>12</v>
      </c>
    </row>
    <row r="834" spans="1:35" hidden="1" x14ac:dyDescent="0.3">
      <c r="A834" t="s">
        <v>1153</v>
      </c>
      <c r="C834" t="s">
        <v>1052</v>
      </c>
      <c r="O834">
        <v>4380</v>
      </c>
      <c r="P834" t="s">
        <v>1154</v>
      </c>
      <c r="T834">
        <v>22</v>
      </c>
      <c r="V834">
        <v>50</v>
      </c>
      <c r="W834" t="s">
        <v>1155</v>
      </c>
      <c r="X834" t="s">
        <v>1058</v>
      </c>
      <c r="Y834">
        <v>0.5</v>
      </c>
      <c r="AB834">
        <v>21</v>
      </c>
      <c r="AC834" t="s">
        <v>1070</v>
      </c>
      <c r="AI834">
        <v>12</v>
      </c>
    </row>
    <row r="835" spans="1:35" hidden="1" x14ac:dyDescent="0.3">
      <c r="A835" t="s">
        <v>1153</v>
      </c>
      <c r="C835" t="s">
        <v>1052</v>
      </c>
      <c r="O835">
        <v>4380</v>
      </c>
      <c r="P835" t="s">
        <v>1154</v>
      </c>
      <c r="T835">
        <v>22</v>
      </c>
      <c r="V835">
        <v>50</v>
      </c>
      <c r="W835" t="s">
        <v>1155</v>
      </c>
      <c r="X835" t="s">
        <v>1058</v>
      </c>
      <c r="Y835">
        <v>0.5</v>
      </c>
      <c r="AB835">
        <v>18</v>
      </c>
      <c r="AC835" t="s">
        <v>1070</v>
      </c>
      <c r="AI835">
        <v>12</v>
      </c>
    </row>
    <row r="836" spans="1:35" hidden="1" x14ac:dyDescent="0.3">
      <c r="A836" t="s">
        <v>1153</v>
      </c>
      <c r="C836" t="s">
        <v>1052</v>
      </c>
      <c r="O836">
        <v>4380</v>
      </c>
      <c r="P836" t="s">
        <v>1154</v>
      </c>
      <c r="T836">
        <v>22</v>
      </c>
      <c r="V836">
        <v>50</v>
      </c>
      <c r="W836" t="s">
        <v>1155</v>
      </c>
      <c r="X836" t="s">
        <v>1058</v>
      </c>
      <c r="Y836">
        <v>0.5</v>
      </c>
      <c r="AB836">
        <v>22</v>
      </c>
      <c r="AC836" t="s">
        <v>1070</v>
      </c>
      <c r="AI836">
        <v>2</v>
      </c>
    </row>
    <row r="837" spans="1:35" hidden="1" x14ac:dyDescent="0.3">
      <c r="A837" t="s">
        <v>1153</v>
      </c>
      <c r="C837" t="s">
        <v>1052</v>
      </c>
      <c r="O837">
        <v>8760</v>
      </c>
      <c r="P837" t="s">
        <v>1154</v>
      </c>
      <c r="T837">
        <v>22</v>
      </c>
      <c r="V837">
        <v>50</v>
      </c>
      <c r="W837" t="s">
        <v>1155</v>
      </c>
      <c r="X837" t="s">
        <v>1058</v>
      </c>
      <c r="Y837">
        <v>1</v>
      </c>
      <c r="AB837">
        <v>40</v>
      </c>
      <c r="AC837" t="s">
        <v>1070</v>
      </c>
      <c r="AI837">
        <v>24</v>
      </c>
    </row>
    <row r="838" spans="1:35" hidden="1" x14ac:dyDescent="0.3">
      <c r="A838" t="s">
        <v>1153</v>
      </c>
      <c r="C838" t="s">
        <v>1052</v>
      </c>
      <c r="O838">
        <v>8760</v>
      </c>
      <c r="P838" t="s">
        <v>1154</v>
      </c>
      <c r="T838">
        <v>22</v>
      </c>
      <c r="V838">
        <v>50</v>
      </c>
      <c r="W838" t="s">
        <v>1155</v>
      </c>
      <c r="X838" t="s">
        <v>1058</v>
      </c>
      <c r="Y838">
        <v>1</v>
      </c>
      <c r="AB838">
        <v>31</v>
      </c>
      <c r="AC838" t="s">
        <v>1070</v>
      </c>
      <c r="AI838">
        <v>27</v>
      </c>
    </row>
    <row r="839" spans="1:35" hidden="1" x14ac:dyDescent="0.3">
      <c r="A839" t="s">
        <v>1153</v>
      </c>
      <c r="C839" t="s">
        <v>1052</v>
      </c>
      <c r="O839">
        <v>8760</v>
      </c>
      <c r="P839" t="s">
        <v>1154</v>
      </c>
      <c r="T839">
        <v>22</v>
      </c>
      <c r="V839">
        <v>50</v>
      </c>
      <c r="W839" t="s">
        <v>1155</v>
      </c>
      <c r="X839" t="s">
        <v>1058</v>
      </c>
      <c r="Y839">
        <v>1</v>
      </c>
      <c r="AB839">
        <v>32</v>
      </c>
      <c r="AC839" t="s">
        <v>1070</v>
      </c>
      <c r="AI839">
        <v>12</v>
      </c>
    </row>
    <row r="840" spans="1:35" hidden="1" x14ac:dyDescent="0.3">
      <c r="A840" t="s">
        <v>1153</v>
      </c>
      <c r="C840" t="s">
        <v>1052</v>
      </c>
      <c r="O840">
        <v>8760</v>
      </c>
      <c r="P840" t="s">
        <v>1154</v>
      </c>
      <c r="T840">
        <v>22</v>
      </c>
      <c r="V840">
        <v>50</v>
      </c>
      <c r="W840" t="s">
        <v>1155</v>
      </c>
      <c r="X840" t="s">
        <v>1058</v>
      </c>
      <c r="Y840">
        <v>1</v>
      </c>
      <c r="AB840">
        <v>36</v>
      </c>
      <c r="AC840" t="s">
        <v>1070</v>
      </c>
      <c r="AI840">
        <v>12</v>
      </c>
    </row>
    <row r="841" spans="1:35" hidden="1" x14ac:dyDescent="0.3">
      <c r="A841" t="s">
        <v>1153</v>
      </c>
      <c r="C841" t="s">
        <v>1052</v>
      </c>
      <c r="O841">
        <v>8760</v>
      </c>
      <c r="P841" t="s">
        <v>1154</v>
      </c>
      <c r="T841">
        <v>22</v>
      </c>
      <c r="V841">
        <v>50</v>
      </c>
      <c r="W841" t="s">
        <v>1155</v>
      </c>
      <c r="X841" t="s">
        <v>1058</v>
      </c>
      <c r="Y841">
        <v>1</v>
      </c>
      <c r="AB841">
        <v>29</v>
      </c>
      <c r="AC841" t="s">
        <v>1070</v>
      </c>
      <c r="AI841">
        <v>12</v>
      </c>
    </row>
    <row r="842" spans="1:35" hidden="1" x14ac:dyDescent="0.3">
      <c r="A842" t="s">
        <v>1153</v>
      </c>
      <c r="C842" t="s">
        <v>1052</v>
      </c>
      <c r="O842">
        <v>8760</v>
      </c>
      <c r="P842" t="s">
        <v>1154</v>
      </c>
      <c r="T842">
        <v>22</v>
      </c>
      <c r="V842">
        <v>50</v>
      </c>
      <c r="W842" t="s">
        <v>1155</v>
      </c>
      <c r="X842" t="s">
        <v>1058</v>
      </c>
      <c r="Y842">
        <v>1</v>
      </c>
      <c r="AB842">
        <v>35</v>
      </c>
      <c r="AC842" t="s">
        <v>1070</v>
      </c>
      <c r="AI842">
        <v>12</v>
      </c>
    </row>
    <row r="843" spans="1:35" hidden="1" x14ac:dyDescent="0.3">
      <c r="A843" t="s">
        <v>1153</v>
      </c>
      <c r="C843" t="s">
        <v>1052</v>
      </c>
      <c r="O843">
        <v>8760</v>
      </c>
      <c r="P843" t="s">
        <v>1154</v>
      </c>
      <c r="T843">
        <v>22</v>
      </c>
      <c r="V843">
        <v>50</v>
      </c>
      <c r="W843" t="s">
        <v>1155</v>
      </c>
      <c r="X843" t="s">
        <v>1058</v>
      </c>
      <c r="Y843">
        <v>1</v>
      </c>
      <c r="AB843">
        <v>33</v>
      </c>
      <c r="AC843" t="s">
        <v>1070</v>
      </c>
      <c r="AI843">
        <v>12</v>
      </c>
    </row>
    <row r="844" spans="1:35" hidden="1" x14ac:dyDescent="0.3">
      <c r="A844" t="s">
        <v>1153</v>
      </c>
      <c r="C844" t="s">
        <v>1052</v>
      </c>
      <c r="O844">
        <v>8760</v>
      </c>
      <c r="P844" t="s">
        <v>1154</v>
      </c>
      <c r="T844">
        <v>22</v>
      </c>
      <c r="V844">
        <v>50</v>
      </c>
      <c r="W844" t="s">
        <v>1155</v>
      </c>
      <c r="X844" t="s">
        <v>1058</v>
      </c>
      <c r="Y844">
        <v>1</v>
      </c>
      <c r="AB844">
        <v>23</v>
      </c>
      <c r="AC844" t="s">
        <v>1070</v>
      </c>
      <c r="AI844">
        <v>6</v>
      </c>
    </row>
    <row r="845" spans="1:35" hidden="1" x14ac:dyDescent="0.3">
      <c r="A845" t="s">
        <v>1153</v>
      </c>
      <c r="C845" t="s">
        <v>1052</v>
      </c>
      <c r="O845">
        <v>13140</v>
      </c>
      <c r="P845" t="s">
        <v>1154</v>
      </c>
      <c r="T845">
        <v>22</v>
      </c>
      <c r="V845">
        <v>50</v>
      </c>
      <c r="W845" t="s">
        <v>1155</v>
      </c>
      <c r="X845" t="s">
        <v>1058</v>
      </c>
      <c r="Y845">
        <v>1.5</v>
      </c>
      <c r="AB845">
        <v>69</v>
      </c>
      <c r="AC845" t="s">
        <v>1070</v>
      </c>
      <c r="AI845">
        <v>24</v>
      </c>
    </row>
    <row r="846" spans="1:35" hidden="1" x14ac:dyDescent="0.3">
      <c r="A846" t="s">
        <v>1153</v>
      </c>
      <c r="C846" t="s">
        <v>1052</v>
      </c>
      <c r="O846">
        <v>13140</v>
      </c>
      <c r="P846" t="s">
        <v>1154</v>
      </c>
      <c r="T846">
        <v>22</v>
      </c>
      <c r="V846">
        <v>50</v>
      </c>
      <c r="W846" t="s">
        <v>1155</v>
      </c>
      <c r="X846" t="s">
        <v>1058</v>
      </c>
      <c r="Y846">
        <v>1.5</v>
      </c>
      <c r="AB846">
        <v>58</v>
      </c>
      <c r="AC846" t="s">
        <v>1070</v>
      </c>
      <c r="AI846">
        <v>30</v>
      </c>
    </row>
    <row r="847" spans="1:35" hidden="1" x14ac:dyDescent="0.3">
      <c r="A847" t="s">
        <v>1153</v>
      </c>
      <c r="C847" t="s">
        <v>1052</v>
      </c>
      <c r="O847">
        <v>13140</v>
      </c>
      <c r="P847" t="s">
        <v>1154</v>
      </c>
      <c r="T847">
        <v>22</v>
      </c>
      <c r="V847">
        <v>50</v>
      </c>
      <c r="W847" t="s">
        <v>1155</v>
      </c>
      <c r="X847" t="s">
        <v>1058</v>
      </c>
      <c r="Y847">
        <v>1.5</v>
      </c>
      <c r="AB847">
        <v>45</v>
      </c>
      <c r="AC847" t="s">
        <v>1070</v>
      </c>
      <c r="AI847">
        <v>18</v>
      </c>
    </row>
    <row r="848" spans="1:35" hidden="1" x14ac:dyDescent="0.3">
      <c r="A848" t="s">
        <v>1153</v>
      </c>
      <c r="C848" t="s">
        <v>1052</v>
      </c>
      <c r="O848">
        <v>13140</v>
      </c>
      <c r="P848" t="s">
        <v>1154</v>
      </c>
      <c r="T848">
        <v>22</v>
      </c>
      <c r="V848">
        <v>50</v>
      </c>
      <c r="W848" t="s">
        <v>1155</v>
      </c>
      <c r="X848" t="s">
        <v>1058</v>
      </c>
      <c r="Y848">
        <v>1.5</v>
      </c>
      <c r="AB848">
        <v>59</v>
      </c>
      <c r="AC848" t="s">
        <v>1070</v>
      </c>
      <c r="AI848">
        <v>12</v>
      </c>
    </row>
    <row r="849" spans="1:41" hidden="1" x14ac:dyDescent="0.3">
      <c r="A849" t="s">
        <v>1153</v>
      </c>
      <c r="C849" t="s">
        <v>1052</v>
      </c>
      <c r="O849">
        <v>13140</v>
      </c>
      <c r="P849" t="s">
        <v>1154</v>
      </c>
      <c r="T849">
        <v>22</v>
      </c>
      <c r="V849">
        <v>50</v>
      </c>
      <c r="W849" t="s">
        <v>1155</v>
      </c>
      <c r="X849" t="s">
        <v>1058</v>
      </c>
      <c r="Y849">
        <v>1.5</v>
      </c>
      <c r="AB849">
        <v>44</v>
      </c>
      <c r="AC849" t="s">
        <v>1070</v>
      </c>
      <c r="AI849">
        <v>12</v>
      </c>
    </row>
    <row r="850" spans="1:41" hidden="1" x14ac:dyDescent="0.3">
      <c r="A850" t="s">
        <v>1153</v>
      </c>
      <c r="C850" t="s">
        <v>1052</v>
      </c>
      <c r="O850">
        <v>13140</v>
      </c>
      <c r="P850" t="s">
        <v>1154</v>
      </c>
      <c r="T850">
        <v>22</v>
      </c>
      <c r="V850">
        <v>50</v>
      </c>
      <c r="W850" t="s">
        <v>1155</v>
      </c>
      <c r="X850" t="s">
        <v>1058</v>
      </c>
      <c r="Y850">
        <v>1.5</v>
      </c>
      <c r="AB850">
        <v>49</v>
      </c>
      <c r="AC850" t="s">
        <v>1070</v>
      </c>
      <c r="AI850">
        <v>12</v>
      </c>
    </row>
    <row r="851" spans="1:41" hidden="1" x14ac:dyDescent="0.3">
      <c r="A851" t="s">
        <v>1153</v>
      </c>
      <c r="C851" t="s">
        <v>1052</v>
      </c>
      <c r="O851">
        <v>13140</v>
      </c>
      <c r="P851" t="s">
        <v>1154</v>
      </c>
      <c r="T851">
        <v>22</v>
      </c>
      <c r="V851">
        <v>50</v>
      </c>
      <c r="W851" t="s">
        <v>1155</v>
      </c>
      <c r="X851" t="s">
        <v>1058</v>
      </c>
      <c r="Y851">
        <v>1.5</v>
      </c>
      <c r="AB851">
        <v>44</v>
      </c>
      <c r="AC851" t="s">
        <v>1070</v>
      </c>
      <c r="AI851">
        <v>12</v>
      </c>
    </row>
    <row r="852" spans="1:41" hidden="1" x14ac:dyDescent="0.3">
      <c r="A852" t="s">
        <v>1153</v>
      </c>
      <c r="C852" t="s">
        <v>1052</v>
      </c>
      <c r="O852">
        <v>13140</v>
      </c>
      <c r="P852" t="s">
        <v>1154</v>
      </c>
      <c r="T852">
        <v>22</v>
      </c>
      <c r="V852">
        <v>50</v>
      </c>
      <c r="W852" t="s">
        <v>1155</v>
      </c>
      <c r="X852" t="s">
        <v>1058</v>
      </c>
      <c r="Y852">
        <v>1.5</v>
      </c>
      <c r="AB852">
        <v>29</v>
      </c>
      <c r="AC852" t="s">
        <v>1070</v>
      </c>
      <c r="AI852">
        <v>6</v>
      </c>
    </row>
    <row r="853" spans="1:41" hidden="1" x14ac:dyDescent="0.3">
      <c r="A853" t="s">
        <v>1153</v>
      </c>
      <c r="C853" t="s">
        <v>1052</v>
      </c>
      <c r="O853">
        <v>17520</v>
      </c>
      <c r="P853" t="s">
        <v>1154</v>
      </c>
      <c r="T853">
        <v>22</v>
      </c>
      <c r="V853">
        <v>50</v>
      </c>
      <c r="W853" t="s">
        <v>1155</v>
      </c>
      <c r="X853" t="s">
        <v>1058</v>
      </c>
      <c r="Y853">
        <v>2</v>
      </c>
      <c r="AB853">
        <v>78</v>
      </c>
      <c r="AC853" t="s">
        <v>1070</v>
      </c>
      <c r="AI853">
        <v>12</v>
      </c>
    </row>
    <row r="854" spans="1:41" hidden="1" x14ac:dyDescent="0.3">
      <c r="A854" t="s">
        <v>1153</v>
      </c>
      <c r="C854" t="s">
        <v>1052</v>
      </c>
      <c r="O854">
        <v>17520</v>
      </c>
      <c r="P854" t="s">
        <v>1154</v>
      </c>
      <c r="T854">
        <v>22</v>
      </c>
      <c r="V854">
        <v>50</v>
      </c>
      <c r="W854" t="s">
        <v>1155</v>
      </c>
      <c r="X854" t="s">
        <v>1058</v>
      </c>
      <c r="Y854">
        <v>2</v>
      </c>
      <c r="AB854">
        <v>81</v>
      </c>
      <c r="AC854" t="s">
        <v>1070</v>
      </c>
      <c r="AI854">
        <v>18</v>
      </c>
    </row>
    <row r="855" spans="1:41" hidden="1" x14ac:dyDescent="0.3">
      <c r="A855" t="s">
        <v>1153</v>
      </c>
      <c r="C855" t="s">
        <v>1052</v>
      </c>
      <c r="O855">
        <v>17520</v>
      </c>
      <c r="P855" t="s">
        <v>1154</v>
      </c>
      <c r="T855">
        <v>22</v>
      </c>
      <c r="V855">
        <v>50</v>
      </c>
      <c r="W855" t="s">
        <v>1155</v>
      </c>
      <c r="X855" t="s">
        <v>1058</v>
      </c>
      <c r="Y855">
        <v>2</v>
      </c>
      <c r="AB855">
        <v>79</v>
      </c>
      <c r="AC855" t="s">
        <v>1070</v>
      </c>
      <c r="AI855">
        <v>12</v>
      </c>
    </row>
    <row r="856" spans="1:41" hidden="1" x14ac:dyDescent="0.3">
      <c r="A856" t="s">
        <v>1153</v>
      </c>
      <c r="C856" t="s">
        <v>1052</v>
      </c>
      <c r="O856">
        <v>17520</v>
      </c>
      <c r="P856" t="s">
        <v>1154</v>
      </c>
      <c r="T856">
        <v>22</v>
      </c>
      <c r="V856">
        <v>50</v>
      </c>
      <c r="W856" t="s">
        <v>1155</v>
      </c>
      <c r="X856" t="s">
        <v>1058</v>
      </c>
      <c r="Y856">
        <v>2</v>
      </c>
      <c r="AB856">
        <v>62</v>
      </c>
      <c r="AC856" t="s">
        <v>1070</v>
      </c>
      <c r="AI856">
        <v>12</v>
      </c>
    </row>
    <row r="857" spans="1:41" hidden="1" x14ac:dyDescent="0.3">
      <c r="A857" t="s">
        <v>1153</v>
      </c>
      <c r="C857" t="s">
        <v>1052</v>
      </c>
      <c r="O857">
        <v>17520</v>
      </c>
      <c r="P857" t="s">
        <v>1154</v>
      </c>
      <c r="T857">
        <v>22</v>
      </c>
      <c r="V857">
        <v>50</v>
      </c>
      <c r="W857" t="s">
        <v>1155</v>
      </c>
      <c r="X857" t="s">
        <v>1058</v>
      </c>
      <c r="Y857">
        <v>2</v>
      </c>
      <c r="AB857">
        <v>68</v>
      </c>
      <c r="AC857" t="s">
        <v>1070</v>
      </c>
      <c r="AI857">
        <v>12</v>
      </c>
    </row>
    <row r="858" spans="1:41" hidden="1" x14ac:dyDescent="0.3">
      <c r="A858" t="s">
        <v>1153</v>
      </c>
      <c r="C858" t="s">
        <v>1052</v>
      </c>
      <c r="O858">
        <v>17520</v>
      </c>
      <c r="P858" t="s">
        <v>1154</v>
      </c>
      <c r="T858">
        <v>22</v>
      </c>
      <c r="V858">
        <v>50</v>
      </c>
      <c r="W858" t="s">
        <v>1155</v>
      </c>
      <c r="X858" t="s">
        <v>1058</v>
      </c>
      <c r="Y858">
        <v>2</v>
      </c>
      <c r="AB858">
        <v>69</v>
      </c>
      <c r="AC858" t="s">
        <v>1070</v>
      </c>
      <c r="AI858">
        <v>12</v>
      </c>
    </row>
    <row r="859" spans="1:41" hidden="1" x14ac:dyDescent="0.3">
      <c r="A859" t="s">
        <v>1153</v>
      </c>
      <c r="C859" t="s">
        <v>1052</v>
      </c>
      <c r="O859">
        <v>17520</v>
      </c>
      <c r="P859" t="s">
        <v>1154</v>
      </c>
      <c r="T859">
        <v>22</v>
      </c>
      <c r="V859">
        <v>50</v>
      </c>
      <c r="W859" t="s">
        <v>1155</v>
      </c>
      <c r="X859" t="s">
        <v>1058</v>
      </c>
      <c r="Y859">
        <v>2</v>
      </c>
      <c r="AB859">
        <v>59</v>
      </c>
      <c r="AC859" t="s">
        <v>1070</v>
      </c>
      <c r="AI859">
        <v>15</v>
      </c>
    </row>
    <row r="860" spans="1:41" hidden="1" x14ac:dyDescent="0.3">
      <c r="A860" t="s">
        <v>1156</v>
      </c>
      <c r="C860" t="s">
        <v>1052</v>
      </c>
      <c r="O860">
        <v>0.28054182931323601</v>
      </c>
      <c r="P860" t="s">
        <v>1150</v>
      </c>
      <c r="T860">
        <v>25</v>
      </c>
      <c r="V860">
        <v>50</v>
      </c>
      <c r="W860" t="s">
        <v>1157</v>
      </c>
      <c r="X860" t="s">
        <v>1158</v>
      </c>
      <c r="Y860">
        <v>3.3397836823004172E-2</v>
      </c>
      <c r="AB860">
        <v>-3.7974683544304402E-2</v>
      </c>
      <c r="AC860" t="s">
        <v>85</v>
      </c>
      <c r="AI860">
        <v>13</v>
      </c>
      <c r="AO860">
        <v>0</v>
      </c>
    </row>
    <row r="861" spans="1:41" hidden="1" x14ac:dyDescent="0.3">
      <c r="A861" t="s">
        <v>1156</v>
      </c>
      <c r="C861" t="s">
        <v>1052</v>
      </c>
      <c r="O861">
        <v>4.3773550847266298</v>
      </c>
      <c r="P861" t="s">
        <v>1150</v>
      </c>
      <c r="T861">
        <v>25</v>
      </c>
      <c r="V861">
        <v>50</v>
      </c>
      <c r="W861" t="s">
        <v>1157</v>
      </c>
      <c r="X861" t="s">
        <v>1158</v>
      </c>
      <c r="Y861">
        <v>0.52111370056269501</v>
      </c>
      <c r="AB861">
        <v>1.2658227848100501E-2</v>
      </c>
      <c r="AC861" t="s">
        <v>85</v>
      </c>
      <c r="AI861">
        <v>13</v>
      </c>
      <c r="AO861">
        <v>0</v>
      </c>
    </row>
    <row r="862" spans="1:41" hidden="1" x14ac:dyDescent="0.3">
      <c r="A862" t="s">
        <v>1156</v>
      </c>
      <c r="C862" t="s">
        <v>1052</v>
      </c>
      <c r="O862">
        <v>7.94016110471805</v>
      </c>
      <c r="P862" t="s">
        <v>1150</v>
      </c>
      <c r="T862">
        <v>25</v>
      </c>
      <c r="V862">
        <v>50</v>
      </c>
      <c r="W862" t="s">
        <v>1157</v>
      </c>
      <c r="X862" t="s">
        <v>1158</v>
      </c>
      <c r="Y862">
        <v>0.94525727437119667</v>
      </c>
      <c r="AB862">
        <v>5.0632911392404202E-2</v>
      </c>
      <c r="AC862" t="s">
        <v>85</v>
      </c>
      <c r="AI862">
        <v>13</v>
      </c>
      <c r="AO862">
        <v>0</v>
      </c>
    </row>
    <row r="863" spans="1:41" hidden="1" x14ac:dyDescent="0.3">
      <c r="A863" t="s">
        <v>1156</v>
      </c>
      <c r="C863" t="s">
        <v>1052</v>
      </c>
      <c r="O863">
        <v>12.0339658686643</v>
      </c>
      <c r="P863" t="s">
        <v>1150</v>
      </c>
      <c r="T863">
        <v>25</v>
      </c>
      <c r="V863">
        <v>50</v>
      </c>
      <c r="W863" t="s">
        <v>1157</v>
      </c>
      <c r="X863" t="s">
        <v>1158</v>
      </c>
      <c r="Y863">
        <v>1.4326149843647971</v>
      </c>
      <c r="AB863">
        <v>0.151898734177214</v>
      </c>
      <c r="AC863" t="s">
        <v>85</v>
      </c>
      <c r="AI863">
        <v>13</v>
      </c>
      <c r="AO863">
        <v>0</v>
      </c>
    </row>
    <row r="864" spans="1:41" hidden="1" x14ac:dyDescent="0.3">
      <c r="A864" t="s">
        <v>1156</v>
      </c>
      <c r="C864" t="s">
        <v>1052</v>
      </c>
      <c r="O864">
        <v>16.290229171837399</v>
      </c>
      <c r="P864" t="s">
        <v>1150</v>
      </c>
      <c r="T864">
        <v>25</v>
      </c>
      <c r="V864">
        <v>50</v>
      </c>
      <c r="W864" t="s">
        <v>1157</v>
      </c>
      <c r="X864" t="s">
        <v>1158</v>
      </c>
      <c r="Y864">
        <v>1.939312996647317</v>
      </c>
      <c r="AB864">
        <v>0.518987341772151</v>
      </c>
      <c r="AC864" t="s">
        <v>85</v>
      </c>
      <c r="AI864">
        <v>13</v>
      </c>
      <c r="AO864">
        <v>0</v>
      </c>
    </row>
    <row r="865" spans="1:41" hidden="1" x14ac:dyDescent="0.3">
      <c r="A865" t="s">
        <v>1156</v>
      </c>
      <c r="C865" t="s">
        <v>1052</v>
      </c>
      <c r="O865">
        <v>20.170431041614901</v>
      </c>
      <c r="P865" t="s">
        <v>1150</v>
      </c>
      <c r="T865">
        <v>25</v>
      </c>
      <c r="V865">
        <v>50</v>
      </c>
      <c r="W865" t="s">
        <v>1157</v>
      </c>
      <c r="X865" t="s">
        <v>1158</v>
      </c>
      <c r="Y865">
        <v>2.401241790668434</v>
      </c>
      <c r="AB865">
        <v>1.21518987341772</v>
      </c>
      <c r="AC865" t="s">
        <v>85</v>
      </c>
      <c r="AI865">
        <v>13</v>
      </c>
      <c r="AO865">
        <v>0</v>
      </c>
    </row>
    <row r="866" spans="1:41" hidden="1" x14ac:dyDescent="0.3">
      <c r="A866" t="s">
        <v>1156</v>
      </c>
      <c r="C866" t="s">
        <v>1052</v>
      </c>
      <c r="O866">
        <v>24.052137157125909</v>
      </c>
      <c r="P866" t="s">
        <v>1150</v>
      </c>
      <c r="T866">
        <v>25</v>
      </c>
      <c r="V866">
        <v>50</v>
      </c>
      <c r="W866" t="s">
        <v>1157</v>
      </c>
      <c r="X866" t="s">
        <v>1158</v>
      </c>
      <c r="Y866">
        <v>2.8633496615626002</v>
      </c>
      <c r="AB866">
        <v>1.88607594936708</v>
      </c>
      <c r="AC866" t="s">
        <v>85</v>
      </c>
      <c r="AI866">
        <v>13</v>
      </c>
      <c r="AO866">
        <v>0</v>
      </c>
    </row>
    <row r="867" spans="1:41" hidden="1" x14ac:dyDescent="0.3">
      <c r="A867" t="s">
        <v>1156</v>
      </c>
      <c r="C867" t="s">
        <v>1052</v>
      </c>
      <c r="O867">
        <v>26.852290590190801</v>
      </c>
      <c r="P867" t="s">
        <v>1150</v>
      </c>
      <c r="T867">
        <v>25</v>
      </c>
      <c r="V867">
        <v>50</v>
      </c>
      <c r="W867" t="s">
        <v>1157</v>
      </c>
      <c r="X867" t="s">
        <v>1158</v>
      </c>
      <c r="Y867">
        <v>3.196701260737</v>
      </c>
      <c r="AB867">
        <v>2.75949367088606</v>
      </c>
      <c r="AC867" t="s">
        <v>85</v>
      </c>
      <c r="AI867">
        <v>13</v>
      </c>
      <c r="AO867">
        <v>0</v>
      </c>
    </row>
    <row r="868" spans="1:41" hidden="1" x14ac:dyDescent="0.3">
      <c r="A868" t="s">
        <v>1156</v>
      </c>
      <c r="C868" t="s">
        <v>1052</v>
      </c>
      <c r="O868">
        <v>31.091255067427699</v>
      </c>
      <c r="P868" t="s">
        <v>1150</v>
      </c>
      <c r="T868">
        <v>25</v>
      </c>
      <c r="V868">
        <v>50</v>
      </c>
      <c r="W868" t="s">
        <v>1157</v>
      </c>
      <c r="X868" t="s">
        <v>1158</v>
      </c>
      <c r="Y868">
        <v>3.7013398889794829</v>
      </c>
      <c r="AB868">
        <v>3.41772151898734</v>
      </c>
      <c r="AC868" t="s">
        <v>85</v>
      </c>
      <c r="AI868">
        <v>13</v>
      </c>
      <c r="AO868">
        <v>0</v>
      </c>
    </row>
    <row r="869" spans="1:41" hidden="1" x14ac:dyDescent="0.3">
      <c r="A869" t="s">
        <v>1156</v>
      </c>
      <c r="C869" t="s">
        <v>1052</v>
      </c>
      <c r="O869">
        <v>34.629993155681902</v>
      </c>
      <c r="P869" t="s">
        <v>1150</v>
      </c>
      <c r="T869">
        <v>25</v>
      </c>
      <c r="V869">
        <v>50</v>
      </c>
      <c r="W869" t="s">
        <v>1157</v>
      </c>
      <c r="X869" t="s">
        <v>1158</v>
      </c>
      <c r="Y869">
        <v>4.1226182328192671</v>
      </c>
      <c r="AB869">
        <v>3.86075949367088</v>
      </c>
      <c r="AC869" t="s">
        <v>85</v>
      </c>
      <c r="AI869">
        <v>13</v>
      </c>
      <c r="AO869">
        <v>0</v>
      </c>
    </row>
    <row r="870" spans="1:41" hidden="1" x14ac:dyDescent="0.3">
      <c r="A870" t="s">
        <v>1156</v>
      </c>
      <c r="C870" t="s">
        <v>1052</v>
      </c>
      <c r="O870">
        <v>54.045292839038098</v>
      </c>
      <c r="P870" t="s">
        <v>1150</v>
      </c>
      <c r="T870">
        <v>25</v>
      </c>
      <c r="V870">
        <v>50</v>
      </c>
      <c r="W870" t="s">
        <v>1157</v>
      </c>
      <c r="X870" t="s">
        <v>1158</v>
      </c>
      <c r="Y870">
        <v>6.4339634332188167</v>
      </c>
      <c r="AB870">
        <v>4.1012658227848</v>
      </c>
      <c r="AC870" t="s">
        <v>85</v>
      </c>
      <c r="AI870">
        <v>13</v>
      </c>
      <c r="AO870">
        <v>0</v>
      </c>
    </row>
    <row r="871" spans="1:41" hidden="1" x14ac:dyDescent="0.3">
      <c r="A871" t="s">
        <v>1156</v>
      </c>
      <c r="C871" t="s">
        <v>1052</v>
      </c>
      <c r="O871">
        <v>75.076152440262604</v>
      </c>
      <c r="P871" t="s">
        <v>1150</v>
      </c>
      <c r="T871">
        <v>25</v>
      </c>
      <c r="V871">
        <v>50</v>
      </c>
      <c r="W871" t="s">
        <v>1157</v>
      </c>
      <c r="X871" t="s">
        <v>1158</v>
      </c>
      <c r="Y871">
        <v>8.9376371952693514</v>
      </c>
      <c r="AB871">
        <v>4.1518987341772</v>
      </c>
      <c r="AC871" t="s">
        <v>85</v>
      </c>
      <c r="AI871">
        <v>13</v>
      </c>
      <c r="AO871">
        <v>0</v>
      </c>
    </row>
    <row r="872" spans="1:41" hidden="1" x14ac:dyDescent="0.3">
      <c r="A872" t="s">
        <v>1156</v>
      </c>
      <c r="C872" t="s">
        <v>1052</v>
      </c>
      <c r="O872">
        <v>-0.59482339331957901</v>
      </c>
      <c r="P872" t="s">
        <v>1150</v>
      </c>
      <c r="T872">
        <v>25</v>
      </c>
      <c r="V872">
        <v>50</v>
      </c>
      <c r="W872" t="s">
        <v>1157</v>
      </c>
      <c r="X872" t="s">
        <v>1158</v>
      </c>
      <c r="AB872">
        <v>-3.9370078740151703E-3</v>
      </c>
      <c r="AC872" t="s">
        <v>85</v>
      </c>
      <c r="AI872">
        <v>13</v>
      </c>
      <c r="AO872">
        <v>0</v>
      </c>
    </row>
    <row r="873" spans="1:41" hidden="1" x14ac:dyDescent="0.3">
      <c r="A873" t="s">
        <v>1156</v>
      </c>
      <c r="C873" t="s">
        <v>1052</v>
      </c>
      <c r="O873">
        <v>3.41316892984368</v>
      </c>
      <c r="P873" t="s">
        <v>1150</v>
      </c>
      <c r="T873">
        <v>25</v>
      </c>
      <c r="V873">
        <v>50</v>
      </c>
      <c r="W873" t="s">
        <v>1157</v>
      </c>
      <c r="X873" t="s">
        <v>1158</v>
      </c>
      <c r="Y873">
        <v>0.40632963450519999</v>
      </c>
      <c r="AB873">
        <v>1.9685039370079201E-2</v>
      </c>
      <c r="AC873" t="s">
        <v>85</v>
      </c>
      <c r="AI873">
        <v>13</v>
      </c>
      <c r="AO873">
        <v>0</v>
      </c>
    </row>
    <row r="874" spans="1:41" hidden="1" x14ac:dyDescent="0.3">
      <c r="A874" t="s">
        <v>1156</v>
      </c>
      <c r="C874" t="s">
        <v>1052</v>
      </c>
      <c r="O874">
        <v>7.4198467261709</v>
      </c>
      <c r="P874" t="s">
        <v>1150</v>
      </c>
      <c r="T874">
        <v>25</v>
      </c>
      <c r="V874">
        <v>50</v>
      </c>
      <c r="W874" t="s">
        <v>1157</v>
      </c>
      <c r="X874" t="s">
        <v>1158</v>
      </c>
      <c r="Y874">
        <v>0.88331508644891665</v>
      </c>
      <c r="AB874">
        <v>1.9685039370079201E-2</v>
      </c>
      <c r="AC874" t="s">
        <v>85</v>
      </c>
      <c r="AI874">
        <v>13</v>
      </c>
      <c r="AO874">
        <v>0</v>
      </c>
    </row>
    <row r="875" spans="1:41" hidden="1" x14ac:dyDescent="0.3">
      <c r="A875" t="s">
        <v>1156</v>
      </c>
      <c r="C875" t="s">
        <v>1052</v>
      </c>
      <c r="O875">
        <v>11.9313028275471</v>
      </c>
      <c r="P875" t="s">
        <v>1150</v>
      </c>
      <c r="T875">
        <v>25</v>
      </c>
      <c r="V875">
        <v>50</v>
      </c>
      <c r="W875" t="s">
        <v>1157</v>
      </c>
      <c r="X875" t="s">
        <v>1158</v>
      </c>
      <c r="Y875">
        <v>1.420393193755618</v>
      </c>
      <c r="AB875">
        <v>9.0551181102362696E-2</v>
      </c>
      <c r="AC875" t="s">
        <v>85</v>
      </c>
      <c r="AI875">
        <v>13</v>
      </c>
      <c r="AO875">
        <v>0</v>
      </c>
    </row>
    <row r="876" spans="1:41" hidden="1" x14ac:dyDescent="0.3">
      <c r="A876" t="s">
        <v>1156</v>
      </c>
      <c r="C876" t="s">
        <v>1052</v>
      </c>
      <c r="O876">
        <v>16.118728063833402</v>
      </c>
      <c r="P876" t="s">
        <v>1150</v>
      </c>
      <c r="T876">
        <v>25</v>
      </c>
      <c r="V876">
        <v>50</v>
      </c>
      <c r="W876" t="s">
        <v>1157</v>
      </c>
      <c r="X876" t="s">
        <v>1158</v>
      </c>
      <c r="Y876">
        <v>1.9188961980754</v>
      </c>
      <c r="AB876">
        <v>0.33858267716535401</v>
      </c>
      <c r="AC876" t="s">
        <v>85</v>
      </c>
      <c r="AI876">
        <v>13</v>
      </c>
      <c r="AO876">
        <v>0</v>
      </c>
    </row>
    <row r="877" spans="1:41" hidden="1" x14ac:dyDescent="0.3">
      <c r="A877" t="s">
        <v>1156</v>
      </c>
      <c r="C877" t="s">
        <v>1052</v>
      </c>
      <c r="O877">
        <v>19.475372339726199</v>
      </c>
      <c r="P877" t="s">
        <v>1150</v>
      </c>
      <c r="T877">
        <v>25</v>
      </c>
      <c r="V877">
        <v>50</v>
      </c>
      <c r="W877" t="s">
        <v>1157</v>
      </c>
      <c r="X877" t="s">
        <v>1158</v>
      </c>
      <c r="Y877">
        <v>2.318496707110266</v>
      </c>
      <c r="AB877">
        <v>0.65748031496062898</v>
      </c>
      <c r="AC877" t="s">
        <v>85</v>
      </c>
      <c r="AI877">
        <v>13</v>
      </c>
      <c r="AO877">
        <v>0</v>
      </c>
    </row>
    <row r="878" spans="1:41" hidden="1" x14ac:dyDescent="0.3">
      <c r="A878" t="s">
        <v>1156</v>
      </c>
      <c r="C878" t="s">
        <v>1052</v>
      </c>
      <c r="O878">
        <v>23.336137657250202</v>
      </c>
      <c r="P878" t="s">
        <v>1150</v>
      </c>
      <c r="T878">
        <v>25</v>
      </c>
      <c r="V878">
        <v>50</v>
      </c>
      <c r="W878" t="s">
        <v>1157</v>
      </c>
      <c r="X878" t="s">
        <v>1158</v>
      </c>
      <c r="Y878">
        <v>2.7781116258631169</v>
      </c>
      <c r="AB878">
        <v>1.0354330708661299</v>
      </c>
      <c r="AC878" t="s">
        <v>85</v>
      </c>
      <c r="AI878">
        <v>13</v>
      </c>
      <c r="AO878">
        <v>0</v>
      </c>
    </row>
    <row r="879" spans="1:41" hidden="1" x14ac:dyDescent="0.3">
      <c r="A879" t="s">
        <v>1156</v>
      </c>
      <c r="C879" t="s">
        <v>1052</v>
      </c>
      <c r="O879">
        <v>26.8689285291759</v>
      </c>
      <c r="P879" t="s">
        <v>1150</v>
      </c>
      <c r="T879">
        <v>25</v>
      </c>
      <c r="V879">
        <v>50</v>
      </c>
      <c r="W879" t="s">
        <v>1157</v>
      </c>
      <c r="X879" t="s">
        <v>1158</v>
      </c>
      <c r="Y879">
        <v>3.198681967759033</v>
      </c>
      <c r="AB879">
        <v>1.51968503937007</v>
      </c>
      <c r="AC879" t="s">
        <v>85</v>
      </c>
      <c r="AI879">
        <v>13</v>
      </c>
      <c r="AO879">
        <v>0</v>
      </c>
    </row>
    <row r="880" spans="1:41" hidden="1" x14ac:dyDescent="0.3">
      <c r="A880" t="s">
        <v>1156</v>
      </c>
      <c r="C880" t="s">
        <v>1052</v>
      </c>
      <c r="O880">
        <v>30.916356657421101</v>
      </c>
      <c r="P880" t="s">
        <v>1150</v>
      </c>
      <c r="T880">
        <v>25</v>
      </c>
      <c r="V880">
        <v>50</v>
      </c>
      <c r="W880" t="s">
        <v>1157</v>
      </c>
      <c r="X880" t="s">
        <v>1158</v>
      </c>
      <c r="Y880">
        <v>3.680518649692984</v>
      </c>
      <c r="AB880">
        <v>2.2519685039369901</v>
      </c>
      <c r="AC880" t="s">
        <v>85</v>
      </c>
      <c r="AI880">
        <v>13</v>
      </c>
      <c r="AO880">
        <v>0</v>
      </c>
    </row>
    <row r="881" spans="1:41" hidden="1" x14ac:dyDescent="0.3">
      <c r="A881" t="s">
        <v>1156</v>
      </c>
      <c r="C881" t="s">
        <v>1052</v>
      </c>
      <c r="O881">
        <v>34.947353200215503</v>
      </c>
      <c r="P881" t="s">
        <v>1150</v>
      </c>
      <c r="T881">
        <v>25</v>
      </c>
      <c r="V881">
        <v>50</v>
      </c>
      <c r="W881" t="s">
        <v>1157</v>
      </c>
      <c r="X881" t="s">
        <v>1158</v>
      </c>
      <c r="Y881">
        <v>4.1603991905018329</v>
      </c>
      <c r="AB881">
        <v>2.68897637795274</v>
      </c>
      <c r="AC881" t="s">
        <v>85</v>
      </c>
      <c r="AI881">
        <v>13</v>
      </c>
      <c r="AO881">
        <v>0</v>
      </c>
    </row>
    <row r="882" spans="1:41" hidden="1" x14ac:dyDescent="0.3">
      <c r="A882" t="s">
        <v>1156</v>
      </c>
      <c r="C882" t="s">
        <v>1052</v>
      </c>
      <c r="O882">
        <v>54.000105162146802</v>
      </c>
      <c r="P882" t="s">
        <v>1150</v>
      </c>
      <c r="T882">
        <v>25</v>
      </c>
      <c r="V882">
        <v>50</v>
      </c>
      <c r="W882" t="s">
        <v>1157</v>
      </c>
      <c r="X882" t="s">
        <v>1158</v>
      </c>
      <c r="Y882">
        <v>6.4285839478746167</v>
      </c>
      <c r="AB882">
        <v>3.06692913385826</v>
      </c>
      <c r="AC882" t="s">
        <v>85</v>
      </c>
      <c r="AI882">
        <v>13</v>
      </c>
      <c r="AO882">
        <v>0</v>
      </c>
    </row>
    <row r="883" spans="1:41" hidden="1" x14ac:dyDescent="0.3">
      <c r="A883" t="s">
        <v>1156</v>
      </c>
      <c r="C883" t="s">
        <v>1052</v>
      </c>
      <c r="O883">
        <v>75.043050753881104</v>
      </c>
      <c r="P883" t="s">
        <v>1150</v>
      </c>
      <c r="T883">
        <v>25</v>
      </c>
      <c r="V883">
        <v>50</v>
      </c>
      <c r="W883" t="s">
        <v>1157</v>
      </c>
      <c r="X883" t="s">
        <v>1158</v>
      </c>
      <c r="Y883">
        <v>8.9336965183191666</v>
      </c>
      <c r="AB883">
        <v>3.2086614173228201</v>
      </c>
      <c r="AC883" t="s">
        <v>85</v>
      </c>
      <c r="AI883">
        <v>13</v>
      </c>
      <c r="AO883">
        <v>0</v>
      </c>
    </row>
    <row r="884" spans="1:41" hidden="1" x14ac:dyDescent="0.3">
      <c r="A884" t="s">
        <v>1156</v>
      </c>
      <c r="C884" t="s">
        <v>1052</v>
      </c>
      <c r="O884">
        <v>99.944132609467204</v>
      </c>
      <c r="P884" t="s">
        <v>1150</v>
      </c>
      <c r="T884">
        <v>25</v>
      </c>
      <c r="V884">
        <v>50</v>
      </c>
      <c r="W884" t="s">
        <v>1157</v>
      </c>
      <c r="X884" t="s">
        <v>1158</v>
      </c>
      <c r="Y884">
        <v>11.89811102493657</v>
      </c>
      <c r="AB884">
        <v>3.6811023622047201</v>
      </c>
      <c r="AC884" t="s">
        <v>85</v>
      </c>
      <c r="AI884">
        <v>13</v>
      </c>
      <c r="AO884">
        <v>0</v>
      </c>
    </row>
    <row r="885" spans="1:41" hidden="1" x14ac:dyDescent="0.3">
      <c r="A885" t="s">
        <v>1156</v>
      </c>
      <c r="C885" t="s">
        <v>1052</v>
      </c>
      <c r="O885">
        <v>996.13899613899605</v>
      </c>
      <c r="P885" t="s">
        <v>1159</v>
      </c>
      <c r="T885">
        <v>25</v>
      </c>
      <c r="V885">
        <v>50</v>
      </c>
      <c r="W885" t="s">
        <v>1157</v>
      </c>
      <c r="X885" t="s">
        <v>1160</v>
      </c>
      <c r="Y885">
        <v>71.152785438499706</v>
      </c>
      <c r="AB885">
        <v>7.2701881212519304E-2</v>
      </c>
      <c r="AC885" t="s">
        <v>85</v>
      </c>
      <c r="AI885" t="s">
        <v>1080</v>
      </c>
      <c r="AO885">
        <v>0</v>
      </c>
    </row>
    <row r="886" spans="1:41" hidden="1" x14ac:dyDescent="0.3">
      <c r="A886" t="s">
        <v>1156</v>
      </c>
      <c r="C886" t="s">
        <v>1052</v>
      </c>
      <c r="O886">
        <v>1992.2779922779901</v>
      </c>
      <c r="P886" t="s">
        <v>1159</v>
      </c>
      <c r="T886">
        <v>25</v>
      </c>
      <c r="V886">
        <v>50</v>
      </c>
      <c r="W886" t="s">
        <v>1157</v>
      </c>
      <c r="X886" t="s">
        <v>1160</v>
      </c>
      <c r="Y886">
        <v>142.30557087699901</v>
      </c>
      <c r="AB886">
        <v>0.49646759221227199</v>
      </c>
      <c r="AC886" t="s">
        <v>85</v>
      </c>
      <c r="AI886" t="s">
        <v>1080</v>
      </c>
      <c r="AO886">
        <v>0</v>
      </c>
    </row>
    <row r="887" spans="1:41" hidden="1" x14ac:dyDescent="0.3">
      <c r="A887" t="s">
        <v>1156</v>
      </c>
      <c r="C887" t="s">
        <v>1052</v>
      </c>
      <c r="O887">
        <v>3011.5830115829999</v>
      </c>
      <c r="P887" t="s">
        <v>1159</v>
      </c>
      <c r="T887">
        <v>25</v>
      </c>
      <c r="V887">
        <v>50</v>
      </c>
      <c r="W887" t="s">
        <v>1157</v>
      </c>
      <c r="X887" t="s">
        <v>1160</v>
      </c>
      <c r="Y887">
        <v>215.11307225592901</v>
      </c>
      <c r="AB887">
        <v>1.13295818614967</v>
      </c>
      <c r="AC887" t="s">
        <v>85</v>
      </c>
      <c r="AI887" t="s">
        <v>1080</v>
      </c>
      <c r="AO887">
        <v>0</v>
      </c>
    </row>
    <row r="888" spans="1:41" hidden="1" x14ac:dyDescent="0.3">
      <c r="A888" t="s">
        <v>1156</v>
      </c>
      <c r="C888" t="s">
        <v>1052</v>
      </c>
      <c r="O888">
        <v>4019.3050193049999</v>
      </c>
      <c r="P888" t="s">
        <v>1159</v>
      </c>
      <c r="T888">
        <v>25</v>
      </c>
      <c r="V888">
        <v>50</v>
      </c>
      <c r="W888" t="s">
        <v>1157</v>
      </c>
      <c r="X888" t="s">
        <v>1160</v>
      </c>
      <c r="Y888">
        <v>287.09321566464303</v>
      </c>
      <c r="AB888">
        <v>1.9290437854267499</v>
      </c>
      <c r="AC888" t="s">
        <v>85</v>
      </c>
      <c r="AI888" t="s">
        <v>1080</v>
      </c>
      <c r="AO888">
        <v>0</v>
      </c>
    </row>
    <row r="889" spans="1:41" hidden="1" x14ac:dyDescent="0.3">
      <c r="A889" t="s">
        <v>1156</v>
      </c>
      <c r="C889" t="s">
        <v>1052</v>
      </c>
      <c r="O889">
        <v>5003.8610038610004</v>
      </c>
      <c r="P889" t="s">
        <v>1159</v>
      </c>
      <c r="T889">
        <v>25</v>
      </c>
      <c r="V889">
        <v>50</v>
      </c>
      <c r="W889" t="s">
        <v>1157</v>
      </c>
      <c r="X889" t="s">
        <v>1160</v>
      </c>
      <c r="Y889">
        <v>357.41864313292803</v>
      </c>
      <c r="AB889">
        <v>2.8421917358087501</v>
      </c>
      <c r="AC889" t="s">
        <v>85</v>
      </c>
      <c r="AI889" t="s">
        <v>1080</v>
      </c>
      <c r="AO889">
        <v>0</v>
      </c>
    </row>
    <row r="890" spans="1:41" hidden="1" x14ac:dyDescent="0.3">
      <c r="A890" t="s">
        <v>1156</v>
      </c>
      <c r="C890" t="s">
        <v>1052</v>
      </c>
      <c r="O890">
        <v>5988.4169884169696</v>
      </c>
      <c r="P890" t="s">
        <v>1159</v>
      </c>
      <c r="T890">
        <v>25</v>
      </c>
      <c r="V890">
        <v>50</v>
      </c>
      <c r="W890" t="s">
        <v>1157</v>
      </c>
      <c r="X890" t="s">
        <v>1160</v>
      </c>
      <c r="Y890">
        <v>427.744070601212</v>
      </c>
      <c r="AB890">
        <v>3.71278649470137</v>
      </c>
      <c r="AC890" t="s">
        <v>85</v>
      </c>
      <c r="AI890" t="s">
        <v>1080</v>
      </c>
      <c r="AO890">
        <v>0</v>
      </c>
    </row>
    <row r="891" spans="1:41" hidden="1" x14ac:dyDescent="0.3">
      <c r="A891" t="s">
        <v>1156</v>
      </c>
      <c r="C891" t="s">
        <v>1052</v>
      </c>
      <c r="O891">
        <v>972.97297297297291</v>
      </c>
      <c r="P891" t="s">
        <v>1159</v>
      </c>
      <c r="T891">
        <v>25</v>
      </c>
      <c r="V891">
        <v>50</v>
      </c>
      <c r="W891" t="s">
        <v>1157</v>
      </c>
      <c r="X891" t="s">
        <v>1160</v>
      </c>
      <c r="Y891">
        <v>69.498069498069398</v>
      </c>
      <c r="AB891">
        <v>7.2742955721678798E-2</v>
      </c>
      <c r="AC891" t="s">
        <v>85</v>
      </c>
      <c r="AI891" t="s">
        <v>1080</v>
      </c>
      <c r="AO891">
        <v>0</v>
      </c>
    </row>
    <row r="892" spans="1:41" hidden="1" x14ac:dyDescent="0.3">
      <c r="A892" t="s">
        <v>1156</v>
      </c>
      <c r="C892" t="s">
        <v>1052</v>
      </c>
      <c r="O892">
        <v>2003.861003861</v>
      </c>
      <c r="P892" t="s">
        <v>1159</v>
      </c>
      <c r="T892">
        <v>25</v>
      </c>
      <c r="V892">
        <v>50</v>
      </c>
      <c r="W892" t="s">
        <v>1157</v>
      </c>
      <c r="X892" t="s">
        <v>1160</v>
      </c>
      <c r="Y892">
        <v>143.132928847214</v>
      </c>
      <c r="AB892">
        <v>0.54963854431939396</v>
      </c>
      <c r="AC892" t="s">
        <v>85</v>
      </c>
      <c r="AI892" t="s">
        <v>1080</v>
      </c>
      <c r="AO892">
        <v>0</v>
      </c>
    </row>
    <row r="893" spans="1:41" hidden="1" x14ac:dyDescent="0.3">
      <c r="A893" t="s">
        <v>1156</v>
      </c>
      <c r="C893" t="s">
        <v>1052</v>
      </c>
      <c r="O893">
        <v>3011.5830115829999</v>
      </c>
      <c r="P893" t="s">
        <v>1159</v>
      </c>
      <c r="T893">
        <v>25</v>
      </c>
      <c r="V893">
        <v>50</v>
      </c>
      <c r="W893" t="s">
        <v>1157</v>
      </c>
      <c r="X893" t="s">
        <v>1160</v>
      </c>
      <c r="Y893">
        <v>215.11307225592901</v>
      </c>
      <c r="AB893">
        <v>1.2818943563624401</v>
      </c>
      <c r="AC893" t="s">
        <v>85</v>
      </c>
      <c r="AI893" t="s">
        <v>1080</v>
      </c>
      <c r="AO893">
        <v>0</v>
      </c>
    </row>
    <row r="894" spans="1:41" hidden="1" x14ac:dyDescent="0.3">
      <c r="A894" t="s">
        <v>1156</v>
      </c>
      <c r="C894" t="s">
        <v>1052</v>
      </c>
      <c r="O894">
        <v>3984.5559845559801</v>
      </c>
      <c r="P894" t="s">
        <v>1159</v>
      </c>
      <c r="T894">
        <v>25</v>
      </c>
      <c r="V894">
        <v>50</v>
      </c>
      <c r="W894" t="s">
        <v>1157</v>
      </c>
      <c r="X894" t="s">
        <v>1160</v>
      </c>
      <c r="Y894">
        <v>284.61114175399803</v>
      </c>
      <c r="AB894">
        <v>2.13123305676497</v>
      </c>
      <c r="AC894" t="s">
        <v>85</v>
      </c>
      <c r="AI894" t="s">
        <v>1080</v>
      </c>
      <c r="AO894">
        <v>0</v>
      </c>
    </row>
    <row r="895" spans="1:41" hidden="1" x14ac:dyDescent="0.3">
      <c r="A895" t="s">
        <v>1156</v>
      </c>
      <c r="C895" t="s">
        <v>1052</v>
      </c>
      <c r="O895">
        <v>1007.7220077219901</v>
      </c>
      <c r="P895" t="s">
        <v>1159</v>
      </c>
      <c r="T895">
        <v>25</v>
      </c>
      <c r="V895">
        <v>50</v>
      </c>
      <c r="W895" t="s">
        <v>1157</v>
      </c>
      <c r="X895" t="s">
        <v>1160</v>
      </c>
      <c r="Y895">
        <v>71.980143408714198</v>
      </c>
      <c r="AB895">
        <v>0.296085599277088</v>
      </c>
      <c r="AC895" t="s">
        <v>85</v>
      </c>
      <c r="AI895" t="s">
        <v>1080</v>
      </c>
      <c r="AO895">
        <v>0</v>
      </c>
    </row>
    <row r="896" spans="1:41" hidden="1" x14ac:dyDescent="0.3">
      <c r="A896" t="s">
        <v>1156</v>
      </c>
      <c r="C896" t="s">
        <v>1052</v>
      </c>
      <c r="O896">
        <v>1992.2779922779901</v>
      </c>
      <c r="P896" t="s">
        <v>1159</v>
      </c>
      <c r="T896">
        <v>25</v>
      </c>
      <c r="V896">
        <v>50</v>
      </c>
      <c r="W896" t="s">
        <v>1157</v>
      </c>
      <c r="X896" t="s">
        <v>1160</v>
      </c>
      <c r="Y896">
        <v>142.30557087699901</v>
      </c>
      <c r="AB896">
        <v>0.86880801774418703</v>
      </c>
      <c r="AC896" t="s">
        <v>85</v>
      </c>
      <c r="AI896" t="s">
        <v>1080</v>
      </c>
      <c r="AO896">
        <v>0</v>
      </c>
    </row>
    <row r="897" spans="1:48" hidden="1" x14ac:dyDescent="0.3">
      <c r="A897" t="s">
        <v>1156</v>
      </c>
      <c r="C897" t="s">
        <v>1052</v>
      </c>
      <c r="O897">
        <v>3011.5830115829999</v>
      </c>
      <c r="P897" t="s">
        <v>1159</v>
      </c>
      <c r="T897">
        <v>25</v>
      </c>
      <c r="V897">
        <v>50</v>
      </c>
      <c r="W897" t="s">
        <v>1157</v>
      </c>
      <c r="X897" t="s">
        <v>1160</v>
      </c>
      <c r="Y897">
        <v>215.11307225592901</v>
      </c>
      <c r="AB897">
        <v>1.59040499466031</v>
      </c>
      <c r="AC897" t="s">
        <v>85</v>
      </c>
      <c r="AI897" t="s">
        <v>1080</v>
      </c>
      <c r="AO897">
        <v>0</v>
      </c>
    </row>
    <row r="898" spans="1:48" hidden="1" x14ac:dyDescent="0.3">
      <c r="A898" t="s">
        <v>1156</v>
      </c>
      <c r="C898" t="s">
        <v>1052</v>
      </c>
      <c r="O898">
        <v>4019.3050193049999</v>
      </c>
      <c r="P898" t="s">
        <v>1159</v>
      </c>
      <c r="T898">
        <v>25</v>
      </c>
      <c r="V898">
        <v>50</v>
      </c>
      <c r="W898" t="s">
        <v>1157</v>
      </c>
      <c r="X898" t="s">
        <v>1160</v>
      </c>
      <c r="Y898">
        <v>287.09321566464303</v>
      </c>
      <c r="AB898">
        <v>2.4396820832991</v>
      </c>
      <c r="AC898" t="s">
        <v>85</v>
      </c>
      <c r="AI898" t="s">
        <v>1080</v>
      </c>
      <c r="AO898">
        <v>0</v>
      </c>
    </row>
    <row r="899" spans="1:48" hidden="1" x14ac:dyDescent="0.3">
      <c r="A899" t="s">
        <v>1156</v>
      </c>
      <c r="C899" t="s">
        <v>1052</v>
      </c>
      <c r="H899">
        <v>28</v>
      </c>
      <c r="I899" t="s">
        <v>446</v>
      </c>
      <c r="J899">
        <v>2.8E-5</v>
      </c>
      <c r="K899" t="s">
        <v>57</v>
      </c>
      <c r="O899">
        <v>7.86653415078072</v>
      </c>
      <c r="P899" t="s">
        <v>1150</v>
      </c>
      <c r="T899">
        <v>25</v>
      </c>
      <c r="V899">
        <v>50</v>
      </c>
      <c r="W899" t="s">
        <v>1161</v>
      </c>
      <c r="X899" t="s">
        <v>1158</v>
      </c>
      <c r="Y899">
        <v>0.93649216080722841</v>
      </c>
      <c r="AB899">
        <v>1.1783216783216599</v>
      </c>
      <c r="AC899" t="s">
        <v>85</v>
      </c>
      <c r="AI899" t="s">
        <v>1080</v>
      </c>
      <c r="AO899">
        <v>0</v>
      </c>
      <c r="AV899" t="s">
        <v>448</v>
      </c>
    </row>
    <row r="900" spans="1:48" hidden="1" x14ac:dyDescent="0.3">
      <c r="A900" t="s">
        <v>1156</v>
      </c>
      <c r="C900" t="s">
        <v>1052</v>
      </c>
      <c r="H900">
        <v>28</v>
      </c>
      <c r="I900" t="s">
        <v>446</v>
      </c>
      <c r="J900">
        <v>2.8E-5</v>
      </c>
      <c r="K900" t="s">
        <v>57</v>
      </c>
      <c r="O900">
        <v>32.102572085448699</v>
      </c>
      <c r="P900" t="s">
        <v>1150</v>
      </c>
      <c r="T900">
        <v>25</v>
      </c>
      <c r="V900">
        <v>50</v>
      </c>
      <c r="W900" t="s">
        <v>1161</v>
      </c>
      <c r="X900" t="s">
        <v>1158</v>
      </c>
      <c r="Y900">
        <v>3.821734772077233</v>
      </c>
      <c r="AB900">
        <v>2.56293706293705</v>
      </c>
      <c r="AC900" t="s">
        <v>85</v>
      </c>
      <c r="AI900" t="s">
        <v>1080</v>
      </c>
      <c r="AO900">
        <v>0</v>
      </c>
      <c r="AV900" t="s">
        <v>448</v>
      </c>
    </row>
    <row r="901" spans="1:48" hidden="1" x14ac:dyDescent="0.3">
      <c r="A901" t="s">
        <v>1156</v>
      </c>
      <c r="C901" t="s">
        <v>1052</v>
      </c>
      <c r="H901">
        <v>28</v>
      </c>
      <c r="I901" t="s">
        <v>446</v>
      </c>
      <c r="J901">
        <v>2.8E-5</v>
      </c>
      <c r="K901" t="s">
        <v>57</v>
      </c>
      <c r="O901">
        <v>54.160479931027801</v>
      </c>
      <c r="P901" t="s">
        <v>1150</v>
      </c>
      <c r="T901">
        <v>25</v>
      </c>
      <c r="V901">
        <v>50</v>
      </c>
      <c r="W901" t="s">
        <v>1161</v>
      </c>
      <c r="X901" t="s">
        <v>1158</v>
      </c>
      <c r="Y901">
        <v>6.4476761822651998</v>
      </c>
      <c r="AB901">
        <v>3.1083916083915901</v>
      </c>
      <c r="AC901" t="s">
        <v>85</v>
      </c>
      <c r="AI901" t="s">
        <v>1080</v>
      </c>
      <c r="AO901">
        <v>0</v>
      </c>
      <c r="AV901" t="s">
        <v>448</v>
      </c>
    </row>
    <row r="902" spans="1:48" hidden="1" x14ac:dyDescent="0.3">
      <c r="A902" t="s">
        <v>1156</v>
      </c>
      <c r="C902" t="s">
        <v>1052</v>
      </c>
      <c r="H902">
        <v>28</v>
      </c>
      <c r="I902" t="s">
        <v>446</v>
      </c>
      <c r="J902">
        <v>2.8E-5</v>
      </c>
      <c r="K902" t="s">
        <v>57</v>
      </c>
      <c r="O902">
        <v>75.3945540760608</v>
      </c>
      <c r="P902" t="s">
        <v>1150</v>
      </c>
      <c r="T902">
        <v>25</v>
      </c>
      <c r="V902">
        <v>50</v>
      </c>
      <c r="W902" t="s">
        <v>1161</v>
      </c>
      <c r="X902" t="s">
        <v>1158</v>
      </c>
      <c r="Y902">
        <v>8.9755421519120002</v>
      </c>
      <c r="AB902">
        <v>3.08741258741258</v>
      </c>
      <c r="AC902" t="s">
        <v>85</v>
      </c>
      <c r="AI902" t="s">
        <v>1080</v>
      </c>
      <c r="AO902">
        <v>0</v>
      </c>
      <c r="AV902" t="s">
        <v>448</v>
      </c>
    </row>
    <row r="903" spans="1:48" hidden="1" x14ac:dyDescent="0.3">
      <c r="A903" t="s">
        <v>1156</v>
      </c>
      <c r="C903" t="s">
        <v>1052</v>
      </c>
      <c r="H903">
        <v>28</v>
      </c>
      <c r="I903" t="s">
        <v>446</v>
      </c>
      <c r="J903">
        <v>2.8E-5</v>
      </c>
      <c r="K903" t="s">
        <v>57</v>
      </c>
      <c r="O903">
        <v>31.9708544879777</v>
      </c>
      <c r="P903" t="s">
        <v>1150</v>
      </c>
      <c r="T903">
        <v>25</v>
      </c>
      <c r="V903">
        <v>50</v>
      </c>
      <c r="W903" t="s">
        <v>384</v>
      </c>
      <c r="X903" t="s">
        <v>1158</v>
      </c>
      <c r="Y903">
        <v>3.8060541057116168</v>
      </c>
      <c r="AB903">
        <v>1.87062937062937</v>
      </c>
      <c r="AC903" t="s">
        <v>85</v>
      </c>
      <c r="AI903" t="s">
        <v>1080</v>
      </c>
      <c r="AO903">
        <v>0</v>
      </c>
      <c r="AV903" t="s">
        <v>448</v>
      </c>
    </row>
    <row r="904" spans="1:48" hidden="1" x14ac:dyDescent="0.3">
      <c r="A904" t="s">
        <v>1156</v>
      </c>
      <c r="C904" t="s">
        <v>1052</v>
      </c>
      <c r="H904">
        <v>28</v>
      </c>
      <c r="I904" t="s">
        <v>446</v>
      </c>
      <c r="J904">
        <v>2.8E-5</v>
      </c>
      <c r="K904" t="s">
        <v>57</v>
      </c>
      <c r="O904">
        <v>54.016788006513899</v>
      </c>
      <c r="P904" t="s">
        <v>1150</v>
      </c>
      <c r="T904">
        <v>25</v>
      </c>
      <c r="V904">
        <v>50</v>
      </c>
      <c r="W904" t="s">
        <v>384</v>
      </c>
      <c r="X904" t="s">
        <v>1158</v>
      </c>
      <c r="Y904">
        <v>6.4305700007754663</v>
      </c>
      <c r="AB904">
        <v>2.6258741258741201</v>
      </c>
      <c r="AC904" t="s">
        <v>85</v>
      </c>
      <c r="AI904" t="s">
        <v>1080</v>
      </c>
      <c r="AO904">
        <v>0</v>
      </c>
      <c r="AV904" t="s">
        <v>448</v>
      </c>
    </row>
    <row r="905" spans="1:48" hidden="1" x14ac:dyDescent="0.3">
      <c r="A905" t="s">
        <v>1156</v>
      </c>
      <c r="C905" t="s">
        <v>1052</v>
      </c>
      <c r="H905">
        <v>28</v>
      </c>
      <c r="I905" t="s">
        <v>446</v>
      </c>
      <c r="J905">
        <v>2.8E-5</v>
      </c>
      <c r="K905" t="s">
        <v>57</v>
      </c>
      <c r="O905">
        <v>100.583149726985</v>
      </c>
      <c r="P905" t="s">
        <v>1150</v>
      </c>
      <c r="T905">
        <v>25</v>
      </c>
      <c r="V905">
        <v>50</v>
      </c>
      <c r="W905" t="s">
        <v>384</v>
      </c>
      <c r="X905" t="s">
        <v>1158</v>
      </c>
      <c r="Y905">
        <v>11.97418449130773</v>
      </c>
      <c r="AB905">
        <v>2.78321678321677</v>
      </c>
      <c r="AC905" t="s">
        <v>85</v>
      </c>
      <c r="AI905" t="s">
        <v>1080</v>
      </c>
      <c r="AO905">
        <v>0</v>
      </c>
      <c r="AV905" t="s">
        <v>448</v>
      </c>
    </row>
    <row r="906" spans="1:48" hidden="1" x14ac:dyDescent="0.3">
      <c r="A906" t="s">
        <v>1156</v>
      </c>
      <c r="C906" t="s">
        <v>1052</v>
      </c>
      <c r="H906">
        <v>28</v>
      </c>
      <c r="I906" t="s">
        <v>446</v>
      </c>
      <c r="J906">
        <v>2.8E-5</v>
      </c>
      <c r="K906" t="s">
        <v>57</v>
      </c>
      <c r="O906">
        <v>3.9688906983427401</v>
      </c>
      <c r="P906" t="s">
        <v>1150</v>
      </c>
      <c r="T906">
        <v>25</v>
      </c>
      <c r="V906">
        <v>50</v>
      </c>
      <c r="W906" t="s">
        <v>381</v>
      </c>
      <c r="X906" t="s">
        <v>1158</v>
      </c>
      <c r="Y906">
        <v>0.47248698789794502</v>
      </c>
      <c r="AB906">
        <v>0.465034965034966</v>
      </c>
      <c r="AC906" t="s">
        <v>85</v>
      </c>
      <c r="AI906" t="s">
        <v>1080</v>
      </c>
      <c r="AO906">
        <v>0</v>
      </c>
      <c r="AT906" t="s">
        <v>382</v>
      </c>
      <c r="AV906" t="s">
        <v>448</v>
      </c>
    </row>
    <row r="907" spans="1:48" hidden="1" x14ac:dyDescent="0.3">
      <c r="A907" t="s">
        <v>1156</v>
      </c>
      <c r="C907" t="s">
        <v>1052</v>
      </c>
      <c r="H907">
        <v>28</v>
      </c>
      <c r="I907" t="s">
        <v>446</v>
      </c>
      <c r="J907">
        <v>2.8E-5</v>
      </c>
      <c r="K907" t="s">
        <v>57</v>
      </c>
      <c r="O907">
        <v>15.9420203084586</v>
      </c>
      <c r="P907" t="s">
        <v>1150</v>
      </c>
      <c r="T907">
        <v>25</v>
      </c>
      <c r="V907">
        <v>50</v>
      </c>
      <c r="W907" t="s">
        <v>381</v>
      </c>
      <c r="X907" t="s">
        <v>1158</v>
      </c>
      <c r="Y907">
        <v>1.8978595605307831</v>
      </c>
      <c r="AB907">
        <v>0.69580419580419495</v>
      </c>
      <c r="AC907" t="s">
        <v>85</v>
      </c>
      <c r="AI907" t="s">
        <v>1080</v>
      </c>
      <c r="AO907">
        <v>0</v>
      </c>
      <c r="AT907" t="s">
        <v>382</v>
      </c>
      <c r="AV907" t="s">
        <v>448</v>
      </c>
    </row>
    <row r="908" spans="1:48" hidden="1" x14ac:dyDescent="0.3">
      <c r="A908" t="s">
        <v>1156</v>
      </c>
      <c r="C908" t="s">
        <v>1052</v>
      </c>
      <c r="H908">
        <v>28</v>
      </c>
      <c r="I908" t="s">
        <v>446</v>
      </c>
      <c r="J908">
        <v>2.8E-5</v>
      </c>
      <c r="K908" t="s">
        <v>57</v>
      </c>
      <c r="O908">
        <v>27.236205575246601</v>
      </c>
      <c r="P908" t="s">
        <v>1150</v>
      </c>
      <c r="T908">
        <v>25</v>
      </c>
      <c r="V908">
        <v>50</v>
      </c>
      <c r="W908" t="s">
        <v>381</v>
      </c>
      <c r="X908" t="s">
        <v>1158</v>
      </c>
      <c r="Y908">
        <v>3.2424054256245829</v>
      </c>
      <c r="AB908">
        <v>0.821678321678322</v>
      </c>
      <c r="AC908" t="s">
        <v>85</v>
      </c>
      <c r="AI908" t="s">
        <v>1080</v>
      </c>
      <c r="AO908">
        <v>0</v>
      </c>
      <c r="AT908" t="s">
        <v>382</v>
      </c>
      <c r="AV908" t="s">
        <v>448</v>
      </c>
    </row>
    <row r="909" spans="1:48" hidden="1" x14ac:dyDescent="0.3">
      <c r="A909" t="s">
        <v>1156</v>
      </c>
      <c r="C909" t="s">
        <v>1052</v>
      </c>
      <c r="H909">
        <v>28</v>
      </c>
      <c r="I909" t="s">
        <v>446</v>
      </c>
      <c r="J909">
        <v>2.8E-5</v>
      </c>
      <c r="K909" t="s">
        <v>57</v>
      </c>
      <c r="O909">
        <v>54.2898026630902</v>
      </c>
      <c r="P909" t="s">
        <v>1150</v>
      </c>
      <c r="T909">
        <v>25</v>
      </c>
      <c r="V909">
        <v>50</v>
      </c>
      <c r="W909" t="s">
        <v>381</v>
      </c>
      <c r="X909" t="s">
        <v>1158</v>
      </c>
      <c r="Y909">
        <v>6.4630717456059834</v>
      </c>
      <c r="AB909">
        <v>0.84265734265734304</v>
      </c>
      <c r="AC909" t="s">
        <v>85</v>
      </c>
      <c r="AI909" t="s">
        <v>1080</v>
      </c>
      <c r="AO909">
        <v>0</v>
      </c>
      <c r="AT909" t="s">
        <v>382</v>
      </c>
      <c r="AV909" t="s">
        <v>448</v>
      </c>
    </row>
    <row r="910" spans="1:48" hidden="1" x14ac:dyDescent="0.3">
      <c r="A910" t="s">
        <v>1156</v>
      </c>
      <c r="C910" t="s">
        <v>1052</v>
      </c>
      <c r="H910">
        <v>28</v>
      </c>
      <c r="I910" t="s">
        <v>446</v>
      </c>
      <c r="J910">
        <v>2.8E-5</v>
      </c>
      <c r="K910" t="s">
        <v>57</v>
      </c>
      <c r="O910">
        <v>75.510106332023994</v>
      </c>
      <c r="P910" t="s">
        <v>1150</v>
      </c>
      <c r="T910">
        <v>25</v>
      </c>
      <c r="V910">
        <v>50</v>
      </c>
      <c r="W910" t="s">
        <v>381</v>
      </c>
      <c r="X910" t="s">
        <v>1158</v>
      </c>
      <c r="Y910">
        <v>8.9892983728599987</v>
      </c>
      <c r="AB910">
        <v>1.06293706293706</v>
      </c>
      <c r="AC910" t="s">
        <v>85</v>
      </c>
      <c r="AI910" t="s">
        <v>1080</v>
      </c>
      <c r="AO910">
        <v>0</v>
      </c>
      <c r="AT910" t="s">
        <v>382</v>
      </c>
      <c r="AV910" t="s">
        <v>448</v>
      </c>
    </row>
    <row r="911" spans="1:48" hidden="1" x14ac:dyDescent="0.3">
      <c r="A911" t="s">
        <v>1156</v>
      </c>
      <c r="C911" t="s">
        <v>1052</v>
      </c>
      <c r="H911">
        <v>28</v>
      </c>
      <c r="I911" t="s">
        <v>446</v>
      </c>
      <c r="J911">
        <v>2.8E-5</v>
      </c>
      <c r="K911" t="s">
        <v>57</v>
      </c>
      <c r="O911">
        <v>12.0000718459622</v>
      </c>
      <c r="P911" t="s">
        <v>1150</v>
      </c>
      <c r="T911">
        <v>25</v>
      </c>
      <c r="V911">
        <v>50</v>
      </c>
      <c r="W911" t="s">
        <v>1162</v>
      </c>
      <c r="X911" t="s">
        <v>1158</v>
      </c>
      <c r="Y911">
        <v>1.4285799816621649</v>
      </c>
      <c r="AB911">
        <v>0.75874125874125797</v>
      </c>
      <c r="AC911" t="s">
        <v>85</v>
      </c>
      <c r="AI911" t="s">
        <v>1080</v>
      </c>
      <c r="AO911">
        <v>0</v>
      </c>
      <c r="AT911" t="s">
        <v>382</v>
      </c>
      <c r="AV911" t="s">
        <v>448</v>
      </c>
    </row>
    <row r="912" spans="1:48" hidden="1" x14ac:dyDescent="0.3">
      <c r="A912" t="s">
        <v>1156</v>
      </c>
      <c r="C912" t="s">
        <v>1052</v>
      </c>
      <c r="H912">
        <v>28</v>
      </c>
      <c r="I912" t="s">
        <v>446</v>
      </c>
      <c r="J912">
        <v>2.8E-5</v>
      </c>
      <c r="K912" t="s">
        <v>57</v>
      </c>
      <c r="O912">
        <v>19.868402145799401</v>
      </c>
      <c r="P912" t="s">
        <v>1150</v>
      </c>
      <c r="T912">
        <v>25</v>
      </c>
      <c r="V912">
        <v>50</v>
      </c>
      <c r="W912" t="s">
        <v>1162</v>
      </c>
      <c r="X912" t="s">
        <v>1158</v>
      </c>
      <c r="Y912">
        <v>2.3652859697380171</v>
      </c>
      <c r="AB912">
        <v>0.90559440559440496</v>
      </c>
      <c r="AC912" t="s">
        <v>85</v>
      </c>
      <c r="AI912" t="s">
        <v>1080</v>
      </c>
      <c r="AO912">
        <v>0</v>
      </c>
      <c r="AT912" t="s">
        <v>382</v>
      </c>
      <c r="AV912" t="s">
        <v>448</v>
      </c>
    </row>
    <row r="913" spans="1:48" hidden="1" x14ac:dyDescent="0.3">
      <c r="A913" t="s">
        <v>1156</v>
      </c>
      <c r="C913" t="s">
        <v>1052</v>
      </c>
      <c r="H913">
        <v>28</v>
      </c>
      <c r="I913" t="s">
        <v>446</v>
      </c>
      <c r="J913">
        <v>2.8E-5</v>
      </c>
      <c r="K913" t="s">
        <v>57</v>
      </c>
      <c r="O913">
        <v>23.9803860523038</v>
      </c>
      <c r="P913" t="s">
        <v>1150</v>
      </c>
      <c r="T913">
        <v>25</v>
      </c>
      <c r="V913">
        <v>50</v>
      </c>
      <c r="W913" t="s">
        <v>1162</v>
      </c>
      <c r="X913" t="s">
        <v>1158</v>
      </c>
      <c r="Y913">
        <v>2.8548078633694831</v>
      </c>
      <c r="AB913">
        <v>0.86363636363636298</v>
      </c>
      <c r="AC913" t="s">
        <v>85</v>
      </c>
      <c r="AI913" t="s">
        <v>1080</v>
      </c>
      <c r="AO913">
        <v>0</v>
      </c>
      <c r="AT913" t="s">
        <v>382</v>
      </c>
      <c r="AV913" t="s">
        <v>448</v>
      </c>
    </row>
    <row r="914" spans="1:48" hidden="1" x14ac:dyDescent="0.3">
      <c r="A914" t="s">
        <v>1156</v>
      </c>
      <c r="C914" t="s">
        <v>1052</v>
      </c>
      <c r="H914">
        <v>28</v>
      </c>
      <c r="I914" t="s">
        <v>446</v>
      </c>
      <c r="J914">
        <v>2.8E-5</v>
      </c>
      <c r="K914" t="s">
        <v>57</v>
      </c>
      <c r="O914">
        <v>32.1935769709741</v>
      </c>
      <c r="P914" t="s">
        <v>1150</v>
      </c>
      <c r="T914">
        <v>25</v>
      </c>
      <c r="V914">
        <v>50</v>
      </c>
      <c r="W914" t="s">
        <v>1162</v>
      </c>
      <c r="X914" t="s">
        <v>1158</v>
      </c>
      <c r="Y914">
        <v>3.8325686870207329</v>
      </c>
      <c r="AB914">
        <v>0.96853146853146799</v>
      </c>
      <c r="AC914" t="s">
        <v>85</v>
      </c>
      <c r="AI914" t="s">
        <v>1080</v>
      </c>
      <c r="AO914">
        <v>0</v>
      </c>
      <c r="AT914" t="s">
        <v>382</v>
      </c>
      <c r="AV914" t="s">
        <v>448</v>
      </c>
    </row>
    <row r="915" spans="1:48" hidden="1" x14ac:dyDescent="0.3">
      <c r="A915" t="s">
        <v>1156</v>
      </c>
      <c r="C915" t="s">
        <v>1052</v>
      </c>
      <c r="H915">
        <v>28</v>
      </c>
      <c r="I915" t="s">
        <v>446</v>
      </c>
      <c r="J915">
        <v>2.8E-5</v>
      </c>
      <c r="K915" t="s">
        <v>57</v>
      </c>
      <c r="O915">
        <v>54.269446307117398</v>
      </c>
      <c r="P915" t="s">
        <v>1150</v>
      </c>
      <c r="T915">
        <v>25</v>
      </c>
      <c r="V915">
        <v>50</v>
      </c>
      <c r="W915" t="s">
        <v>1162</v>
      </c>
      <c r="X915" t="s">
        <v>1158</v>
      </c>
      <c r="Y915">
        <v>6.4606483698949333</v>
      </c>
      <c r="AB915">
        <v>1.1993006993007</v>
      </c>
      <c r="AC915" t="s">
        <v>85</v>
      </c>
      <c r="AI915" t="s">
        <v>1080</v>
      </c>
      <c r="AO915">
        <v>0</v>
      </c>
      <c r="AT915" t="s">
        <v>382</v>
      </c>
      <c r="AV915" t="s">
        <v>448</v>
      </c>
    </row>
    <row r="916" spans="1:48" hidden="1" x14ac:dyDescent="0.3">
      <c r="A916" t="s">
        <v>1156</v>
      </c>
      <c r="C916" t="s">
        <v>1052</v>
      </c>
      <c r="H916">
        <v>28</v>
      </c>
      <c r="I916" t="s">
        <v>446</v>
      </c>
      <c r="J916">
        <v>2.8E-5</v>
      </c>
      <c r="K916" t="s">
        <v>57</v>
      </c>
      <c r="O916">
        <v>75.468196187374204</v>
      </c>
      <c r="P916" t="s">
        <v>1150</v>
      </c>
      <c r="T916">
        <v>25</v>
      </c>
      <c r="V916">
        <v>50</v>
      </c>
      <c r="W916" t="s">
        <v>1162</v>
      </c>
      <c r="X916" t="s">
        <v>1158</v>
      </c>
      <c r="Y916">
        <v>8.9843090699254819</v>
      </c>
      <c r="AB916">
        <v>1.79720279720279</v>
      </c>
      <c r="AC916" t="s">
        <v>85</v>
      </c>
      <c r="AI916" t="s">
        <v>1080</v>
      </c>
      <c r="AO916">
        <v>0</v>
      </c>
      <c r="AT916" t="s">
        <v>382</v>
      </c>
      <c r="AV916" t="s">
        <v>448</v>
      </c>
    </row>
    <row r="917" spans="1:48" hidden="1" x14ac:dyDescent="0.3">
      <c r="A917" t="s">
        <v>1156</v>
      </c>
      <c r="C917" t="s">
        <v>1052</v>
      </c>
      <c r="H917">
        <v>28</v>
      </c>
      <c r="I917" t="s">
        <v>446</v>
      </c>
      <c r="J917">
        <v>2.8E-5</v>
      </c>
      <c r="K917" t="s">
        <v>57</v>
      </c>
      <c r="O917">
        <v>100.464603889261</v>
      </c>
      <c r="P917" t="s">
        <v>1150</v>
      </c>
      <c r="T917">
        <v>25</v>
      </c>
      <c r="V917">
        <v>50</v>
      </c>
      <c r="W917" t="s">
        <v>1162</v>
      </c>
      <c r="X917" t="s">
        <v>1158</v>
      </c>
      <c r="Y917">
        <v>11.96007189157868</v>
      </c>
      <c r="AB917">
        <v>1.86013986013986</v>
      </c>
      <c r="AC917" t="s">
        <v>85</v>
      </c>
      <c r="AI917" t="s">
        <v>1080</v>
      </c>
      <c r="AO917">
        <v>0</v>
      </c>
      <c r="AT917" t="s">
        <v>382</v>
      </c>
      <c r="AV917" t="s">
        <v>448</v>
      </c>
    </row>
    <row r="918" spans="1:48" hidden="1" x14ac:dyDescent="0.3">
      <c r="A918" t="s">
        <v>1156</v>
      </c>
      <c r="C918" t="s">
        <v>1052</v>
      </c>
      <c r="H918">
        <v>28</v>
      </c>
      <c r="I918" t="s">
        <v>446</v>
      </c>
      <c r="J918">
        <v>2.8E-5</v>
      </c>
      <c r="K918" t="s">
        <v>57</v>
      </c>
      <c r="O918">
        <v>986.97719658488995</v>
      </c>
      <c r="P918" t="s">
        <v>1159</v>
      </c>
      <c r="T918">
        <v>25</v>
      </c>
      <c r="V918">
        <v>50</v>
      </c>
      <c r="W918" t="s">
        <v>1163</v>
      </c>
      <c r="X918" t="s">
        <v>1160</v>
      </c>
      <c r="Y918">
        <v>70.498371184635005</v>
      </c>
      <c r="AB918">
        <v>0.25263157894736699</v>
      </c>
      <c r="AC918" t="s">
        <v>85</v>
      </c>
      <c r="AV918" t="s">
        <v>448</v>
      </c>
    </row>
    <row r="919" spans="1:48" hidden="1" x14ac:dyDescent="0.3">
      <c r="A919" t="s">
        <v>1156</v>
      </c>
      <c r="C919" t="s">
        <v>1052</v>
      </c>
      <c r="H919">
        <v>28</v>
      </c>
      <c r="I919" t="s">
        <v>446</v>
      </c>
      <c r="J919">
        <v>2.8E-5</v>
      </c>
      <c r="K919" t="s">
        <v>57</v>
      </c>
      <c r="O919">
        <v>1984.4374797363</v>
      </c>
      <c r="P919" t="s">
        <v>1159</v>
      </c>
      <c r="T919">
        <v>25</v>
      </c>
      <c r="V919">
        <v>50</v>
      </c>
      <c r="W919" t="s">
        <v>1163</v>
      </c>
      <c r="X919" t="s">
        <v>1160</v>
      </c>
      <c r="Y919">
        <v>141.745534266878</v>
      </c>
      <c r="AB919">
        <v>0.557894736842105</v>
      </c>
      <c r="AC919" t="s">
        <v>85</v>
      </c>
      <c r="AV919" t="s">
        <v>448</v>
      </c>
    </row>
    <row r="920" spans="1:48" hidden="1" x14ac:dyDescent="0.3">
      <c r="A920" t="s">
        <v>1156</v>
      </c>
      <c r="C920" t="s">
        <v>1052</v>
      </c>
      <c r="H920">
        <v>28</v>
      </c>
      <c r="I920" t="s">
        <v>446</v>
      </c>
      <c r="J920">
        <v>2.8E-5</v>
      </c>
      <c r="K920" t="s">
        <v>57</v>
      </c>
      <c r="O920">
        <v>2976.33200043229</v>
      </c>
      <c r="P920" t="s">
        <v>1159</v>
      </c>
      <c r="T920">
        <v>25</v>
      </c>
      <c r="V920">
        <v>50</v>
      </c>
      <c r="W920" t="s">
        <v>1163</v>
      </c>
      <c r="X920" t="s">
        <v>1160</v>
      </c>
      <c r="Y920">
        <v>212.59514288802001</v>
      </c>
      <c r="AB920">
        <v>1.77894736842104</v>
      </c>
      <c r="AC920" t="s">
        <v>85</v>
      </c>
      <c r="AV920" t="s">
        <v>448</v>
      </c>
    </row>
    <row r="921" spans="1:48" hidden="1" x14ac:dyDescent="0.3">
      <c r="A921" t="s">
        <v>1156</v>
      </c>
      <c r="C921" t="s">
        <v>1052</v>
      </c>
      <c r="H921">
        <v>28</v>
      </c>
      <c r="I921" t="s">
        <v>446</v>
      </c>
      <c r="J921">
        <v>2.8E-5</v>
      </c>
      <c r="K921" t="s">
        <v>57</v>
      </c>
      <c r="O921">
        <v>3975.1972333297199</v>
      </c>
      <c r="P921" t="s">
        <v>1159</v>
      </c>
      <c r="T921">
        <v>25</v>
      </c>
      <c r="V921">
        <v>50</v>
      </c>
      <c r="W921" t="s">
        <v>1163</v>
      </c>
      <c r="X921" t="s">
        <v>1160</v>
      </c>
      <c r="Y921">
        <v>283.94265952355198</v>
      </c>
      <c r="AB921">
        <v>2.3578947368421002</v>
      </c>
      <c r="AC921" t="s">
        <v>85</v>
      </c>
      <c r="AV921" t="s">
        <v>448</v>
      </c>
    </row>
    <row r="922" spans="1:48" hidden="1" x14ac:dyDescent="0.3">
      <c r="A922" t="s">
        <v>1156</v>
      </c>
      <c r="C922" t="s">
        <v>1052</v>
      </c>
      <c r="H922">
        <v>28</v>
      </c>
      <c r="I922" t="s">
        <v>446</v>
      </c>
      <c r="J922">
        <v>2.8E-5</v>
      </c>
      <c r="K922" t="s">
        <v>57</v>
      </c>
      <c r="O922">
        <v>5027.3965200475504</v>
      </c>
      <c r="P922" t="s">
        <v>1159</v>
      </c>
      <c r="T922">
        <v>25</v>
      </c>
      <c r="V922">
        <v>50</v>
      </c>
      <c r="W922" t="s">
        <v>1163</v>
      </c>
      <c r="X922" t="s">
        <v>1160</v>
      </c>
      <c r="Y922">
        <v>359.09975143196698</v>
      </c>
      <c r="AB922">
        <v>3.3263157894736701</v>
      </c>
      <c r="AC922" t="s">
        <v>85</v>
      </c>
      <c r="AV922" t="s">
        <v>448</v>
      </c>
    </row>
    <row r="923" spans="1:48" hidden="1" x14ac:dyDescent="0.3">
      <c r="A923" t="s">
        <v>1164</v>
      </c>
      <c r="C923" t="s">
        <v>1052</v>
      </c>
      <c r="H923">
        <v>32</v>
      </c>
      <c r="I923" t="s">
        <v>56</v>
      </c>
      <c r="J923">
        <v>3.2000000000000002E-3</v>
      </c>
      <c r="K923" t="s">
        <v>57</v>
      </c>
      <c r="O923">
        <v>12</v>
      </c>
      <c r="P923" t="s">
        <v>1143</v>
      </c>
      <c r="T923">
        <v>25</v>
      </c>
      <c r="V923">
        <v>50</v>
      </c>
      <c r="W923" t="s">
        <v>1165</v>
      </c>
      <c r="X923" t="s">
        <v>1058</v>
      </c>
      <c r="Y923">
        <v>5</v>
      </c>
      <c r="AB923">
        <v>2</v>
      </c>
      <c r="AC923" t="s">
        <v>85</v>
      </c>
      <c r="AI923">
        <v>3</v>
      </c>
      <c r="AV923" t="s">
        <v>88</v>
      </c>
    </row>
    <row r="924" spans="1:48" hidden="1" x14ac:dyDescent="0.3">
      <c r="A924" t="s">
        <v>1164</v>
      </c>
      <c r="C924" t="s">
        <v>1052</v>
      </c>
      <c r="H924">
        <v>32</v>
      </c>
      <c r="I924" t="s">
        <v>56</v>
      </c>
      <c r="J924">
        <v>3.2000000000000002E-3</v>
      </c>
      <c r="K924" t="s">
        <v>57</v>
      </c>
      <c r="O924">
        <v>12</v>
      </c>
      <c r="P924" t="s">
        <v>1143</v>
      </c>
      <c r="T924">
        <v>25</v>
      </c>
      <c r="V924">
        <v>50</v>
      </c>
      <c r="W924" t="s">
        <v>1165</v>
      </c>
      <c r="X924" t="s">
        <v>1058</v>
      </c>
      <c r="Y924">
        <v>5</v>
      </c>
      <c r="AB924">
        <v>5</v>
      </c>
      <c r="AC924" t="s">
        <v>85</v>
      </c>
      <c r="AI924">
        <v>3</v>
      </c>
      <c r="AV924" t="s">
        <v>88</v>
      </c>
    </row>
    <row r="925" spans="1:48" x14ac:dyDescent="0.3">
      <c r="A925" t="s">
        <v>1166</v>
      </c>
      <c r="C925" t="s">
        <v>1052</v>
      </c>
      <c r="H925">
        <v>21</v>
      </c>
      <c r="I925" t="s">
        <v>1167</v>
      </c>
      <c r="J925">
        <v>2.1000000000000001E-2</v>
      </c>
      <c r="K925" t="s">
        <v>252</v>
      </c>
      <c r="L925" t="s">
        <v>58</v>
      </c>
      <c r="O925">
        <v>700</v>
      </c>
      <c r="P925" t="s">
        <v>1168</v>
      </c>
      <c r="T925">
        <v>25</v>
      </c>
      <c r="V925">
        <v>50</v>
      </c>
      <c r="W925" t="s">
        <v>1169</v>
      </c>
      <c r="X925" t="s">
        <v>1170</v>
      </c>
      <c r="Y925">
        <v>1.5</v>
      </c>
      <c r="AB925">
        <v>32.114624505928802</v>
      </c>
      <c r="AC925" t="s">
        <v>1090</v>
      </c>
      <c r="AD925">
        <v>1.28204878827083</v>
      </c>
      <c r="AI925">
        <v>3</v>
      </c>
      <c r="AV925" t="s">
        <v>1171</v>
      </c>
    </row>
    <row r="926" spans="1:48" x14ac:dyDescent="0.3">
      <c r="A926" t="s">
        <v>1166</v>
      </c>
      <c r="C926" t="s">
        <v>1052</v>
      </c>
      <c r="H926">
        <v>21</v>
      </c>
      <c r="I926" t="s">
        <v>1167</v>
      </c>
      <c r="J926">
        <v>2.1000000000000001E-2</v>
      </c>
      <c r="K926" t="s">
        <v>252</v>
      </c>
      <c r="L926" t="s">
        <v>58</v>
      </c>
      <c r="O926">
        <v>385</v>
      </c>
      <c r="P926" t="s">
        <v>1168</v>
      </c>
      <c r="T926">
        <v>25</v>
      </c>
      <c r="V926">
        <v>50</v>
      </c>
      <c r="W926" t="s">
        <v>1169</v>
      </c>
      <c r="X926" t="s">
        <v>1170</v>
      </c>
      <c r="Y926">
        <v>1.5</v>
      </c>
      <c r="AB926">
        <v>38.438735177865603</v>
      </c>
      <c r="AC926" t="s">
        <v>1090</v>
      </c>
      <c r="AD926">
        <v>4.1466972676958598</v>
      </c>
      <c r="AI926">
        <v>3</v>
      </c>
      <c r="AV926" t="s">
        <v>1171</v>
      </c>
    </row>
    <row r="927" spans="1:48" x14ac:dyDescent="0.3">
      <c r="A927" t="s">
        <v>1166</v>
      </c>
      <c r="C927" t="s">
        <v>1052</v>
      </c>
      <c r="H927">
        <v>21</v>
      </c>
      <c r="I927" t="s">
        <v>1167</v>
      </c>
      <c r="J927">
        <v>2.1000000000000001E-2</v>
      </c>
      <c r="K927" t="s">
        <v>252</v>
      </c>
      <c r="L927" t="s">
        <v>58</v>
      </c>
      <c r="O927">
        <v>119</v>
      </c>
      <c r="P927" t="s">
        <v>1168</v>
      </c>
      <c r="T927">
        <v>25</v>
      </c>
      <c r="V927">
        <v>50</v>
      </c>
      <c r="W927" t="s">
        <v>1169</v>
      </c>
      <c r="X927" t="s">
        <v>1170</v>
      </c>
      <c r="Y927">
        <v>1.5</v>
      </c>
      <c r="AB927">
        <v>31.126482213438699</v>
      </c>
      <c r="AC927" t="s">
        <v>1090</v>
      </c>
      <c r="AD927">
        <v>3.752714118631451</v>
      </c>
      <c r="AI927">
        <v>3</v>
      </c>
      <c r="AV927" t="s">
        <v>1171</v>
      </c>
    </row>
    <row r="928" spans="1:48" x14ac:dyDescent="0.3">
      <c r="A928" t="s">
        <v>1166</v>
      </c>
      <c r="C928" t="s">
        <v>1052</v>
      </c>
      <c r="H928">
        <v>200</v>
      </c>
      <c r="I928" t="s">
        <v>220</v>
      </c>
      <c r="J928">
        <v>1.9999999999999999E-7</v>
      </c>
      <c r="K928" t="s">
        <v>252</v>
      </c>
      <c r="L928" t="s">
        <v>58</v>
      </c>
      <c r="O928">
        <v>700</v>
      </c>
      <c r="P928" t="s">
        <v>1168</v>
      </c>
      <c r="T928">
        <v>25</v>
      </c>
      <c r="V928">
        <v>50</v>
      </c>
      <c r="W928" t="s">
        <v>1057</v>
      </c>
      <c r="X928" t="s">
        <v>1170</v>
      </c>
      <c r="Y928">
        <v>1</v>
      </c>
      <c r="AB928">
        <v>28.186528497409299</v>
      </c>
      <c r="AC928" t="s">
        <v>1090</v>
      </c>
      <c r="AD928">
        <v>10.3626943005181</v>
      </c>
      <c r="AI928">
        <v>3</v>
      </c>
      <c r="AV928" t="s">
        <v>1172</v>
      </c>
    </row>
    <row r="929" spans="1:48" x14ac:dyDescent="0.3">
      <c r="A929" t="s">
        <v>1166</v>
      </c>
      <c r="C929" t="s">
        <v>1052</v>
      </c>
      <c r="H929">
        <v>200</v>
      </c>
      <c r="I929" t="s">
        <v>220</v>
      </c>
      <c r="J929">
        <v>1.9999999999999999E-7</v>
      </c>
      <c r="K929" t="s">
        <v>252</v>
      </c>
      <c r="L929" t="s">
        <v>58</v>
      </c>
      <c r="O929">
        <v>385</v>
      </c>
      <c r="P929" t="s">
        <v>1168</v>
      </c>
      <c r="T929">
        <v>25</v>
      </c>
      <c r="V929">
        <v>50</v>
      </c>
      <c r="W929" t="s">
        <v>1057</v>
      </c>
      <c r="X929" t="s">
        <v>1170</v>
      </c>
      <c r="Y929">
        <v>1</v>
      </c>
      <c r="AB929">
        <v>34.404145077720202</v>
      </c>
      <c r="AC929" t="s">
        <v>1090</v>
      </c>
      <c r="AD929">
        <v>6.7125947111716702</v>
      </c>
      <c r="AI929">
        <v>3</v>
      </c>
      <c r="AV929" t="s">
        <v>1172</v>
      </c>
    </row>
    <row r="930" spans="1:48" x14ac:dyDescent="0.3">
      <c r="A930" t="s">
        <v>1166</v>
      </c>
      <c r="C930" t="s">
        <v>1052</v>
      </c>
      <c r="H930">
        <v>200</v>
      </c>
      <c r="I930" t="s">
        <v>220</v>
      </c>
      <c r="J930">
        <v>1.9999999999999999E-7</v>
      </c>
      <c r="K930" t="s">
        <v>252</v>
      </c>
      <c r="L930" t="s">
        <v>58</v>
      </c>
      <c r="O930">
        <v>119</v>
      </c>
      <c r="P930" t="s">
        <v>1168</v>
      </c>
      <c r="T930">
        <v>25</v>
      </c>
      <c r="V930">
        <v>50</v>
      </c>
      <c r="W930" t="s">
        <v>1057</v>
      </c>
      <c r="X930" t="s">
        <v>1170</v>
      </c>
      <c r="Y930">
        <v>1</v>
      </c>
      <c r="AB930">
        <v>104.66321243523301</v>
      </c>
      <c r="AC930" t="s">
        <v>1090</v>
      </c>
      <c r="AD930">
        <v>10.571979892109299</v>
      </c>
      <c r="AI930">
        <v>3</v>
      </c>
      <c r="AV930" t="s">
        <v>1172</v>
      </c>
    </row>
    <row r="931" spans="1:48" x14ac:dyDescent="0.3">
      <c r="A931" t="s">
        <v>1166</v>
      </c>
      <c r="C931" t="s">
        <v>1052</v>
      </c>
      <c r="H931">
        <v>200</v>
      </c>
      <c r="I931" t="s">
        <v>220</v>
      </c>
      <c r="J931">
        <v>1.9999999999999999E-7</v>
      </c>
      <c r="K931" t="s">
        <v>252</v>
      </c>
      <c r="L931" t="s">
        <v>58</v>
      </c>
      <c r="O931">
        <v>700</v>
      </c>
      <c r="P931" t="s">
        <v>1168</v>
      </c>
      <c r="T931">
        <v>25</v>
      </c>
      <c r="V931">
        <v>50</v>
      </c>
      <c r="W931" t="s">
        <v>1057</v>
      </c>
      <c r="X931" t="s">
        <v>1170</v>
      </c>
      <c r="Y931">
        <v>2</v>
      </c>
      <c r="AB931">
        <v>3.937823834196891</v>
      </c>
      <c r="AC931" t="s">
        <v>1090</v>
      </c>
      <c r="AD931">
        <v>5.6302912775983804</v>
      </c>
      <c r="AI931">
        <v>3</v>
      </c>
      <c r="AV931" t="s">
        <v>1172</v>
      </c>
    </row>
    <row r="932" spans="1:48" x14ac:dyDescent="0.3">
      <c r="A932" t="s">
        <v>1166</v>
      </c>
      <c r="C932" t="s">
        <v>1052</v>
      </c>
      <c r="H932">
        <v>200</v>
      </c>
      <c r="I932" t="s">
        <v>220</v>
      </c>
      <c r="J932">
        <v>1.9999999999999999E-7</v>
      </c>
      <c r="K932" t="s">
        <v>252</v>
      </c>
      <c r="L932" t="s">
        <v>58</v>
      </c>
      <c r="O932">
        <v>385</v>
      </c>
      <c r="P932" t="s">
        <v>1168</v>
      </c>
      <c r="T932">
        <v>25</v>
      </c>
      <c r="V932">
        <v>50</v>
      </c>
      <c r="W932" t="s">
        <v>1057</v>
      </c>
      <c r="X932" t="s">
        <v>1170</v>
      </c>
      <c r="Y932">
        <v>2</v>
      </c>
      <c r="AB932">
        <v>21.968911917098399</v>
      </c>
      <c r="AC932" t="s">
        <v>1090</v>
      </c>
      <c r="AD932">
        <v>7.4640178675105</v>
      </c>
      <c r="AI932">
        <v>3</v>
      </c>
      <c r="AV932" t="s">
        <v>1172</v>
      </c>
    </row>
    <row r="933" spans="1:48" x14ac:dyDescent="0.3">
      <c r="A933" t="s">
        <v>1166</v>
      </c>
      <c r="C933" t="s">
        <v>1052</v>
      </c>
      <c r="H933">
        <v>200</v>
      </c>
      <c r="I933" t="s">
        <v>220</v>
      </c>
      <c r="J933">
        <v>1.9999999999999999E-7</v>
      </c>
      <c r="K933" t="s">
        <v>252</v>
      </c>
      <c r="L933" t="s">
        <v>58</v>
      </c>
      <c r="O933">
        <v>119</v>
      </c>
      <c r="P933" t="s">
        <v>1168</v>
      </c>
      <c r="T933">
        <v>25</v>
      </c>
      <c r="V933">
        <v>50</v>
      </c>
      <c r="W933" t="s">
        <v>1057</v>
      </c>
      <c r="X933" t="s">
        <v>1170</v>
      </c>
      <c r="Y933">
        <v>2</v>
      </c>
      <c r="AB933">
        <v>105.699481865284</v>
      </c>
      <c r="AC933" t="s">
        <v>1090</v>
      </c>
      <c r="AD933">
        <v>13.678756476683899</v>
      </c>
      <c r="AI933">
        <v>3</v>
      </c>
      <c r="AV933" t="s">
        <v>1172</v>
      </c>
    </row>
    <row r="934" spans="1:48" x14ac:dyDescent="0.3">
      <c r="A934" t="s">
        <v>1166</v>
      </c>
      <c r="C934" t="s">
        <v>1052</v>
      </c>
      <c r="H934">
        <v>200</v>
      </c>
      <c r="I934" t="s">
        <v>220</v>
      </c>
      <c r="J934">
        <v>1.9999999999999999E-7</v>
      </c>
      <c r="K934" t="s">
        <v>252</v>
      </c>
      <c r="L934" t="s">
        <v>58</v>
      </c>
      <c r="O934">
        <v>700</v>
      </c>
      <c r="P934" t="s">
        <v>1168</v>
      </c>
      <c r="T934">
        <v>25</v>
      </c>
      <c r="V934">
        <v>50</v>
      </c>
      <c r="W934" t="s">
        <v>1057</v>
      </c>
      <c r="X934" t="s">
        <v>1170</v>
      </c>
      <c r="Y934">
        <v>3</v>
      </c>
      <c r="AB934">
        <v>0</v>
      </c>
      <c r="AC934" t="s">
        <v>1090</v>
      </c>
      <c r="AI934">
        <v>3</v>
      </c>
      <c r="AV934" t="s">
        <v>1172</v>
      </c>
    </row>
    <row r="935" spans="1:48" x14ac:dyDescent="0.3">
      <c r="A935" t="s">
        <v>1166</v>
      </c>
      <c r="C935" t="s">
        <v>1052</v>
      </c>
      <c r="H935">
        <v>200</v>
      </c>
      <c r="I935" t="s">
        <v>220</v>
      </c>
      <c r="J935">
        <v>1.9999999999999999E-7</v>
      </c>
      <c r="K935" t="s">
        <v>252</v>
      </c>
      <c r="L935" t="s">
        <v>58</v>
      </c>
      <c r="O935">
        <v>385</v>
      </c>
      <c r="P935" t="s">
        <v>1168</v>
      </c>
      <c r="T935">
        <v>25</v>
      </c>
      <c r="V935">
        <v>50</v>
      </c>
      <c r="W935" t="s">
        <v>1057</v>
      </c>
      <c r="X935" t="s">
        <v>1170</v>
      </c>
      <c r="Y935">
        <v>3</v>
      </c>
      <c r="AB935">
        <v>24.663212435233099</v>
      </c>
      <c r="AC935" t="s">
        <v>1090</v>
      </c>
      <c r="AD935">
        <v>1.0362694300517901</v>
      </c>
      <c r="AI935">
        <v>3</v>
      </c>
      <c r="AV935" t="s">
        <v>1172</v>
      </c>
    </row>
    <row r="936" spans="1:48" x14ac:dyDescent="0.3">
      <c r="A936" t="s">
        <v>1166</v>
      </c>
      <c r="C936" t="s">
        <v>1052</v>
      </c>
      <c r="H936">
        <v>200</v>
      </c>
      <c r="I936" t="s">
        <v>220</v>
      </c>
      <c r="J936">
        <v>1.9999999999999999E-7</v>
      </c>
      <c r="K936" t="s">
        <v>252</v>
      </c>
      <c r="L936" t="s">
        <v>58</v>
      </c>
      <c r="O936">
        <v>119</v>
      </c>
      <c r="P936" t="s">
        <v>1168</v>
      </c>
      <c r="T936">
        <v>25</v>
      </c>
      <c r="V936">
        <v>50</v>
      </c>
      <c r="W936" t="s">
        <v>1057</v>
      </c>
      <c r="X936" t="s">
        <v>1170</v>
      </c>
      <c r="Y936">
        <v>3</v>
      </c>
      <c r="AB936">
        <v>46.424870466321202</v>
      </c>
      <c r="AC936" t="s">
        <v>1090</v>
      </c>
      <c r="AD936">
        <v>3.5777567879030201</v>
      </c>
      <c r="AI936">
        <v>3</v>
      </c>
      <c r="AV936" t="s">
        <v>1172</v>
      </c>
    </row>
    <row r="937" spans="1:48" x14ac:dyDescent="0.3">
      <c r="A937" t="s">
        <v>1173</v>
      </c>
      <c r="C937" t="s">
        <v>1052</v>
      </c>
      <c r="H937">
        <v>15</v>
      </c>
      <c r="I937" t="s">
        <v>82</v>
      </c>
      <c r="J937">
        <v>1.5E-5</v>
      </c>
      <c r="K937" t="s">
        <v>252</v>
      </c>
      <c r="L937" t="s">
        <v>58</v>
      </c>
      <c r="O937">
        <v>0</v>
      </c>
      <c r="P937" t="s">
        <v>1174</v>
      </c>
      <c r="T937">
        <v>25</v>
      </c>
      <c r="V937">
        <v>50</v>
      </c>
      <c r="W937" t="s">
        <v>1057</v>
      </c>
      <c r="AB937">
        <v>6.3357933579335599</v>
      </c>
      <c r="AC937" t="s">
        <v>210</v>
      </c>
      <c r="AE937" t="s">
        <v>63</v>
      </c>
      <c r="AI937">
        <v>3</v>
      </c>
      <c r="AV937" t="s">
        <v>256</v>
      </c>
    </row>
    <row r="938" spans="1:48" x14ac:dyDescent="0.3">
      <c r="A938" t="s">
        <v>1173</v>
      </c>
      <c r="C938" t="s">
        <v>1052</v>
      </c>
      <c r="H938">
        <v>15</v>
      </c>
      <c r="I938" t="s">
        <v>82</v>
      </c>
      <c r="J938">
        <v>1.5E-5</v>
      </c>
      <c r="K938" t="s">
        <v>252</v>
      </c>
      <c r="L938" t="s">
        <v>58</v>
      </c>
      <c r="O938">
        <v>1000</v>
      </c>
      <c r="P938" t="s">
        <v>1174</v>
      </c>
      <c r="T938">
        <v>25</v>
      </c>
      <c r="V938">
        <v>50</v>
      </c>
      <c r="W938" t="s">
        <v>1057</v>
      </c>
      <c r="AB938">
        <v>6.2893470239050204</v>
      </c>
      <c r="AC938" t="s">
        <v>210</v>
      </c>
      <c r="AE938" t="s">
        <v>63</v>
      </c>
      <c r="AI938">
        <v>3</v>
      </c>
      <c r="AV938" t="s">
        <v>256</v>
      </c>
    </row>
    <row r="939" spans="1:48" x14ac:dyDescent="0.3">
      <c r="A939" t="s">
        <v>1173</v>
      </c>
      <c r="C939" t="s">
        <v>1052</v>
      </c>
      <c r="H939">
        <v>15</v>
      </c>
      <c r="I939" t="s">
        <v>82</v>
      </c>
      <c r="J939">
        <v>1.5E-5</v>
      </c>
      <c r="K939" t="s">
        <v>252</v>
      </c>
      <c r="L939" t="s">
        <v>58</v>
      </c>
      <c r="O939">
        <v>5000</v>
      </c>
      <c r="P939" t="s">
        <v>1174</v>
      </c>
      <c r="T939">
        <v>25</v>
      </c>
      <c r="V939">
        <v>50</v>
      </c>
      <c r="W939" t="s">
        <v>1057</v>
      </c>
      <c r="AB939">
        <v>3.5572356810524601</v>
      </c>
      <c r="AC939" t="s">
        <v>210</v>
      </c>
      <c r="AE939" t="s">
        <v>63</v>
      </c>
      <c r="AI939">
        <v>3</v>
      </c>
      <c r="AV939" t="s">
        <v>256</v>
      </c>
    </row>
    <row r="940" spans="1:48" x14ac:dyDescent="0.3">
      <c r="A940" t="s">
        <v>1173</v>
      </c>
      <c r="C940" t="s">
        <v>1052</v>
      </c>
      <c r="H940">
        <v>15</v>
      </c>
      <c r="I940" t="s">
        <v>82</v>
      </c>
      <c r="J940">
        <v>1.5E-5</v>
      </c>
      <c r="K940" t="s">
        <v>252</v>
      </c>
      <c r="L940" t="s">
        <v>58</v>
      </c>
      <c r="O940">
        <v>9999.9999999999909</v>
      </c>
      <c r="P940" t="s">
        <v>1174</v>
      </c>
      <c r="T940">
        <v>25</v>
      </c>
      <c r="V940">
        <v>50</v>
      </c>
      <c r="W940" t="s">
        <v>1057</v>
      </c>
      <c r="AB940">
        <v>2.46129472164285</v>
      </c>
      <c r="AC940" t="s">
        <v>210</v>
      </c>
      <c r="AE940" t="s">
        <v>63</v>
      </c>
      <c r="AI940">
        <v>3</v>
      </c>
      <c r="AV940" t="s">
        <v>256</v>
      </c>
    </row>
    <row r="941" spans="1:48" x14ac:dyDescent="0.3">
      <c r="A941" t="s">
        <v>1175</v>
      </c>
      <c r="C941" t="s">
        <v>1052</v>
      </c>
      <c r="H941">
        <v>25</v>
      </c>
      <c r="I941" t="s">
        <v>82</v>
      </c>
      <c r="J941">
        <v>2.5000000000000001E-5</v>
      </c>
      <c r="K941" t="s">
        <v>252</v>
      </c>
      <c r="O941">
        <v>74</v>
      </c>
      <c r="P941" t="s">
        <v>1176</v>
      </c>
      <c r="T941">
        <v>40</v>
      </c>
      <c r="V941">
        <v>50</v>
      </c>
      <c r="W941" t="s">
        <v>1057</v>
      </c>
      <c r="X941" t="s">
        <v>280</v>
      </c>
      <c r="Y941">
        <v>30</v>
      </c>
      <c r="AB941">
        <v>0.9</v>
      </c>
      <c r="AC941" t="s">
        <v>85</v>
      </c>
      <c r="AI941">
        <v>3</v>
      </c>
      <c r="AV941" t="s">
        <v>256</v>
      </c>
    </row>
    <row r="942" spans="1:48" x14ac:dyDescent="0.3">
      <c r="A942" t="s">
        <v>1175</v>
      </c>
      <c r="C942" t="s">
        <v>1052</v>
      </c>
      <c r="H942">
        <v>25</v>
      </c>
      <c r="I942" t="s">
        <v>82</v>
      </c>
      <c r="J942">
        <v>2.5000000000000001E-5</v>
      </c>
      <c r="K942" t="s">
        <v>252</v>
      </c>
      <c r="O942">
        <v>95</v>
      </c>
      <c r="P942" t="s">
        <v>1176</v>
      </c>
      <c r="T942">
        <v>40</v>
      </c>
      <c r="V942">
        <v>50</v>
      </c>
      <c r="W942" t="s">
        <v>1057</v>
      </c>
      <c r="X942" t="s">
        <v>280</v>
      </c>
      <c r="Y942">
        <v>45</v>
      </c>
      <c r="AB942">
        <v>0.9</v>
      </c>
      <c r="AC942" t="s">
        <v>85</v>
      </c>
      <c r="AI942">
        <v>3</v>
      </c>
      <c r="AV942" t="s">
        <v>256</v>
      </c>
    </row>
    <row r="943" spans="1:48" x14ac:dyDescent="0.3">
      <c r="A943" t="s">
        <v>1175</v>
      </c>
      <c r="C943" t="s">
        <v>1052</v>
      </c>
      <c r="H943">
        <v>25</v>
      </c>
      <c r="I943" t="s">
        <v>82</v>
      </c>
      <c r="J943">
        <v>2.5000000000000001E-5</v>
      </c>
      <c r="K943" t="s">
        <v>252</v>
      </c>
      <c r="O943">
        <v>95</v>
      </c>
      <c r="P943" t="s">
        <v>1176</v>
      </c>
      <c r="T943">
        <v>40</v>
      </c>
      <c r="V943">
        <v>50</v>
      </c>
      <c r="W943" t="s">
        <v>1057</v>
      </c>
      <c r="X943" t="s">
        <v>280</v>
      </c>
      <c r="Y943">
        <v>90</v>
      </c>
      <c r="AB943">
        <v>1.1000000000000001</v>
      </c>
      <c r="AC943" t="s">
        <v>85</v>
      </c>
      <c r="AI943">
        <v>3</v>
      </c>
      <c r="AV943" t="s">
        <v>256</v>
      </c>
    </row>
    <row r="944" spans="1:48" x14ac:dyDescent="0.3">
      <c r="A944" t="s">
        <v>1175</v>
      </c>
      <c r="C944" t="s">
        <v>1052</v>
      </c>
      <c r="H944">
        <v>25</v>
      </c>
      <c r="I944" t="s">
        <v>82</v>
      </c>
      <c r="J944">
        <v>2.5000000000000001E-5</v>
      </c>
      <c r="K944" t="s">
        <v>252</v>
      </c>
      <c r="O944">
        <v>200</v>
      </c>
      <c r="P944" t="s">
        <v>1176</v>
      </c>
      <c r="T944">
        <v>40</v>
      </c>
      <c r="V944">
        <v>50</v>
      </c>
      <c r="W944" t="s">
        <v>1057</v>
      </c>
      <c r="X944" t="s">
        <v>280</v>
      </c>
      <c r="Y944">
        <v>60</v>
      </c>
      <c r="AB944">
        <v>0.9</v>
      </c>
      <c r="AC944" t="s">
        <v>85</v>
      </c>
      <c r="AI944">
        <v>3</v>
      </c>
      <c r="AV944" t="s">
        <v>256</v>
      </c>
    </row>
    <row r="945" spans="1:53" x14ac:dyDescent="0.3">
      <c r="A945" t="s">
        <v>1175</v>
      </c>
      <c r="C945" t="s">
        <v>1052</v>
      </c>
      <c r="H945">
        <v>25</v>
      </c>
      <c r="I945" t="s">
        <v>82</v>
      </c>
      <c r="J945">
        <v>2.5000000000000001E-5</v>
      </c>
      <c r="K945" t="s">
        <v>252</v>
      </c>
      <c r="O945">
        <v>200</v>
      </c>
      <c r="P945" t="s">
        <v>1176</v>
      </c>
      <c r="T945">
        <v>54</v>
      </c>
      <c r="V945">
        <v>50</v>
      </c>
      <c r="W945" t="s">
        <v>1057</v>
      </c>
      <c r="X945" t="s">
        <v>280</v>
      </c>
      <c r="Y945">
        <v>60</v>
      </c>
      <c r="AB945">
        <v>1.1000000000000001</v>
      </c>
      <c r="AC945" t="s">
        <v>85</v>
      </c>
      <c r="AI945">
        <v>3</v>
      </c>
      <c r="AV945" t="s">
        <v>256</v>
      </c>
    </row>
    <row r="946" spans="1:53" x14ac:dyDescent="0.3">
      <c r="A946" t="s">
        <v>1175</v>
      </c>
      <c r="C946" t="s">
        <v>1052</v>
      </c>
      <c r="H946">
        <v>25</v>
      </c>
      <c r="I946" t="s">
        <v>82</v>
      </c>
      <c r="J946">
        <v>2.5000000000000001E-5</v>
      </c>
      <c r="K946" t="s">
        <v>252</v>
      </c>
      <c r="O946">
        <v>150</v>
      </c>
      <c r="P946" t="s">
        <v>1176</v>
      </c>
      <c r="T946">
        <v>54</v>
      </c>
      <c r="V946">
        <v>50</v>
      </c>
      <c r="W946" t="s">
        <v>1057</v>
      </c>
      <c r="X946" t="s">
        <v>280</v>
      </c>
      <c r="Y946">
        <v>45</v>
      </c>
      <c r="AB946">
        <v>0.9</v>
      </c>
      <c r="AC946" t="s">
        <v>85</v>
      </c>
      <c r="AI946">
        <v>3</v>
      </c>
      <c r="AV946" t="s">
        <v>256</v>
      </c>
    </row>
    <row r="947" spans="1:53" x14ac:dyDescent="0.3">
      <c r="A947" t="s">
        <v>1175</v>
      </c>
      <c r="C947" t="s">
        <v>1052</v>
      </c>
      <c r="H947">
        <v>25</v>
      </c>
      <c r="I947" t="s">
        <v>82</v>
      </c>
      <c r="J947">
        <v>2.5000000000000001E-5</v>
      </c>
      <c r="K947" t="s">
        <v>252</v>
      </c>
      <c r="O947">
        <v>75</v>
      </c>
      <c r="P947" t="s">
        <v>1176</v>
      </c>
      <c r="T947">
        <v>36</v>
      </c>
      <c r="V947">
        <v>50</v>
      </c>
      <c r="W947" t="s">
        <v>1057</v>
      </c>
      <c r="X947" t="s">
        <v>280</v>
      </c>
      <c r="Y947">
        <v>1440</v>
      </c>
      <c r="AB947">
        <v>0.5</v>
      </c>
      <c r="AC947" t="s">
        <v>85</v>
      </c>
      <c r="AI947">
        <v>3</v>
      </c>
      <c r="AV947" t="s">
        <v>256</v>
      </c>
    </row>
    <row r="948" spans="1:53" x14ac:dyDescent="0.3">
      <c r="A948" t="s">
        <v>1175</v>
      </c>
      <c r="C948" t="s">
        <v>1052</v>
      </c>
      <c r="H948">
        <v>25</v>
      </c>
      <c r="I948" t="s">
        <v>82</v>
      </c>
      <c r="J948">
        <v>2.5000000000000001E-5</v>
      </c>
      <c r="K948" t="s">
        <v>252</v>
      </c>
      <c r="O948">
        <v>120</v>
      </c>
      <c r="P948" t="s">
        <v>1176</v>
      </c>
      <c r="T948">
        <v>54</v>
      </c>
      <c r="V948">
        <v>50</v>
      </c>
      <c r="W948" t="s">
        <v>1057</v>
      </c>
      <c r="X948" t="s">
        <v>280</v>
      </c>
      <c r="Y948">
        <v>1440</v>
      </c>
      <c r="AB948">
        <v>0.9</v>
      </c>
      <c r="AC948" t="s">
        <v>85</v>
      </c>
      <c r="AI948">
        <v>3</v>
      </c>
      <c r="AV948" t="s">
        <v>256</v>
      </c>
    </row>
    <row r="949" spans="1:53" x14ac:dyDescent="0.3">
      <c r="A949" t="s">
        <v>1175</v>
      </c>
      <c r="C949" t="s">
        <v>1052</v>
      </c>
      <c r="H949">
        <v>25</v>
      </c>
      <c r="I949" t="s">
        <v>82</v>
      </c>
      <c r="J949">
        <v>2.5000000000000001E-5</v>
      </c>
      <c r="K949" t="s">
        <v>252</v>
      </c>
      <c r="O949">
        <v>70</v>
      </c>
      <c r="P949" t="s">
        <v>1176</v>
      </c>
      <c r="T949">
        <v>75</v>
      </c>
      <c r="V949">
        <v>50</v>
      </c>
      <c r="W949" t="s">
        <v>1057</v>
      </c>
      <c r="X949" t="s">
        <v>280</v>
      </c>
      <c r="Y949">
        <v>1440</v>
      </c>
      <c r="AA949" t="s">
        <v>184</v>
      </c>
      <c r="AB949">
        <v>7</v>
      </c>
      <c r="AC949" t="s">
        <v>85</v>
      </c>
      <c r="AI949">
        <v>3</v>
      </c>
      <c r="AV949" t="s">
        <v>256</v>
      </c>
      <c r="AZ949">
        <v>0</v>
      </c>
      <c r="BA949">
        <v>7</v>
      </c>
    </row>
    <row r="950" spans="1:53" x14ac:dyDescent="0.3">
      <c r="A950" t="s">
        <v>1175</v>
      </c>
      <c r="C950" t="s">
        <v>1052</v>
      </c>
      <c r="H950">
        <v>25</v>
      </c>
      <c r="I950" t="s">
        <v>82</v>
      </c>
      <c r="J950">
        <v>2.5000000000000001E-5</v>
      </c>
      <c r="K950" t="s">
        <v>252</v>
      </c>
      <c r="O950">
        <v>0</v>
      </c>
      <c r="T950">
        <v>54</v>
      </c>
      <c r="V950">
        <v>50</v>
      </c>
      <c r="W950" t="s">
        <v>1057</v>
      </c>
      <c r="X950" t="s">
        <v>255</v>
      </c>
      <c r="Y950">
        <v>60</v>
      </c>
      <c r="AB950">
        <v>0.8</v>
      </c>
      <c r="AC950" t="s">
        <v>85</v>
      </c>
      <c r="AI950">
        <v>3</v>
      </c>
      <c r="AV950" t="s">
        <v>256</v>
      </c>
    </row>
    <row r="951" spans="1:53" x14ac:dyDescent="0.3">
      <c r="A951" t="s">
        <v>1175</v>
      </c>
      <c r="C951" t="s">
        <v>1052</v>
      </c>
      <c r="H951">
        <v>25</v>
      </c>
      <c r="I951" t="s">
        <v>82</v>
      </c>
      <c r="J951">
        <v>2.5000000000000001E-5</v>
      </c>
      <c r="K951" t="s">
        <v>252</v>
      </c>
      <c r="O951">
        <v>0</v>
      </c>
      <c r="T951">
        <v>54</v>
      </c>
      <c r="V951">
        <v>50</v>
      </c>
      <c r="W951" t="s">
        <v>1057</v>
      </c>
      <c r="X951" t="s">
        <v>255</v>
      </c>
      <c r="Y951">
        <v>60</v>
      </c>
      <c r="AB951">
        <v>1</v>
      </c>
      <c r="AC951" t="s">
        <v>85</v>
      </c>
      <c r="AI951">
        <v>3</v>
      </c>
      <c r="AV951" t="s">
        <v>256</v>
      </c>
    </row>
    <row r="952" spans="1:53" x14ac:dyDescent="0.3">
      <c r="A952" t="s">
        <v>1175</v>
      </c>
      <c r="C952" t="s">
        <v>1052</v>
      </c>
      <c r="H952">
        <v>25</v>
      </c>
      <c r="I952" t="s">
        <v>82</v>
      </c>
      <c r="J952">
        <v>2.5000000000000001E-5</v>
      </c>
      <c r="K952" t="s">
        <v>252</v>
      </c>
      <c r="O952">
        <v>0</v>
      </c>
      <c r="T952">
        <v>54</v>
      </c>
      <c r="V952">
        <v>50</v>
      </c>
      <c r="W952" t="s">
        <v>1057</v>
      </c>
      <c r="X952" t="s">
        <v>255</v>
      </c>
      <c r="Y952">
        <v>60</v>
      </c>
      <c r="AB952">
        <v>1.1000000000000001</v>
      </c>
      <c r="AC952" t="s">
        <v>85</v>
      </c>
      <c r="AI952">
        <v>3</v>
      </c>
      <c r="AV952" t="s">
        <v>256</v>
      </c>
    </row>
    <row r="953" spans="1:53" x14ac:dyDescent="0.3">
      <c r="A953" t="s">
        <v>1175</v>
      </c>
      <c r="C953" t="s">
        <v>1052</v>
      </c>
      <c r="H953">
        <v>25</v>
      </c>
      <c r="I953" t="s">
        <v>82</v>
      </c>
      <c r="J953">
        <v>2.5000000000000001E-5</v>
      </c>
      <c r="K953" t="s">
        <v>252</v>
      </c>
      <c r="O953">
        <v>0</v>
      </c>
      <c r="T953">
        <v>54</v>
      </c>
      <c r="V953">
        <v>50</v>
      </c>
      <c r="W953" t="s">
        <v>1057</v>
      </c>
      <c r="X953" t="s">
        <v>255</v>
      </c>
      <c r="Y953">
        <v>60</v>
      </c>
      <c r="AB953">
        <v>1.1000000000000001</v>
      </c>
      <c r="AC953" t="s">
        <v>85</v>
      </c>
      <c r="AI953">
        <v>3</v>
      </c>
      <c r="AV953" t="s">
        <v>256</v>
      </c>
    </row>
    <row r="954" spans="1:53" x14ac:dyDescent="0.3">
      <c r="A954" t="s">
        <v>1175</v>
      </c>
      <c r="C954" t="s">
        <v>1052</v>
      </c>
      <c r="H954">
        <v>25</v>
      </c>
      <c r="I954" t="s">
        <v>82</v>
      </c>
      <c r="J954">
        <v>2.5000000000000001E-5</v>
      </c>
      <c r="K954" t="s">
        <v>252</v>
      </c>
      <c r="O954">
        <v>0</v>
      </c>
      <c r="T954">
        <v>36</v>
      </c>
      <c r="V954">
        <v>50</v>
      </c>
      <c r="W954" t="s">
        <v>1057</v>
      </c>
      <c r="X954" t="s">
        <v>255</v>
      </c>
      <c r="Y954">
        <v>30</v>
      </c>
      <c r="AB954">
        <v>3.5</v>
      </c>
      <c r="AC954" t="s">
        <v>85</v>
      </c>
      <c r="AI954">
        <v>3</v>
      </c>
      <c r="AV954" t="s">
        <v>256</v>
      </c>
    </row>
    <row r="955" spans="1:53" x14ac:dyDescent="0.3">
      <c r="A955" t="s">
        <v>1177</v>
      </c>
      <c r="C955" t="s">
        <v>1052</v>
      </c>
      <c r="H955">
        <v>100</v>
      </c>
      <c r="I955" t="s">
        <v>82</v>
      </c>
      <c r="J955">
        <v>9.9999999999999991E-5</v>
      </c>
      <c r="K955" t="s">
        <v>252</v>
      </c>
      <c r="O955">
        <v>200</v>
      </c>
      <c r="P955" t="s">
        <v>1056</v>
      </c>
      <c r="T955">
        <v>30</v>
      </c>
      <c r="V955">
        <v>50</v>
      </c>
      <c r="W955" t="s">
        <v>1057</v>
      </c>
      <c r="X955" t="s">
        <v>1058</v>
      </c>
      <c r="Y955">
        <v>0</v>
      </c>
      <c r="AB955">
        <v>1.36986301369874E-2</v>
      </c>
      <c r="AC955" t="s">
        <v>85</v>
      </c>
      <c r="AE955" t="s">
        <v>371</v>
      </c>
      <c r="AV955" t="s">
        <v>256</v>
      </c>
    </row>
    <row r="956" spans="1:53" x14ac:dyDescent="0.3">
      <c r="A956" t="s">
        <v>1177</v>
      </c>
      <c r="C956" t="s">
        <v>1052</v>
      </c>
      <c r="H956">
        <v>100</v>
      </c>
      <c r="I956" t="s">
        <v>82</v>
      </c>
      <c r="J956">
        <v>9.9999999999999991E-5</v>
      </c>
      <c r="K956" t="s">
        <v>252</v>
      </c>
      <c r="O956">
        <v>200</v>
      </c>
      <c r="P956" t="s">
        <v>1056</v>
      </c>
      <c r="T956">
        <v>30</v>
      </c>
      <c r="V956">
        <v>50</v>
      </c>
      <c r="W956" t="s">
        <v>1057</v>
      </c>
      <c r="X956" t="s">
        <v>1058</v>
      </c>
      <c r="Y956">
        <v>58.932384341637011</v>
      </c>
      <c r="AB956">
        <v>0.289353093160435</v>
      </c>
      <c r="AC956" t="s">
        <v>85</v>
      </c>
      <c r="AE956" t="s">
        <v>371</v>
      </c>
      <c r="AV956" t="s">
        <v>256</v>
      </c>
    </row>
    <row r="957" spans="1:53" x14ac:dyDescent="0.3">
      <c r="A957" t="s">
        <v>1177</v>
      </c>
      <c r="C957" t="s">
        <v>1052</v>
      </c>
      <c r="H957">
        <v>100</v>
      </c>
      <c r="I957" t="s">
        <v>82</v>
      </c>
      <c r="J957">
        <v>9.9999999999999991E-5</v>
      </c>
      <c r="K957" t="s">
        <v>252</v>
      </c>
      <c r="O957">
        <v>200</v>
      </c>
      <c r="P957" t="s">
        <v>1056</v>
      </c>
      <c r="T957">
        <v>30</v>
      </c>
      <c r="V957">
        <v>50</v>
      </c>
      <c r="W957" t="s">
        <v>1057</v>
      </c>
      <c r="X957" t="s">
        <v>1058</v>
      </c>
      <c r="Y957">
        <v>119.5729537366548</v>
      </c>
      <c r="AB957">
        <v>1.1540974016477299</v>
      </c>
      <c r="AC957" t="s">
        <v>85</v>
      </c>
      <c r="AE957" t="s">
        <v>371</v>
      </c>
      <c r="AV957" t="s">
        <v>256</v>
      </c>
    </row>
    <row r="958" spans="1:53" x14ac:dyDescent="0.3">
      <c r="A958" t="s">
        <v>1177</v>
      </c>
      <c r="C958" t="s">
        <v>1052</v>
      </c>
      <c r="H958">
        <v>100</v>
      </c>
      <c r="I958" t="s">
        <v>82</v>
      </c>
      <c r="J958">
        <v>9.9999999999999991E-5</v>
      </c>
      <c r="K958" t="s">
        <v>252</v>
      </c>
      <c r="O958">
        <v>200</v>
      </c>
      <c r="P958" t="s">
        <v>1056</v>
      </c>
      <c r="T958">
        <v>30</v>
      </c>
      <c r="V958">
        <v>50</v>
      </c>
      <c r="W958" t="s">
        <v>1057</v>
      </c>
      <c r="X958" t="s">
        <v>1058</v>
      </c>
      <c r="Y958">
        <v>239.14590747330959</v>
      </c>
      <c r="AB958">
        <v>1.5684687758982101</v>
      </c>
      <c r="AC958" t="s">
        <v>85</v>
      </c>
      <c r="AE958" t="s">
        <v>371</v>
      </c>
      <c r="AV958" t="s">
        <v>256</v>
      </c>
    </row>
    <row r="959" spans="1:53" x14ac:dyDescent="0.3">
      <c r="A959" t="s">
        <v>1177</v>
      </c>
      <c r="C959" t="s">
        <v>1052</v>
      </c>
      <c r="H959">
        <v>100</v>
      </c>
      <c r="I959" t="s">
        <v>82</v>
      </c>
      <c r="J959">
        <v>9.9999999999999991E-5</v>
      </c>
      <c r="K959" t="s">
        <v>252</v>
      </c>
      <c r="O959">
        <v>200</v>
      </c>
      <c r="P959" t="s">
        <v>1056</v>
      </c>
      <c r="T959">
        <v>30</v>
      </c>
      <c r="V959">
        <v>50</v>
      </c>
      <c r="W959" t="s">
        <v>1057</v>
      </c>
      <c r="X959" t="s">
        <v>1058</v>
      </c>
      <c r="Y959">
        <v>358.71886120996442</v>
      </c>
      <c r="AB959">
        <v>1.51708672549115</v>
      </c>
      <c r="AC959" t="s">
        <v>85</v>
      </c>
      <c r="AE959" t="s">
        <v>371</v>
      </c>
      <c r="AV959" t="s">
        <v>256</v>
      </c>
    </row>
    <row r="960" spans="1:53" x14ac:dyDescent="0.3">
      <c r="A960" t="s">
        <v>1177</v>
      </c>
      <c r="C960" t="s">
        <v>1052</v>
      </c>
      <c r="H960">
        <v>100</v>
      </c>
      <c r="I960" t="s">
        <v>82</v>
      </c>
      <c r="J960">
        <v>9.9999999999999991E-5</v>
      </c>
      <c r="K960" t="s">
        <v>252</v>
      </c>
      <c r="O960">
        <v>200</v>
      </c>
      <c r="P960" t="s">
        <v>1056</v>
      </c>
      <c r="T960">
        <v>30</v>
      </c>
      <c r="V960">
        <v>50</v>
      </c>
      <c r="W960" t="s">
        <v>1057</v>
      </c>
      <c r="X960" t="s">
        <v>1058</v>
      </c>
      <c r="Y960">
        <v>480.85409252669041</v>
      </c>
      <c r="AB960">
        <v>1.73975040218398</v>
      </c>
      <c r="AC960" t="s">
        <v>85</v>
      </c>
      <c r="AE960" t="s">
        <v>371</v>
      </c>
      <c r="AV960" t="s">
        <v>256</v>
      </c>
    </row>
    <row r="961" spans="1:48" x14ac:dyDescent="0.3">
      <c r="A961" t="s">
        <v>1177</v>
      </c>
      <c r="C961" t="s">
        <v>1052</v>
      </c>
      <c r="H961">
        <v>100</v>
      </c>
      <c r="I961" t="s">
        <v>82</v>
      </c>
      <c r="J961">
        <v>9.9999999999999991E-5</v>
      </c>
      <c r="K961" t="s">
        <v>252</v>
      </c>
      <c r="O961">
        <v>200</v>
      </c>
      <c r="P961" t="s">
        <v>1056</v>
      </c>
      <c r="T961">
        <v>30</v>
      </c>
      <c r="V961">
        <v>50</v>
      </c>
      <c r="W961" t="s">
        <v>1057</v>
      </c>
      <c r="X961" t="s">
        <v>1058</v>
      </c>
      <c r="Y961">
        <v>0</v>
      </c>
      <c r="AB961">
        <v>1.11022302462515E-15</v>
      </c>
      <c r="AC961" t="s">
        <v>85</v>
      </c>
      <c r="AE961" t="s">
        <v>371</v>
      </c>
      <c r="AV961" t="s">
        <v>256</v>
      </c>
    </row>
    <row r="962" spans="1:48" x14ac:dyDescent="0.3">
      <c r="A962" t="s">
        <v>1177</v>
      </c>
      <c r="C962" t="s">
        <v>1052</v>
      </c>
      <c r="H962">
        <v>100</v>
      </c>
      <c r="I962" t="s">
        <v>82</v>
      </c>
      <c r="J962">
        <v>9.9999999999999991E-5</v>
      </c>
      <c r="K962" t="s">
        <v>252</v>
      </c>
      <c r="O962">
        <v>200</v>
      </c>
      <c r="P962" t="s">
        <v>1056</v>
      </c>
      <c r="T962">
        <v>30</v>
      </c>
      <c r="V962">
        <v>50</v>
      </c>
      <c r="W962" t="s">
        <v>1057</v>
      </c>
      <c r="X962" t="s">
        <v>1058</v>
      </c>
      <c r="Y962">
        <v>58.932384341637011</v>
      </c>
      <c r="AB962">
        <v>1.12496953151659</v>
      </c>
      <c r="AC962" t="s">
        <v>85</v>
      </c>
      <c r="AE962" t="s">
        <v>371</v>
      </c>
      <c r="AV962" t="s">
        <v>256</v>
      </c>
    </row>
    <row r="963" spans="1:48" x14ac:dyDescent="0.3">
      <c r="A963" t="s">
        <v>1177</v>
      </c>
      <c r="C963" t="s">
        <v>1052</v>
      </c>
      <c r="H963">
        <v>100</v>
      </c>
      <c r="I963" t="s">
        <v>82</v>
      </c>
      <c r="J963">
        <v>9.9999999999999991E-5</v>
      </c>
      <c r="K963" t="s">
        <v>252</v>
      </c>
      <c r="O963">
        <v>200</v>
      </c>
      <c r="P963" t="s">
        <v>1056</v>
      </c>
      <c r="T963">
        <v>30</v>
      </c>
      <c r="V963">
        <v>50</v>
      </c>
      <c r="W963" t="s">
        <v>1057</v>
      </c>
      <c r="X963" t="s">
        <v>1058</v>
      </c>
      <c r="Y963">
        <v>118.7188612099644</v>
      </c>
      <c r="AB963">
        <v>1.4006483693267699</v>
      </c>
      <c r="AC963" t="s">
        <v>85</v>
      </c>
      <c r="AE963" t="s">
        <v>371</v>
      </c>
      <c r="AV963" t="s">
        <v>256</v>
      </c>
    </row>
    <row r="964" spans="1:48" x14ac:dyDescent="0.3">
      <c r="A964" t="s">
        <v>1177</v>
      </c>
      <c r="C964" t="s">
        <v>1052</v>
      </c>
      <c r="H964">
        <v>100</v>
      </c>
      <c r="I964" t="s">
        <v>82</v>
      </c>
      <c r="J964">
        <v>9.9999999999999991E-5</v>
      </c>
      <c r="K964" t="s">
        <v>252</v>
      </c>
      <c r="O964">
        <v>200</v>
      </c>
      <c r="P964" t="s">
        <v>1056</v>
      </c>
      <c r="T964">
        <v>30</v>
      </c>
      <c r="V964">
        <v>50</v>
      </c>
      <c r="W964" t="s">
        <v>1057</v>
      </c>
      <c r="X964" t="s">
        <v>1058</v>
      </c>
      <c r="Y964">
        <v>239.14590747330959</v>
      </c>
      <c r="AB964">
        <v>1.5410715156242301</v>
      </c>
      <c r="AC964" t="s">
        <v>85</v>
      </c>
      <c r="AE964" t="s">
        <v>371</v>
      </c>
      <c r="AV964" t="s">
        <v>256</v>
      </c>
    </row>
    <row r="965" spans="1:48" x14ac:dyDescent="0.3">
      <c r="A965" t="s">
        <v>1177</v>
      </c>
      <c r="C965" t="s">
        <v>1052</v>
      </c>
      <c r="H965">
        <v>100</v>
      </c>
      <c r="I965" t="s">
        <v>82</v>
      </c>
      <c r="J965">
        <v>9.9999999999999991E-5</v>
      </c>
      <c r="K965" t="s">
        <v>252</v>
      </c>
      <c r="O965">
        <v>200</v>
      </c>
      <c r="P965" t="s">
        <v>1056</v>
      </c>
      <c r="T965">
        <v>30</v>
      </c>
      <c r="V965">
        <v>50</v>
      </c>
      <c r="W965" t="s">
        <v>1057</v>
      </c>
      <c r="X965" t="s">
        <v>1058</v>
      </c>
      <c r="Y965">
        <v>360.42704626334518</v>
      </c>
      <c r="AB965">
        <v>1.51713547506459</v>
      </c>
      <c r="AC965" t="s">
        <v>85</v>
      </c>
      <c r="AE965" t="s">
        <v>371</v>
      </c>
      <c r="AV965" t="s">
        <v>256</v>
      </c>
    </row>
    <row r="966" spans="1:48" x14ac:dyDescent="0.3">
      <c r="A966" t="s">
        <v>1177</v>
      </c>
      <c r="C966" t="s">
        <v>1052</v>
      </c>
      <c r="H966">
        <v>100</v>
      </c>
      <c r="I966" t="s">
        <v>82</v>
      </c>
      <c r="J966">
        <v>9.9999999999999991E-5</v>
      </c>
      <c r="K966" t="s">
        <v>252</v>
      </c>
      <c r="O966">
        <v>200</v>
      </c>
      <c r="P966" t="s">
        <v>1056</v>
      </c>
      <c r="T966">
        <v>30</v>
      </c>
      <c r="V966">
        <v>50</v>
      </c>
      <c r="W966" t="s">
        <v>1057</v>
      </c>
      <c r="X966" t="s">
        <v>1058</v>
      </c>
      <c r="Y966">
        <v>480.85409252669041</v>
      </c>
      <c r="AB966">
        <v>1.73975040218398</v>
      </c>
      <c r="AC966" t="s">
        <v>85</v>
      </c>
      <c r="AE966" t="s">
        <v>371</v>
      </c>
      <c r="AV966" t="s">
        <v>256</v>
      </c>
    </row>
    <row r="967" spans="1:48" hidden="1" x14ac:dyDescent="0.3">
      <c r="A967" t="s">
        <v>1178</v>
      </c>
      <c r="C967" t="s">
        <v>1052</v>
      </c>
      <c r="L967" t="s">
        <v>58</v>
      </c>
      <c r="O967">
        <v>1360</v>
      </c>
      <c r="P967" t="s">
        <v>1056</v>
      </c>
      <c r="T967">
        <v>24.3</v>
      </c>
      <c r="V967">
        <v>70</v>
      </c>
      <c r="W967" t="s">
        <v>150</v>
      </c>
      <c r="Y967">
        <v>0.05</v>
      </c>
      <c r="AB967">
        <v>99.999250000000004</v>
      </c>
      <c r="AC967" t="s">
        <v>1070</v>
      </c>
      <c r="AT967" t="s">
        <v>150</v>
      </c>
    </row>
    <row r="968" spans="1:48" hidden="1" x14ac:dyDescent="0.3">
      <c r="A968" t="s">
        <v>1178</v>
      </c>
      <c r="C968" t="s">
        <v>1052</v>
      </c>
      <c r="L968" t="s">
        <v>58</v>
      </c>
      <c r="O968">
        <v>1360</v>
      </c>
      <c r="P968" t="s">
        <v>1056</v>
      </c>
      <c r="T968">
        <v>24.3</v>
      </c>
      <c r="V968">
        <v>70</v>
      </c>
      <c r="W968" t="s">
        <v>150</v>
      </c>
      <c r="Y968">
        <v>0.05</v>
      </c>
      <c r="AB968">
        <v>62</v>
      </c>
      <c r="AC968" t="s">
        <v>1070</v>
      </c>
      <c r="AT968" t="s">
        <v>150</v>
      </c>
    </row>
    <row r="969" spans="1:48" hidden="1" x14ac:dyDescent="0.3">
      <c r="A969" t="s">
        <v>1178</v>
      </c>
      <c r="C969" t="s">
        <v>1052</v>
      </c>
      <c r="L969" t="s">
        <v>58</v>
      </c>
      <c r="O969">
        <v>1360</v>
      </c>
      <c r="P969" t="s">
        <v>1056</v>
      </c>
      <c r="T969">
        <v>24.3</v>
      </c>
      <c r="V969">
        <v>70</v>
      </c>
      <c r="W969" t="s">
        <v>150</v>
      </c>
      <c r="Y969">
        <v>8.3333333333333329E-2</v>
      </c>
      <c r="AB969">
        <v>99.999759999999995</v>
      </c>
      <c r="AC969" t="s">
        <v>1070</v>
      </c>
      <c r="AT969" t="s">
        <v>150</v>
      </c>
    </row>
    <row r="970" spans="1:48" hidden="1" x14ac:dyDescent="0.3">
      <c r="A970" t="s">
        <v>1178</v>
      </c>
      <c r="C970" t="s">
        <v>1052</v>
      </c>
      <c r="L970" t="s">
        <v>58</v>
      </c>
      <c r="O970">
        <v>1360</v>
      </c>
      <c r="P970" t="s">
        <v>1056</v>
      </c>
      <c r="T970">
        <v>24.3</v>
      </c>
      <c r="V970">
        <v>70</v>
      </c>
      <c r="W970" t="s">
        <v>150</v>
      </c>
      <c r="Y970">
        <v>8.3333333333333329E-2</v>
      </c>
      <c r="AB970">
        <v>63</v>
      </c>
      <c r="AC970" t="s">
        <v>1070</v>
      </c>
      <c r="AT970" t="s">
        <v>150</v>
      </c>
    </row>
    <row r="971" spans="1:48" hidden="1" x14ac:dyDescent="0.3">
      <c r="A971" t="s">
        <v>1178</v>
      </c>
      <c r="C971" t="s">
        <v>1052</v>
      </c>
      <c r="L971" t="s">
        <v>58</v>
      </c>
      <c r="O971">
        <v>1360</v>
      </c>
      <c r="P971" t="s">
        <v>1056</v>
      </c>
      <c r="T971">
        <v>24.3</v>
      </c>
      <c r="V971">
        <v>70</v>
      </c>
      <c r="W971" t="s">
        <v>150</v>
      </c>
      <c r="Y971">
        <v>0.1166666666666667</v>
      </c>
      <c r="AB971">
        <v>99.999960000000002</v>
      </c>
      <c r="AC971" t="s">
        <v>1070</v>
      </c>
      <c r="AT971" t="s">
        <v>150</v>
      </c>
    </row>
    <row r="972" spans="1:48" hidden="1" x14ac:dyDescent="0.3">
      <c r="A972" t="s">
        <v>1178</v>
      </c>
      <c r="C972" t="s">
        <v>1052</v>
      </c>
      <c r="L972" t="s">
        <v>58</v>
      </c>
      <c r="O972">
        <v>1360</v>
      </c>
      <c r="P972" t="s">
        <v>1056</v>
      </c>
      <c r="T972">
        <v>24.3</v>
      </c>
      <c r="V972">
        <v>70</v>
      </c>
      <c r="W972" t="s">
        <v>150</v>
      </c>
      <c r="Y972">
        <v>0.1166666666666667</v>
      </c>
      <c r="AB972">
        <v>57</v>
      </c>
      <c r="AC972" t="s">
        <v>1070</v>
      </c>
      <c r="AT972" t="s">
        <v>150</v>
      </c>
    </row>
    <row r="973" spans="1:48" hidden="1" x14ac:dyDescent="0.3">
      <c r="A973" t="s">
        <v>1179</v>
      </c>
      <c r="C973" t="s">
        <v>1052</v>
      </c>
      <c r="L973" t="s">
        <v>58</v>
      </c>
      <c r="N973" t="s">
        <v>1180</v>
      </c>
      <c r="O973">
        <v>45.9090909090908</v>
      </c>
      <c r="P973" t="s">
        <v>1181</v>
      </c>
      <c r="T973">
        <v>25</v>
      </c>
      <c r="V973">
        <v>50</v>
      </c>
      <c r="W973" t="s">
        <v>1057</v>
      </c>
      <c r="X973" t="s">
        <v>1058</v>
      </c>
      <c r="Y973">
        <v>0.38257575757575663</v>
      </c>
      <c r="AB973">
        <v>0.70186335403726507</v>
      </c>
      <c r="AC973" t="s">
        <v>85</v>
      </c>
      <c r="AD973">
        <v>0.26086956521739058</v>
      </c>
      <c r="AE973" t="s">
        <v>63</v>
      </c>
      <c r="AI973">
        <v>3</v>
      </c>
    </row>
    <row r="974" spans="1:48" hidden="1" x14ac:dyDescent="0.3">
      <c r="A974" t="s">
        <v>1179</v>
      </c>
      <c r="C974" t="s">
        <v>1052</v>
      </c>
      <c r="L974" t="s">
        <v>58</v>
      </c>
      <c r="N974" t="s">
        <v>1180</v>
      </c>
      <c r="O974">
        <v>88.636363636363527</v>
      </c>
      <c r="P974" t="s">
        <v>1181</v>
      </c>
      <c r="T974">
        <v>25</v>
      </c>
      <c r="V974">
        <v>50</v>
      </c>
      <c r="W974" t="s">
        <v>1057</v>
      </c>
      <c r="X974" t="s">
        <v>1058</v>
      </c>
      <c r="Y974">
        <v>0.73863636363636276</v>
      </c>
      <c r="AB974">
        <v>1.1987577639751481</v>
      </c>
      <c r="AC974" t="s">
        <v>85</v>
      </c>
      <c r="AD974">
        <v>0.28463203074259419</v>
      </c>
      <c r="AE974" t="s">
        <v>63</v>
      </c>
      <c r="AI974">
        <v>3</v>
      </c>
    </row>
    <row r="975" spans="1:48" hidden="1" x14ac:dyDescent="0.3">
      <c r="A975" t="s">
        <v>1179</v>
      </c>
      <c r="C975" t="s">
        <v>1052</v>
      </c>
      <c r="L975" t="s">
        <v>58</v>
      </c>
      <c r="N975" t="s">
        <v>1180</v>
      </c>
      <c r="O975">
        <v>130.45454545454501</v>
      </c>
      <c r="P975" t="s">
        <v>1181</v>
      </c>
      <c r="T975">
        <v>25</v>
      </c>
      <c r="V975">
        <v>50</v>
      </c>
      <c r="W975" t="s">
        <v>1057</v>
      </c>
      <c r="X975" t="s">
        <v>1058</v>
      </c>
      <c r="Y975">
        <v>1.0871212121212079</v>
      </c>
      <c r="AB975">
        <v>2.00621118012422</v>
      </c>
      <c r="AC975" t="s">
        <v>85</v>
      </c>
      <c r="AD975">
        <v>0.44720496894410178</v>
      </c>
      <c r="AE975" t="s">
        <v>63</v>
      </c>
      <c r="AI975">
        <v>3</v>
      </c>
    </row>
    <row r="976" spans="1:48" hidden="1" x14ac:dyDescent="0.3">
      <c r="A976" t="s">
        <v>1179</v>
      </c>
      <c r="C976" t="s">
        <v>1052</v>
      </c>
      <c r="L976" t="s">
        <v>58</v>
      </c>
      <c r="N976" t="s">
        <v>1180</v>
      </c>
      <c r="O976">
        <v>154.0909090909087</v>
      </c>
      <c r="P976" t="s">
        <v>1181</v>
      </c>
      <c r="T976">
        <v>25</v>
      </c>
      <c r="V976">
        <v>50</v>
      </c>
      <c r="W976" t="s">
        <v>1057</v>
      </c>
      <c r="X976" t="s">
        <v>1058</v>
      </c>
      <c r="Y976">
        <v>1.2840909090909061</v>
      </c>
      <c r="AB976">
        <v>2.6273291925465769</v>
      </c>
      <c r="AC976" t="s">
        <v>85</v>
      </c>
      <c r="AD976">
        <v>0.21516159100234861</v>
      </c>
      <c r="AE976" t="s">
        <v>63</v>
      </c>
      <c r="AI976">
        <v>3</v>
      </c>
    </row>
    <row r="977" spans="1:46" hidden="1" x14ac:dyDescent="0.3">
      <c r="A977" t="s">
        <v>1179</v>
      </c>
      <c r="C977" t="s">
        <v>1052</v>
      </c>
      <c r="L977" t="s">
        <v>58</v>
      </c>
      <c r="N977" t="s">
        <v>1180</v>
      </c>
      <c r="O977">
        <v>175.90909090909031</v>
      </c>
      <c r="P977" t="s">
        <v>1181</v>
      </c>
      <c r="T977">
        <v>25</v>
      </c>
      <c r="V977">
        <v>50</v>
      </c>
      <c r="W977" t="s">
        <v>1057</v>
      </c>
      <c r="X977" t="s">
        <v>1058</v>
      </c>
      <c r="Y977">
        <v>1.4659090909090859</v>
      </c>
      <c r="AB977">
        <v>2.850931677018631</v>
      </c>
      <c r="AC977" t="s">
        <v>85</v>
      </c>
      <c r="AD977">
        <v>0.77555233500245835</v>
      </c>
      <c r="AE977" t="s">
        <v>63</v>
      </c>
      <c r="AI977">
        <v>3</v>
      </c>
    </row>
    <row r="978" spans="1:46" hidden="1" x14ac:dyDescent="0.3">
      <c r="A978" t="s">
        <v>1179</v>
      </c>
      <c r="C978" t="s">
        <v>1052</v>
      </c>
      <c r="L978" t="s">
        <v>58</v>
      </c>
      <c r="N978" t="s">
        <v>1180</v>
      </c>
      <c r="O978">
        <v>197.72727272727229</v>
      </c>
      <c r="P978" t="s">
        <v>1181</v>
      </c>
      <c r="T978">
        <v>25</v>
      </c>
      <c r="V978">
        <v>50</v>
      </c>
      <c r="W978" t="s">
        <v>1057</v>
      </c>
      <c r="X978" t="s">
        <v>1058</v>
      </c>
      <c r="Y978">
        <v>1.6477272727272689</v>
      </c>
      <c r="AB978">
        <v>3.447204968944094</v>
      </c>
      <c r="AC978" t="s">
        <v>85</v>
      </c>
      <c r="AD978">
        <v>0.39804894335434082</v>
      </c>
      <c r="AE978" t="s">
        <v>63</v>
      </c>
      <c r="AI978">
        <v>3</v>
      </c>
    </row>
    <row r="979" spans="1:46" hidden="1" x14ac:dyDescent="0.3">
      <c r="A979" t="s">
        <v>1179</v>
      </c>
      <c r="C979" t="s">
        <v>1052</v>
      </c>
      <c r="L979" t="s">
        <v>58</v>
      </c>
      <c r="N979" t="s">
        <v>1180</v>
      </c>
      <c r="O979">
        <v>220.45454545454501</v>
      </c>
      <c r="P979" t="s">
        <v>1181</v>
      </c>
      <c r="T979">
        <v>25</v>
      </c>
      <c r="V979">
        <v>50</v>
      </c>
      <c r="W979" t="s">
        <v>1057</v>
      </c>
      <c r="X979" t="s">
        <v>1058</v>
      </c>
      <c r="Y979">
        <v>1.837121212121209</v>
      </c>
      <c r="AB979">
        <v>3.4409937888198709</v>
      </c>
      <c r="AC979" t="s">
        <v>85</v>
      </c>
      <c r="AD979">
        <v>0.74043415476914476</v>
      </c>
      <c r="AE979" t="s">
        <v>63</v>
      </c>
      <c r="AI979">
        <v>3</v>
      </c>
    </row>
    <row r="980" spans="1:46" hidden="1" x14ac:dyDescent="0.3">
      <c r="A980" t="s">
        <v>1179</v>
      </c>
      <c r="C980" t="s">
        <v>1052</v>
      </c>
      <c r="L980" t="s">
        <v>58</v>
      </c>
      <c r="N980" t="s">
        <v>1180</v>
      </c>
      <c r="O980">
        <v>258.86363636363598</v>
      </c>
      <c r="P980" t="s">
        <v>1181</v>
      </c>
      <c r="T980">
        <v>25</v>
      </c>
      <c r="V980">
        <v>50</v>
      </c>
      <c r="W980" t="s">
        <v>1057</v>
      </c>
      <c r="X980" t="s">
        <v>1058</v>
      </c>
      <c r="Y980">
        <v>2.1571969696969671</v>
      </c>
      <c r="AB980">
        <v>4.8105590062111752</v>
      </c>
      <c r="AC980" t="s">
        <v>85</v>
      </c>
      <c r="AD980">
        <v>0.25034215234554852</v>
      </c>
      <c r="AE980" t="s">
        <v>63</v>
      </c>
      <c r="AI980">
        <v>2</v>
      </c>
    </row>
    <row r="981" spans="1:46" hidden="1" x14ac:dyDescent="0.3">
      <c r="A981" t="s">
        <v>1179</v>
      </c>
      <c r="C981" t="s">
        <v>1052</v>
      </c>
      <c r="L981" t="s">
        <v>58</v>
      </c>
      <c r="N981" t="s">
        <v>1180</v>
      </c>
      <c r="O981">
        <v>307.27272727272702</v>
      </c>
      <c r="P981" t="s">
        <v>1181</v>
      </c>
      <c r="T981">
        <v>25</v>
      </c>
      <c r="V981">
        <v>50</v>
      </c>
      <c r="W981" t="s">
        <v>1057</v>
      </c>
      <c r="X981" t="s">
        <v>1058</v>
      </c>
      <c r="Y981">
        <v>2.5606060606060579</v>
      </c>
      <c r="AB981">
        <v>4.8136645962732869</v>
      </c>
      <c r="AC981" t="s">
        <v>85</v>
      </c>
      <c r="AD981">
        <v>0.59578784586931854</v>
      </c>
      <c r="AE981" t="s">
        <v>63</v>
      </c>
      <c r="AI981">
        <v>3</v>
      </c>
    </row>
    <row r="982" spans="1:46" hidden="1" x14ac:dyDescent="0.3">
      <c r="A982" t="s">
        <v>1179</v>
      </c>
      <c r="C982" t="s">
        <v>1052</v>
      </c>
      <c r="L982" t="s">
        <v>58</v>
      </c>
      <c r="N982" t="s">
        <v>1180</v>
      </c>
      <c r="O982">
        <v>392.72727272727229</v>
      </c>
      <c r="P982" t="s">
        <v>1181</v>
      </c>
      <c r="T982">
        <v>25</v>
      </c>
      <c r="V982">
        <v>50</v>
      </c>
      <c r="W982" t="s">
        <v>1057</v>
      </c>
      <c r="X982" t="s">
        <v>1058</v>
      </c>
      <c r="Y982">
        <v>3.2727272727272689</v>
      </c>
      <c r="AB982">
        <v>5.6335403726708009</v>
      </c>
      <c r="AC982" t="s">
        <v>85</v>
      </c>
      <c r="AD982">
        <v>0.49381811702609979</v>
      </c>
      <c r="AE982" t="s">
        <v>63</v>
      </c>
      <c r="AI982">
        <v>3</v>
      </c>
    </row>
    <row r="983" spans="1:46" hidden="1" x14ac:dyDescent="0.3">
      <c r="A983" t="s">
        <v>1179</v>
      </c>
      <c r="C983" t="s">
        <v>1052</v>
      </c>
      <c r="L983" t="s">
        <v>58</v>
      </c>
      <c r="N983" t="s">
        <v>1180</v>
      </c>
      <c r="O983">
        <v>570.45454545454504</v>
      </c>
      <c r="P983" t="s">
        <v>1181</v>
      </c>
      <c r="T983">
        <v>25</v>
      </c>
      <c r="V983">
        <v>50</v>
      </c>
      <c r="W983" t="s">
        <v>1057</v>
      </c>
      <c r="X983" t="s">
        <v>1058</v>
      </c>
      <c r="Y983">
        <v>4.7537878787878753</v>
      </c>
      <c r="AB983">
        <v>5.8354037267080701</v>
      </c>
      <c r="AC983" t="s">
        <v>85</v>
      </c>
      <c r="AD983">
        <v>0.27669395785561107</v>
      </c>
      <c r="AE983" t="s">
        <v>63</v>
      </c>
      <c r="AI983">
        <v>2</v>
      </c>
    </row>
    <row r="984" spans="1:46" hidden="1" x14ac:dyDescent="0.3">
      <c r="A984" t="s">
        <v>1179</v>
      </c>
      <c r="C984" t="s">
        <v>1052</v>
      </c>
      <c r="L984" t="s">
        <v>58</v>
      </c>
      <c r="N984" t="s">
        <v>1180</v>
      </c>
      <c r="O984">
        <v>745.90909090909076</v>
      </c>
      <c r="P984" t="s">
        <v>1181</v>
      </c>
      <c r="T984">
        <v>25</v>
      </c>
      <c r="V984">
        <v>50</v>
      </c>
      <c r="W984" t="s">
        <v>1057</v>
      </c>
      <c r="X984" t="s">
        <v>1058</v>
      </c>
      <c r="Y984">
        <v>6.2159090909090899</v>
      </c>
      <c r="AB984">
        <v>6.1055900621117969</v>
      </c>
      <c r="AC984" t="s">
        <v>85</v>
      </c>
      <c r="AD984">
        <v>0.23273284466083011</v>
      </c>
      <c r="AE984" t="s">
        <v>63</v>
      </c>
      <c r="AI984">
        <v>3</v>
      </c>
    </row>
    <row r="985" spans="1:46" hidden="1" x14ac:dyDescent="0.3">
      <c r="A985" t="s">
        <v>1182</v>
      </c>
      <c r="C985" t="s">
        <v>1052</v>
      </c>
      <c r="D985" t="s">
        <v>81</v>
      </c>
      <c r="E985">
        <v>1300000</v>
      </c>
      <c r="L985" t="s">
        <v>58</v>
      </c>
      <c r="O985">
        <v>0.90382925089977484</v>
      </c>
      <c r="P985" t="s">
        <v>1181</v>
      </c>
      <c r="T985">
        <v>25</v>
      </c>
      <c r="V985">
        <v>56</v>
      </c>
      <c r="W985" t="s">
        <v>1183</v>
      </c>
      <c r="X985" t="s">
        <v>1058</v>
      </c>
      <c r="Y985">
        <v>1.882977606041198E-2</v>
      </c>
      <c r="AB985">
        <v>2.2239174779017899E-2</v>
      </c>
      <c r="AC985" t="s">
        <v>85</v>
      </c>
      <c r="AD985" t="s">
        <v>268</v>
      </c>
      <c r="AE985" t="s">
        <v>1184</v>
      </c>
      <c r="AI985" t="s">
        <v>1185</v>
      </c>
      <c r="AT985" t="s">
        <v>382</v>
      </c>
    </row>
    <row r="986" spans="1:46" hidden="1" x14ac:dyDescent="0.3">
      <c r="A986" t="s">
        <v>1182</v>
      </c>
      <c r="C986" t="s">
        <v>1052</v>
      </c>
      <c r="D986" t="s">
        <v>81</v>
      </c>
      <c r="E986">
        <v>1300000</v>
      </c>
      <c r="L986" t="s">
        <v>58</v>
      </c>
      <c r="O986">
        <v>54.959452063881699</v>
      </c>
      <c r="P986" t="s">
        <v>1181</v>
      </c>
      <c r="T986">
        <v>25</v>
      </c>
      <c r="V986">
        <v>56</v>
      </c>
      <c r="W986" t="s">
        <v>1183</v>
      </c>
      <c r="X986" t="s">
        <v>1058</v>
      </c>
      <c r="Y986">
        <v>1.1449885846642021</v>
      </c>
      <c r="AB986">
        <v>7.4611519262342801E-2</v>
      </c>
      <c r="AC986" t="s">
        <v>85</v>
      </c>
      <c r="AD986" t="s">
        <v>268</v>
      </c>
      <c r="AE986" t="s">
        <v>1184</v>
      </c>
      <c r="AI986" t="s">
        <v>1185</v>
      </c>
      <c r="AT986" t="s">
        <v>382</v>
      </c>
    </row>
    <row r="987" spans="1:46" hidden="1" x14ac:dyDescent="0.3">
      <c r="A987" t="s">
        <v>1182</v>
      </c>
      <c r="C987" t="s">
        <v>1052</v>
      </c>
      <c r="D987" t="s">
        <v>81</v>
      </c>
      <c r="E987">
        <v>1300000</v>
      </c>
      <c r="L987" t="s">
        <v>58</v>
      </c>
      <c r="O987">
        <v>148.087032952453</v>
      </c>
      <c r="P987" t="s">
        <v>1181</v>
      </c>
      <c r="T987">
        <v>25</v>
      </c>
      <c r="V987">
        <v>56</v>
      </c>
      <c r="W987" t="s">
        <v>1183</v>
      </c>
      <c r="X987" t="s">
        <v>1058</v>
      </c>
      <c r="Y987">
        <v>3.085146519842771</v>
      </c>
      <c r="AB987">
        <v>0.24184480671321201</v>
      </c>
      <c r="AC987" t="s">
        <v>85</v>
      </c>
      <c r="AD987" t="s">
        <v>268</v>
      </c>
      <c r="AE987" t="s">
        <v>1184</v>
      </c>
      <c r="AI987" t="s">
        <v>1185</v>
      </c>
      <c r="AT987" t="s">
        <v>382</v>
      </c>
    </row>
    <row r="988" spans="1:46" hidden="1" x14ac:dyDescent="0.3">
      <c r="A988" t="s">
        <v>1182</v>
      </c>
      <c r="C988" t="s">
        <v>1052</v>
      </c>
      <c r="D988" t="s">
        <v>81</v>
      </c>
      <c r="E988">
        <v>1300000</v>
      </c>
      <c r="L988" t="s">
        <v>58</v>
      </c>
      <c r="O988">
        <v>295.31169671138798</v>
      </c>
      <c r="P988" t="s">
        <v>1181</v>
      </c>
      <c r="T988">
        <v>25</v>
      </c>
      <c r="V988">
        <v>56</v>
      </c>
      <c r="W988" t="s">
        <v>1183</v>
      </c>
      <c r="X988" t="s">
        <v>1058</v>
      </c>
      <c r="Y988">
        <v>6.1523270148205826</v>
      </c>
      <c r="AB988">
        <v>0.41700525713527598</v>
      </c>
      <c r="AC988" t="s">
        <v>85</v>
      </c>
      <c r="AD988" t="s">
        <v>268</v>
      </c>
      <c r="AE988" t="s">
        <v>1184</v>
      </c>
      <c r="AI988" t="s">
        <v>1185</v>
      </c>
      <c r="AT988" t="s">
        <v>382</v>
      </c>
    </row>
    <row r="989" spans="1:46" hidden="1" x14ac:dyDescent="0.3">
      <c r="A989" t="s">
        <v>1182</v>
      </c>
      <c r="C989" t="s">
        <v>1052</v>
      </c>
      <c r="D989" t="s">
        <v>81</v>
      </c>
      <c r="E989">
        <v>1300000</v>
      </c>
      <c r="L989" t="s">
        <v>58</v>
      </c>
      <c r="O989">
        <v>440.71211794557098</v>
      </c>
      <c r="P989" t="s">
        <v>1181</v>
      </c>
      <c r="T989">
        <v>25</v>
      </c>
      <c r="V989">
        <v>56</v>
      </c>
      <c r="W989" t="s">
        <v>1183</v>
      </c>
      <c r="X989" t="s">
        <v>1058</v>
      </c>
      <c r="Y989">
        <v>9.1815024571993948</v>
      </c>
      <c r="AB989">
        <v>0.54775369409111296</v>
      </c>
      <c r="AC989" t="s">
        <v>85</v>
      </c>
      <c r="AD989" t="s">
        <v>268</v>
      </c>
      <c r="AE989" t="s">
        <v>1184</v>
      </c>
      <c r="AI989" t="s">
        <v>1185</v>
      </c>
      <c r="AT989" t="s">
        <v>382</v>
      </c>
    </row>
    <row r="990" spans="1:46" hidden="1" x14ac:dyDescent="0.3">
      <c r="A990" t="s">
        <v>1182</v>
      </c>
      <c r="C990" t="s">
        <v>1052</v>
      </c>
      <c r="D990" t="s">
        <v>81</v>
      </c>
      <c r="E990">
        <v>1300000</v>
      </c>
      <c r="L990" t="s">
        <v>58</v>
      </c>
      <c r="O990">
        <v>580.51543143335698</v>
      </c>
      <c r="P990" t="s">
        <v>1181</v>
      </c>
      <c r="T990">
        <v>25</v>
      </c>
      <c r="V990">
        <v>56</v>
      </c>
      <c r="W990" t="s">
        <v>1183</v>
      </c>
      <c r="X990" t="s">
        <v>1058</v>
      </c>
      <c r="Y990">
        <v>12.09407148819494</v>
      </c>
      <c r="AB990">
        <v>0.67860163518466299</v>
      </c>
      <c r="AC990" t="s">
        <v>85</v>
      </c>
      <c r="AD990" t="s">
        <v>268</v>
      </c>
      <c r="AE990" t="s">
        <v>1184</v>
      </c>
      <c r="AI990" t="s">
        <v>1185</v>
      </c>
      <c r="AT990" t="s">
        <v>382</v>
      </c>
    </row>
    <row r="991" spans="1:46" hidden="1" x14ac:dyDescent="0.3">
      <c r="A991" t="s">
        <v>1182</v>
      </c>
      <c r="C991" t="s">
        <v>1052</v>
      </c>
      <c r="D991" t="s">
        <v>81</v>
      </c>
      <c r="E991">
        <v>1300000</v>
      </c>
      <c r="L991" t="s">
        <v>58</v>
      </c>
      <c r="O991">
        <v>724.01698203950309</v>
      </c>
      <c r="P991" t="s">
        <v>1181</v>
      </c>
      <c r="T991">
        <v>25</v>
      </c>
      <c r="V991">
        <v>56</v>
      </c>
      <c r="W991" t="s">
        <v>1183</v>
      </c>
      <c r="X991" t="s">
        <v>1058</v>
      </c>
      <c r="Y991">
        <v>15.08368712582298</v>
      </c>
      <c r="AB991">
        <v>0.84493938539610891</v>
      </c>
      <c r="AC991" t="s">
        <v>85</v>
      </c>
      <c r="AD991" t="s">
        <v>268</v>
      </c>
      <c r="AE991" t="s">
        <v>1184</v>
      </c>
      <c r="AI991" t="s">
        <v>1185</v>
      </c>
      <c r="AT991" t="s">
        <v>382</v>
      </c>
    </row>
    <row r="992" spans="1:46" hidden="1" x14ac:dyDescent="0.3">
      <c r="A992" t="s">
        <v>1182</v>
      </c>
      <c r="C992" t="s">
        <v>1052</v>
      </c>
      <c r="D992" t="s">
        <v>81</v>
      </c>
      <c r="E992">
        <v>1300000</v>
      </c>
      <c r="L992" t="s">
        <v>58</v>
      </c>
      <c r="O992">
        <v>869.60811953763698</v>
      </c>
      <c r="P992" t="s">
        <v>1181</v>
      </c>
      <c r="T992">
        <v>25</v>
      </c>
      <c r="V992">
        <v>56</v>
      </c>
      <c r="W992" t="s">
        <v>1183</v>
      </c>
      <c r="X992" t="s">
        <v>1058</v>
      </c>
      <c r="Y992">
        <v>18.116835823700772</v>
      </c>
      <c r="AB992">
        <v>0.77123998739614197</v>
      </c>
      <c r="AC992" t="s">
        <v>85</v>
      </c>
      <c r="AD992" t="s">
        <v>268</v>
      </c>
      <c r="AE992" t="s">
        <v>1184</v>
      </c>
      <c r="AI992" t="s">
        <v>1185</v>
      </c>
      <c r="AT992" t="s">
        <v>382</v>
      </c>
    </row>
    <row r="993" spans="1:46" hidden="1" x14ac:dyDescent="0.3">
      <c r="A993" t="s">
        <v>1182</v>
      </c>
      <c r="C993" t="s">
        <v>1052</v>
      </c>
      <c r="D993" t="s">
        <v>81</v>
      </c>
      <c r="E993">
        <v>1300000</v>
      </c>
      <c r="L993" t="s">
        <v>58</v>
      </c>
      <c r="O993">
        <v>1503.75939849624</v>
      </c>
      <c r="P993" t="s">
        <v>1181</v>
      </c>
      <c r="T993">
        <v>25</v>
      </c>
      <c r="V993">
        <v>56</v>
      </c>
      <c r="W993" t="s">
        <v>1183</v>
      </c>
      <c r="X993" t="s">
        <v>1058</v>
      </c>
      <c r="Y993">
        <v>31.328320802004999</v>
      </c>
      <c r="AB993">
        <v>1.24242424242424</v>
      </c>
      <c r="AC993" t="s">
        <v>85</v>
      </c>
      <c r="AD993" t="s">
        <v>268</v>
      </c>
      <c r="AE993" t="s">
        <v>1184</v>
      </c>
      <c r="AI993" t="s">
        <v>1185</v>
      </c>
      <c r="AT993" t="s">
        <v>382</v>
      </c>
    </row>
    <row r="994" spans="1:46" hidden="1" x14ac:dyDescent="0.3">
      <c r="A994" t="s">
        <v>1182</v>
      </c>
      <c r="C994" t="s">
        <v>1052</v>
      </c>
      <c r="D994" t="s">
        <v>81</v>
      </c>
      <c r="E994">
        <v>1300000</v>
      </c>
      <c r="L994" t="s">
        <v>58</v>
      </c>
      <c r="O994">
        <v>2957.3934837092702</v>
      </c>
      <c r="P994" t="s">
        <v>1181</v>
      </c>
      <c r="T994">
        <v>25</v>
      </c>
      <c r="V994">
        <v>56</v>
      </c>
      <c r="W994" t="s">
        <v>1183</v>
      </c>
      <c r="X994" t="s">
        <v>1058</v>
      </c>
      <c r="Y994">
        <v>61.612364243943119</v>
      </c>
      <c r="AB994">
        <v>1.39393939393939</v>
      </c>
      <c r="AC994" t="s">
        <v>85</v>
      </c>
      <c r="AD994" t="s">
        <v>268</v>
      </c>
      <c r="AE994" t="s">
        <v>1184</v>
      </c>
      <c r="AI994" t="s">
        <v>1185</v>
      </c>
      <c r="AT994" t="s">
        <v>382</v>
      </c>
    </row>
    <row r="995" spans="1:46" hidden="1" x14ac:dyDescent="0.3">
      <c r="A995" t="s">
        <v>1182</v>
      </c>
      <c r="C995" t="s">
        <v>1052</v>
      </c>
      <c r="D995" t="s">
        <v>81</v>
      </c>
      <c r="E995">
        <v>1300000</v>
      </c>
      <c r="L995" t="s">
        <v>58</v>
      </c>
      <c r="O995">
        <v>5764.41102756892</v>
      </c>
      <c r="P995" t="s">
        <v>1181</v>
      </c>
      <c r="T995">
        <v>25</v>
      </c>
      <c r="V995">
        <v>56</v>
      </c>
      <c r="W995" t="s">
        <v>1183</v>
      </c>
      <c r="X995" t="s">
        <v>1058</v>
      </c>
      <c r="Y995">
        <v>120.09189640768579</v>
      </c>
      <c r="AB995">
        <v>1.51515151515151</v>
      </c>
      <c r="AC995" t="s">
        <v>85</v>
      </c>
      <c r="AD995" t="s">
        <v>268</v>
      </c>
      <c r="AE995" t="s">
        <v>1184</v>
      </c>
      <c r="AI995" t="s">
        <v>1185</v>
      </c>
      <c r="AT995" t="s">
        <v>382</v>
      </c>
    </row>
    <row r="996" spans="1:46" hidden="1" x14ac:dyDescent="0.3">
      <c r="A996" t="s">
        <v>1182</v>
      </c>
      <c r="C996" t="s">
        <v>1052</v>
      </c>
      <c r="D996" t="s">
        <v>81</v>
      </c>
      <c r="E996">
        <v>1300000</v>
      </c>
      <c r="L996" t="s">
        <v>58</v>
      </c>
      <c r="O996">
        <v>11629.0726817042</v>
      </c>
      <c r="P996" t="s">
        <v>1181</v>
      </c>
      <c r="T996">
        <v>25</v>
      </c>
      <c r="V996">
        <v>56</v>
      </c>
      <c r="W996" t="s">
        <v>1183</v>
      </c>
      <c r="X996" t="s">
        <v>1058</v>
      </c>
      <c r="Y996">
        <v>242.2723475355042</v>
      </c>
      <c r="AB996">
        <v>1.8181818181818099</v>
      </c>
      <c r="AC996" t="s">
        <v>85</v>
      </c>
      <c r="AD996" t="s">
        <v>268</v>
      </c>
      <c r="AE996" t="s">
        <v>1184</v>
      </c>
      <c r="AI996" t="s">
        <v>1185</v>
      </c>
      <c r="AT996" t="s">
        <v>382</v>
      </c>
    </row>
    <row r="997" spans="1:46" hidden="1" x14ac:dyDescent="0.3">
      <c r="A997" t="s">
        <v>1182</v>
      </c>
      <c r="C997" t="s">
        <v>1052</v>
      </c>
      <c r="D997" t="s">
        <v>81</v>
      </c>
      <c r="E997">
        <v>1300000</v>
      </c>
      <c r="L997" t="s">
        <v>58</v>
      </c>
      <c r="O997">
        <v>14536.340852130301</v>
      </c>
      <c r="P997" t="s">
        <v>1181</v>
      </c>
      <c r="T997">
        <v>25</v>
      </c>
      <c r="V997">
        <v>56</v>
      </c>
      <c r="W997" t="s">
        <v>1183</v>
      </c>
      <c r="X997" t="s">
        <v>1058</v>
      </c>
      <c r="Y997">
        <v>302.84043441938132</v>
      </c>
      <c r="AB997">
        <v>2.0303030303030289</v>
      </c>
      <c r="AC997" t="s">
        <v>85</v>
      </c>
      <c r="AD997" t="s">
        <v>268</v>
      </c>
      <c r="AE997" t="s">
        <v>1184</v>
      </c>
      <c r="AI997" t="s">
        <v>1185</v>
      </c>
      <c r="AT997" t="s">
        <v>382</v>
      </c>
    </row>
    <row r="998" spans="1:46" hidden="1" x14ac:dyDescent="0.3">
      <c r="A998" t="s">
        <v>1182</v>
      </c>
      <c r="C998" t="s">
        <v>1052</v>
      </c>
      <c r="D998" t="s">
        <v>81</v>
      </c>
      <c r="E998">
        <v>1300000</v>
      </c>
      <c r="L998" t="s">
        <v>58</v>
      </c>
      <c r="O998">
        <v>17393.4837092731</v>
      </c>
      <c r="P998" t="s">
        <v>1181</v>
      </c>
      <c r="T998">
        <v>25</v>
      </c>
      <c r="V998">
        <v>56</v>
      </c>
      <c r="W998" t="s">
        <v>1183</v>
      </c>
      <c r="X998" t="s">
        <v>1058</v>
      </c>
      <c r="Y998">
        <v>362.36424394318948</v>
      </c>
      <c r="AB998">
        <v>2.0303030303030289</v>
      </c>
      <c r="AC998" t="s">
        <v>85</v>
      </c>
      <c r="AD998" t="s">
        <v>268</v>
      </c>
      <c r="AE998" t="s">
        <v>1184</v>
      </c>
      <c r="AI998" t="s">
        <v>1185</v>
      </c>
      <c r="AT998" t="s">
        <v>382</v>
      </c>
    </row>
    <row r="999" spans="1:46" hidden="1" x14ac:dyDescent="0.3">
      <c r="A999" t="s">
        <v>1182</v>
      </c>
      <c r="C999" t="s">
        <v>1052</v>
      </c>
      <c r="D999" t="s">
        <v>81</v>
      </c>
      <c r="E999">
        <v>1300000</v>
      </c>
      <c r="L999" t="s">
        <v>58</v>
      </c>
      <c r="O999">
        <v>20350.8771929824</v>
      </c>
      <c r="P999" t="s">
        <v>1181</v>
      </c>
      <c r="T999">
        <v>25</v>
      </c>
      <c r="V999">
        <v>56</v>
      </c>
      <c r="W999" t="s">
        <v>1183</v>
      </c>
      <c r="X999" t="s">
        <v>1058</v>
      </c>
      <c r="Y999">
        <v>423.97660818713331</v>
      </c>
      <c r="AB999">
        <v>2.1060606060606002</v>
      </c>
      <c r="AC999" t="s">
        <v>85</v>
      </c>
      <c r="AD999" t="s">
        <v>268</v>
      </c>
      <c r="AE999" t="s">
        <v>1184</v>
      </c>
      <c r="AI999" t="s">
        <v>1185</v>
      </c>
      <c r="AT999" t="s">
        <v>382</v>
      </c>
    </row>
    <row r="1000" spans="1:46" hidden="1" x14ac:dyDescent="0.3">
      <c r="A1000" t="s">
        <v>1182</v>
      </c>
      <c r="C1000" t="s">
        <v>1052</v>
      </c>
      <c r="D1000" t="s">
        <v>81</v>
      </c>
      <c r="E1000">
        <v>1300000</v>
      </c>
      <c r="L1000" t="s">
        <v>58</v>
      </c>
      <c r="O1000">
        <v>23107.769423558901</v>
      </c>
      <c r="P1000" t="s">
        <v>1181</v>
      </c>
      <c r="T1000">
        <v>25</v>
      </c>
      <c r="V1000">
        <v>56</v>
      </c>
      <c r="W1000" t="s">
        <v>1183</v>
      </c>
      <c r="X1000" t="s">
        <v>1058</v>
      </c>
      <c r="Y1000">
        <v>481.4118629908105</v>
      </c>
      <c r="AB1000">
        <v>2.4393939393939301</v>
      </c>
      <c r="AC1000" t="s">
        <v>85</v>
      </c>
      <c r="AD1000" t="s">
        <v>268</v>
      </c>
      <c r="AE1000" t="s">
        <v>1184</v>
      </c>
      <c r="AI1000">
        <v>10</v>
      </c>
      <c r="AT1000" t="s">
        <v>382</v>
      </c>
    </row>
    <row r="1001" spans="1:46" hidden="1" x14ac:dyDescent="0.3">
      <c r="A1001" t="s">
        <v>1182</v>
      </c>
      <c r="C1001" t="s">
        <v>1052</v>
      </c>
      <c r="D1001" t="s">
        <v>81</v>
      </c>
      <c r="E1001">
        <v>1300000</v>
      </c>
      <c r="L1001" t="s">
        <v>58</v>
      </c>
      <c r="O1001">
        <v>2.7695318330321399</v>
      </c>
      <c r="P1001" t="s">
        <v>1181</v>
      </c>
      <c r="T1001">
        <v>25</v>
      </c>
      <c r="V1001">
        <v>56</v>
      </c>
      <c r="W1001" t="s">
        <v>1186</v>
      </c>
      <c r="X1001" t="s">
        <v>1058</v>
      </c>
      <c r="Y1001">
        <v>5.769857985483625E-2</v>
      </c>
      <c r="AB1001">
        <v>2.22060067331133E-2</v>
      </c>
      <c r="AC1001" t="s">
        <v>85</v>
      </c>
      <c r="AD1001" t="s">
        <v>268</v>
      </c>
      <c r="AE1001" t="s">
        <v>1184</v>
      </c>
      <c r="AI1001" t="s">
        <v>1185</v>
      </c>
      <c r="AT1001" t="s">
        <v>382</v>
      </c>
    </row>
    <row r="1002" spans="1:46" hidden="1" x14ac:dyDescent="0.3">
      <c r="A1002" t="s">
        <v>1182</v>
      </c>
      <c r="C1002" t="s">
        <v>1052</v>
      </c>
      <c r="D1002" t="s">
        <v>81</v>
      </c>
      <c r="E1002">
        <v>1300000</v>
      </c>
      <c r="L1002" t="s">
        <v>58</v>
      </c>
      <c r="O1002">
        <v>51.211462876664697</v>
      </c>
      <c r="P1002" t="s">
        <v>1181</v>
      </c>
      <c r="T1002">
        <v>25</v>
      </c>
      <c r="V1002">
        <v>56</v>
      </c>
      <c r="W1002" t="s">
        <v>1186</v>
      </c>
      <c r="X1002" t="s">
        <v>1058</v>
      </c>
      <c r="Y1002">
        <v>1.066905476597181</v>
      </c>
      <c r="AB1002">
        <v>9.2455927959004397E-2</v>
      </c>
      <c r="AC1002" t="s">
        <v>85</v>
      </c>
      <c r="AD1002" t="s">
        <v>268</v>
      </c>
      <c r="AE1002" t="s">
        <v>1184</v>
      </c>
      <c r="AI1002" t="s">
        <v>1185</v>
      </c>
      <c r="AT1002" t="s">
        <v>382</v>
      </c>
    </row>
    <row r="1003" spans="1:46" hidden="1" x14ac:dyDescent="0.3">
      <c r="A1003" t="s">
        <v>1182</v>
      </c>
      <c r="C1003" t="s">
        <v>1052</v>
      </c>
      <c r="D1003" t="s">
        <v>81</v>
      </c>
      <c r="E1003">
        <v>1300000</v>
      </c>
      <c r="L1003" t="s">
        <v>58</v>
      </c>
      <c r="O1003">
        <v>101.411300353239</v>
      </c>
      <c r="P1003" t="s">
        <v>1181</v>
      </c>
      <c r="T1003">
        <v>25</v>
      </c>
      <c r="V1003">
        <v>56</v>
      </c>
      <c r="W1003" t="s">
        <v>1186</v>
      </c>
      <c r="X1003" t="s">
        <v>1058</v>
      </c>
      <c r="Y1003">
        <v>2.112735424025812</v>
      </c>
      <c r="AB1003">
        <v>0.278230153070532</v>
      </c>
      <c r="AC1003" t="s">
        <v>85</v>
      </c>
      <c r="AD1003" t="s">
        <v>268</v>
      </c>
      <c r="AE1003" t="s">
        <v>1184</v>
      </c>
      <c r="AI1003" t="s">
        <v>1185</v>
      </c>
      <c r="AT1003" t="s">
        <v>382</v>
      </c>
    </row>
    <row r="1004" spans="1:46" hidden="1" x14ac:dyDescent="0.3">
      <c r="A1004" t="s">
        <v>1182</v>
      </c>
      <c r="C1004" t="s">
        <v>1052</v>
      </c>
      <c r="D1004" t="s">
        <v>81</v>
      </c>
      <c r="E1004">
        <v>1300000</v>
      </c>
      <c r="L1004" t="s">
        <v>58</v>
      </c>
      <c r="O1004">
        <v>146.05549014079801</v>
      </c>
      <c r="P1004" t="s">
        <v>1181</v>
      </c>
      <c r="T1004">
        <v>25</v>
      </c>
      <c r="V1004">
        <v>56</v>
      </c>
      <c r="W1004" t="s">
        <v>1186</v>
      </c>
      <c r="X1004" t="s">
        <v>1058</v>
      </c>
      <c r="Y1004">
        <v>3.0428227112666248</v>
      </c>
      <c r="AB1004">
        <v>0.419658700807642</v>
      </c>
      <c r="AC1004" t="s">
        <v>85</v>
      </c>
      <c r="AD1004" t="s">
        <v>268</v>
      </c>
      <c r="AE1004" t="s">
        <v>1184</v>
      </c>
      <c r="AI1004" t="s">
        <v>1185</v>
      </c>
      <c r="AT1004" t="s">
        <v>382</v>
      </c>
    </row>
    <row r="1005" spans="1:46" hidden="1" x14ac:dyDescent="0.3">
      <c r="A1005" t="s">
        <v>1182</v>
      </c>
      <c r="C1005" t="s">
        <v>1052</v>
      </c>
      <c r="D1005" t="s">
        <v>81</v>
      </c>
      <c r="E1005">
        <v>1300000</v>
      </c>
      <c r="L1005" t="s">
        <v>58</v>
      </c>
      <c r="O1005">
        <v>198.03811008474401</v>
      </c>
      <c r="P1005" t="s">
        <v>1181</v>
      </c>
      <c r="T1005">
        <v>25</v>
      </c>
      <c r="V1005">
        <v>56</v>
      </c>
      <c r="W1005" t="s">
        <v>1186</v>
      </c>
      <c r="X1005" t="s">
        <v>1058</v>
      </c>
      <c r="Y1005">
        <v>4.1257939600988331</v>
      </c>
      <c r="AB1005">
        <v>0.69429012089752695</v>
      </c>
      <c r="AC1005" t="s">
        <v>85</v>
      </c>
      <c r="AD1005" t="s">
        <v>268</v>
      </c>
      <c r="AE1005" t="s">
        <v>1184</v>
      </c>
      <c r="AI1005" t="s">
        <v>1185</v>
      </c>
      <c r="AT1005" t="s">
        <v>382</v>
      </c>
    </row>
    <row r="1006" spans="1:46" hidden="1" x14ac:dyDescent="0.3">
      <c r="A1006" t="s">
        <v>1182</v>
      </c>
      <c r="C1006" t="s">
        <v>1052</v>
      </c>
      <c r="D1006" t="s">
        <v>81</v>
      </c>
      <c r="E1006">
        <v>1300000</v>
      </c>
      <c r="L1006" t="s">
        <v>58</v>
      </c>
      <c r="O1006">
        <v>485.15729945770198</v>
      </c>
      <c r="P1006" t="s">
        <v>1181</v>
      </c>
      <c r="T1006">
        <v>25</v>
      </c>
      <c r="V1006">
        <v>56</v>
      </c>
      <c r="W1006" t="s">
        <v>1186</v>
      </c>
      <c r="X1006" t="s">
        <v>1058</v>
      </c>
      <c r="Y1006">
        <v>10.10744373870212</v>
      </c>
      <c r="AB1006">
        <v>0.90251911308645205</v>
      </c>
      <c r="AC1006" t="s">
        <v>85</v>
      </c>
      <c r="AD1006" t="s">
        <v>268</v>
      </c>
      <c r="AE1006" t="s">
        <v>1184</v>
      </c>
      <c r="AI1006" t="s">
        <v>1185</v>
      </c>
      <c r="AT1006" t="s">
        <v>382</v>
      </c>
    </row>
    <row r="1007" spans="1:46" hidden="1" x14ac:dyDescent="0.3">
      <c r="A1007" t="s">
        <v>1182</v>
      </c>
      <c r="C1007" t="s">
        <v>1052</v>
      </c>
      <c r="D1007" t="s">
        <v>81</v>
      </c>
      <c r="E1007">
        <v>1300000</v>
      </c>
      <c r="L1007" t="s">
        <v>58</v>
      </c>
      <c r="O1007">
        <v>2155.3884711779401</v>
      </c>
      <c r="P1007" t="s">
        <v>1181</v>
      </c>
      <c r="T1007">
        <v>25</v>
      </c>
      <c r="V1007">
        <v>56</v>
      </c>
      <c r="W1007" t="s">
        <v>1186</v>
      </c>
      <c r="X1007" t="s">
        <v>1058</v>
      </c>
      <c r="Y1007">
        <v>44.90392648287375</v>
      </c>
      <c r="AB1007">
        <v>1.3030303030303001</v>
      </c>
      <c r="AC1007" t="s">
        <v>85</v>
      </c>
      <c r="AD1007" t="s">
        <v>268</v>
      </c>
      <c r="AE1007" t="s">
        <v>1184</v>
      </c>
      <c r="AI1007" t="s">
        <v>1185</v>
      </c>
      <c r="AT1007" t="s">
        <v>382</v>
      </c>
    </row>
    <row r="1008" spans="1:46" hidden="1" x14ac:dyDescent="0.3">
      <c r="A1008" t="s">
        <v>1182</v>
      </c>
      <c r="C1008" t="s">
        <v>1052</v>
      </c>
      <c r="D1008" t="s">
        <v>81</v>
      </c>
      <c r="E1008">
        <v>1300000</v>
      </c>
      <c r="L1008" t="s">
        <v>58</v>
      </c>
      <c r="O1008">
        <v>5814.5363408521298</v>
      </c>
      <c r="P1008" t="s">
        <v>1181</v>
      </c>
      <c r="T1008">
        <v>25</v>
      </c>
      <c r="V1008">
        <v>56</v>
      </c>
      <c r="W1008" t="s">
        <v>1186</v>
      </c>
      <c r="X1008" t="s">
        <v>1058</v>
      </c>
      <c r="Y1008">
        <v>121.13617376775269</v>
      </c>
      <c r="AB1008">
        <v>1.4545454545454499</v>
      </c>
      <c r="AC1008" t="s">
        <v>85</v>
      </c>
      <c r="AD1008" t="s">
        <v>268</v>
      </c>
      <c r="AE1008" t="s">
        <v>1184</v>
      </c>
      <c r="AI1008" t="s">
        <v>1185</v>
      </c>
      <c r="AT1008" t="s">
        <v>382</v>
      </c>
    </row>
    <row r="1009" spans="1:46" hidden="1" x14ac:dyDescent="0.3">
      <c r="A1009" t="s">
        <v>1182</v>
      </c>
      <c r="C1009" t="s">
        <v>1052</v>
      </c>
      <c r="D1009" t="s">
        <v>81</v>
      </c>
      <c r="E1009">
        <v>1300000</v>
      </c>
      <c r="L1009" t="s">
        <v>58</v>
      </c>
      <c r="O1009">
        <v>8721.8045112781892</v>
      </c>
      <c r="P1009" t="s">
        <v>1181</v>
      </c>
      <c r="T1009">
        <v>25</v>
      </c>
      <c r="V1009">
        <v>56</v>
      </c>
      <c r="W1009" t="s">
        <v>1186</v>
      </c>
      <c r="X1009" t="s">
        <v>1058</v>
      </c>
      <c r="Y1009">
        <v>181.70426065162891</v>
      </c>
      <c r="AB1009">
        <v>1.5757575757575699</v>
      </c>
      <c r="AC1009" t="s">
        <v>85</v>
      </c>
      <c r="AD1009" t="s">
        <v>268</v>
      </c>
      <c r="AE1009" t="s">
        <v>1184</v>
      </c>
      <c r="AI1009" t="s">
        <v>1185</v>
      </c>
      <c r="AT1009" t="s">
        <v>382</v>
      </c>
    </row>
    <row r="1010" spans="1:46" hidden="1" x14ac:dyDescent="0.3">
      <c r="A1010" t="s">
        <v>1182</v>
      </c>
      <c r="C1010" t="s">
        <v>1052</v>
      </c>
      <c r="D1010" t="s">
        <v>81</v>
      </c>
      <c r="E1010">
        <v>1300000</v>
      </c>
      <c r="L1010" t="s">
        <v>58</v>
      </c>
      <c r="O1010">
        <v>11428.5714285714</v>
      </c>
      <c r="P1010" t="s">
        <v>1181</v>
      </c>
      <c r="T1010">
        <v>25</v>
      </c>
      <c r="V1010">
        <v>56</v>
      </c>
      <c r="W1010" t="s">
        <v>1186</v>
      </c>
      <c r="X1010" t="s">
        <v>1058</v>
      </c>
      <c r="Y1010">
        <v>238.09523809523751</v>
      </c>
      <c r="AB1010">
        <v>1.6818181818181801</v>
      </c>
      <c r="AC1010" t="s">
        <v>85</v>
      </c>
      <c r="AD1010" t="s">
        <v>268</v>
      </c>
      <c r="AE1010" t="s">
        <v>1184</v>
      </c>
      <c r="AI1010" t="s">
        <v>1185</v>
      </c>
      <c r="AT1010" t="s">
        <v>382</v>
      </c>
    </row>
    <row r="1011" spans="1:46" hidden="1" x14ac:dyDescent="0.3">
      <c r="A1011" t="s">
        <v>1182</v>
      </c>
      <c r="C1011" t="s">
        <v>1052</v>
      </c>
      <c r="D1011" t="s">
        <v>81</v>
      </c>
      <c r="E1011">
        <v>1300000</v>
      </c>
      <c r="L1011" t="s">
        <v>58</v>
      </c>
      <c r="O1011">
        <v>14436.090225563899</v>
      </c>
      <c r="P1011" t="s">
        <v>1181</v>
      </c>
      <c r="T1011">
        <v>25</v>
      </c>
      <c r="V1011">
        <v>56</v>
      </c>
      <c r="W1011" t="s">
        <v>1186</v>
      </c>
      <c r="X1011" t="s">
        <v>1058</v>
      </c>
      <c r="Y1011">
        <v>300.75187969924792</v>
      </c>
      <c r="AB1011">
        <v>1.7121212121212099</v>
      </c>
      <c r="AC1011" t="s">
        <v>85</v>
      </c>
      <c r="AD1011" t="s">
        <v>268</v>
      </c>
      <c r="AE1011" t="s">
        <v>1184</v>
      </c>
      <c r="AI1011" t="s">
        <v>1185</v>
      </c>
      <c r="AT1011" t="s">
        <v>382</v>
      </c>
    </row>
    <row r="1012" spans="1:46" hidden="1" x14ac:dyDescent="0.3">
      <c r="A1012" t="s">
        <v>1182</v>
      </c>
      <c r="C1012" t="s">
        <v>1052</v>
      </c>
      <c r="D1012" t="s">
        <v>81</v>
      </c>
      <c r="E1012">
        <v>1300000</v>
      </c>
      <c r="L1012" t="s">
        <v>58</v>
      </c>
      <c r="O1012">
        <v>17343.358395989901</v>
      </c>
      <c r="P1012" t="s">
        <v>1181</v>
      </c>
      <c r="T1012">
        <v>25</v>
      </c>
      <c r="V1012">
        <v>56</v>
      </c>
      <c r="W1012" t="s">
        <v>1186</v>
      </c>
      <c r="X1012" t="s">
        <v>1058</v>
      </c>
      <c r="Y1012">
        <v>361.31996658312289</v>
      </c>
      <c r="AB1012">
        <v>1.5757575757575699</v>
      </c>
      <c r="AC1012" t="s">
        <v>85</v>
      </c>
      <c r="AD1012" t="s">
        <v>268</v>
      </c>
      <c r="AE1012" t="s">
        <v>1184</v>
      </c>
      <c r="AI1012" t="s">
        <v>1185</v>
      </c>
      <c r="AT1012" t="s">
        <v>382</v>
      </c>
    </row>
    <row r="1013" spans="1:46" hidden="1" x14ac:dyDescent="0.3">
      <c r="A1013" t="s">
        <v>1182</v>
      </c>
      <c r="C1013" t="s">
        <v>1052</v>
      </c>
      <c r="D1013" t="s">
        <v>81</v>
      </c>
      <c r="E1013">
        <v>1300000</v>
      </c>
      <c r="L1013" t="s">
        <v>58</v>
      </c>
      <c r="O1013">
        <v>20150.3759398496</v>
      </c>
      <c r="P1013" t="s">
        <v>1181</v>
      </c>
      <c r="T1013">
        <v>25</v>
      </c>
      <c r="V1013">
        <v>56</v>
      </c>
      <c r="W1013" t="s">
        <v>1186</v>
      </c>
      <c r="X1013" t="s">
        <v>1058</v>
      </c>
      <c r="Y1013">
        <v>419.79949874686662</v>
      </c>
      <c r="AB1013">
        <v>1.9393939393939299</v>
      </c>
      <c r="AC1013" t="s">
        <v>85</v>
      </c>
      <c r="AD1013" t="s">
        <v>268</v>
      </c>
      <c r="AE1013" t="s">
        <v>1184</v>
      </c>
      <c r="AI1013" t="s">
        <v>1185</v>
      </c>
      <c r="AT1013" t="s">
        <v>382</v>
      </c>
    </row>
    <row r="1014" spans="1:46" hidden="1" x14ac:dyDescent="0.3">
      <c r="A1014" t="s">
        <v>1182</v>
      </c>
      <c r="C1014" t="s">
        <v>1052</v>
      </c>
      <c r="D1014" t="s">
        <v>81</v>
      </c>
      <c r="E1014">
        <v>1300000</v>
      </c>
      <c r="L1014" t="s">
        <v>58</v>
      </c>
      <c r="O1014">
        <v>23007.518796992401</v>
      </c>
      <c r="P1014" t="s">
        <v>1181</v>
      </c>
      <c r="T1014">
        <v>25</v>
      </c>
      <c r="V1014">
        <v>56</v>
      </c>
      <c r="W1014" t="s">
        <v>1186</v>
      </c>
      <c r="X1014" t="s">
        <v>1058</v>
      </c>
      <c r="Y1014">
        <v>479.323308270675</v>
      </c>
      <c r="AB1014">
        <v>2.0303030303030289</v>
      </c>
      <c r="AC1014" t="s">
        <v>85</v>
      </c>
      <c r="AD1014" t="s">
        <v>268</v>
      </c>
      <c r="AE1014" t="s">
        <v>1184</v>
      </c>
      <c r="AI1014">
        <v>10</v>
      </c>
      <c r="AT1014" t="s">
        <v>382</v>
      </c>
    </row>
    <row r="1015" spans="1:46" hidden="1" x14ac:dyDescent="0.3">
      <c r="A1015" t="s">
        <v>1182</v>
      </c>
      <c r="C1015" t="s">
        <v>1052</v>
      </c>
      <c r="D1015" t="s">
        <v>81</v>
      </c>
      <c r="E1015">
        <v>1300000</v>
      </c>
      <c r="L1015" t="s">
        <v>58</v>
      </c>
      <c r="O1015">
        <v>2.7695318330321399</v>
      </c>
      <c r="P1015" t="s">
        <v>1181</v>
      </c>
      <c r="T1015">
        <v>25</v>
      </c>
      <c r="V1015">
        <v>56</v>
      </c>
      <c r="W1015" t="s">
        <v>1187</v>
      </c>
      <c r="X1015" t="s">
        <v>1058</v>
      </c>
      <c r="Y1015">
        <v>5.769857985483625E-2</v>
      </c>
      <c r="AB1015">
        <v>2.22060067331133E-2</v>
      </c>
      <c r="AC1015" t="s">
        <v>85</v>
      </c>
      <c r="AD1015" t="s">
        <v>268</v>
      </c>
      <c r="AE1015" t="s">
        <v>1184</v>
      </c>
      <c r="AI1015" t="s">
        <v>1185</v>
      </c>
    </row>
    <row r="1016" spans="1:46" hidden="1" x14ac:dyDescent="0.3">
      <c r="A1016" t="s">
        <v>1182</v>
      </c>
      <c r="C1016" t="s">
        <v>1052</v>
      </c>
      <c r="D1016" t="s">
        <v>81</v>
      </c>
      <c r="E1016">
        <v>1300000</v>
      </c>
      <c r="L1016" t="s">
        <v>58</v>
      </c>
      <c r="O1016">
        <v>103.069702648468</v>
      </c>
      <c r="P1016" t="s">
        <v>1181</v>
      </c>
      <c r="T1016">
        <v>25</v>
      </c>
      <c r="V1016">
        <v>56</v>
      </c>
      <c r="W1016" t="s">
        <v>1187</v>
      </c>
      <c r="X1016" t="s">
        <v>1058</v>
      </c>
      <c r="Y1016">
        <v>2.1472854718430829</v>
      </c>
      <c r="AB1016">
        <v>0.50042289258528305</v>
      </c>
      <c r="AC1016" t="s">
        <v>85</v>
      </c>
      <c r="AD1016" t="s">
        <v>268</v>
      </c>
      <c r="AE1016" t="s">
        <v>1184</v>
      </c>
      <c r="AI1016" t="s">
        <v>1185</v>
      </c>
    </row>
    <row r="1017" spans="1:46" hidden="1" x14ac:dyDescent="0.3">
      <c r="A1017" t="s">
        <v>1182</v>
      </c>
      <c r="C1017" t="s">
        <v>1052</v>
      </c>
      <c r="D1017" t="s">
        <v>81</v>
      </c>
      <c r="E1017">
        <v>1300000</v>
      </c>
      <c r="L1017" t="s">
        <v>58</v>
      </c>
      <c r="O1017">
        <v>147.29099985074299</v>
      </c>
      <c r="P1017" t="s">
        <v>1181</v>
      </c>
      <c r="T1017">
        <v>25</v>
      </c>
      <c r="V1017">
        <v>56</v>
      </c>
      <c r="W1017" t="s">
        <v>1187</v>
      </c>
      <c r="X1017" t="s">
        <v>1058</v>
      </c>
      <c r="Y1017">
        <v>3.068562496890479</v>
      </c>
      <c r="AB1017">
        <v>1.0951922917461301</v>
      </c>
      <c r="AC1017" t="s">
        <v>85</v>
      </c>
      <c r="AD1017" t="s">
        <v>268</v>
      </c>
      <c r="AE1017" t="s">
        <v>1184</v>
      </c>
      <c r="AI1017" t="s">
        <v>1185</v>
      </c>
    </row>
    <row r="1018" spans="1:46" hidden="1" x14ac:dyDescent="0.3">
      <c r="A1018" t="s">
        <v>1182</v>
      </c>
      <c r="C1018" t="s">
        <v>1052</v>
      </c>
      <c r="D1018" t="s">
        <v>81</v>
      </c>
      <c r="E1018">
        <v>1300000</v>
      </c>
      <c r="L1018" t="s">
        <v>58</v>
      </c>
      <c r="O1018">
        <v>195.24370221728299</v>
      </c>
      <c r="P1018" t="s">
        <v>1181</v>
      </c>
      <c r="T1018">
        <v>25</v>
      </c>
      <c r="V1018">
        <v>56</v>
      </c>
      <c r="W1018" t="s">
        <v>1187</v>
      </c>
      <c r="X1018" t="s">
        <v>1058</v>
      </c>
      <c r="Y1018">
        <v>4.0675771295267289</v>
      </c>
      <c r="AB1018">
        <v>1.6898953548151701</v>
      </c>
      <c r="AC1018" t="s">
        <v>85</v>
      </c>
      <c r="AD1018" t="s">
        <v>268</v>
      </c>
      <c r="AE1018" t="s">
        <v>1184</v>
      </c>
      <c r="AI1018" t="s">
        <v>1185</v>
      </c>
    </row>
    <row r="1019" spans="1:46" hidden="1" x14ac:dyDescent="0.3">
      <c r="A1019" t="s">
        <v>1182</v>
      </c>
      <c r="C1019" t="s">
        <v>1052</v>
      </c>
      <c r="D1019" t="s">
        <v>81</v>
      </c>
      <c r="E1019">
        <v>1300000</v>
      </c>
      <c r="L1019" t="s">
        <v>58</v>
      </c>
      <c r="O1019">
        <v>295.77604935405202</v>
      </c>
      <c r="P1019" t="s">
        <v>1181</v>
      </c>
      <c r="T1019">
        <v>25</v>
      </c>
      <c r="V1019">
        <v>56</v>
      </c>
      <c r="W1019" t="s">
        <v>1187</v>
      </c>
      <c r="X1019" t="s">
        <v>1058</v>
      </c>
      <c r="Y1019">
        <v>6.1620010282094171</v>
      </c>
      <c r="AB1019">
        <v>1.9192192241993999</v>
      </c>
      <c r="AC1019" t="s">
        <v>85</v>
      </c>
      <c r="AD1019" t="s">
        <v>268</v>
      </c>
      <c r="AE1019" t="s">
        <v>1184</v>
      </c>
      <c r="AI1019" t="s">
        <v>1185</v>
      </c>
    </row>
    <row r="1020" spans="1:46" hidden="1" x14ac:dyDescent="0.3">
      <c r="A1020" t="s">
        <v>1182</v>
      </c>
      <c r="C1020" t="s">
        <v>1052</v>
      </c>
      <c r="D1020" t="s">
        <v>81</v>
      </c>
      <c r="E1020">
        <v>1300000</v>
      </c>
      <c r="L1020" t="s">
        <v>58</v>
      </c>
      <c r="O1020">
        <v>483.79740957561398</v>
      </c>
      <c r="P1020" t="s">
        <v>1181</v>
      </c>
      <c r="T1020">
        <v>25</v>
      </c>
      <c r="V1020">
        <v>56</v>
      </c>
      <c r="W1020" t="s">
        <v>1187</v>
      </c>
      <c r="X1020" t="s">
        <v>1058</v>
      </c>
      <c r="Y1020">
        <v>10.07911269949196</v>
      </c>
      <c r="AB1020">
        <v>2.3603210666843499</v>
      </c>
      <c r="AC1020" t="s">
        <v>85</v>
      </c>
      <c r="AD1020" t="s">
        <v>268</v>
      </c>
      <c r="AE1020" t="s">
        <v>1184</v>
      </c>
      <c r="AI1020" t="s">
        <v>1185</v>
      </c>
    </row>
    <row r="1021" spans="1:46" hidden="1" x14ac:dyDescent="0.3">
      <c r="A1021" t="s">
        <v>1182</v>
      </c>
      <c r="C1021" t="s">
        <v>1052</v>
      </c>
      <c r="D1021" t="s">
        <v>81</v>
      </c>
      <c r="E1021">
        <v>1300000</v>
      </c>
      <c r="L1021" t="s">
        <v>58</v>
      </c>
      <c r="O1021">
        <v>825.28731819764801</v>
      </c>
      <c r="P1021" t="s">
        <v>1181</v>
      </c>
      <c r="T1021">
        <v>25</v>
      </c>
      <c r="V1021">
        <v>56</v>
      </c>
      <c r="W1021" t="s">
        <v>1187</v>
      </c>
      <c r="X1021" t="s">
        <v>1058</v>
      </c>
      <c r="Y1021">
        <v>17.19348579578433</v>
      </c>
      <c r="AB1021">
        <v>2.2831390238644</v>
      </c>
      <c r="AC1021" t="s">
        <v>85</v>
      </c>
      <c r="AD1021" t="s">
        <v>268</v>
      </c>
      <c r="AE1021" t="s">
        <v>1184</v>
      </c>
      <c r="AI1021" t="s">
        <v>1185</v>
      </c>
    </row>
    <row r="1022" spans="1:46" hidden="1" x14ac:dyDescent="0.3">
      <c r="A1022" t="s">
        <v>1182</v>
      </c>
      <c r="C1022" t="s">
        <v>1052</v>
      </c>
      <c r="D1022" t="s">
        <v>81</v>
      </c>
      <c r="E1022">
        <v>1300000</v>
      </c>
      <c r="L1022" t="s">
        <v>58</v>
      </c>
      <c r="O1022">
        <v>2957.3934837092702</v>
      </c>
      <c r="P1022" t="s">
        <v>1181</v>
      </c>
      <c r="T1022">
        <v>25</v>
      </c>
      <c r="V1022">
        <v>56</v>
      </c>
      <c r="W1022" t="s">
        <v>1187</v>
      </c>
      <c r="X1022" t="s">
        <v>1058</v>
      </c>
      <c r="Y1022">
        <v>61.612364243943119</v>
      </c>
      <c r="AB1022">
        <v>2.37878787878787</v>
      </c>
      <c r="AC1022" t="s">
        <v>85</v>
      </c>
      <c r="AD1022" t="s">
        <v>268</v>
      </c>
      <c r="AE1022" t="s">
        <v>1184</v>
      </c>
      <c r="AI1022" t="s">
        <v>1185</v>
      </c>
    </row>
    <row r="1023" spans="1:46" hidden="1" x14ac:dyDescent="0.3">
      <c r="A1023" t="s">
        <v>1182</v>
      </c>
      <c r="C1023" t="s">
        <v>1052</v>
      </c>
      <c r="D1023" t="s">
        <v>81</v>
      </c>
      <c r="E1023">
        <v>1300000</v>
      </c>
      <c r="L1023" t="s">
        <v>58</v>
      </c>
      <c r="O1023">
        <v>5814.5363408521298</v>
      </c>
      <c r="P1023" t="s">
        <v>1181</v>
      </c>
      <c r="T1023">
        <v>25</v>
      </c>
      <c r="V1023">
        <v>56</v>
      </c>
      <c r="W1023" t="s">
        <v>1187</v>
      </c>
      <c r="X1023" t="s">
        <v>1058</v>
      </c>
      <c r="Y1023">
        <v>121.13617376775269</v>
      </c>
      <c r="AB1023">
        <v>2.48484848484848</v>
      </c>
      <c r="AC1023" t="s">
        <v>85</v>
      </c>
      <c r="AD1023" t="s">
        <v>268</v>
      </c>
      <c r="AE1023" t="s">
        <v>1184</v>
      </c>
      <c r="AI1023" t="s">
        <v>1185</v>
      </c>
    </row>
    <row r="1024" spans="1:46" hidden="1" x14ac:dyDescent="0.3">
      <c r="A1024" t="s">
        <v>1182</v>
      </c>
      <c r="C1024" t="s">
        <v>1052</v>
      </c>
      <c r="D1024" t="s">
        <v>81</v>
      </c>
      <c r="E1024">
        <v>1300000</v>
      </c>
      <c r="L1024" t="s">
        <v>58</v>
      </c>
      <c r="O1024">
        <v>8621.5538847117696</v>
      </c>
      <c r="P1024" t="s">
        <v>1181</v>
      </c>
      <c r="T1024">
        <v>25</v>
      </c>
      <c r="V1024">
        <v>56</v>
      </c>
      <c r="W1024" t="s">
        <v>1187</v>
      </c>
      <c r="X1024" t="s">
        <v>1058</v>
      </c>
      <c r="Y1024">
        <v>179.6157059314952</v>
      </c>
      <c r="AB1024">
        <v>2.4242424242424199</v>
      </c>
      <c r="AC1024" t="s">
        <v>85</v>
      </c>
      <c r="AD1024" t="s">
        <v>268</v>
      </c>
      <c r="AE1024" t="s">
        <v>1184</v>
      </c>
      <c r="AI1024" t="s">
        <v>1185</v>
      </c>
    </row>
    <row r="1025" spans="1:48" hidden="1" x14ac:dyDescent="0.3">
      <c r="A1025" t="s">
        <v>1182</v>
      </c>
      <c r="C1025" t="s">
        <v>1052</v>
      </c>
      <c r="D1025" t="s">
        <v>81</v>
      </c>
      <c r="E1025">
        <v>1300000</v>
      </c>
      <c r="L1025" t="s">
        <v>58</v>
      </c>
      <c r="O1025">
        <v>10776.9423558897</v>
      </c>
      <c r="P1025" t="s">
        <v>1181</v>
      </c>
      <c r="T1025">
        <v>25</v>
      </c>
      <c r="V1025">
        <v>56</v>
      </c>
      <c r="W1025" t="s">
        <v>1187</v>
      </c>
      <c r="X1025" t="s">
        <v>1058</v>
      </c>
      <c r="Y1025">
        <v>224.51963241436869</v>
      </c>
      <c r="AB1025">
        <v>2.8484848484848402</v>
      </c>
      <c r="AC1025" t="s">
        <v>85</v>
      </c>
      <c r="AD1025" t="s">
        <v>268</v>
      </c>
      <c r="AE1025" t="s">
        <v>1184</v>
      </c>
      <c r="AI1025" t="s">
        <v>1185</v>
      </c>
    </row>
    <row r="1026" spans="1:48" hidden="1" x14ac:dyDescent="0.3">
      <c r="A1026" t="s">
        <v>1182</v>
      </c>
      <c r="C1026" t="s">
        <v>1052</v>
      </c>
      <c r="D1026" t="s">
        <v>81</v>
      </c>
      <c r="E1026">
        <v>1300000</v>
      </c>
      <c r="L1026" t="s">
        <v>58</v>
      </c>
      <c r="O1026">
        <v>23057.6441102756</v>
      </c>
      <c r="P1026" t="s">
        <v>1181</v>
      </c>
      <c r="T1026">
        <v>25</v>
      </c>
      <c r="V1026">
        <v>56</v>
      </c>
      <c r="W1026" t="s">
        <v>1187</v>
      </c>
      <c r="X1026" t="s">
        <v>1058</v>
      </c>
      <c r="Y1026">
        <v>480.36758563074159</v>
      </c>
      <c r="AB1026">
        <v>3.15151515151515</v>
      </c>
      <c r="AC1026" t="s">
        <v>85</v>
      </c>
      <c r="AD1026" t="s">
        <v>268</v>
      </c>
      <c r="AE1026" t="s">
        <v>1184</v>
      </c>
      <c r="AI1026">
        <v>10</v>
      </c>
    </row>
    <row r="1027" spans="1:48" x14ac:dyDescent="0.3">
      <c r="A1027" t="s">
        <v>1182</v>
      </c>
      <c r="C1027" t="s">
        <v>1052</v>
      </c>
      <c r="D1027" t="s">
        <v>1188</v>
      </c>
      <c r="E1027">
        <v>1400000</v>
      </c>
      <c r="H1027">
        <v>0.14000000000000001</v>
      </c>
      <c r="I1027" t="s">
        <v>252</v>
      </c>
      <c r="J1027">
        <v>0.14000000000000001</v>
      </c>
      <c r="K1027" t="s">
        <v>252</v>
      </c>
      <c r="L1027" t="s">
        <v>58</v>
      </c>
      <c r="O1027">
        <v>0.23823576755916001</v>
      </c>
      <c r="P1027" t="s">
        <v>1181</v>
      </c>
      <c r="T1027">
        <v>25</v>
      </c>
      <c r="V1027">
        <v>35</v>
      </c>
      <c r="W1027" t="s">
        <v>1189</v>
      </c>
      <c r="X1027" t="s">
        <v>1058</v>
      </c>
      <c r="Y1027">
        <v>0.15330486972918919</v>
      </c>
      <c r="AB1027">
        <v>3.57675591565167E-2</v>
      </c>
      <c r="AC1027" t="s">
        <v>85</v>
      </c>
      <c r="AD1027" t="s">
        <v>1190</v>
      </c>
      <c r="AE1027" t="s">
        <v>1184</v>
      </c>
      <c r="AI1027">
        <v>11</v>
      </c>
      <c r="AV1027" t="s">
        <v>1191</v>
      </c>
    </row>
    <row r="1028" spans="1:48" x14ac:dyDescent="0.3">
      <c r="A1028" t="s">
        <v>1182</v>
      </c>
      <c r="C1028" t="s">
        <v>1052</v>
      </c>
      <c r="D1028" t="s">
        <v>1188</v>
      </c>
      <c r="E1028">
        <v>1400000</v>
      </c>
      <c r="H1028">
        <v>0.14000000000000001</v>
      </c>
      <c r="I1028" t="s">
        <v>252</v>
      </c>
      <c r="J1028">
        <v>0.14000000000000001</v>
      </c>
      <c r="K1028" t="s">
        <v>252</v>
      </c>
      <c r="L1028" t="s">
        <v>58</v>
      </c>
      <c r="O1028">
        <v>15.5196651821645</v>
      </c>
      <c r="P1028" t="s">
        <v>1181</v>
      </c>
      <c r="T1028">
        <v>25</v>
      </c>
      <c r="V1028">
        <v>35</v>
      </c>
      <c r="W1028" t="s">
        <v>1189</v>
      </c>
      <c r="X1028" t="s">
        <v>1058</v>
      </c>
      <c r="Y1028">
        <v>9.9869145316373871</v>
      </c>
      <c r="AB1028">
        <v>0.18203573536513401</v>
      </c>
      <c r="AC1028" t="s">
        <v>85</v>
      </c>
      <c r="AD1028" t="s">
        <v>1190</v>
      </c>
      <c r="AE1028" t="s">
        <v>1184</v>
      </c>
      <c r="AI1028">
        <v>11</v>
      </c>
      <c r="AV1028" t="s">
        <v>1191</v>
      </c>
    </row>
    <row r="1029" spans="1:48" x14ac:dyDescent="0.3">
      <c r="A1029" t="s">
        <v>1182</v>
      </c>
      <c r="C1029" t="s">
        <v>1052</v>
      </c>
      <c r="D1029" t="s">
        <v>1188</v>
      </c>
      <c r="E1029">
        <v>1400000</v>
      </c>
      <c r="H1029">
        <v>0.14000000000000001</v>
      </c>
      <c r="I1029" t="s">
        <v>252</v>
      </c>
      <c r="J1029">
        <v>0.14000000000000001</v>
      </c>
      <c r="K1029" t="s">
        <v>252</v>
      </c>
      <c r="L1029" t="s">
        <v>58</v>
      </c>
      <c r="O1029">
        <v>23.3951816279444</v>
      </c>
      <c r="P1029" t="s">
        <v>1181</v>
      </c>
      <c r="T1029">
        <v>25</v>
      </c>
      <c r="V1029">
        <v>35</v>
      </c>
      <c r="W1029" t="s">
        <v>1189</v>
      </c>
      <c r="X1029" t="s">
        <v>1058</v>
      </c>
      <c r="Y1029">
        <v>15.05481443239665</v>
      </c>
      <c r="AB1029">
        <v>0.371293663143209</v>
      </c>
      <c r="AC1029" t="s">
        <v>85</v>
      </c>
      <c r="AD1029" t="s">
        <v>1190</v>
      </c>
      <c r="AE1029" t="s">
        <v>1184</v>
      </c>
      <c r="AI1029">
        <v>11</v>
      </c>
      <c r="AV1029" t="s">
        <v>1191</v>
      </c>
    </row>
    <row r="1030" spans="1:48" x14ac:dyDescent="0.3">
      <c r="A1030" t="s">
        <v>1182</v>
      </c>
      <c r="C1030" t="s">
        <v>1052</v>
      </c>
      <c r="D1030" t="s">
        <v>1188</v>
      </c>
      <c r="E1030">
        <v>1400000</v>
      </c>
      <c r="H1030">
        <v>0.14000000000000001</v>
      </c>
      <c r="I1030" t="s">
        <v>252</v>
      </c>
      <c r="J1030">
        <v>0.14000000000000001</v>
      </c>
      <c r="K1030" t="s">
        <v>252</v>
      </c>
      <c r="L1030" t="s">
        <v>58</v>
      </c>
      <c r="O1030">
        <v>31.1805548103235</v>
      </c>
      <c r="P1030" t="s">
        <v>1181</v>
      </c>
      <c r="T1030">
        <v>25</v>
      </c>
      <c r="V1030">
        <v>35</v>
      </c>
      <c r="W1030" t="s">
        <v>1189</v>
      </c>
      <c r="X1030" t="s">
        <v>1058</v>
      </c>
      <c r="Y1030">
        <v>20.06470708515026</v>
      </c>
      <c r="AB1030">
        <v>0.43553146965713302</v>
      </c>
      <c r="AC1030" t="s">
        <v>85</v>
      </c>
      <c r="AD1030" t="s">
        <v>1190</v>
      </c>
      <c r="AE1030" t="s">
        <v>1184</v>
      </c>
      <c r="AI1030">
        <v>11</v>
      </c>
      <c r="AV1030" t="s">
        <v>1191</v>
      </c>
    </row>
    <row r="1031" spans="1:48" x14ac:dyDescent="0.3">
      <c r="A1031" t="s">
        <v>1182</v>
      </c>
      <c r="C1031" t="s">
        <v>1052</v>
      </c>
      <c r="D1031" t="s">
        <v>1188</v>
      </c>
      <c r="E1031">
        <v>1400000</v>
      </c>
      <c r="H1031">
        <v>0.14000000000000001</v>
      </c>
      <c r="I1031" t="s">
        <v>252</v>
      </c>
      <c r="J1031">
        <v>0.14000000000000001</v>
      </c>
      <c r="K1031" t="s">
        <v>252</v>
      </c>
      <c r="L1031" t="s">
        <v>58</v>
      </c>
      <c r="O1031">
        <v>38.866341149326601</v>
      </c>
      <c r="P1031" t="s">
        <v>1181</v>
      </c>
      <c r="T1031">
        <v>25</v>
      </c>
      <c r="V1031">
        <v>35</v>
      </c>
      <c r="W1031" t="s">
        <v>1189</v>
      </c>
      <c r="X1031" t="s">
        <v>1058</v>
      </c>
      <c r="Y1031">
        <v>25.0105155401072</v>
      </c>
      <c r="AB1031">
        <v>0.57117561839351805</v>
      </c>
      <c r="AC1031" t="s">
        <v>85</v>
      </c>
      <c r="AD1031" t="s">
        <v>1190</v>
      </c>
      <c r="AE1031" t="s">
        <v>1184</v>
      </c>
      <c r="AI1031">
        <v>11</v>
      </c>
      <c r="AV1031" t="s">
        <v>1191</v>
      </c>
    </row>
    <row r="1032" spans="1:48" x14ac:dyDescent="0.3">
      <c r="A1032" t="s">
        <v>1182</v>
      </c>
      <c r="C1032" t="s">
        <v>1052</v>
      </c>
      <c r="D1032" t="s">
        <v>1188</v>
      </c>
      <c r="E1032">
        <v>1400000</v>
      </c>
      <c r="H1032">
        <v>0.14000000000000001</v>
      </c>
      <c r="I1032" t="s">
        <v>252</v>
      </c>
      <c r="J1032">
        <v>0.14000000000000001</v>
      </c>
      <c r="K1032" t="s">
        <v>252</v>
      </c>
      <c r="L1032" t="s">
        <v>58</v>
      </c>
      <c r="O1032">
        <v>46.750442667811299</v>
      </c>
      <c r="P1032" t="s">
        <v>1181</v>
      </c>
      <c r="T1032">
        <v>25</v>
      </c>
      <c r="V1032">
        <v>35</v>
      </c>
      <c r="W1032" t="s">
        <v>1189</v>
      </c>
      <c r="X1032" t="s">
        <v>1058</v>
      </c>
      <c r="Y1032">
        <v>30.083939940676508</v>
      </c>
      <c r="AB1032">
        <v>0.58186403391103703</v>
      </c>
      <c r="AC1032" t="s">
        <v>85</v>
      </c>
      <c r="AD1032" t="s">
        <v>1190</v>
      </c>
      <c r="AE1032" t="s">
        <v>1184</v>
      </c>
      <c r="AI1032">
        <v>11</v>
      </c>
      <c r="AV1032" t="s">
        <v>1191</v>
      </c>
    </row>
    <row r="1033" spans="1:48" x14ac:dyDescent="0.3">
      <c r="A1033" t="s">
        <v>1182</v>
      </c>
      <c r="C1033" t="s">
        <v>1052</v>
      </c>
      <c r="D1033" t="s">
        <v>1188</v>
      </c>
      <c r="E1033">
        <v>1600000</v>
      </c>
      <c r="H1033">
        <v>0.14000000000000001</v>
      </c>
      <c r="I1033" t="s">
        <v>252</v>
      </c>
      <c r="J1033">
        <v>0.14000000000000001</v>
      </c>
      <c r="K1033" t="s">
        <v>252</v>
      </c>
      <c r="L1033" t="s">
        <v>58</v>
      </c>
      <c r="O1033">
        <v>4.6359392606106498E-2</v>
      </c>
      <c r="P1033" t="s">
        <v>1181</v>
      </c>
      <c r="T1033">
        <v>25</v>
      </c>
      <c r="V1033">
        <v>35</v>
      </c>
      <c r="W1033" t="s">
        <v>1192</v>
      </c>
      <c r="X1033" t="s">
        <v>1058</v>
      </c>
      <c r="Y1033">
        <v>2.983229897432851E-2</v>
      </c>
      <c r="AB1033">
        <v>2.67961581799647E-2</v>
      </c>
      <c r="AC1033" t="s">
        <v>85</v>
      </c>
      <c r="AD1033" t="s">
        <v>1190</v>
      </c>
      <c r="AE1033" t="s">
        <v>1184</v>
      </c>
      <c r="AI1033">
        <v>11</v>
      </c>
      <c r="AV1033" t="s">
        <v>1191</v>
      </c>
    </row>
    <row r="1034" spans="1:48" x14ac:dyDescent="0.3">
      <c r="A1034" t="s">
        <v>1182</v>
      </c>
      <c r="C1034" t="s">
        <v>1052</v>
      </c>
      <c r="D1034" t="s">
        <v>1188</v>
      </c>
      <c r="E1034">
        <v>1600000</v>
      </c>
      <c r="H1034">
        <v>0.14000000000000001</v>
      </c>
      <c r="I1034" t="s">
        <v>252</v>
      </c>
      <c r="J1034">
        <v>0.14000000000000001</v>
      </c>
      <c r="K1034" t="s">
        <v>252</v>
      </c>
      <c r="L1034" t="s">
        <v>58</v>
      </c>
      <c r="O1034">
        <v>15.513226377635799</v>
      </c>
      <c r="P1034" t="s">
        <v>1181</v>
      </c>
      <c r="T1034">
        <v>25</v>
      </c>
      <c r="V1034">
        <v>35</v>
      </c>
      <c r="W1034" t="s">
        <v>1192</v>
      </c>
      <c r="X1034" t="s">
        <v>1058</v>
      </c>
      <c r="Y1034">
        <v>9.9827711567797941</v>
      </c>
      <c r="AB1034">
        <v>0.31596286956055097</v>
      </c>
      <c r="AC1034" t="s">
        <v>85</v>
      </c>
      <c r="AD1034" t="s">
        <v>1190</v>
      </c>
      <c r="AE1034" t="s">
        <v>1184</v>
      </c>
      <c r="AI1034">
        <v>11</v>
      </c>
      <c r="AV1034" t="s">
        <v>1191</v>
      </c>
    </row>
    <row r="1035" spans="1:48" x14ac:dyDescent="0.3">
      <c r="A1035" t="s">
        <v>1182</v>
      </c>
      <c r="C1035" t="s">
        <v>1052</v>
      </c>
      <c r="D1035" t="s">
        <v>1188</v>
      </c>
      <c r="E1035">
        <v>1600000</v>
      </c>
      <c r="H1035">
        <v>0.14000000000000001</v>
      </c>
      <c r="I1035" t="s">
        <v>252</v>
      </c>
      <c r="J1035">
        <v>0.14000000000000001</v>
      </c>
      <c r="K1035" t="s">
        <v>252</v>
      </c>
      <c r="L1035" t="s">
        <v>58</v>
      </c>
      <c r="O1035">
        <v>23.4836078768042</v>
      </c>
      <c r="P1035" t="s">
        <v>1181</v>
      </c>
      <c r="T1035">
        <v>25</v>
      </c>
      <c r="V1035">
        <v>35</v>
      </c>
      <c r="W1035" t="s">
        <v>1192</v>
      </c>
      <c r="X1035" t="s">
        <v>1058</v>
      </c>
      <c r="Y1035">
        <v>15.111716780440281</v>
      </c>
      <c r="AB1035">
        <v>0.53202768685947299</v>
      </c>
      <c r="AC1035" t="s">
        <v>85</v>
      </c>
      <c r="AD1035" t="s">
        <v>1190</v>
      </c>
      <c r="AE1035" t="s">
        <v>1184</v>
      </c>
      <c r="AI1035">
        <v>11</v>
      </c>
      <c r="AV1035" t="s">
        <v>1191</v>
      </c>
    </row>
    <row r="1036" spans="1:48" x14ac:dyDescent="0.3">
      <c r="A1036" t="s">
        <v>1182</v>
      </c>
      <c r="C1036" t="s">
        <v>1052</v>
      </c>
      <c r="D1036" t="s">
        <v>1188</v>
      </c>
      <c r="E1036">
        <v>1600000</v>
      </c>
      <c r="H1036">
        <v>0.14000000000000001</v>
      </c>
      <c r="I1036" t="s">
        <v>252</v>
      </c>
      <c r="J1036">
        <v>0.14000000000000001</v>
      </c>
      <c r="K1036" t="s">
        <v>252</v>
      </c>
      <c r="L1036" t="s">
        <v>58</v>
      </c>
      <c r="O1036">
        <v>31.263400761925201</v>
      </c>
      <c r="P1036" t="s">
        <v>1181</v>
      </c>
      <c r="T1036">
        <v>25</v>
      </c>
      <c r="V1036">
        <v>35</v>
      </c>
      <c r="W1036" t="s">
        <v>1192</v>
      </c>
      <c r="X1036" t="s">
        <v>1058</v>
      </c>
      <c r="Y1036">
        <v>20.11801850831738</v>
      </c>
      <c r="AB1036">
        <v>0.71233567634275896</v>
      </c>
      <c r="AC1036" t="s">
        <v>85</v>
      </c>
      <c r="AD1036" t="s">
        <v>1190</v>
      </c>
      <c r="AE1036" t="s">
        <v>1184</v>
      </c>
      <c r="AI1036">
        <v>11</v>
      </c>
      <c r="AV1036" t="s">
        <v>1191</v>
      </c>
    </row>
    <row r="1037" spans="1:48" x14ac:dyDescent="0.3">
      <c r="A1037" t="s">
        <v>1182</v>
      </c>
      <c r="C1037" t="s">
        <v>1052</v>
      </c>
      <c r="D1037" t="s">
        <v>1188</v>
      </c>
      <c r="E1037">
        <v>1600000</v>
      </c>
      <c r="H1037">
        <v>0.14000000000000001</v>
      </c>
      <c r="I1037" t="s">
        <v>252</v>
      </c>
      <c r="J1037">
        <v>0.14000000000000001</v>
      </c>
      <c r="K1037" t="s">
        <v>252</v>
      </c>
      <c r="L1037" t="s">
        <v>58</v>
      </c>
      <c r="O1037">
        <v>39.039759617964201</v>
      </c>
      <c r="P1037" t="s">
        <v>1181</v>
      </c>
      <c r="T1037">
        <v>25</v>
      </c>
      <c r="V1037">
        <v>35</v>
      </c>
      <c r="W1037" t="s">
        <v>1192</v>
      </c>
      <c r="X1037" t="s">
        <v>1058</v>
      </c>
      <c r="Y1037">
        <v>25.1221104362704</v>
      </c>
      <c r="AB1037">
        <v>0.964071470730268</v>
      </c>
      <c r="AC1037" t="s">
        <v>85</v>
      </c>
      <c r="AD1037" t="s">
        <v>1190</v>
      </c>
      <c r="AE1037" t="s">
        <v>1184</v>
      </c>
      <c r="AI1037">
        <v>11</v>
      </c>
      <c r="AV1037" t="s">
        <v>1191</v>
      </c>
    </row>
    <row r="1038" spans="1:48" x14ac:dyDescent="0.3">
      <c r="A1038" t="s">
        <v>1182</v>
      </c>
      <c r="C1038" t="s">
        <v>1052</v>
      </c>
      <c r="D1038" t="s">
        <v>1188</v>
      </c>
      <c r="E1038">
        <v>1600000</v>
      </c>
      <c r="H1038">
        <v>0.14000000000000001</v>
      </c>
      <c r="I1038" t="s">
        <v>252</v>
      </c>
      <c r="J1038">
        <v>0.14000000000000001</v>
      </c>
      <c r="K1038" t="s">
        <v>252</v>
      </c>
      <c r="L1038" t="s">
        <v>58</v>
      </c>
      <c r="O1038">
        <v>46.821269517626199</v>
      </c>
      <c r="P1038" t="s">
        <v>1181</v>
      </c>
      <c r="T1038">
        <v>25</v>
      </c>
      <c r="V1038">
        <v>35</v>
      </c>
      <c r="W1038" t="s">
        <v>1192</v>
      </c>
      <c r="X1038" t="s">
        <v>1058</v>
      </c>
      <c r="Y1038">
        <v>30.129517064109521</v>
      </c>
      <c r="AB1038">
        <v>1.1086655577614399</v>
      </c>
      <c r="AC1038" t="s">
        <v>85</v>
      </c>
      <c r="AD1038" t="s">
        <v>1190</v>
      </c>
      <c r="AE1038" t="s">
        <v>1184</v>
      </c>
      <c r="AI1038">
        <v>11</v>
      </c>
      <c r="AV1038" t="s">
        <v>1191</v>
      </c>
    </row>
    <row r="1039" spans="1:48" x14ac:dyDescent="0.3">
      <c r="A1039" t="s">
        <v>1182</v>
      </c>
      <c r="C1039" t="s">
        <v>1052</v>
      </c>
      <c r="D1039" t="s">
        <v>1188</v>
      </c>
      <c r="E1039">
        <v>450000</v>
      </c>
      <c r="H1039">
        <v>0.14000000000000001</v>
      </c>
      <c r="I1039" t="s">
        <v>252</v>
      </c>
      <c r="J1039">
        <v>0.14000000000000001</v>
      </c>
      <c r="K1039" t="s">
        <v>252</v>
      </c>
      <c r="L1039" t="s">
        <v>58</v>
      </c>
      <c r="O1039">
        <v>0.142082953265013</v>
      </c>
      <c r="P1039" t="s">
        <v>1181</v>
      </c>
      <c r="T1039">
        <v>25</v>
      </c>
      <c r="V1039">
        <v>35</v>
      </c>
      <c r="W1039" t="s">
        <v>1193</v>
      </c>
      <c r="X1039" t="s">
        <v>1058</v>
      </c>
      <c r="Y1039">
        <v>9.1430471856507725E-2</v>
      </c>
      <c r="AB1039">
        <v>3.5746096474754602E-2</v>
      </c>
      <c r="AC1039" t="s">
        <v>85</v>
      </c>
      <c r="AD1039" t="s">
        <v>1190</v>
      </c>
      <c r="AE1039" t="s">
        <v>1184</v>
      </c>
      <c r="AI1039">
        <v>10</v>
      </c>
      <c r="AV1039" t="s">
        <v>1191</v>
      </c>
    </row>
    <row r="1040" spans="1:48" x14ac:dyDescent="0.3">
      <c r="A1040" t="s">
        <v>1182</v>
      </c>
      <c r="C1040" t="s">
        <v>1052</v>
      </c>
      <c r="D1040" t="s">
        <v>1188</v>
      </c>
      <c r="E1040">
        <v>450000</v>
      </c>
      <c r="H1040">
        <v>0.14000000000000001</v>
      </c>
      <c r="I1040" t="s">
        <v>252</v>
      </c>
      <c r="J1040">
        <v>0.14000000000000001</v>
      </c>
      <c r="K1040" t="s">
        <v>252</v>
      </c>
      <c r="L1040" t="s">
        <v>58</v>
      </c>
      <c r="O1040">
        <v>15.6029403874014</v>
      </c>
      <c r="P1040" t="s">
        <v>1181</v>
      </c>
      <c r="T1040">
        <v>25</v>
      </c>
      <c r="V1040">
        <v>35</v>
      </c>
      <c r="W1040" t="s">
        <v>1193</v>
      </c>
      <c r="X1040" t="s">
        <v>1058</v>
      </c>
      <c r="Y1040">
        <v>10.040502179794981</v>
      </c>
      <c r="AB1040">
        <v>0.449911466437731</v>
      </c>
      <c r="AC1040" t="s">
        <v>85</v>
      </c>
      <c r="AD1040" t="s">
        <v>1190</v>
      </c>
      <c r="AE1040" t="s">
        <v>1184</v>
      </c>
      <c r="AI1040">
        <v>10</v>
      </c>
      <c r="AV1040" t="s">
        <v>1191</v>
      </c>
    </row>
    <row r="1041" spans="1:52" x14ac:dyDescent="0.3">
      <c r="A1041" t="s">
        <v>1182</v>
      </c>
      <c r="C1041" t="s">
        <v>1052</v>
      </c>
      <c r="D1041" t="s">
        <v>1188</v>
      </c>
      <c r="E1041">
        <v>450000</v>
      </c>
      <c r="H1041">
        <v>0.14000000000000001</v>
      </c>
      <c r="I1041" t="s">
        <v>252</v>
      </c>
      <c r="J1041">
        <v>0.14000000000000001</v>
      </c>
      <c r="K1041" t="s">
        <v>252</v>
      </c>
      <c r="L1041" t="s">
        <v>58</v>
      </c>
      <c r="O1041">
        <v>23.375006707088001</v>
      </c>
      <c r="P1041" t="s">
        <v>1181</v>
      </c>
      <c r="T1041">
        <v>25</v>
      </c>
      <c r="V1041">
        <v>35</v>
      </c>
      <c r="W1041" t="s">
        <v>1193</v>
      </c>
      <c r="X1041" t="s">
        <v>1058</v>
      </c>
      <c r="Y1041">
        <v>15.04183185784299</v>
      </c>
      <c r="AB1041">
        <v>0.79093201695551796</v>
      </c>
      <c r="AC1041" t="s">
        <v>85</v>
      </c>
      <c r="AD1041" t="s">
        <v>1190</v>
      </c>
      <c r="AE1041" t="s">
        <v>1184</v>
      </c>
      <c r="AI1041">
        <v>10</v>
      </c>
      <c r="AV1041" t="s">
        <v>1191</v>
      </c>
    </row>
    <row r="1042" spans="1:52" x14ac:dyDescent="0.3">
      <c r="A1042" t="s">
        <v>1182</v>
      </c>
      <c r="C1042" t="s">
        <v>1052</v>
      </c>
      <c r="D1042" t="s">
        <v>1188</v>
      </c>
      <c r="E1042">
        <v>450000</v>
      </c>
      <c r="H1042">
        <v>0.14000000000000001</v>
      </c>
      <c r="I1042" t="s">
        <v>252</v>
      </c>
      <c r="J1042">
        <v>0.14000000000000001</v>
      </c>
      <c r="K1042" t="s">
        <v>252</v>
      </c>
      <c r="L1042" t="s">
        <v>58</v>
      </c>
      <c r="O1042">
        <v>31.142780490422201</v>
      </c>
      <c r="P1042" t="s">
        <v>1181</v>
      </c>
      <c r="T1042">
        <v>25</v>
      </c>
      <c r="V1042">
        <v>35</v>
      </c>
      <c r="W1042" t="s">
        <v>1193</v>
      </c>
      <c r="X1042" t="s">
        <v>1058</v>
      </c>
      <c r="Y1042">
        <v>20.04039928598597</v>
      </c>
      <c r="AB1042">
        <v>1.2212373236035801</v>
      </c>
      <c r="AC1042" t="s">
        <v>85</v>
      </c>
      <c r="AD1042" t="s">
        <v>1190</v>
      </c>
      <c r="AE1042" t="s">
        <v>1184</v>
      </c>
      <c r="AI1042">
        <v>10</v>
      </c>
      <c r="AV1042" t="s">
        <v>1191</v>
      </c>
    </row>
    <row r="1043" spans="1:52" x14ac:dyDescent="0.3">
      <c r="A1043" t="s">
        <v>1182</v>
      </c>
      <c r="C1043" t="s">
        <v>1052</v>
      </c>
      <c r="D1043" t="s">
        <v>1188</v>
      </c>
      <c r="E1043">
        <v>450000</v>
      </c>
      <c r="H1043">
        <v>0.14000000000000001</v>
      </c>
      <c r="I1043" t="s">
        <v>252</v>
      </c>
      <c r="J1043">
        <v>0.14000000000000001</v>
      </c>
      <c r="K1043" t="s">
        <v>252</v>
      </c>
      <c r="L1043" t="s">
        <v>58</v>
      </c>
      <c r="O1043">
        <v>38.820411010355699</v>
      </c>
      <c r="P1043" t="s">
        <v>1181</v>
      </c>
      <c r="T1043">
        <v>25</v>
      </c>
      <c r="V1043">
        <v>35</v>
      </c>
      <c r="W1043" t="s">
        <v>1193</v>
      </c>
      <c r="X1043" t="s">
        <v>1058</v>
      </c>
      <c r="Y1043">
        <v>24.980959466123359</v>
      </c>
      <c r="AB1043">
        <v>1.5265225089874901</v>
      </c>
      <c r="AC1043" t="s">
        <v>85</v>
      </c>
      <c r="AD1043" t="s">
        <v>1190</v>
      </c>
      <c r="AE1043" t="s">
        <v>1184</v>
      </c>
      <c r="AI1043">
        <v>10</v>
      </c>
      <c r="AV1043" t="s">
        <v>1191</v>
      </c>
    </row>
    <row r="1044" spans="1:52" x14ac:dyDescent="0.3">
      <c r="A1044" t="s">
        <v>1182</v>
      </c>
      <c r="C1044" t="s">
        <v>1052</v>
      </c>
      <c r="D1044" t="s">
        <v>1188</v>
      </c>
      <c r="E1044">
        <v>450000</v>
      </c>
      <c r="H1044">
        <v>0.14000000000000001</v>
      </c>
      <c r="I1044" t="s">
        <v>252</v>
      </c>
      <c r="J1044">
        <v>0.14000000000000001</v>
      </c>
      <c r="K1044" t="s">
        <v>252</v>
      </c>
      <c r="L1044" t="s">
        <v>58</v>
      </c>
      <c r="O1044">
        <v>46.872350700219997</v>
      </c>
      <c r="P1044" t="s">
        <v>1181</v>
      </c>
      <c r="T1044">
        <v>25</v>
      </c>
      <c r="V1044">
        <v>35</v>
      </c>
      <c r="W1044" t="s">
        <v>1193</v>
      </c>
      <c r="X1044" t="s">
        <v>1058</v>
      </c>
      <c r="Y1044">
        <v>30.162387837979409</v>
      </c>
      <c r="AB1044">
        <v>2.0461769598111199</v>
      </c>
      <c r="AC1044" t="s">
        <v>85</v>
      </c>
      <c r="AD1044" t="s">
        <v>1190</v>
      </c>
      <c r="AE1044" t="s">
        <v>1184</v>
      </c>
      <c r="AI1044">
        <v>10</v>
      </c>
      <c r="AV1044" t="s">
        <v>1191</v>
      </c>
    </row>
    <row r="1045" spans="1:52" hidden="1" x14ac:dyDescent="0.3">
      <c r="A1045" t="s">
        <v>1194</v>
      </c>
      <c r="C1045" t="s">
        <v>1052</v>
      </c>
      <c r="L1045" t="s">
        <v>58</v>
      </c>
      <c r="O1045">
        <v>0</v>
      </c>
      <c r="P1045" t="s">
        <v>1195</v>
      </c>
      <c r="T1045">
        <v>25</v>
      </c>
      <c r="V1045">
        <v>50</v>
      </c>
      <c r="W1045" t="s">
        <v>1196</v>
      </c>
      <c r="X1045" t="s">
        <v>280</v>
      </c>
      <c r="Y1045">
        <v>0</v>
      </c>
      <c r="AB1045">
        <v>100</v>
      </c>
      <c r="AC1045" t="s">
        <v>1197</v>
      </c>
      <c r="AI1045">
        <v>4</v>
      </c>
    </row>
    <row r="1046" spans="1:52" hidden="1" x14ac:dyDescent="0.3">
      <c r="A1046" t="s">
        <v>1194</v>
      </c>
      <c r="C1046" t="s">
        <v>1052</v>
      </c>
      <c r="L1046" t="s">
        <v>58</v>
      </c>
      <c r="O1046">
        <v>0.5</v>
      </c>
      <c r="P1046" t="s">
        <v>1195</v>
      </c>
      <c r="T1046">
        <v>25</v>
      </c>
      <c r="V1046">
        <v>50</v>
      </c>
      <c r="W1046" t="s">
        <v>1196</v>
      </c>
      <c r="X1046" t="s">
        <v>280</v>
      </c>
      <c r="Y1046">
        <v>18</v>
      </c>
      <c r="AB1046">
        <v>11.6</v>
      </c>
      <c r="AC1046" t="s">
        <v>1197</v>
      </c>
      <c r="AI1046">
        <v>4</v>
      </c>
    </row>
    <row r="1047" spans="1:52" hidden="1" x14ac:dyDescent="0.3">
      <c r="A1047" t="s">
        <v>1194</v>
      </c>
      <c r="C1047" t="s">
        <v>1052</v>
      </c>
      <c r="L1047" t="s">
        <v>58</v>
      </c>
      <c r="O1047">
        <v>1</v>
      </c>
      <c r="P1047" t="s">
        <v>1195</v>
      </c>
      <c r="T1047">
        <v>25</v>
      </c>
      <c r="V1047">
        <v>50</v>
      </c>
      <c r="W1047" t="s">
        <v>1196</v>
      </c>
      <c r="X1047" t="s">
        <v>280</v>
      </c>
      <c r="Y1047">
        <v>36</v>
      </c>
      <c r="AB1047">
        <v>0.6</v>
      </c>
      <c r="AC1047" t="s">
        <v>1197</v>
      </c>
      <c r="AI1047">
        <v>4</v>
      </c>
    </row>
    <row r="1048" spans="1:52" hidden="1" x14ac:dyDescent="0.3">
      <c r="A1048" t="s">
        <v>1194</v>
      </c>
      <c r="C1048" t="s">
        <v>1052</v>
      </c>
      <c r="L1048" t="s">
        <v>58</v>
      </c>
      <c r="O1048">
        <v>1.5</v>
      </c>
      <c r="P1048" t="s">
        <v>1195</v>
      </c>
      <c r="T1048">
        <v>25</v>
      </c>
      <c r="V1048">
        <v>50</v>
      </c>
      <c r="W1048" t="s">
        <v>1196</v>
      </c>
      <c r="X1048" t="s">
        <v>280</v>
      </c>
      <c r="Y1048">
        <v>54</v>
      </c>
      <c r="AB1048">
        <v>0.02</v>
      </c>
      <c r="AC1048" t="s">
        <v>1197</v>
      </c>
      <c r="AI1048">
        <v>4</v>
      </c>
    </row>
    <row r="1049" spans="1:52" hidden="1" x14ac:dyDescent="0.3">
      <c r="A1049" t="s">
        <v>1194</v>
      </c>
      <c r="C1049" t="s">
        <v>1052</v>
      </c>
      <c r="L1049" t="s">
        <v>58</v>
      </c>
      <c r="O1049">
        <v>2</v>
      </c>
      <c r="P1049" t="s">
        <v>1195</v>
      </c>
      <c r="T1049">
        <v>25</v>
      </c>
      <c r="V1049">
        <v>50</v>
      </c>
      <c r="W1049" t="s">
        <v>1196</v>
      </c>
      <c r="X1049" t="s">
        <v>280</v>
      </c>
      <c r="Y1049">
        <v>71</v>
      </c>
      <c r="AB1049">
        <v>3.0000000000000001E-3</v>
      </c>
      <c r="AC1049" t="s">
        <v>1197</v>
      </c>
      <c r="AI1049">
        <v>4</v>
      </c>
    </row>
    <row r="1050" spans="1:52" x14ac:dyDescent="0.3">
      <c r="A1050" t="s">
        <v>1198</v>
      </c>
      <c r="C1050" t="s">
        <v>1052</v>
      </c>
      <c r="D1050" t="s">
        <v>81</v>
      </c>
      <c r="E1050">
        <v>38100000</v>
      </c>
      <c r="H1050">
        <v>31.7</v>
      </c>
      <c r="I1050" t="s">
        <v>1167</v>
      </c>
      <c r="J1050">
        <v>3.1699999999999999E-2</v>
      </c>
      <c r="K1050" t="s">
        <v>252</v>
      </c>
      <c r="O1050">
        <v>0</v>
      </c>
      <c r="S1050" t="s">
        <v>1199</v>
      </c>
      <c r="T1050">
        <v>1000</v>
      </c>
      <c r="V1050">
        <v>50</v>
      </c>
      <c r="W1050" t="s">
        <v>1169</v>
      </c>
      <c r="X1050" t="s">
        <v>1200</v>
      </c>
      <c r="Y1050">
        <v>3.333333333333334E-3</v>
      </c>
      <c r="AA1050" t="s">
        <v>1201</v>
      </c>
      <c r="AB1050">
        <v>7.580924975675619</v>
      </c>
      <c r="AC1050" t="s">
        <v>85</v>
      </c>
      <c r="AI1050">
        <v>7</v>
      </c>
      <c r="AV1050" t="s">
        <v>1171</v>
      </c>
      <c r="AZ1050">
        <v>0</v>
      </c>
    </row>
    <row r="1051" spans="1:52" x14ac:dyDescent="0.3">
      <c r="A1051" t="s">
        <v>1198</v>
      </c>
      <c r="C1051" t="s">
        <v>1052</v>
      </c>
      <c r="D1051" t="s">
        <v>81</v>
      </c>
      <c r="E1051">
        <v>31500000</v>
      </c>
      <c r="H1051">
        <v>31.7</v>
      </c>
      <c r="I1051" t="s">
        <v>1167</v>
      </c>
      <c r="J1051">
        <v>3.1699999999999999E-2</v>
      </c>
      <c r="K1051" t="s">
        <v>252</v>
      </c>
      <c r="O1051">
        <v>0</v>
      </c>
      <c r="S1051" t="s">
        <v>1199</v>
      </c>
      <c r="T1051">
        <v>1000</v>
      </c>
      <c r="V1051">
        <v>50</v>
      </c>
      <c r="W1051" t="s">
        <v>1169</v>
      </c>
      <c r="X1051" t="s">
        <v>1200</v>
      </c>
      <c r="Y1051">
        <v>3.333333333333334E-3</v>
      </c>
      <c r="AA1051" t="s">
        <v>1201</v>
      </c>
      <c r="AB1051">
        <v>7.4983105537896018</v>
      </c>
      <c r="AC1051" t="s">
        <v>85</v>
      </c>
      <c r="AI1051">
        <v>7</v>
      </c>
      <c r="AV1051" t="s">
        <v>1171</v>
      </c>
      <c r="AZ1051">
        <v>0</v>
      </c>
    </row>
    <row r="1052" spans="1:52" hidden="1" x14ac:dyDescent="0.3">
      <c r="A1052" t="s">
        <v>1202</v>
      </c>
      <c r="C1052" t="s">
        <v>1052</v>
      </c>
      <c r="H1052">
        <v>196</v>
      </c>
      <c r="I1052" t="s">
        <v>215</v>
      </c>
      <c r="J1052">
        <v>0.12645136000000001</v>
      </c>
      <c r="K1052" t="s">
        <v>57</v>
      </c>
      <c r="L1052" t="s">
        <v>58</v>
      </c>
      <c r="M1052" t="s">
        <v>81</v>
      </c>
      <c r="S1052">
        <v>2</v>
      </c>
      <c r="T1052">
        <v>25</v>
      </c>
      <c r="V1052">
        <v>50</v>
      </c>
      <c r="W1052" t="s">
        <v>1203</v>
      </c>
      <c r="AB1052">
        <v>0.64</v>
      </c>
      <c r="AC1052" t="s">
        <v>85</v>
      </c>
      <c r="AD1052" t="s">
        <v>511</v>
      </c>
      <c r="AE1052" t="s">
        <v>63</v>
      </c>
      <c r="AI1052">
        <v>5</v>
      </c>
      <c r="AT1052" t="s">
        <v>73</v>
      </c>
      <c r="AV1052" t="s">
        <v>1204</v>
      </c>
    </row>
    <row r="1053" spans="1:52" hidden="1" x14ac:dyDescent="0.3">
      <c r="A1053" t="s">
        <v>1202</v>
      </c>
      <c r="C1053" t="s">
        <v>1052</v>
      </c>
      <c r="H1053">
        <v>196</v>
      </c>
      <c r="I1053" t="s">
        <v>215</v>
      </c>
      <c r="J1053">
        <v>0.12645136000000001</v>
      </c>
      <c r="K1053" t="s">
        <v>57</v>
      </c>
      <c r="L1053" t="s">
        <v>58</v>
      </c>
      <c r="M1053" t="s">
        <v>81</v>
      </c>
      <c r="S1053">
        <v>2</v>
      </c>
      <c r="T1053">
        <v>25</v>
      </c>
      <c r="V1053">
        <v>50</v>
      </c>
      <c r="W1053" t="s">
        <v>1205</v>
      </c>
      <c r="AB1053">
        <v>0.57999999999999896</v>
      </c>
      <c r="AC1053" t="s">
        <v>85</v>
      </c>
      <c r="AD1053" t="s">
        <v>437</v>
      </c>
      <c r="AE1053" t="s">
        <v>63</v>
      </c>
      <c r="AI1053">
        <v>5</v>
      </c>
      <c r="AT1053" t="s">
        <v>77</v>
      </c>
      <c r="AV1053" t="s">
        <v>1204</v>
      </c>
    </row>
    <row r="1054" spans="1:52" hidden="1" x14ac:dyDescent="0.3">
      <c r="A1054" t="s">
        <v>1202</v>
      </c>
      <c r="C1054" t="s">
        <v>1052</v>
      </c>
      <c r="H1054">
        <v>196</v>
      </c>
      <c r="I1054" t="s">
        <v>215</v>
      </c>
      <c r="J1054">
        <v>0.12645136000000001</v>
      </c>
      <c r="K1054" t="s">
        <v>57</v>
      </c>
      <c r="L1054" t="s">
        <v>58</v>
      </c>
      <c r="M1054" t="s">
        <v>81</v>
      </c>
      <c r="S1054">
        <v>2</v>
      </c>
      <c r="T1054">
        <v>25</v>
      </c>
      <c r="V1054">
        <v>50</v>
      </c>
      <c r="W1054" t="s">
        <v>1206</v>
      </c>
      <c r="AB1054">
        <v>0.01</v>
      </c>
      <c r="AC1054" t="s">
        <v>85</v>
      </c>
      <c r="AD1054" t="s">
        <v>237</v>
      </c>
      <c r="AE1054" t="s">
        <v>63</v>
      </c>
      <c r="AI1054">
        <v>5</v>
      </c>
      <c r="AT1054" t="s">
        <v>75</v>
      </c>
      <c r="AV1054" t="s">
        <v>1204</v>
      </c>
    </row>
    <row r="1055" spans="1:52" hidden="1" x14ac:dyDescent="0.3">
      <c r="A1055" t="s">
        <v>1202</v>
      </c>
      <c r="C1055" t="s">
        <v>1052</v>
      </c>
      <c r="H1055">
        <v>196</v>
      </c>
      <c r="I1055" t="s">
        <v>215</v>
      </c>
      <c r="J1055">
        <v>0.12645136000000001</v>
      </c>
      <c r="K1055" t="s">
        <v>57</v>
      </c>
      <c r="L1055" t="s">
        <v>58</v>
      </c>
      <c r="M1055" t="s">
        <v>81</v>
      </c>
      <c r="S1055">
        <v>2</v>
      </c>
      <c r="T1055">
        <v>25</v>
      </c>
      <c r="V1055">
        <v>50</v>
      </c>
      <c r="W1055" t="s">
        <v>1207</v>
      </c>
      <c r="AB1055">
        <v>0.08</v>
      </c>
      <c r="AC1055" t="s">
        <v>85</v>
      </c>
      <c r="AD1055" t="s">
        <v>490</v>
      </c>
      <c r="AE1055" t="s">
        <v>63</v>
      </c>
      <c r="AI1055">
        <v>5</v>
      </c>
      <c r="AT1055" t="s">
        <v>79</v>
      </c>
      <c r="AV1055" t="s">
        <v>1204</v>
      </c>
    </row>
    <row r="1056" spans="1:52" hidden="1" x14ac:dyDescent="0.3">
      <c r="A1056" t="s">
        <v>1202</v>
      </c>
      <c r="C1056" t="s">
        <v>1052</v>
      </c>
      <c r="H1056">
        <v>196</v>
      </c>
      <c r="I1056" t="s">
        <v>215</v>
      </c>
      <c r="J1056">
        <v>0.12645136000000001</v>
      </c>
      <c r="K1056" t="s">
        <v>57</v>
      </c>
      <c r="L1056" t="s">
        <v>58</v>
      </c>
      <c r="M1056" t="s">
        <v>81</v>
      </c>
      <c r="S1056">
        <v>2</v>
      </c>
      <c r="T1056">
        <v>25</v>
      </c>
      <c r="V1056">
        <v>50</v>
      </c>
      <c r="W1056" t="s">
        <v>1208</v>
      </c>
      <c r="AB1056">
        <v>0.31</v>
      </c>
      <c r="AC1056" t="s">
        <v>85</v>
      </c>
      <c r="AD1056" t="s">
        <v>508</v>
      </c>
      <c r="AE1056" t="s">
        <v>63</v>
      </c>
      <c r="AI1056">
        <v>5</v>
      </c>
      <c r="AT1056" t="s">
        <v>77</v>
      </c>
      <c r="AV1056" t="s">
        <v>1204</v>
      </c>
    </row>
    <row r="1057" spans="1:53" hidden="1" x14ac:dyDescent="0.3">
      <c r="A1057" t="s">
        <v>1202</v>
      </c>
      <c r="C1057" t="s">
        <v>1052</v>
      </c>
      <c r="H1057">
        <v>196</v>
      </c>
      <c r="I1057" t="s">
        <v>215</v>
      </c>
      <c r="J1057">
        <v>0.12645136000000001</v>
      </c>
      <c r="K1057" t="s">
        <v>57</v>
      </c>
      <c r="L1057" t="s">
        <v>58</v>
      </c>
      <c r="M1057" t="s">
        <v>81</v>
      </c>
      <c r="S1057">
        <v>2</v>
      </c>
      <c r="T1057">
        <v>25</v>
      </c>
      <c r="V1057">
        <v>50</v>
      </c>
      <c r="W1057" t="s">
        <v>1209</v>
      </c>
      <c r="AB1057">
        <v>0.2</v>
      </c>
      <c r="AC1057" t="s">
        <v>85</v>
      </c>
      <c r="AD1057" t="s">
        <v>238</v>
      </c>
      <c r="AE1057" t="s">
        <v>63</v>
      </c>
      <c r="AI1057">
        <v>5</v>
      </c>
      <c r="AT1057" t="s">
        <v>79</v>
      </c>
      <c r="AV1057" t="s">
        <v>1204</v>
      </c>
    </row>
    <row r="1058" spans="1:53" hidden="1" x14ac:dyDescent="0.3">
      <c r="A1058" t="s">
        <v>1202</v>
      </c>
      <c r="C1058" t="s">
        <v>1052</v>
      </c>
      <c r="H1058">
        <v>196</v>
      </c>
      <c r="I1058" t="s">
        <v>215</v>
      </c>
      <c r="J1058">
        <v>0.12645136000000001</v>
      </c>
      <c r="K1058" t="s">
        <v>57</v>
      </c>
      <c r="L1058" t="s">
        <v>58</v>
      </c>
      <c r="M1058" t="s">
        <v>81</v>
      </c>
      <c r="S1058">
        <v>2</v>
      </c>
      <c r="T1058">
        <v>25</v>
      </c>
      <c r="V1058">
        <v>50</v>
      </c>
      <c r="W1058" t="s">
        <v>1210</v>
      </c>
      <c r="AB1058">
        <v>0.78</v>
      </c>
      <c r="AC1058" t="s">
        <v>85</v>
      </c>
      <c r="AD1058" t="s">
        <v>228</v>
      </c>
      <c r="AE1058" t="s">
        <v>63</v>
      </c>
      <c r="AI1058">
        <v>5</v>
      </c>
      <c r="AT1058" t="s">
        <v>75</v>
      </c>
      <c r="AV1058" t="s">
        <v>1204</v>
      </c>
    </row>
    <row r="1059" spans="1:53" hidden="1" x14ac:dyDescent="0.3">
      <c r="A1059" t="s">
        <v>1202</v>
      </c>
      <c r="C1059" t="s">
        <v>1052</v>
      </c>
      <c r="H1059">
        <v>196</v>
      </c>
      <c r="I1059" t="s">
        <v>215</v>
      </c>
      <c r="J1059">
        <v>0.12645136000000001</v>
      </c>
      <c r="K1059" t="s">
        <v>57</v>
      </c>
      <c r="L1059" t="s">
        <v>1211</v>
      </c>
      <c r="M1059" t="s">
        <v>81</v>
      </c>
      <c r="S1059">
        <v>2</v>
      </c>
      <c r="T1059">
        <v>25</v>
      </c>
      <c r="V1059">
        <v>50</v>
      </c>
      <c r="W1059" t="s">
        <v>1205</v>
      </c>
      <c r="AB1059">
        <v>1.45</v>
      </c>
      <c r="AC1059" t="s">
        <v>1212</v>
      </c>
      <c r="AD1059" t="s">
        <v>632</v>
      </c>
      <c r="AE1059" t="s">
        <v>63</v>
      </c>
      <c r="AH1059">
        <v>6.5453071164658203</v>
      </c>
      <c r="AI1059">
        <v>5</v>
      </c>
      <c r="AS1059" t="s">
        <v>1213</v>
      </c>
      <c r="AT1059" t="s">
        <v>77</v>
      </c>
      <c r="AV1059" t="s">
        <v>1204</v>
      </c>
      <c r="BA1059">
        <v>6.5453071164658203</v>
      </c>
    </row>
    <row r="1060" spans="1:53" hidden="1" x14ac:dyDescent="0.3">
      <c r="A1060" t="s">
        <v>1202</v>
      </c>
      <c r="C1060" t="s">
        <v>1052</v>
      </c>
      <c r="H1060">
        <v>196</v>
      </c>
      <c r="I1060" t="s">
        <v>215</v>
      </c>
      <c r="J1060">
        <v>0.12645136000000001</v>
      </c>
      <c r="K1060" t="s">
        <v>57</v>
      </c>
      <c r="L1060" t="s">
        <v>1214</v>
      </c>
      <c r="M1060" t="s">
        <v>81</v>
      </c>
      <c r="S1060">
        <v>2</v>
      </c>
      <c r="T1060">
        <v>25</v>
      </c>
      <c r="V1060">
        <v>50</v>
      </c>
      <c r="W1060" t="s">
        <v>1206</v>
      </c>
      <c r="AB1060">
        <v>3.08</v>
      </c>
      <c r="AC1060" t="s">
        <v>1212</v>
      </c>
      <c r="AD1060" t="s">
        <v>505</v>
      </c>
      <c r="AE1060" t="s">
        <v>63</v>
      </c>
      <c r="AH1060">
        <v>7.2380461031287897</v>
      </c>
      <c r="AI1060">
        <v>5</v>
      </c>
      <c r="AS1060" t="s">
        <v>1213</v>
      </c>
      <c r="AT1060" t="s">
        <v>75</v>
      </c>
      <c r="AV1060" t="s">
        <v>1204</v>
      </c>
      <c r="BA1060">
        <v>7.2380461031287906</v>
      </c>
    </row>
    <row r="1061" spans="1:53" hidden="1" x14ac:dyDescent="0.3">
      <c r="A1061" t="s">
        <v>1202</v>
      </c>
      <c r="C1061" t="s">
        <v>1052</v>
      </c>
      <c r="H1061">
        <v>196</v>
      </c>
      <c r="I1061" t="s">
        <v>215</v>
      </c>
      <c r="J1061">
        <v>0.12645136000000001</v>
      </c>
      <c r="K1061" t="s">
        <v>57</v>
      </c>
      <c r="L1061" t="s">
        <v>1215</v>
      </c>
      <c r="M1061" t="s">
        <v>81</v>
      </c>
      <c r="S1061">
        <v>2</v>
      </c>
      <c r="T1061">
        <v>25</v>
      </c>
      <c r="V1061">
        <v>50</v>
      </c>
      <c r="W1061" t="s">
        <v>1207</v>
      </c>
      <c r="AB1061">
        <v>1.75</v>
      </c>
      <c r="AC1061" t="s">
        <v>1212</v>
      </c>
      <c r="AD1061" t="s">
        <v>238</v>
      </c>
      <c r="AE1061" t="s">
        <v>63</v>
      </c>
      <c r="AH1061">
        <v>7.6946051989335604</v>
      </c>
      <c r="AI1061">
        <v>5</v>
      </c>
      <c r="AS1061" t="s">
        <v>1213</v>
      </c>
      <c r="AT1061" t="s">
        <v>79</v>
      </c>
      <c r="AV1061" t="s">
        <v>1204</v>
      </c>
      <c r="BA1061">
        <v>7.6946051989335604</v>
      </c>
    </row>
    <row r="1062" spans="1:53" hidden="1" x14ac:dyDescent="0.3">
      <c r="A1062" t="s">
        <v>1202</v>
      </c>
      <c r="C1062" t="s">
        <v>1052</v>
      </c>
      <c r="H1062">
        <v>196</v>
      </c>
      <c r="I1062" t="s">
        <v>215</v>
      </c>
      <c r="J1062">
        <v>0.12645136000000001</v>
      </c>
      <c r="K1062" t="s">
        <v>57</v>
      </c>
      <c r="L1062" t="s">
        <v>1216</v>
      </c>
      <c r="M1062" t="s">
        <v>81</v>
      </c>
      <c r="S1062">
        <v>2</v>
      </c>
      <c r="T1062">
        <v>25</v>
      </c>
      <c r="V1062">
        <v>50</v>
      </c>
      <c r="W1062" t="s">
        <v>1217</v>
      </c>
      <c r="AB1062">
        <v>1.87</v>
      </c>
      <c r="AC1062" t="s">
        <v>1212</v>
      </c>
      <c r="AD1062" t="s">
        <v>106</v>
      </c>
      <c r="AE1062" t="s">
        <v>63</v>
      </c>
      <c r="AH1062">
        <v>7.0293837776852</v>
      </c>
      <c r="AI1062">
        <v>5</v>
      </c>
      <c r="AS1062" t="s">
        <v>1213</v>
      </c>
      <c r="AT1062" t="s">
        <v>77</v>
      </c>
      <c r="AV1062" t="s">
        <v>1204</v>
      </c>
      <c r="BA1062">
        <v>7.0293837776852</v>
      </c>
    </row>
    <row r="1063" spans="1:53" hidden="1" x14ac:dyDescent="0.3">
      <c r="A1063" t="s">
        <v>1202</v>
      </c>
      <c r="C1063" t="s">
        <v>1052</v>
      </c>
      <c r="H1063">
        <v>196</v>
      </c>
      <c r="I1063" t="s">
        <v>215</v>
      </c>
      <c r="J1063">
        <v>0.12645136000000001</v>
      </c>
      <c r="K1063" t="s">
        <v>57</v>
      </c>
      <c r="L1063" t="s">
        <v>1218</v>
      </c>
      <c r="M1063" t="s">
        <v>81</v>
      </c>
      <c r="S1063">
        <v>2</v>
      </c>
      <c r="T1063">
        <v>25</v>
      </c>
      <c r="V1063">
        <v>50</v>
      </c>
      <c r="W1063" t="s">
        <v>1219</v>
      </c>
      <c r="AB1063">
        <v>3.79</v>
      </c>
      <c r="AC1063" t="s">
        <v>1212</v>
      </c>
      <c r="AD1063" t="s">
        <v>314</v>
      </c>
      <c r="AE1063" t="s">
        <v>63</v>
      </c>
      <c r="AH1063">
        <v>7.7810369386211304</v>
      </c>
      <c r="AI1063">
        <v>5</v>
      </c>
      <c r="AS1063" t="s">
        <v>1213</v>
      </c>
      <c r="AT1063" t="s">
        <v>79</v>
      </c>
      <c r="AV1063" t="s">
        <v>1204</v>
      </c>
      <c r="BA1063">
        <v>7.7810369386211304</v>
      </c>
    </row>
    <row r="1064" spans="1:53" hidden="1" x14ac:dyDescent="0.3">
      <c r="A1064" t="s">
        <v>1202</v>
      </c>
      <c r="C1064" t="s">
        <v>1052</v>
      </c>
      <c r="H1064">
        <v>196</v>
      </c>
      <c r="I1064" t="s">
        <v>215</v>
      </c>
      <c r="J1064">
        <v>0.12645136000000001</v>
      </c>
      <c r="K1064" t="s">
        <v>57</v>
      </c>
      <c r="L1064" t="s">
        <v>1220</v>
      </c>
      <c r="M1064" t="s">
        <v>81</v>
      </c>
      <c r="S1064">
        <v>2</v>
      </c>
      <c r="T1064">
        <v>25</v>
      </c>
      <c r="V1064">
        <v>50</v>
      </c>
      <c r="W1064" t="s">
        <v>1221</v>
      </c>
      <c r="AB1064">
        <v>1.86</v>
      </c>
      <c r="AC1064" t="s">
        <v>1212</v>
      </c>
      <c r="AD1064" t="s">
        <v>321</v>
      </c>
      <c r="AE1064" t="s">
        <v>63</v>
      </c>
      <c r="AH1064">
        <v>7.3384564936045997</v>
      </c>
      <c r="AI1064">
        <v>5</v>
      </c>
      <c r="AS1064" t="s">
        <v>1213</v>
      </c>
      <c r="AT1064" t="s">
        <v>75</v>
      </c>
      <c r="AV1064" t="s">
        <v>1204</v>
      </c>
      <c r="BA1064">
        <v>7.3384564936045997</v>
      </c>
    </row>
    <row r="1065" spans="1:53" hidden="1" x14ac:dyDescent="0.3">
      <c r="A1065" t="s">
        <v>1202</v>
      </c>
      <c r="C1065" t="s">
        <v>1052</v>
      </c>
      <c r="H1065">
        <v>196</v>
      </c>
      <c r="I1065" t="s">
        <v>215</v>
      </c>
      <c r="J1065">
        <v>0.12645136000000001</v>
      </c>
      <c r="K1065" t="s">
        <v>57</v>
      </c>
      <c r="L1065" t="s">
        <v>1222</v>
      </c>
      <c r="M1065" t="s">
        <v>81</v>
      </c>
      <c r="S1065">
        <v>2</v>
      </c>
      <c r="T1065">
        <v>25</v>
      </c>
      <c r="V1065">
        <v>50</v>
      </c>
      <c r="W1065" t="s">
        <v>1205</v>
      </c>
      <c r="AB1065">
        <v>1.92</v>
      </c>
      <c r="AC1065" t="s">
        <v>1212</v>
      </c>
      <c r="AD1065" t="s">
        <v>92</v>
      </c>
      <c r="AE1065" t="s">
        <v>63</v>
      </c>
      <c r="AH1065">
        <v>6.9329808219231897</v>
      </c>
      <c r="AI1065">
        <v>5</v>
      </c>
      <c r="AS1065" t="s">
        <v>1213</v>
      </c>
      <c r="AT1065" t="s">
        <v>77</v>
      </c>
      <c r="AV1065" t="s">
        <v>1204</v>
      </c>
      <c r="BA1065">
        <v>6.9329808219231897</v>
      </c>
    </row>
    <row r="1066" spans="1:53" hidden="1" x14ac:dyDescent="0.3">
      <c r="A1066" t="s">
        <v>1202</v>
      </c>
      <c r="C1066" t="s">
        <v>1052</v>
      </c>
      <c r="H1066">
        <v>196</v>
      </c>
      <c r="I1066" t="s">
        <v>215</v>
      </c>
      <c r="J1066">
        <v>0.12645136000000001</v>
      </c>
      <c r="K1066" t="s">
        <v>57</v>
      </c>
      <c r="L1066" t="s">
        <v>1223</v>
      </c>
      <c r="M1066" t="s">
        <v>81</v>
      </c>
      <c r="S1066">
        <v>2</v>
      </c>
      <c r="T1066">
        <v>25</v>
      </c>
      <c r="V1066">
        <v>50</v>
      </c>
      <c r="W1066" t="s">
        <v>1206</v>
      </c>
      <c r="AB1066">
        <v>0.87</v>
      </c>
      <c r="AC1066" t="s">
        <v>1212</v>
      </c>
      <c r="AD1066" t="s">
        <v>321</v>
      </c>
      <c r="AE1066" t="s">
        <v>63</v>
      </c>
      <c r="AH1066">
        <v>7.0128372247051702</v>
      </c>
      <c r="AI1066">
        <v>5</v>
      </c>
      <c r="AS1066" t="s">
        <v>1213</v>
      </c>
      <c r="AT1066" t="s">
        <v>75</v>
      </c>
      <c r="AV1066" t="s">
        <v>1204</v>
      </c>
      <c r="BA1066">
        <v>7.0128372247051702</v>
      </c>
    </row>
    <row r="1067" spans="1:53" hidden="1" x14ac:dyDescent="0.3">
      <c r="A1067" t="s">
        <v>1202</v>
      </c>
      <c r="C1067" t="s">
        <v>1052</v>
      </c>
      <c r="H1067">
        <v>196</v>
      </c>
      <c r="I1067" t="s">
        <v>215</v>
      </c>
      <c r="J1067">
        <v>0.12645136000000001</v>
      </c>
      <c r="K1067" t="s">
        <v>57</v>
      </c>
      <c r="L1067" t="s">
        <v>1224</v>
      </c>
      <c r="M1067" t="s">
        <v>81</v>
      </c>
      <c r="S1067">
        <v>2</v>
      </c>
      <c r="T1067">
        <v>25</v>
      </c>
      <c r="V1067">
        <v>50</v>
      </c>
      <c r="W1067" t="s">
        <v>1207</v>
      </c>
      <c r="AB1067">
        <v>0.91</v>
      </c>
      <c r="AC1067" t="s">
        <v>1212</v>
      </c>
      <c r="AD1067" t="s">
        <v>490</v>
      </c>
      <c r="AE1067" t="s">
        <v>63</v>
      </c>
      <c r="AH1067">
        <v>7.5622928644564702</v>
      </c>
      <c r="AI1067">
        <v>5</v>
      </c>
      <c r="AS1067" t="s">
        <v>1213</v>
      </c>
      <c r="AT1067" t="s">
        <v>79</v>
      </c>
      <c r="AV1067" t="s">
        <v>1204</v>
      </c>
      <c r="BA1067">
        <v>7.5622928644564702</v>
      </c>
    </row>
    <row r="1068" spans="1:53" hidden="1" x14ac:dyDescent="0.3">
      <c r="A1068" t="s">
        <v>1202</v>
      </c>
      <c r="C1068" t="s">
        <v>1052</v>
      </c>
      <c r="H1068">
        <v>196</v>
      </c>
      <c r="I1068" t="s">
        <v>215</v>
      </c>
      <c r="J1068">
        <v>0.12645136000000001</v>
      </c>
      <c r="K1068" t="s">
        <v>57</v>
      </c>
      <c r="L1068" t="s">
        <v>1225</v>
      </c>
      <c r="M1068" t="s">
        <v>81</v>
      </c>
      <c r="S1068">
        <v>2</v>
      </c>
      <c r="T1068">
        <v>25</v>
      </c>
      <c r="V1068">
        <v>50</v>
      </c>
      <c r="W1068" t="s">
        <v>1208</v>
      </c>
      <c r="AB1068">
        <v>2.02999999999999</v>
      </c>
      <c r="AC1068" t="s">
        <v>1212</v>
      </c>
      <c r="AD1068" t="s">
        <v>638</v>
      </c>
      <c r="AE1068" t="s">
        <v>63</v>
      </c>
      <c r="AH1068">
        <v>6.6085260335771903</v>
      </c>
      <c r="AI1068">
        <v>5</v>
      </c>
      <c r="AS1068" t="s">
        <v>1213</v>
      </c>
      <c r="AT1068" t="s">
        <v>77</v>
      </c>
      <c r="AV1068" t="s">
        <v>1204</v>
      </c>
      <c r="BA1068">
        <v>6.6085260335771903</v>
      </c>
    </row>
    <row r="1069" spans="1:53" hidden="1" x14ac:dyDescent="0.3">
      <c r="A1069" t="s">
        <v>1202</v>
      </c>
      <c r="C1069" t="s">
        <v>1052</v>
      </c>
      <c r="H1069">
        <v>196</v>
      </c>
      <c r="I1069" t="s">
        <v>215</v>
      </c>
      <c r="J1069">
        <v>0.12645136000000001</v>
      </c>
      <c r="K1069" t="s">
        <v>57</v>
      </c>
      <c r="L1069" t="s">
        <v>1226</v>
      </c>
      <c r="M1069" t="s">
        <v>81</v>
      </c>
      <c r="S1069">
        <v>2</v>
      </c>
      <c r="T1069">
        <v>25</v>
      </c>
      <c r="V1069">
        <v>50</v>
      </c>
      <c r="W1069" t="s">
        <v>1209</v>
      </c>
      <c r="AB1069">
        <v>2.54</v>
      </c>
      <c r="AC1069" t="s">
        <v>1212</v>
      </c>
      <c r="AD1069" t="s">
        <v>240</v>
      </c>
      <c r="AE1069" t="s">
        <v>63</v>
      </c>
      <c r="AH1069">
        <v>7.6503075231319304</v>
      </c>
      <c r="AI1069">
        <v>5</v>
      </c>
      <c r="AS1069" t="s">
        <v>1213</v>
      </c>
      <c r="AT1069" t="s">
        <v>79</v>
      </c>
      <c r="AV1069" t="s">
        <v>1204</v>
      </c>
      <c r="BA1069">
        <v>7.6503075231319304</v>
      </c>
    </row>
    <row r="1070" spans="1:53" hidden="1" x14ac:dyDescent="0.3">
      <c r="A1070" t="s">
        <v>1202</v>
      </c>
      <c r="C1070" t="s">
        <v>1052</v>
      </c>
      <c r="H1070">
        <v>196</v>
      </c>
      <c r="I1070" t="s">
        <v>215</v>
      </c>
      <c r="J1070">
        <v>0.12645136000000001</v>
      </c>
      <c r="K1070" t="s">
        <v>57</v>
      </c>
      <c r="L1070" t="s">
        <v>1227</v>
      </c>
      <c r="M1070" t="s">
        <v>81</v>
      </c>
      <c r="S1070">
        <v>2</v>
      </c>
      <c r="T1070">
        <v>25</v>
      </c>
      <c r="V1070">
        <v>50</v>
      </c>
      <c r="W1070" t="s">
        <v>1210</v>
      </c>
      <c r="AB1070">
        <v>2.23</v>
      </c>
      <c r="AC1070" t="s">
        <v>1212</v>
      </c>
      <c r="AD1070" t="s">
        <v>238</v>
      </c>
      <c r="AE1070" t="s">
        <v>63</v>
      </c>
      <c r="AH1070">
        <v>7.2041199826559197</v>
      </c>
      <c r="AI1070">
        <v>5</v>
      </c>
      <c r="AS1070" t="s">
        <v>1213</v>
      </c>
      <c r="AT1070" t="s">
        <v>75</v>
      </c>
      <c r="AV1070" t="s">
        <v>1204</v>
      </c>
      <c r="BA1070">
        <v>7.2041199826559197</v>
      </c>
    </row>
    <row r="1071" spans="1:53" hidden="1" x14ac:dyDescent="0.3">
      <c r="A1071" t="s">
        <v>1228</v>
      </c>
      <c r="C1071" t="s">
        <v>1052</v>
      </c>
      <c r="H1071">
        <v>14.25</v>
      </c>
      <c r="I1071" t="s">
        <v>56</v>
      </c>
      <c r="J1071">
        <v>1.4250000000000001E-3</v>
      </c>
      <c r="K1071" t="s">
        <v>57</v>
      </c>
      <c r="L1071" t="s">
        <v>112</v>
      </c>
      <c r="T1071">
        <v>22</v>
      </c>
      <c r="V1071">
        <v>50</v>
      </c>
      <c r="W1071" t="s">
        <v>540</v>
      </c>
      <c r="Y1071">
        <v>1440</v>
      </c>
      <c r="AB1071">
        <v>0.69</v>
      </c>
      <c r="AC1071" t="s">
        <v>85</v>
      </c>
      <c r="AD1071">
        <v>0.15</v>
      </c>
      <c r="AE1071" t="s">
        <v>138</v>
      </c>
      <c r="AI1071">
        <v>5</v>
      </c>
      <c r="AT1071" t="s">
        <v>212</v>
      </c>
      <c r="AV1071" t="s">
        <v>88</v>
      </c>
    </row>
    <row r="1072" spans="1:53" hidden="1" x14ac:dyDescent="0.3">
      <c r="A1072" t="s">
        <v>1228</v>
      </c>
      <c r="C1072" t="s">
        <v>1052</v>
      </c>
      <c r="H1072">
        <v>14.25</v>
      </c>
      <c r="I1072" t="s">
        <v>56</v>
      </c>
      <c r="J1072">
        <v>1.4250000000000001E-3</v>
      </c>
      <c r="K1072" t="s">
        <v>57</v>
      </c>
      <c r="L1072" t="s">
        <v>112</v>
      </c>
      <c r="T1072">
        <v>22</v>
      </c>
      <c r="V1072">
        <v>50</v>
      </c>
      <c r="W1072" t="s">
        <v>540</v>
      </c>
      <c r="Y1072">
        <v>1440</v>
      </c>
      <c r="AB1072">
        <v>0.92</v>
      </c>
      <c r="AC1072" t="s">
        <v>85</v>
      </c>
      <c r="AD1072">
        <v>0.23</v>
      </c>
      <c r="AE1072" t="s">
        <v>138</v>
      </c>
      <c r="AI1072">
        <v>5</v>
      </c>
      <c r="AT1072" t="s">
        <v>212</v>
      </c>
      <c r="AV1072" t="s">
        <v>88</v>
      </c>
    </row>
    <row r="1073" spans="1:48" hidden="1" x14ac:dyDescent="0.3">
      <c r="A1073" t="s">
        <v>1228</v>
      </c>
      <c r="C1073" t="s">
        <v>1052</v>
      </c>
      <c r="H1073">
        <v>14.25</v>
      </c>
      <c r="I1073" t="s">
        <v>56</v>
      </c>
      <c r="J1073">
        <v>1.4250000000000001E-3</v>
      </c>
      <c r="K1073" t="s">
        <v>57</v>
      </c>
      <c r="L1073" t="s">
        <v>112</v>
      </c>
      <c r="T1073">
        <v>22</v>
      </c>
      <c r="V1073">
        <v>50</v>
      </c>
      <c r="W1073" t="s">
        <v>540</v>
      </c>
      <c r="Y1073">
        <v>10080</v>
      </c>
      <c r="AB1073">
        <v>1.1599999999999999</v>
      </c>
      <c r="AC1073" t="s">
        <v>85</v>
      </c>
      <c r="AD1073">
        <v>0.34</v>
      </c>
      <c r="AE1073" t="s">
        <v>138</v>
      </c>
      <c r="AI1073">
        <v>5</v>
      </c>
      <c r="AT1073" t="s">
        <v>212</v>
      </c>
      <c r="AV1073" t="s">
        <v>88</v>
      </c>
    </row>
    <row r="1074" spans="1:48" hidden="1" x14ac:dyDescent="0.3">
      <c r="A1074" t="s">
        <v>1228</v>
      </c>
      <c r="C1074" t="s">
        <v>1052</v>
      </c>
      <c r="H1074">
        <v>14.25</v>
      </c>
      <c r="I1074" t="s">
        <v>56</v>
      </c>
      <c r="J1074">
        <v>1.4250000000000001E-3</v>
      </c>
      <c r="K1074" t="s">
        <v>57</v>
      </c>
      <c r="L1074" t="s">
        <v>112</v>
      </c>
      <c r="T1074">
        <v>22</v>
      </c>
      <c r="V1074">
        <v>50</v>
      </c>
      <c r="W1074" t="s">
        <v>540</v>
      </c>
      <c r="Y1074">
        <v>10080</v>
      </c>
      <c r="AB1074">
        <v>0.11</v>
      </c>
      <c r="AC1074" t="s">
        <v>85</v>
      </c>
      <c r="AD1074">
        <v>0.23</v>
      </c>
      <c r="AE1074" t="s">
        <v>138</v>
      </c>
      <c r="AI1074">
        <v>5</v>
      </c>
      <c r="AT1074" t="s">
        <v>212</v>
      </c>
      <c r="AV1074" t="s">
        <v>88</v>
      </c>
    </row>
    <row r="1075" spans="1:48" hidden="1" x14ac:dyDescent="0.3">
      <c r="A1075" t="s">
        <v>1228</v>
      </c>
      <c r="C1075" t="s">
        <v>1052</v>
      </c>
      <c r="H1075">
        <v>14.25</v>
      </c>
      <c r="I1075" t="s">
        <v>56</v>
      </c>
      <c r="J1075">
        <v>1.4250000000000001E-3</v>
      </c>
      <c r="K1075" t="s">
        <v>57</v>
      </c>
      <c r="L1075" t="s">
        <v>112</v>
      </c>
      <c r="T1075">
        <v>22</v>
      </c>
      <c r="V1075">
        <v>50</v>
      </c>
      <c r="W1075" t="s">
        <v>540</v>
      </c>
      <c r="Y1075">
        <v>20160</v>
      </c>
      <c r="AB1075">
        <v>1.01</v>
      </c>
      <c r="AC1075" t="s">
        <v>85</v>
      </c>
      <c r="AD1075">
        <v>0.64</v>
      </c>
      <c r="AE1075" t="s">
        <v>138</v>
      </c>
      <c r="AI1075">
        <v>5</v>
      </c>
      <c r="AT1075" t="s">
        <v>212</v>
      </c>
      <c r="AV1075" t="s">
        <v>88</v>
      </c>
    </row>
    <row r="1076" spans="1:48" hidden="1" x14ac:dyDescent="0.3">
      <c r="A1076" t="s">
        <v>1228</v>
      </c>
      <c r="C1076" t="s">
        <v>1052</v>
      </c>
      <c r="H1076">
        <v>14.25</v>
      </c>
      <c r="I1076" t="s">
        <v>56</v>
      </c>
      <c r="J1076">
        <v>1.4250000000000001E-3</v>
      </c>
      <c r="K1076" t="s">
        <v>57</v>
      </c>
      <c r="L1076" t="s">
        <v>112</v>
      </c>
      <c r="T1076">
        <v>22</v>
      </c>
      <c r="V1076">
        <v>50</v>
      </c>
      <c r="W1076" t="s">
        <v>540</v>
      </c>
      <c r="Y1076">
        <v>20160</v>
      </c>
      <c r="AB1076">
        <v>0.94</v>
      </c>
      <c r="AC1076" t="s">
        <v>85</v>
      </c>
      <c r="AD1076">
        <v>0.64</v>
      </c>
      <c r="AE1076" t="s">
        <v>138</v>
      </c>
      <c r="AI1076">
        <v>5</v>
      </c>
      <c r="AT1076" t="s">
        <v>212</v>
      </c>
      <c r="AV1076" t="s">
        <v>88</v>
      </c>
    </row>
    <row r="1077" spans="1:48" hidden="1" x14ac:dyDescent="0.3">
      <c r="A1077" t="s">
        <v>1228</v>
      </c>
      <c r="C1077" t="s">
        <v>1052</v>
      </c>
      <c r="H1077">
        <v>14.25</v>
      </c>
      <c r="I1077" t="s">
        <v>56</v>
      </c>
      <c r="J1077">
        <v>1.4250000000000001E-3</v>
      </c>
      <c r="K1077" t="s">
        <v>57</v>
      </c>
      <c r="L1077" t="s">
        <v>112</v>
      </c>
      <c r="T1077">
        <v>22</v>
      </c>
      <c r="V1077">
        <v>50</v>
      </c>
      <c r="W1077" t="s">
        <v>540</v>
      </c>
      <c r="Y1077">
        <v>40320</v>
      </c>
      <c r="AB1077">
        <v>1.51</v>
      </c>
      <c r="AC1077" t="s">
        <v>85</v>
      </c>
      <c r="AD1077">
        <v>0.6</v>
      </c>
      <c r="AE1077" t="s">
        <v>138</v>
      </c>
      <c r="AI1077">
        <v>5</v>
      </c>
      <c r="AT1077" t="s">
        <v>212</v>
      </c>
      <c r="AV1077" t="s">
        <v>88</v>
      </c>
    </row>
    <row r="1078" spans="1:48" hidden="1" x14ac:dyDescent="0.3">
      <c r="A1078" t="s">
        <v>1228</v>
      </c>
      <c r="C1078" t="s">
        <v>1052</v>
      </c>
      <c r="H1078">
        <v>14.25</v>
      </c>
      <c r="I1078" t="s">
        <v>56</v>
      </c>
      <c r="J1078">
        <v>1.4250000000000001E-3</v>
      </c>
      <c r="K1078" t="s">
        <v>57</v>
      </c>
      <c r="L1078" t="s">
        <v>112</v>
      </c>
      <c r="T1078">
        <v>22</v>
      </c>
      <c r="V1078">
        <v>50</v>
      </c>
      <c r="W1078" t="s">
        <v>540</v>
      </c>
      <c r="Y1078">
        <v>40320</v>
      </c>
      <c r="AB1078">
        <v>1.27</v>
      </c>
      <c r="AC1078" t="s">
        <v>85</v>
      </c>
      <c r="AD1078">
        <v>0.2</v>
      </c>
      <c r="AE1078" t="s">
        <v>138</v>
      </c>
      <c r="AI1078">
        <v>5</v>
      </c>
      <c r="AT1078" t="s">
        <v>212</v>
      </c>
      <c r="AV1078" t="s">
        <v>88</v>
      </c>
    </row>
    <row r="1079" spans="1:48" hidden="1" x14ac:dyDescent="0.3">
      <c r="A1079" t="s">
        <v>1228</v>
      </c>
      <c r="C1079" t="s">
        <v>1052</v>
      </c>
      <c r="H1079">
        <v>14.25</v>
      </c>
      <c r="I1079" t="s">
        <v>56</v>
      </c>
      <c r="J1079">
        <v>1.4250000000000001E-3</v>
      </c>
      <c r="K1079" t="s">
        <v>57</v>
      </c>
      <c r="L1079" t="s">
        <v>112</v>
      </c>
      <c r="T1079">
        <v>22</v>
      </c>
      <c r="V1079">
        <v>50</v>
      </c>
      <c r="W1079" t="s">
        <v>147</v>
      </c>
      <c r="Y1079">
        <v>1440</v>
      </c>
      <c r="AB1079">
        <v>3.77</v>
      </c>
      <c r="AC1079" t="s">
        <v>85</v>
      </c>
      <c r="AD1079">
        <v>0.28999999999999998</v>
      </c>
      <c r="AE1079" t="s">
        <v>138</v>
      </c>
      <c r="AI1079">
        <v>5</v>
      </c>
      <c r="AT1079" t="s">
        <v>150</v>
      </c>
      <c r="AV1079" t="s">
        <v>88</v>
      </c>
    </row>
    <row r="1080" spans="1:48" hidden="1" x14ac:dyDescent="0.3">
      <c r="A1080" t="s">
        <v>1228</v>
      </c>
      <c r="C1080" t="s">
        <v>1052</v>
      </c>
      <c r="H1080">
        <v>14.25</v>
      </c>
      <c r="I1080" t="s">
        <v>56</v>
      </c>
      <c r="J1080">
        <v>1.4250000000000001E-3</v>
      </c>
      <c r="K1080" t="s">
        <v>57</v>
      </c>
      <c r="L1080" t="s">
        <v>112</v>
      </c>
      <c r="T1080">
        <v>22</v>
      </c>
      <c r="V1080">
        <v>50</v>
      </c>
      <c r="W1080" t="s">
        <v>147</v>
      </c>
      <c r="Y1080">
        <v>1440</v>
      </c>
      <c r="AB1080">
        <v>2.59</v>
      </c>
      <c r="AC1080" t="s">
        <v>85</v>
      </c>
      <c r="AD1080">
        <v>0.24</v>
      </c>
      <c r="AE1080" t="s">
        <v>138</v>
      </c>
      <c r="AI1080">
        <v>5</v>
      </c>
      <c r="AT1080" t="s">
        <v>150</v>
      </c>
      <c r="AV1080" t="s">
        <v>88</v>
      </c>
    </row>
    <row r="1081" spans="1:48" hidden="1" x14ac:dyDescent="0.3">
      <c r="A1081" t="s">
        <v>1228</v>
      </c>
      <c r="C1081" t="s">
        <v>1052</v>
      </c>
      <c r="H1081">
        <v>14.25</v>
      </c>
      <c r="I1081" t="s">
        <v>56</v>
      </c>
      <c r="J1081">
        <v>1.4250000000000001E-3</v>
      </c>
      <c r="K1081" t="s">
        <v>57</v>
      </c>
      <c r="L1081" t="s">
        <v>112</v>
      </c>
      <c r="T1081">
        <v>22</v>
      </c>
      <c r="V1081">
        <v>50</v>
      </c>
      <c r="W1081" t="s">
        <v>147</v>
      </c>
      <c r="Y1081">
        <v>10080</v>
      </c>
      <c r="AB1081">
        <v>5.25</v>
      </c>
      <c r="AC1081" t="s">
        <v>85</v>
      </c>
      <c r="AD1081">
        <v>1.61</v>
      </c>
      <c r="AE1081" t="s">
        <v>138</v>
      </c>
      <c r="AI1081">
        <v>5</v>
      </c>
      <c r="AT1081" t="s">
        <v>150</v>
      </c>
      <c r="AV1081" t="s">
        <v>88</v>
      </c>
    </row>
    <row r="1082" spans="1:48" hidden="1" x14ac:dyDescent="0.3">
      <c r="A1082" t="s">
        <v>1228</v>
      </c>
      <c r="C1082" t="s">
        <v>1052</v>
      </c>
      <c r="H1082">
        <v>14.25</v>
      </c>
      <c r="I1082" t="s">
        <v>56</v>
      </c>
      <c r="J1082">
        <v>1.4250000000000001E-3</v>
      </c>
      <c r="K1082" t="s">
        <v>57</v>
      </c>
      <c r="L1082" t="s">
        <v>112</v>
      </c>
      <c r="T1082">
        <v>22</v>
      </c>
      <c r="V1082">
        <v>50</v>
      </c>
      <c r="W1082" t="s">
        <v>147</v>
      </c>
      <c r="Y1082">
        <v>10080</v>
      </c>
      <c r="AB1082">
        <v>3.84</v>
      </c>
      <c r="AC1082" t="s">
        <v>85</v>
      </c>
      <c r="AD1082">
        <v>0.15</v>
      </c>
      <c r="AE1082" t="s">
        <v>138</v>
      </c>
      <c r="AI1082">
        <v>5</v>
      </c>
      <c r="AT1082" t="s">
        <v>150</v>
      </c>
      <c r="AV1082" t="s">
        <v>88</v>
      </c>
    </row>
    <row r="1083" spans="1:48" hidden="1" x14ac:dyDescent="0.3">
      <c r="A1083" t="s">
        <v>1228</v>
      </c>
      <c r="C1083" t="s">
        <v>1052</v>
      </c>
      <c r="H1083">
        <v>14.25</v>
      </c>
      <c r="I1083" t="s">
        <v>56</v>
      </c>
      <c r="J1083">
        <v>1.4250000000000001E-3</v>
      </c>
      <c r="K1083" t="s">
        <v>57</v>
      </c>
      <c r="L1083" t="s">
        <v>112</v>
      </c>
      <c r="T1083">
        <v>22</v>
      </c>
      <c r="V1083">
        <v>50</v>
      </c>
      <c r="W1083" t="s">
        <v>147</v>
      </c>
      <c r="Y1083">
        <v>20160</v>
      </c>
      <c r="AB1083">
        <v>5.81</v>
      </c>
      <c r="AC1083" t="s">
        <v>85</v>
      </c>
      <c r="AD1083">
        <v>1.4</v>
      </c>
      <c r="AE1083" t="s">
        <v>138</v>
      </c>
      <c r="AI1083">
        <v>5</v>
      </c>
      <c r="AT1083" t="s">
        <v>150</v>
      </c>
      <c r="AV1083" t="s">
        <v>88</v>
      </c>
    </row>
    <row r="1084" spans="1:48" hidden="1" x14ac:dyDescent="0.3">
      <c r="A1084" t="s">
        <v>1228</v>
      </c>
      <c r="C1084" t="s">
        <v>1052</v>
      </c>
      <c r="H1084">
        <v>14.25</v>
      </c>
      <c r="I1084" t="s">
        <v>56</v>
      </c>
      <c r="J1084">
        <v>1.4250000000000001E-3</v>
      </c>
      <c r="K1084" t="s">
        <v>57</v>
      </c>
      <c r="L1084" t="s">
        <v>112</v>
      </c>
      <c r="T1084">
        <v>22</v>
      </c>
      <c r="V1084">
        <v>50</v>
      </c>
      <c r="W1084" t="s">
        <v>147</v>
      </c>
      <c r="Y1084">
        <v>20160</v>
      </c>
      <c r="AB1084">
        <v>3.99</v>
      </c>
      <c r="AC1084" t="s">
        <v>85</v>
      </c>
      <c r="AD1084">
        <v>0.37</v>
      </c>
      <c r="AE1084" t="s">
        <v>138</v>
      </c>
      <c r="AI1084">
        <v>5</v>
      </c>
      <c r="AT1084" t="s">
        <v>150</v>
      </c>
      <c r="AV1084" t="s">
        <v>88</v>
      </c>
    </row>
    <row r="1085" spans="1:48" hidden="1" x14ac:dyDescent="0.3">
      <c r="A1085" t="s">
        <v>1228</v>
      </c>
      <c r="C1085" t="s">
        <v>1052</v>
      </c>
      <c r="H1085">
        <v>14.25</v>
      </c>
      <c r="I1085" t="s">
        <v>56</v>
      </c>
      <c r="J1085">
        <v>1.4250000000000001E-3</v>
      </c>
      <c r="K1085" t="s">
        <v>57</v>
      </c>
      <c r="L1085" t="s">
        <v>112</v>
      </c>
      <c r="T1085">
        <v>22</v>
      </c>
      <c r="V1085">
        <v>50</v>
      </c>
      <c r="W1085" t="s">
        <v>147</v>
      </c>
      <c r="Y1085">
        <v>40320</v>
      </c>
      <c r="AB1085">
        <v>4.72</v>
      </c>
      <c r="AC1085" t="s">
        <v>85</v>
      </c>
      <c r="AD1085">
        <v>0.88</v>
      </c>
      <c r="AE1085" t="s">
        <v>138</v>
      </c>
      <c r="AI1085">
        <v>5</v>
      </c>
      <c r="AT1085" t="s">
        <v>150</v>
      </c>
      <c r="AV1085" t="s">
        <v>88</v>
      </c>
    </row>
    <row r="1086" spans="1:48" hidden="1" x14ac:dyDescent="0.3">
      <c r="A1086" t="s">
        <v>1228</v>
      </c>
      <c r="C1086" t="s">
        <v>1052</v>
      </c>
      <c r="H1086">
        <v>14.25</v>
      </c>
      <c r="I1086" t="s">
        <v>56</v>
      </c>
      <c r="J1086">
        <v>1.4250000000000001E-3</v>
      </c>
      <c r="K1086" t="s">
        <v>57</v>
      </c>
      <c r="L1086" t="s">
        <v>112</v>
      </c>
      <c r="T1086">
        <v>22</v>
      </c>
      <c r="V1086">
        <v>50</v>
      </c>
      <c r="W1086" t="s">
        <v>147</v>
      </c>
      <c r="Y1086">
        <v>40320</v>
      </c>
      <c r="AB1086">
        <v>5.29</v>
      </c>
      <c r="AC1086" t="s">
        <v>85</v>
      </c>
      <c r="AD1086">
        <v>1.21</v>
      </c>
      <c r="AE1086" t="s">
        <v>138</v>
      </c>
      <c r="AI1086">
        <v>5</v>
      </c>
      <c r="AT1086" t="s">
        <v>150</v>
      </c>
      <c r="AV1086" t="s">
        <v>88</v>
      </c>
    </row>
    <row r="1087" spans="1:48" hidden="1" x14ac:dyDescent="0.3">
      <c r="A1087" t="s">
        <v>1228</v>
      </c>
      <c r="C1087" t="s">
        <v>1052</v>
      </c>
      <c r="H1087">
        <v>9.6199999999999992</v>
      </c>
      <c r="I1087" t="s">
        <v>56</v>
      </c>
      <c r="J1087">
        <v>9.6199999999999996E-4</v>
      </c>
      <c r="K1087" t="s">
        <v>57</v>
      </c>
      <c r="L1087" t="s">
        <v>112</v>
      </c>
      <c r="T1087">
        <v>22</v>
      </c>
      <c r="V1087">
        <v>50</v>
      </c>
      <c r="W1087" t="s">
        <v>1229</v>
      </c>
      <c r="Y1087">
        <v>1440</v>
      </c>
      <c r="AB1087">
        <v>-1.1000000000000001</v>
      </c>
      <c r="AC1087" t="s">
        <v>85</v>
      </c>
      <c r="AD1087">
        <v>0.19</v>
      </c>
      <c r="AE1087" t="s">
        <v>138</v>
      </c>
      <c r="AI1087">
        <v>5</v>
      </c>
      <c r="AT1087" t="s">
        <v>221</v>
      </c>
      <c r="AV1087" t="s">
        <v>88</v>
      </c>
    </row>
    <row r="1088" spans="1:48" hidden="1" x14ac:dyDescent="0.3">
      <c r="A1088" t="s">
        <v>1228</v>
      </c>
      <c r="C1088" t="s">
        <v>1052</v>
      </c>
      <c r="H1088">
        <v>9.6199999999999992</v>
      </c>
      <c r="I1088" t="s">
        <v>56</v>
      </c>
      <c r="J1088">
        <v>9.6199999999999996E-4</v>
      </c>
      <c r="K1088" t="s">
        <v>57</v>
      </c>
      <c r="L1088" t="s">
        <v>112</v>
      </c>
      <c r="T1088">
        <v>22</v>
      </c>
      <c r="V1088">
        <v>50</v>
      </c>
      <c r="W1088" t="s">
        <v>1229</v>
      </c>
      <c r="Y1088">
        <v>1440</v>
      </c>
      <c r="AB1088">
        <v>0.31</v>
      </c>
      <c r="AC1088" t="s">
        <v>85</v>
      </c>
      <c r="AD1088">
        <v>0.5</v>
      </c>
      <c r="AE1088" t="s">
        <v>138</v>
      </c>
      <c r="AI1088">
        <v>5</v>
      </c>
      <c r="AT1088" t="s">
        <v>221</v>
      </c>
      <c r="AV1088" t="s">
        <v>88</v>
      </c>
    </row>
    <row r="1089" spans="1:48" hidden="1" x14ac:dyDescent="0.3">
      <c r="A1089" t="s">
        <v>1228</v>
      </c>
      <c r="C1089" t="s">
        <v>1052</v>
      </c>
      <c r="H1089">
        <v>9.6199999999999992</v>
      </c>
      <c r="I1089" t="s">
        <v>56</v>
      </c>
      <c r="J1089">
        <v>9.6199999999999996E-4</v>
      </c>
      <c r="K1089" t="s">
        <v>57</v>
      </c>
      <c r="L1089" t="s">
        <v>112</v>
      </c>
      <c r="T1089">
        <v>22</v>
      </c>
      <c r="V1089">
        <v>50</v>
      </c>
      <c r="W1089" t="s">
        <v>1229</v>
      </c>
      <c r="Y1089">
        <v>10080</v>
      </c>
      <c r="AB1089">
        <v>0.09</v>
      </c>
      <c r="AC1089" t="s">
        <v>85</v>
      </c>
      <c r="AD1089">
        <v>0.08</v>
      </c>
      <c r="AE1089" t="s">
        <v>138</v>
      </c>
      <c r="AI1089">
        <v>5</v>
      </c>
      <c r="AT1089" t="s">
        <v>221</v>
      </c>
      <c r="AV1089" t="s">
        <v>88</v>
      </c>
    </row>
    <row r="1090" spans="1:48" hidden="1" x14ac:dyDescent="0.3">
      <c r="A1090" t="s">
        <v>1228</v>
      </c>
      <c r="C1090" t="s">
        <v>1052</v>
      </c>
      <c r="H1090">
        <v>9.6199999999999992</v>
      </c>
      <c r="I1090" t="s">
        <v>56</v>
      </c>
      <c r="J1090">
        <v>9.6199999999999996E-4</v>
      </c>
      <c r="K1090" t="s">
        <v>57</v>
      </c>
      <c r="L1090" t="s">
        <v>112</v>
      </c>
      <c r="T1090">
        <v>22</v>
      </c>
      <c r="V1090">
        <v>50</v>
      </c>
      <c r="W1090" t="s">
        <v>1229</v>
      </c>
      <c r="Y1090">
        <v>10080</v>
      </c>
      <c r="AB1090">
        <v>0.75</v>
      </c>
      <c r="AC1090" t="s">
        <v>85</v>
      </c>
      <c r="AD1090">
        <v>0.19</v>
      </c>
      <c r="AE1090" t="s">
        <v>138</v>
      </c>
      <c r="AI1090">
        <v>5</v>
      </c>
      <c r="AT1090" t="s">
        <v>221</v>
      </c>
      <c r="AV1090" t="s">
        <v>88</v>
      </c>
    </row>
    <row r="1091" spans="1:48" hidden="1" x14ac:dyDescent="0.3">
      <c r="A1091" t="s">
        <v>1228</v>
      </c>
      <c r="C1091" t="s">
        <v>1052</v>
      </c>
      <c r="H1091">
        <v>9.6199999999999992</v>
      </c>
      <c r="I1091" t="s">
        <v>56</v>
      </c>
      <c r="J1091">
        <v>9.6199999999999996E-4</v>
      </c>
      <c r="K1091" t="s">
        <v>57</v>
      </c>
      <c r="L1091" t="s">
        <v>112</v>
      </c>
      <c r="T1091">
        <v>22</v>
      </c>
      <c r="V1091">
        <v>50</v>
      </c>
      <c r="W1091" t="s">
        <v>1229</v>
      </c>
      <c r="Y1091">
        <v>20160</v>
      </c>
      <c r="AB1091">
        <v>0.17</v>
      </c>
      <c r="AC1091" t="s">
        <v>85</v>
      </c>
      <c r="AD1091">
        <v>0.1</v>
      </c>
      <c r="AE1091" t="s">
        <v>138</v>
      </c>
      <c r="AI1091">
        <v>5</v>
      </c>
      <c r="AT1091" t="s">
        <v>221</v>
      </c>
      <c r="AV1091" t="s">
        <v>88</v>
      </c>
    </row>
    <row r="1092" spans="1:48" hidden="1" x14ac:dyDescent="0.3">
      <c r="A1092" t="s">
        <v>1228</v>
      </c>
      <c r="C1092" t="s">
        <v>1052</v>
      </c>
      <c r="H1092">
        <v>9.6199999999999992</v>
      </c>
      <c r="I1092" t="s">
        <v>56</v>
      </c>
      <c r="J1092">
        <v>9.6199999999999996E-4</v>
      </c>
      <c r="K1092" t="s">
        <v>57</v>
      </c>
      <c r="L1092" t="s">
        <v>112</v>
      </c>
      <c r="T1092">
        <v>22</v>
      </c>
      <c r="V1092">
        <v>50</v>
      </c>
      <c r="W1092" t="s">
        <v>1229</v>
      </c>
      <c r="Y1092">
        <v>20160</v>
      </c>
      <c r="AB1092">
        <v>-0.08</v>
      </c>
      <c r="AC1092" t="s">
        <v>85</v>
      </c>
      <c r="AD1092">
        <v>0.38</v>
      </c>
      <c r="AE1092" t="s">
        <v>138</v>
      </c>
      <c r="AI1092">
        <v>5</v>
      </c>
      <c r="AT1092" t="s">
        <v>221</v>
      </c>
      <c r="AV1092" t="s">
        <v>88</v>
      </c>
    </row>
    <row r="1093" spans="1:48" hidden="1" x14ac:dyDescent="0.3">
      <c r="A1093" t="s">
        <v>1228</v>
      </c>
      <c r="C1093" t="s">
        <v>1052</v>
      </c>
      <c r="H1093">
        <v>9.6199999999999992</v>
      </c>
      <c r="I1093" t="s">
        <v>56</v>
      </c>
      <c r="J1093">
        <v>9.6199999999999996E-4</v>
      </c>
      <c r="K1093" t="s">
        <v>57</v>
      </c>
      <c r="L1093" t="s">
        <v>112</v>
      </c>
      <c r="T1093">
        <v>22</v>
      </c>
      <c r="V1093">
        <v>50</v>
      </c>
      <c r="W1093" t="s">
        <v>1229</v>
      </c>
      <c r="Y1093">
        <v>40320</v>
      </c>
      <c r="AB1093">
        <v>0.2</v>
      </c>
      <c r="AC1093" t="s">
        <v>85</v>
      </c>
      <c r="AD1093">
        <v>0.15</v>
      </c>
      <c r="AE1093" t="s">
        <v>138</v>
      </c>
      <c r="AI1093">
        <v>5</v>
      </c>
      <c r="AT1093" t="s">
        <v>221</v>
      </c>
      <c r="AV1093" t="s">
        <v>88</v>
      </c>
    </row>
    <row r="1094" spans="1:48" hidden="1" x14ac:dyDescent="0.3">
      <c r="A1094" t="s">
        <v>1228</v>
      </c>
      <c r="C1094" t="s">
        <v>1052</v>
      </c>
      <c r="H1094">
        <v>9.6199999999999992</v>
      </c>
      <c r="I1094" t="s">
        <v>56</v>
      </c>
      <c r="J1094">
        <v>9.6199999999999996E-4</v>
      </c>
      <c r="K1094" t="s">
        <v>57</v>
      </c>
      <c r="L1094" t="s">
        <v>112</v>
      </c>
      <c r="T1094">
        <v>22</v>
      </c>
      <c r="V1094">
        <v>50</v>
      </c>
      <c r="W1094" t="s">
        <v>1229</v>
      </c>
      <c r="Y1094">
        <v>40320</v>
      </c>
      <c r="AB1094">
        <v>0.15</v>
      </c>
      <c r="AC1094" t="s">
        <v>85</v>
      </c>
      <c r="AD1094">
        <v>0.09</v>
      </c>
      <c r="AE1094" t="s">
        <v>138</v>
      </c>
      <c r="AI1094">
        <v>5</v>
      </c>
      <c r="AT1094" t="s">
        <v>221</v>
      </c>
      <c r="AV1094" t="s">
        <v>88</v>
      </c>
    </row>
    <row r="1095" spans="1:48" hidden="1" x14ac:dyDescent="0.3">
      <c r="A1095" t="s">
        <v>1228</v>
      </c>
      <c r="C1095" t="s">
        <v>1052</v>
      </c>
      <c r="H1095">
        <v>14.25</v>
      </c>
      <c r="I1095" t="s">
        <v>56</v>
      </c>
      <c r="J1095">
        <v>1.4250000000000001E-3</v>
      </c>
      <c r="K1095" t="s">
        <v>57</v>
      </c>
      <c r="L1095" t="s">
        <v>112</v>
      </c>
      <c r="T1095">
        <v>22</v>
      </c>
      <c r="V1095">
        <v>50</v>
      </c>
      <c r="W1095" t="s">
        <v>549</v>
      </c>
      <c r="Y1095">
        <v>1440</v>
      </c>
      <c r="AB1095">
        <v>0.81</v>
      </c>
      <c r="AC1095" t="s">
        <v>85</v>
      </c>
      <c r="AD1095">
        <v>0.24</v>
      </c>
      <c r="AE1095" t="s">
        <v>138</v>
      </c>
      <c r="AI1095">
        <v>5</v>
      </c>
      <c r="AT1095" t="s">
        <v>77</v>
      </c>
      <c r="AV1095" t="s">
        <v>88</v>
      </c>
    </row>
    <row r="1096" spans="1:48" hidden="1" x14ac:dyDescent="0.3">
      <c r="A1096" t="s">
        <v>1228</v>
      </c>
      <c r="C1096" t="s">
        <v>1052</v>
      </c>
      <c r="H1096">
        <v>14.25</v>
      </c>
      <c r="I1096" t="s">
        <v>56</v>
      </c>
      <c r="J1096">
        <v>1.4250000000000001E-3</v>
      </c>
      <c r="K1096" t="s">
        <v>57</v>
      </c>
      <c r="L1096" t="s">
        <v>112</v>
      </c>
      <c r="T1096">
        <v>22</v>
      </c>
      <c r="V1096">
        <v>50</v>
      </c>
      <c r="W1096" t="s">
        <v>549</v>
      </c>
      <c r="Y1096">
        <v>1440</v>
      </c>
      <c r="AB1096">
        <v>0.44</v>
      </c>
      <c r="AC1096" t="s">
        <v>85</v>
      </c>
      <c r="AD1096">
        <v>0.37</v>
      </c>
      <c r="AE1096" t="s">
        <v>138</v>
      </c>
      <c r="AI1096">
        <v>5</v>
      </c>
      <c r="AT1096" t="s">
        <v>77</v>
      </c>
      <c r="AV1096" t="s">
        <v>88</v>
      </c>
    </row>
    <row r="1097" spans="1:48" hidden="1" x14ac:dyDescent="0.3">
      <c r="A1097" t="s">
        <v>1228</v>
      </c>
      <c r="C1097" t="s">
        <v>1052</v>
      </c>
      <c r="H1097">
        <v>14.25</v>
      </c>
      <c r="I1097" t="s">
        <v>56</v>
      </c>
      <c r="J1097">
        <v>1.4250000000000001E-3</v>
      </c>
      <c r="K1097" t="s">
        <v>57</v>
      </c>
      <c r="L1097" t="s">
        <v>112</v>
      </c>
      <c r="T1097">
        <v>22</v>
      </c>
      <c r="V1097">
        <v>50</v>
      </c>
      <c r="W1097" t="s">
        <v>549</v>
      </c>
      <c r="Y1097">
        <v>10080</v>
      </c>
      <c r="AB1097">
        <v>0.65</v>
      </c>
      <c r="AC1097" t="s">
        <v>85</v>
      </c>
      <c r="AD1097">
        <v>0.28000000000000003</v>
      </c>
      <c r="AE1097" t="s">
        <v>138</v>
      </c>
      <c r="AI1097">
        <v>5</v>
      </c>
      <c r="AT1097" t="s">
        <v>77</v>
      </c>
      <c r="AV1097" t="s">
        <v>88</v>
      </c>
    </row>
    <row r="1098" spans="1:48" hidden="1" x14ac:dyDescent="0.3">
      <c r="A1098" t="s">
        <v>1228</v>
      </c>
      <c r="C1098" t="s">
        <v>1052</v>
      </c>
      <c r="H1098">
        <v>14.25</v>
      </c>
      <c r="I1098" t="s">
        <v>56</v>
      </c>
      <c r="J1098">
        <v>1.4250000000000001E-3</v>
      </c>
      <c r="K1098" t="s">
        <v>57</v>
      </c>
      <c r="L1098" t="s">
        <v>112</v>
      </c>
      <c r="T1098">
        <v>22</v>
      </c>
      <c r="V1098">
        <v>50</v>
      </c>
      <c r="W1098" t="s">
        <v>549</v>
      </c>
      <c r="Y1098">
        <v>10080</v>
      </c>
      <c r="AB1098">
        <v>2.44</v>
      </c>
      <c r="AC1098" t="s">
        <v>85</v>
      </c>
      <c r="AD1098">
        <v>0.59</v>
      </c>
      <c r="AE1098" t="s">
        <v>138</v>
      </c>
      <c r="AI1098">
        <v>5</v>
      </c>
      <c r="AT1098" t="s">
        <v>77</v>
      </c>
      <c r="AV1098" t="s">
        <v>88</v>
      </c>
    </row>
    <row r="1099" spans="1:48" hidden="1" x14ac:dyDescent="0.3">
      <c r="A1099" t="s">
        <v>1228</v>
      </c>
      <c r="C1099" t="s">
        <v>1052</v>
      </c>
      <c r="H1099">
        <v>14.25</v>
      </c>
      <c r="I1099" t="s">
        <v>56</v>
      </c>
      <c r="J1099">
        <v>1.4250000000000001E-3</v>
      </c>
      <c r="K1099" t="s">
        <v>57</v>
      </c>
      <c r="L1099" t="s">
        <v>112</v>
      </c>
      <c r="T1099">
        <v>22</v>
      </c>
      <c r="V1099">
        <v>50</v>
      </c>
      <c r="W1099" t="s">
        <v>549</v>
      </c>
      <c r="Y1099">
        <v>20160</v>
      </c>
      <c r="AB1099">
        <v>2.21</v>
      </c>
      <c r="AC1099" t="s">
        <v>85</v>
      </c>
      <c r="AD1099">
        <v>0.83</v>
      </c>
      <c r="AE1099" t="s">
        <v>138</v>
      </c>
      <c r="AI1099">
        <v>5</v>
      </c>
      <c r="AT1099" t="s">
        <v>77</v>
      </c>
      <c r="AV1099" t="s">
        <v>88</v>
      </c>
    </row>
    <row r="1100" spans="1:48" hidden="1" x14ac:dyDescent="0.3">
      <c r="A1100" t="s">
        <v>1228</v>
      </c>
      <c r="C1100" t="s">
        <v>1052</v>
      </c>
      <c r="H1100">
        <v>14.25</v>
      </c>
      <c r="I1100" t="s">
        <v>56</v>
      </c>
      <c r="J1100">
        <v>1.4250000000000001E-3</v>
      </c>
      <c r="K1100" t="s">
        <v>57</v>
      </c>
      <c r="L1100" t="s">
        <v>112</v>
      </c>
      <c r="T1100">
        <v>22</v>
      </c>
      <c r="V1100">
        <v>50</v>
      </c>
      <c r="W1100" t="s">
        <v>549</v>
      </c>
      <c r="Y1100">
        <v>20160</v>
      </c>
      <c r="AB1100">
        <v>0.48</v>
      </c>
      <c r="AC1100" t="s">
        <v>85</v>
      </c>
      <c r="AD1100">
        <v>0.15</v>
      </c>
      <c r="AE1100" t="s">
        <v>138</v>
      </c>
      <c r="AI1100">
        <v>5</v>
      </c>
      <c r="AT1100" t="s">
        <v>77</v>
      </c>
      <c r="AV1100" t="s">
        <v>88</v>
      </c>
    </row>
    <row r="1101" spans="1:48" hidden="1" x14ac:dyDescent="0.3">
      <c r="A1101" t="s">
        <v>1228</v>
      </c>
      <c r="C1101" t="s">
        <v>1052</v>
      </c>
      <c r="H1101">
        <v>14.25</v>
      </c>
      <c r="I1101" t="s">
        <v>56</v>
      </c>
      <c r="J1101">
        <v>1.4250000000000001E-3</v>
      </c>
      <c r="K1101" t="s">
        <v>57</v>
      </c>
      <c r="L1101" t="s">
        <v>112</v>
      </c>
      <c r="T1101">
        <v>22</v>
      </c>
      <c r="V1101">
        <v>50</v>
      </c>
      <c r="W1101" t="s">
        <v>549</v>
      </c>
      <c r="Y1101">
        <v>40320</v>
      </c>
      <c r="AB1101">
        <v>1.51</v>
      </c>
      <c r="AC1101" t="s">
        <v>85</v>
      </c>
      <c r="AD1101">
        <v>0.55000000000000004</v>
      </c>
      <c r="AE1101" t="s">
        <v>138</v>
      </c>
      <c r="AI1101">
        <v>5</v>
      </c>
      <c r="AT1101" t="s">
        <v>77</v>
      </c>
      <c r="AV1101" t="s">
        <v>88</v>
      </c>
    </row>
    <row r="1102" spans="1:48" hidden="1" x14ac:dyDescent="0.3">
      <c r="A1102" t="s">
        <v>1228</v>
      </c>
      <c r="C1102" t="s">
        <v>1052</v>
      </c>
      <c r="H1102">
        <v>14.25</v>
      </c>
      <c r="I1102" t="s">
        <v>56</v>
      </c>
      <c r="J1102">
        <v>1.4250000000000001E-3</v>
      </c>
      <c r="K1102" t="s">
        <v>57</v>
      </c>
      <c r="L1102" t="s">
        <v>112</v>
      </c>
      <c r="T1102">
        <v>22</v>
      </c>
      <c r="V1102">
        <v>50</v>
      </c>
      <c r="W1102" t="s">
        <v>549</v>
      </c>
      <c r="Y1102">
        <v>40320</v>
      </c>
      <c r="AB1102">
        <v>2.15</v>
      </c>
      <c r="AC1102" t="s">
        <v>85</v>
      </c>
      <c r="AD1102">
        <v>0.1</v>
      </c>
      <c r="AE1102" t="s">
        <v>138</v>
      </c>
      <c r="AI1102">
        <v>5</v>
      </c>
      <c r="AT1102" t="s">
        <v>77</v>
      </c>
      <c r="AV1102" t="s">
        <v>88</v>
      </c>
    </row>
  </sheetData>
  <pageMargins left="0.75" right="0.75" top="1" bottom="1" header="0.5" footer="0.5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9"/>
  <sheetViews>
    <sheetView workbookViewId="0">
      <selection activeCell="C13" sqref="C13:F13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12.6640625" bestFit="1" customWidth="1"/>
    <col min="4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COUNTA(PhysicalMaster[Ref])</f>
        <v>1101</v>
      </c>
      <c r="C2" s="3"/>
      <c r="D2" s="3"/>
      <c r="E2" s="3"/>
      <c r="F2" s="3"/>
    </row>
    <row r="3" spans="1:6" x14ac:dyDescent="0.3">
      <c r="A3" s="3" t="s">
        <v>1583</v>
      </c>
      <c r="B3" s="3">
        <f>COUNTA(PhysicalMaster[GrimeDirt])</f>
        <v>344</v>
      </c>
      <c r="C3" s="3"/>
      <c r="D3" s="3"/>
      <c r="E3" s="3"/>
      <c r="F3" s="3"/>
    </row>
    <row r="4" spans="1:6" x14ac:dyDescent="0.3">
      <c r="A4" s="3" t="s">
        <v>1584</v>
      </c>
      <c r="B4" s="3">
        <f>COUNTA(PhysicalMaster[Rinsate])</f>
        <v>300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PhysicalMaster[CoupAreaUn]),COUNTIF(PhysicalMaster[CoupAreaUn],INDEX(PhysicalMaster[CoupAreaUn],MATCH(TRUE,PhysicalMaster[CoupAreaUn]&lt;&gt;"",0)))=COUNTIF(PhysicalMaster[CoupAreaUn],"&lt;&gt;"),""),INDEX(PhysicalMaster[CoupAreaUn],MATCH(TRUE,PhysicalMaster[CoupAreaUn]&lt;&gt;"",0)), "multiple units given"),"NA")</f>
        <v>multiple units given</v>
      </c>
      <c r="C11" s="3">
        <f>IF(AND(ISNUMBER(E11),ISNUMBER(F11)),MIN(PhysicalMaster[CoupArea]),"NA")</f>
        <v>0.1</v>
      </c>
      <c r="D11" s="3">
        <f>IF(AND(ISNUMBER(E11),ISNUMBER(F11)),MAX(PhysicalMaster[CoupArea]),"NA")</f>
        <v>200</v>
      </c>
      <c r="E11" s="3">
        <f>IFERROR(AVERAGE(PhysicalMaster[CoupArea]),"NA")</f>
        <v>16.928668280871666</v>
      </c>
      <c r="F11" s="3">
        <f>IFERROR(STDEV(PhysicalMaster[CoupArea]),"NA")</f>
        <v>37.278772660494866</v>
      </c>
    </row>
    <row r="12" spans="1:6" x14ac:dyDescent="0.3">
      <c r="A12" s="3" t="s">
        <v>1591</v>
      </c>
      <c r="B12" s="3" t="str" cm="1">
        <f t="array" ref="B12">IFERROR(IF(IF(COUNTA(PhysicalMaster[LoadingUn]),COUNTIF(PhysicalMaster[LoadingUn],INDEX(PhysicalMaster[LoadingUn],MATCH(TRUE,PhysicalMaster[LoadingUn]&lt;&gt;"",0)))=COUNTIF(PhysicalMaster[LoadingUn],"&lt;&gt;"),""),INDEX(PhysicalMaster[LoadingUn],MATCH(TRUE,PhysicalMaster[LoadingUn]&lt;&gt;"",0)), "multiple units given"),"NA")</f>
        <v>multiple units given</v>
      </c>
      <c r="C12" s="3">
        <f>IF(AND(ISNUMBER(E12),ISNUMBER(F12)),MIN(PhysicalMaster[LoadingNum]),"NA")</f>
        <v>100000</v>
      </c>
      <c r="D12" s="3">
        <f>IF(AND(ISNUMBER(E12),ISNUMBER(F12)),MAX(PhysicalMaster[LoadingNum]),"NA")</f>
        <v>69183097.091893628</v>
      </c>
      <c r="E12" s="3">
        <f>IFERROR(AVERAGE(PhysicalMaster[LoadingNum]),"NA")</f>
        <v>5090302.7838960011</v>
      </c>
      <c r="F12" s="3">
        <f>IFERROR(STDEV(PhysicalMaster[LoadingNum]),"NA")</f>
        <v>14005682.1576421</v>
      </c>
    </row>
    <row r="13" spans="1:6" x14ac:dyDescent="0.3">
      <c r="A13" s="3" t="s">
        <v>1592</v>
      </c>
      <c r="B13" s="3" t="str">
        <f>IF(E13 = "NA", "NA", "#")</f>
        <v>#</v>
      </c>
      <c r="C13" s="3">
        <f>IF(AND(ISNUMBER(E13),ISNUMBER(F13)),MIN(PhysicalMaster[TotalApp]),"NA")</f>
        <v>1</v>
      </c>
      <c r="D13" s="3">
        <f>IF(AND(ISNUMBER(E13),ISNUMBER(F13)),MAX(PhysicalMaster[TotalApp]),"NA")</f>
        <v>6</v>
      </c>
      <c r="E13" s="3">
        <f>IFERROR(AVERAGE(PhysicalMaster[TotalApp]),"NA")</f>
        <v>2.4031413612565444</v>
      </c>
      <c r="F13" s="3">
        <f>IFERROR(STDEV(PhysicalMaster[TotalApp]),"NA")</f>
        <v>1.7828984609385596</v>
      </c>
    </row>
    <row r="14" spans="1:6" x14ac:dyDescent="0.3">
      <c r="A14" s="3" t="s">
        <v>1593</v>
      </c>
      <c r="B14" s="3" t="s">
        <v>1594</v>
      </c>
      <c r="C14" s="3">
        <f>IF(AND(ISNUMBER(E14),ISNUMBER(F14)),MIN(PhysicalMaster[TempNum]),"NA")</f>
        <v>22</v>
      </c>
      <c r="D14" s="3">
        <f>IF(AND(ISNUMBER(E14),ISNUMBER(F14)),MAX(PhysicalMaster[TempNum]),"NA")</f>
        <v>1000</v>
      </c>
      <c r="E14" s="3">
        <f>IFERROR(AVERAGE(PhysicalMaster[TempNum]),"NA")</f>
        <v>52.847786072774454</v>
      </c>
      <c r="F14" s="3">
        <f>IFERROR(STDEV(PhysicalMaster[TempNum]),"NA")</f>
        <v>60.915724494426406</v>
      </c>
    </row>
    <row r="15" spans="1:6" x14ac:dyDescent="0.3">
      <c r="A15" s="3" t="s">
        <v>1595</v>
      </c>
      <c r="B15" s="3" t="s">
        <v>1527</v>
      </c>
      <c r="C15" s="3">
        <f>IF(AND(ISNUMBER(E15),ISNUMBER(F15)),MIN(PhysicalMaster[RHNum]),"NA")</f>
        <v>35</v>
      </c>
      <c r="D15" s="3">
        <f>IF(AND(ISNUMBER(E15),ISNUMBER(F15)),MAX(PhysicalMaster[RHNum]),"NA")</f>
        <v>90</v>
      </c>
      <c r="E15" s="3">
        <f>IFERROR(AVERAGE(PhysicalMaster[RHNum]),"NA")</f>
        <v>64.21616712079927</v>
      </c>
      <c r="F15" s="3">
        <f>IFERROR(STDEV(PhysicalMaster[RHNum]),"NA")</f>
        <v>16.045405805946444</v>
      </c>
    </row>
    <row r="16" spans="1:6" x14ac:dyDescent="0.3">
      <c r="A16" s="3" t="s">
        <v>1596</v>
      </c>
      <c r="B16" s="3" t="s">
        <v>1597</v>
      </c>
      <c r="C16" s="3">
        <f>IF(AND(ISNUMBER(E16),ISNUMBER(F16)),MIN(PhysicalMaster[ContTimeNumMin]),"NA")</f>
        <v>0</v>
      </c>
      <c r="D16" s="3">
        <f>IF(AND(ISNUMBER(E16),ISNUMBER(F16)),MAX(PhysicalMaster[ContTimeNumMin]),"NA")</f>
        <v>40320</v>
      </c>
      <c r="E16" s="3">
        <f>IFERROR(AVERAGE(PhysicalMaster[ContTimeNumMin]),"NA")</f>
        <v>2578.1696155538198</v>
      </c>
      <c r="F16" s="3">
        <f>IFERROR(STDEV(PhysicalMaster[ContTimeNumMin]),"NA")</f>
        <v>4601.9690052637625</v>
      </c>
    </row>
    <row r="17" spans="1:6" x14ac:dyDescent="0.3">
      <c r="A17" s="3" t="s">
        <v>1598</v>
      </c>
      <c r="B17" s="3" t="str" cm="1">
        <f t="array" ref="B17">IFERROR(IF(IF(COUNTA(PhysicalMaster[ConcDoseUn]),COUNTIF(PhysicalMaster[ConcDoseUn],INDEX(PhysicalMaster[ConcDoseUn],MATCH(TRUE,PhysicalMaster[ConcDoseUn]&lt;&gt;"",0)))=COUNTIF(PhysicalMaster[ConcDoseUn],"&lt;&gt;"),""),INDEX(PhysicalMaster[ConcDoseUn],MATCH(TRUE,PhysicalMaster[ConcDoseUn]&lt;&gt;"",0)), "multiple units given"),"NA")</f>
        <v>multiple units given</v>
      </c>
      <c r="C17" s="3">
        <f>IF(AND(ISNUMBER(E17),ISNUMBER(F17)),MIN(PhysicalMaster[ConcDoseNum]),"NA")</f>
        <v>-0.59482339331957901</v>
      </c>
      <c r="D17" s="3">
        <f>IF(AND(ISNUMBER(E17),ISNUMBER(F17)),MAX(PhysicalMaster[ConcDoseNum]),"NA")</f>
        <v>23107.769423558901</v>
      </c>
      <c r="E17" s="3">
        <f>IFERROR(AVERAGE(PhysicalMaster[ConcDoseNum]),"NA")</f>
        <v>711.76904585721491</v>
      </c>
      <c r="F17" s="3">
        <f>IFERROR(STDEV(PhysicalMaster[ConcDoseNum]),"NA")</f>
        <v>2858.5513784070076</v>
      </c>
    </row>
    <row r="18" spans="1:6" x14ac:dyDescent="0.3">
      <c r="A18" s="3" t="s">
        <v>1599</v>
      </c>
      <c r="B18" s="3" t="str" cm="1">
        <f t="array" ref="B18">IFERROR(IF(IF(COUNTA(PhysicalMaster[EffMeas]),COUNTIF(PhysicalMaster[EffMeas],INDEX(PhysicalMaster[EffMeas],MATCH(TRUE,PhysicalMaster[EffMeas]&lt;&gt;"",0)))=COUNTIF(PhysicalMaster[EffMeas],"&lt;&gt;"),""),INDEX(PhysicalMaster[EffMeas],MATCH(TRUE,PhysicalMaster[EffMeas]&lt;&gt;"",0)), "multiple units given"),"NA")</f>
        <v>multiple units given</v>
      </c>
      <c r="C18" s="3">
        <f>IF(AND(ISNUMBER(E18),ISNUMBER(F18)),MIN(PhysicalMaster[Eff]),"NA")</f>
        <v>-1.1000000000000001</v>
      </c>
      <c r="D18" s="3">
        <f>IF(AND(ISNUMBER(E18),ISNUMBER(F18)),MAX(PhysicalMaster[Eff]),"NA")</f>
        <v>105.699481865284</v>
      </c>
      <c r="E18" s="3">
        <f>IFERROR(AVERAGE(PhysicalMaster[Eff]),"NA")</f>
        <v>7.2837372033400305</v>
      </c>
      <c r="F18" s="3">
        <f>IFERROR(STDEV(PhysicalMaster[Eff]),"NA")</f>
        <v>17.203132285868485</v>
      </c>
    </row>
    <row r="19" spans="1:6" x14ac:dyDescent="0.3">
      <c r="A19" s="3" t="s">
        <v>1600</v>
      </c>
      <c r="B19" s="3" t="str" cm="1">
        <f t="array" ref="B19">IFERROR(IF(IF(COUNTA(PhysicalMaster[ConvertedVolAppUn]),COUNTIF(PhysicalMaster[ConvertedVolAppUn],INDEX(PhysicalMaster[ConvertedVolAppUn],MATCH(TRUE,PhysicalMaster[ConvertedVolAppUn]&lt;&gt;"",0)))=COUNTIF(PhysicalMaster[ConvertedVolAppUn],"&lt;&gt;"),""),INDEX(PhysicalMaster[ConvertedVolAppUn],MATCH(TRUE,PhysicalMaster[ConvertedVolAppUn]&lt;&gt;"",0)), "multiple units given"),"NA")</f>
        <v>NA</v>
      </c>
      <c r="C19" s="3" t="str">
        <f>IF(AND(ISNUMBER(E19),ISNUMBER(F19)),MIN(PhysicalMaster[ConvertedVolApp]),"NA")</f>
        <v>NA</v>
      </c>
      <c r="D19" s="3" t="str">
        <f>IF(AND(ISNUMBER(E19),ISNUMBER(F19)),MAX(PhysicalMaster[ConvertedVolApp]),"NA")</f>
        <v>NA</v>
      </c>
      <c r="E19" s="3" t="str">
        <f>IFERROR(AVERAGE(PhysicalMaster[ConvertedVolApp]),"NA")</f>
        <v>NA</v>
      </c>
      <c r="F19" s="3" t="str">
        <f>IFERROR(STDEV(PhysicalMaster[ConvertedVolApp]),"NA")</f>
        <v>NA</v>
      </c>
    </row>
  </sheetData>
  <conditionalFormatting sqref="B11:B19">
    <cfRule type="cellIs" dxfId="8" priority="1" operator="equal">
      <formula>"multiple units given"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A6"/>
  <sheetViews>
    <sheetView workbookViewId="0">
      <selection activeCell="E17" sqref="E17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1487</v>
      </c>
      <c r="C2" t="s">
        <v>1488</v>
      </c>
      <c r="O2">
        <v>0</v>
      </c>
      <c r="T2">
        <v>25</v>
      </c>
      <c r="V2">
        <v>50</v>
      </c>
      <c r="W2" t="s">
        <v>1489</v>
      </c>
      <c r="Y2">
        <v>20</v>
      </c>
      <c r="AB2">
        <v>95</v>
      </c>
      <c r="AC2" t="s">
        <v>1070</v>
      </c>
      <c r="AI2">
        <v>3</v>
      </c>
    </row>
    <row r="3" spans="1:53" x14ac:dyDescent="0.3">
      <c r="A3" t="s">
        <v>1487</v>
      </c>
      <c r="C3" t="s">
        <v>1488</v>
      </c>
      <c r="O3">
        <v>0</v>
      </c>
      <c r="T3">
        <v>25</v>
      </c>
      <c r="V3">
        <v>50</v>
      </c>
      <c r="W3" t="s">
        <v>1489</v>
      </c>
      <c r="Y3">
        <v>40</v>
      </c>
      <c r="AB3">
        <v>93</v>
      </c>
      <c r="AC3" t="s">
        <v>1070</v>
      </c>
      <c r="AI3">
        <v>3</v>
      </c>
    </row>
    <row r="4" spans="1:53" x14ac:dyDescent="0.3">
      <c r="A4" t="s">
        <v>1487</v>
      </c>
      <c r="C4" t="s">
        <v>1488</v>
      </c>
      <c r="O4">
        <v>0</v>
      </c>
      <c r="T4">
        <v>25</v>
      </c>
      <c r="V4">
        <v>50</v>
      </c>
      <c r="W4" t="s">
        <v>1489</v>
      </c>
      <c r="Y4">
        <v>60</v>
      </c>
      <c r="AB4">
        <v>98</v>
      </c>
      <c r="AC4" t="s">
        <v>1070</v>
      </c>
      <c r="AI4">
        <v>3</v>
      </c>
    </row>
    <row r="5" spans="1:53" x14ac:dyDescent="0.3">
      <c r="A5" t="s">
        <v>1487</v>
      </c>
      <c r="C5" t="s">
        <v>1488</v>
      </c>
      <c r="O5">
        <v>0</v>
      </c>
      <c r="T5">
        <v>25</v>
      </c>
      <c r="V5">
        <v>50</v>
      </c>
      <c r="W5" t="s">
        <v>1489</v>
      </c>
      <c r="Y5">
        <v>80</v>
      </c>
      <c r="AB5">
        <v>95</v>
      </c>
      <c r="AC5" t="s">
        <v>1070</v>
      </c>
      <c r="AI5">
        <v>3</v>
      </c>
    </row>
    <row r="6" spans="1:53" x14ac:dyDescent="0.3">
      <c r="A6" t="s">
        <v>1487</v>
      </c>
      <c r="C6" t="s">
        <v>1488</v>
      </c>
      <c r="O6">
        <v>0</v>
      </c>
      <c r="T6">
        <v>25</v>
      </c>
      <c r="V6">
        <v>50</v>
      </c>
      <c r="W6" t="s">
        <v>1489</v>
      </c>
      <c r="Y6">
        <v>100</v>
      </c>
      <c r="AB6">
        <v>95</v>
      </c>
      <c r="AC6" t="s">
        <v>1070</v>
      </c>
      <c r="AI6">
        <v>3</v>
      </c>
    </row>
  </sheetData>
  <pageMargins left="0.75" right="0.75" top="1" bottom="1" header="0.5" footer="0.5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9"/>
  <sheetViews>
    <sheetView workbookViewId="0">
      <selection activeCell="C16" sqref="C16:F16"/>
    </sheetView>
  </sheetViews>
  <sheetFormatPr defaultRowHeight="14.4" x14ac:dyDescent="0.3"/>
  <cols>
    <col min="1" max="1" width="32.109375" bestFit="1" customWidth="1"/>
    <col min="2" max="2" width="7.5546875" bestFit="1" customWidth="1"/>
    <col min="3" max="3" width="8.6640625" bestFit="1" customWidth="1"/>
    <col min="4" max="4" width="9.109375" bestFit="1" customWidth="1"/>
    <col min="5" max="5" width="11.21875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COUNTA(SolidPowderMaster[Ref])</f>
        <v>5</v>
      </c>
      <c r="C2" s="3"/>
      <c r="D2" s="3"/>
      <c r="E2" s="3"/>
      <c r="F2" s="3"/>
    </row>
    <row r="3" spans="1:6" x14ac:dyDescent="0.3">
      <c r="A3" s="3" t="s">
        <v>1583</v>
      </c>
      <c r="B3" s="3">
        <f>COUNTA(SolidPowderMaster[GrimeDirt])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COUNTA(SolidPowderMaster[Rinsate])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SolidPowderMaster[CoupAreaUn]),COUNTIF(SolidPowderMaster[CoupAreaUn],INDEX(SolidPowderMaster[CoupAreaUn],MATCH(TRUE,SolidPowderMaster[CoupAreaUn]&lt;&gt;"",0)))=COUNTIF(SolidPowderMaster[CoupAreaUn],"&lt;&gt;"),""),INDEX(SolidPowderMaster[CoupAreaUn],MATCH(TRUE,SolidPowderMaster[CoupAreaUn]&lt;&gt;"",0)), "multiple units given"),"NA")</f>
        <v>NA</v>
      </c>
      <c r="C11" s="3" t="str">
        <f>IF(AND(ISNUMBER(E11),ISNUMBER(F11)),MIN(SolidPowderMaster[CoupArea]),"NA")</f>
        <v>NA</v>
      </c>
      <c r="D11" s="3" t="str">
        <f>IF(AND(ISNUMBER(E11),ISNUMBER(F11)),MAX(SolidPowderMaster[CoupArea]),"NA")</f>
        <v>NA</v>
      </c>
      <c r="E11" s="3" t="str">
        <f>IFERROR(AVERAGE(SolidPowderMaster[CoupArea]),"NA")</f>
        <v>NA</v>
      </c>
      <c r="F11" s="3" t="str">
        <f>IFERROR(STDEV(SolidPowderMaster[CoupArea]),"NA")</f>
        <v>NA</v>
      </c>
    </row>
    <row r="12" spans="1:6" x14ac:dyDescent="0.3">
      <c r="A12" s="3" t="s">
        <v>1591</v>
      </c>
      <c r="B12" s="3" t="str" cm="1">
        <f t="array" ref="B12">IFERROR(IF(IF(COUNTA(SolidPowderMaster[LoadingUn]),COUNTIF(SolidPowderMaster[LoadingUn],INDEX(SolidPowderMaster[LoadingUn],MATCH(TRUE,SolidPowderMaster[LoadingUn]&lt;&gt;"",0)))=COUNTIF(SolidPowderMaster[LoadingUn],"&lt;&gt;"),""),INDEX(SolidPowderMaster[LoadingUn],MATCH(TRUE,SolidPowderMaster[LoadingUn]&lt;&gt;"",0)), "multiple units given"),"NA")</f>
        <v>NA</v>
      </c>
      <c r="C12" s="3" t="str">
        <f>IF(AND(ISNUMBER(E12),ISNUMBER(F12)),MIN(SolidPowderMaster[LoadingNum]),"NA")</f>
        <v>NA</v>
      </c>
      <c r="D12" s="3" t="str">
        <f>IF(AND(ISNUMBER(E12),ISNUMBER(F12)),MAX(SolidPowderMaster[LoadingNum]),"NA")</f>
        <v>NA</v>
      </c>
      <c r="E12" s="3" t="str">
        <f>IFERROR(AVERAGE(SolidPowderMaster[LoadingNum]),"NA")</f>
        <v>NA</v>
      </c>
      <c r="F12" s="3" t="str">
        <f>IFERROR(STDEV(SolidPowderMaster[LoadingNum]),"NA")</f>
        <v>NA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IF(AND(ISNUMBER(E13),ISNUMBER(F13)),MIN(SolidPowderMaster[TotalApp]),"NA")</f>
        <v>NA</v>
      </c>
      <c r="D13" s="3" t="str">
        <f>IF(AND(ISNUMBER(E13),ISNUMBER(F13)),MAX(SolidPowderMaster[TotalApp]),"NA")</f>
        <v>NA</v>
      </c>
      <c r="E13" s="3" t="str">
        <f>IFERROR(AVERAGE(SolidPowderMaster[TotalApp]),"NA")</f>
        <v>NA</v>
      </c>
      <c r="F13" s="3" t="str">
        <f>IFERROR(STDEV(SolidPowderMaster[TotalApp]),"NA")</f>
        <v>NA</v>
      </c>
    </row>
    <row r="14" spans="1:6" x14ac:dyDescent="0.3">
      <c r="A14" s="3" t="s">
        <v>1593</v>
      </c>
      <c r="B14" s="3" t="s">
        <v>1594</v>
      </c>
      <c r="C14" s="3">
        <f>IF(AND(ISNUMBER(E14),ISNUMBER(F14)),MIN(SolidPowderMaster[TempNum]),"NA")</f>
        <v>25</v>
      </c>
      <c r="D14" s="3">
        <f>IF(AND(ISNUMBER(E14),ISNUMBER(F14)),MAX(SolidPowderMaster[TempNum]),"NA")</f>
        <v>25</v>
      </c>
      <c r="E14" s="3">
        <f>IFERROR(AVERAGE(SolidPowderMaster[TempNum]),"NA")</f>
        <v>25</v>
      </c>
      <c r="F14" s="3">
        <f>IFERROR(STDEV(SolidPowderMaster[TempNum]),"NA")</f>
        <v>0</v>
      </c>
    </row>
    <row r="15" spans="1:6" x14ac:dyDescent="0.3">
      <c r="A15" s="3" t="s">
        <v>1595</v>
      </c>
      <c r="B15" s="3" t="s">
        <v>1527</v>
      </c>
      <c r="C15" s="3">
        <f>IF(AND(ISNUMBER(E15),ISNUMBER(F15)),MIN(SolidPowderMaster[RHNum]),"NA")</f>
        <v>50</v>
      </c>
      <c r="D15" s="3">
        <f>IF(AND(ISNUMBER(E15),ISNUMBER(F15)),MAX(SolidPowderMaster[RHNum]),"NA")</f>
        <v>50</v>
      </c>
      <c r="E15" s="3">
        <f>IFERROR(AVERAGE(SolidPowderMaster[RHNum]),"NA")</f>
        <v>50</v>
      </c>
      <c r="F15" s="3">
        <f>IFERROR(STDEV(SolidPowderMaster[RHNum]),"NA")</f>
        <v>0</v>
      </c>
    </row>
    <row r="16" spans="1:6" x14ac:dyDescent="0.3">
      <c r="A16" s="3" t="s">
        <v>1596</v>
      </c>
      <c r="B16" s="3" t="s">
        <v>1597</v>
      </c>
      <c r="C16" s="3">
        <f>IF(AND(ISNUMBER(E16),ISNUMBER(F16)),MIN(SolidPowderMaster[ContTimeNumMin]),"NA")</f>
        <v>20</v>
      </c>
      <c r="D16" s="3">
        <f>IF(AND(ISNUMBER(E16),ISNUMBER(F16)),MAX(SolidPowderMaster[ContTimeNumMin]),"NA")</f>
        <v>100</v>
      </c>
      <c r="E16" s="3">
        <f>IFERROR(AVERAGE(SolidPowderMaster[ContTimeNumMin]),"NA")</f>
        <v>60</v>
      </c>
      <c r="F16" s="3">
        <f>IFERROR(STDEV(SolidPowderMaster[ContTimeNumMin]),"NA")</f>
        <v>31.622776601683793</v>
      </c>
    </row>
    <row r="17" spans="1:6" x14ac:dyDescent="0.3">
      <c r="A17" s="3" t="s">
        <v>1598</v>
      </c>
      <c r="B17" s="3" t="str" cm="1">
        <f t="array" ref="B17">IFERROR(IF(IF(COUNTA(SolidPowderMaster[ConcDoseUn]),COUNTIF(SolidPowderMaster[ConcDoseUn],INDEX(SolidPowderMaster[ConcDoseUn],MATCH(TRUE,SolidPowderMaster[ConcDoseUn]&lt;&gt;"",0)))=COUNTIF(SolidPowderMaster[ConcDoseUn],"&lt;&gt;"),""),INDEX(SolidPowderMaster[ConcDoseUn],MATCH(TRUE,SolidPowderMaster[ConcDoseUn]&lt;&gt;"",0)), "multiple units given"),"NA")</f>
        <v>NA</v>
      </c>
      <c r="C17" s="3">
        <f>IF(AND(ISNUMBER(E17),ISNUMBER(F17)),MIN(SolidPowderMaster[ConcDoseNum]),"NA")</f>
        <v>0</v>
      </c>
      <c r="D17" s="3">
        <f>IF(AND(ISNUMBER(E17),ISNUMBER(F17)),MAX(SolidPowderMaster[ConcDoseNum]),"NA")</f>
        <v>0</v>
      </c>
      <c r="E17" s="3">
        <f>IFERROR(AVERAGE(SolidPowderMaster[ConcDoseNum]),"NA")</f>
        <v>0</v>
      </c>
      <c r="F17" s="3">
        <f>IFERROR(STDEV(SolidPowderMaster[ConcDoseNum]),"NA")</f>
        <v>0</v>
      </c>
    </row>
    <row r="18" spans="1:6" x14ac:dyDescent="0.3">
      <c r="A18" s="3" t="s">
        <v>1599</v>
      </c>
      <c r="B18" s="3" t="str" cm="1">
        <f t="array" ref="B18">IFERROR(IF(IF(COUNTA(SolidPowderMaster[EffMeas]),COUNTIF(SolidPowderMaster[EffMeas],INDEX(SolidPowderMaster[EffMeas],MATCH(TRUE,SolidPowderMaster[EffMeas]&lt;&gt;"",0)))=COUNTIF(SolidPowderMaster[EffMeas],"&lt;&gt;"),""),INDEX(SolidPowderMaster[EffMeas],MATCH(TRUE,SolidPowderMaster[EffMeas]&lt;&gt;"",0)), "multiple units given"),"NA")</f>
        <v>%Kill</v>
      </c>
      <c r="C18" s="3">
        <f>IF(AND(ISNUMBER(E18),ISNUMBER(F18)),MIN(SolidPowderMaster[Eff]),"NA")</f>
        <v>93</v>
      </c>
      <c r="D18" s="3">
        <f>IF(AND(ISNUMBER(E18),ISNUMBER(F18)),MAX(SolidPowderMaster[Eff]),"NA")</f>
        <v>98</v>
      </c>
      <c r="E18" s="3">
        <f>IFERROR(AVERAGE(SolidPowderMaster[Eff]),"NA")</f>
        <v>95.2</v>
      </c>
      <c r="F18" s="3">
        <f>IFERROR(STDEV(SolidPowderMaster[Eff]),"NA")</f>
        <v>1.7888543819998317</v>
      </c>
    </row>
    <row r="19" spans="1:6" x14ac:dyDescent="0.3">
      <c r="A19" s="3" t="s">
        <v>1600</v>
      </c>
      <c r="B19" s="3" t="str" cm="1">
        <f t="array" ref="B19">IFERROR(IF(IF(COUNTA(SolidPowderMaster[ConvertedVolAppUn]),COUNTIF(SolidPowderMaster[ConvertedVolAppUn],INDEX(SolidPowderMaster[ConvertedVolAppUn],MATCH(TRUE,SolidPowderMaster[ConvertedVolAppUn]&lt;&gt;"",0)))=COUNTIF(SolidPowderMaster[ConvertedVolAppUn],"&lt;&gt;"),""),INDEX(SolidPowderMaster[ConvertedVolAppUn],MATCH(TRUE,SolidPowderMaster[ConvertedVolAppUn]&lt;&gt;"",0)), "multiple units given"),"NA")</f>
        <v>NA</v>
      </c>
      <c r="C19" s="3" t="str">
        <f>IF(AND(ISNUMBER(E19),ISNUMBER(F19)),MIN(SolidPowderMaster[ConvertedVolApp]),"NA")</f>
        <v>NA</v>
      </c>
      <c r="D19" s="3" t="str">
        <f>IF(AND(ISNUMBER(E19),ISNUMBER(F19)),MAX(SolidPowderMaster[ConvertedVolApp]),"NA")</f>
        <v>NA</v>
      </c>
      <c r="E19" s="3" t="str">
        <f>IFERROR(AVERAGE(SolidPowderMaster[ConvertedVolApp]),"NA")</f>
        <v>NA</v>
      </c>
      <c r="F19" s="3" t="str">
        <f>IFERROR(STDEV(SolidPowderMaster[ConvertedVolApp]),"NA")</f>
        <v>NA</v>
      </c>
    </row>
  </sheetData>
  <conditionalFormatting sqref="B11:B19">
    <cfRule type="cellIs" dxfId="4" priority="1" operator="equal">
      <formula>"multiple units given"</formula>
    </cfRule>
  </conditionalFormatting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A89"/>
  <sheetViews>
    <sheetView topLeftCell="L1" workbookViewId="0">
      <selection activeCell="G22" sqref="G22"/>
    </sheetView>
  </sheetViews>
  <sheetFormatPr defaultRowHeight="14.4" x14ac:dyDescent="0.3"/>
  <cols>
    <col min="2" max="3" width="10.88671875" customWidth="1"/>
    <col min="4" max="4" width="12" customWidth="1"/>
    <col min="5" max="5" width="13.6640625" customWidth="1"/>
    <col min="6" max="6" width="18.33203125" customWidth="1"/>
    <col min="7" max="7" width="20.77734375" customWidth="1"/>
    <col min="8" max="8" width="11.21875" customWidth="1"/>
    <col min="9" max="9" width="13.6640625" customWidth="1"/>
    <col min="10" max="10" width="20" customWidth="1"/>
    <col min="11" max="11" width="22.44140625" customWidth="1"/>
    <col min="12" max="12" width="9" customWidth="1"/>
    <col min="13" max="13" width="11.44140625" customWidth="1"/>
    <col min="14" max="14" width="14.109375" customWidth="1"/>
    <col min="15" max="15" width="15.33203125" customWidth="1"/>
    <col min="16" max="16" width="13.6640625" customWidth="1"/>
    <col min="17" max="17" width="20" customWidth="1"/>
    <col min="18" max="18" width="22.44140625" customWidth="1"/>
    <col min="19" max="19" width="10.5546875" customWidth="1"/>
    <col min="20" max="20" width="11.77734375" customWidth="1"/>
    <col min="22" max="22" width="9.33203125" customWidth="1"/>
    <col min="23" max="23" width="10.21875" customWidth="1"/>
    <col min="24" max="24" width="14.88671875" customWidth="1"/>
    <col min="25" max="25" width="18.44140625" customWidth="1"/>
    <col min="26" max="26" width="10.5546875" customWidth="1"/>
    <col min="27" max="27" width="11.44140625" customWidth="1"/>
    <col min="29" max="29" width="9.77734375" customWidth="1"/>
    <col min="31" max="31" width="11.44140625" customWidth="1"/>
    <col min="32" max="32" width="14" customWidth="1"/>
    <col min="33" max="33" width="18.5546875" customWidth="1"/>
    <col min="34" max="34" width="9.77734375" customWidth="1"/>
    <col min="36" max="36" width="11.33203125" customWidth="1"/>
    <col min="37" max="37" width="9.109375" customWidth="1"/>
    <col min="38" max="38" width="11.5546875" customWidth="1"/>
    <col min="39" max="39" width="17.88671875" customWidth="1"/>
    <col min="40" max="40" width="20.33203125" customWidth="1"/>
    <col min="43" max="43" width="12.44140625" customWidth="1"/>
    <col min="44" max="44" width="10.21875" customWidth="1"/>
    <col min="45" max="45" width="12.44140625" customWidth="1"/>
    <col min="46" max="46" width="9.21875" customWidth="1"/>
    <col min="47" max="47" width="19.21875" customWidth="1"/>
    <col min="48" max="48" width="14.88671875" customWidth="1"/>
    <col min="49" max="49" width="12" customWidth="1"/>
    <col min="50" max="50" width="11.5546875" customWidth="1"/>
    <col min="51" max="51" width="12.6640625" customWidth="1"/>
    <col min="52" max="52" width="9.33203125" customWidth="1"/>
    <col min="53" max="53" width="13.21875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">
      <c r="A2" t="s">
        <v>1462</v>
      </c>
      <c r="C2" t="s">
        <v>1463</v>
      </c>
      <c r="O2">
        <v>4</v>
      </c>
      <c r="P2" t="s">
        <v>59</v>
      </c>
      <c r="W2" t="s">
        <v>1057</v>
      </c>
      <c r="X2" t="s">
        <v>1464</v>
      </c>
      <c r="Y2">
        <v>5</v>
      </c>
      <c r="AB2">
        <v>3</v>
      </c>
      <c r="AC2" t="s">
        <v>1465</v>
      </c>
      <c r="AI2">
        <v>3</v>
      </c>
    </row>
    <row r="3" spans="1:53" x14ac:dyDescent="0.3">
      <c r="A3" t="s">
        <v>1462</v>
      </c>
      <c r="C3" t="s">
        <v>1463</v>
      </c>
      <c r="O3">
        <v>4</v>
      </c>
      <c r="P3" t="s">
        <v>59</v>
      </c>
      <c r="W3" t="s">
        <v>1057</v>
      </c>
      <c r="X3" t="s">
        <v>1464</v>
      </c>
      <c r="Y3">
        <v>15</v>
      </c>
      <c r="AB3">
        <v>3</v>
      </c>
      <c r="AC3" t="s">
        <v>297</v>
      </c>
      <c r="AI3">
        <v>2</v>
      </c>
      <c r="AZ3">
        <v>3</v>
      </c>
    </row>
    <row r="4" spans="1:53" x14ac:dyDescent="0.3">
      <c r="A4" t="s">
        <v>1462</v>
      </c>
      <c r="C4" t="s">
        <v>1463</v>
      </c>
      <c r="O4">
        <v>4</v>
      </c>
      <c r="P4" t="s">
        <v>59</v>
      </c>
      <c r="W4" t="s">
        <v>1057</v>
      </c>
      <c r="X4" t="s">
        <v>1464</v>
      </c>
      <c r="Y4">
        <v>30</v>
      </c>
      <c r="AB4">
        <v>0</v>
      </c>
      <c r="AC4" t="s">
        <v>297</v>
      </c>
      <c r="AI4">
        <v>3</v>
      </c>
      <c r="AZ4">
        <v>0</v>
      </c>
    </row>
    <row r="5" spans="1:53" x14ac:dyDescent="0.3">
      <c r="A5" t="s">
        <v>1462</v>
      </c>
      <c r="C5" t="s">
        <v>1463</v>
      </c>
      <c r="O5">
        <v>4</v>
      </c>
      <c r="P5" t="s">
        <v>59</v>
      </c>
      <c r="W5" t="s">
        <v>1057</v>
      </c>
      <c r="X5" t="s">
        <v>1464</v>
      </c>
      <c r="Y5">
        <v>60</v>
      </c>
      <c r="AB5">
        <v>0</v>
      </c>
      <c r="AC5" t="s">
        <v>297</v>
      </c>
      <c r="AI5">
        <v>3</v>
      </c>
      <c r="AZ5">
        <v>0</v>
      </c>
    </row>
    <row r="6" spans="1:53" x14ac:dyDescent="0.3">
      <c r="A6" t="s">
        <v>1462</v>
      </c>
      <c r="C6" t="s">
        <v>1463</v>
      </c>
      <c r="O6">
        <v>4</v>
      </c>
      <c r="P6" t="s">
        <v>59</v>
      </c>
      <c r="W6" t="s">
        <v>1057</v>
      </c>
      <c r="X6" t="s">
        <v>1464</v>
      </c>
      <c r="Y6">
        <v>120</v>
      </c>
      <c r="AB6">
        <v>0</v>
      </c>
      <c r="AC6" t="s">
        <v>297</v>
      </c>
      <c r="AI6">
        <v>3</v>
      </c>
      <c r="AZ6">
        <v>0</v>
      </c>
    </row>
    <row r="7" spans="1:53" x14ac:dyDescent="0.3">
      <c r="A7" t="s">
        <v>1462</v>
      </c>
      <c r="C7" t="s">
        <v>1463</v>
      </c>
      <c r="O7">
        <v>4</v>
      </c>
      <c r="P7" t="s">
        <v>59</v>
      </c>
      <c r="W7" t="s">
        <v>1057</v>
      </c>
      <c r="X7" t="s">
        <v>1464</v>
      </c>
      <c r="Y7">
        <v>240</v>
      </c>
      <c r="AB7">
        <v>0</v>
      </c>
      <c r="AC7" t="s">
        <v>297</v>
      </c>
      <c r="AI7">
        <v>3</v>
      </c>
      <c r="AZ7">
        <v>0</v>
      </c>
    </row>
    <row r="8" spans="1:53" x14ac:dyDescent="0.3">
      <c r="A8" t="s">
        <v>1462</v>
      </c>
      <c r="C8" t="s">
        <v>1463</v>
      </c>
      <c r="O8">
        <v>4</v>
      </c>
      <c r="P8" t="s">
        <v>59</v>
      </c>
      <c r="W8" t="s">
        <v>1057</v>
      </c>
      <c r="X8" t="s">
        <v>1464</v>
      </c>
      <c r="Y8">
        <v>1440</v>
      </c>
      <c r="AB8">
        <v>0</v>
      </c>
      <c r="AC8" t="s">
        <v>297</v>
      </c>
      <c r="AI8">
        <v>3</v>
      </c>
      <c r="AZ8">
        <v>0</v>
      </c>
    </row>
    <row r="9" spans="1:53" x14ac:dyDescent="0.3">
      <c r="A9" t="s">
        <v>1462</v>
      </c>
      <c r="C9" t="s">
        <v>1463</v>
      </c>
      <c r="O9">
        <v>4</v>
      </c>
      <c r="P9" t="s">
        <v>59</v>
      </c>
      <c r="W9" t="s">
        <v>1057</v>
      </c>
      <c r="X9" t="s">
        <v>1464</v>
      </c>
      <c r="Y9">
        <v>2880</v>
      </c>
      <c r="AB9">
        <v>0</v>
      </c>
      <c r="AC9" t="s">
        <v>297</v>
      </c>
      <c r="AI9">
        <v>3</v>
      </c>
      <c r="AZ9">
        <v>0</v>
      </c>
    </row>
    <row r="10" spans="1:53" x14ac:dyDescent="0.3">
      <c r="A10" t="s">
        <v>1462</v>
      </c>
      <c r="C10" t="s">
        <v>1463</v>
      </c>
      <c r="O10">
        <v>4</v>
      </c>
      <c r="P10" t="s">
        <v>59</v>
      </c>
      <c r="W10" t="s">
        <v>1057</v>
      </c>
      <c r="X10" t="s">
        <v>1464</v>
      </c>
      <c r="Y10">
        <v>5</v>
      </c>
      <c r="AB10">
        <v>3</v>
      </c>
      <c r="AC10" t="s">
        <v>297</v>
      </c>
      <c r="AI10">
        <v>3</v>
      </c>
      <c r="AZ10">
        <v>3</v>
      </c>
    </row>
    <row r="11" spans="1:53" x14ac:dyDescent="0.3">
      <c r="A11" t="s">
        <v>1462</v>
      </c>
      <c r="C11" t="s">
        <v>1463</v>
      </c>
      <c r="O11">
        <v>4</v>
      </c>
      <c r="P11" t="s">
        <v>59</v>
      </c>
      <c r="W11" t="s">
        <v>1057</v>
      </c>
      <c r="X11" t="s">
        <v>1464</v>
      </c>
      <c r="Y11">
        <v>15</v>
      </c>
      <c r="AB11">
        <v>0</v>
      </c>
      <c r="AC11" t="s">
        <v>297</v>
      </c>
      <c r="AI11">
        <v>3</v>
      </c>
      <c r="AZ11">
        <v>0</v>
      </c>
    </row>
    <row r="12" spans="1:53" x14ac:dyDescent="0.3">
      <c r="A12" t="s">
        <v>1462</v>
      </c>
      <c r="C12" t="s">
        <v>1463</v>
      </c>
      <c r="O12">
        <v>4</v>
      </c>
      <c r="P12" t="s">
        <v>59</v>
      </c>
      <c r="W12" t="s">
        <v>1057</v>
      </c>
      <c r="X12" t="s">
        <v>1464</v>
      </c>
      <c r="Y12">
        <v>30</v>
      </c>
      <c r="AB12">
        <v>0</v>
      </c>
      <c r="AC12" t="s">
        <v>297</v>
      </c>
      <c r="AI12">
        <v>3</v>
      </c>
      <c r="AZ12">
        <v>0</v>
      </c>
    </row>
    <row r="13" spans="1:53" x14ac:dyDescent="0.3">
      <c r="A13" t="s">
        <v>1462</v>
      </c>
      <c r="C13" t="s">
        <v>1463</v>
      </c>
      <c r="O13">
        <v>4</v>
      </c>
      <c r="P13" t="s">
        <v>59</v>
      </c>
      <c r="W13" t="s">
        <v>1057</v>
      </c>
      <c r="X13" t="s">
        <v>1464</v>
      </c>
      <c r="Y13">
        <v>60</v>
      </c>
      <c r="AB13">
        <v>0</v>
      </c>
      <c r="AC13" t="s">
        <v>297</v>
      </c>
      <c r="AI13">
        <v>3</v>
      </c>
      <c r="AZ13">
        <v>0</v>
      </c>
    </row>
    <row r="14" spans="1:53" x14ac:dyDescent="0.3">
      <c r="A14" t="s">
        <v>1462</v>
      </c>
      <c r="C14" t="s">
        <v>1463</v>
      </c>
      <c r="O14">
        <v>4</v>
      </c>
      <c r="P14" t="s">
        <v>59</v>
      </c>
      <c r="W14" t="s">
        <v>1057</v>
      </c>
      <c r="X14" t="s">
        <v>1464</v>
      </c>
      <c r="Y14">
        <v>120</v>
      </c>
      <c r="AB14">
        <v>0</v>
      </c>
      <c r="AC14" t="s">
        <v>297</v>
      </c>
      <c r="AI14">
        <v>3</v>
      </c>
      <c r="AZ14">
        <v>0</v>
      </c>
    </row>
    <row r="15" spans="1:53" x14ac:dyDescent="0.3">
      <c r="A15" t="s">
        <v>1462</v>
      </c>
      <c r="C15" t="s">
        <v>1463</v>
      </c>
      <c r="O15">
        <v>4</v>
      </c>
      <c r="P15" t="s">
        <v>59</v>
      </c>
      <c r="W15" t="s">
        <v>1057</v>
      </c>
      <c r="X15" t="s">
        <v>1464</v>
      </c>
      <c r="Y15">
        <v>240</v>
      </c>
      <c r="AB15">
        <v>0</v>
      </c>
      <c r="AC15" t="s">
        <v>297</v>
      </c>
      <c r="AI15">
        <v>3</v>
      </c>
      <c r="AZ15">
        <v>0</v>
      </c>
    </row>
    <row r="16" spans="1:53" x14ac:dyDescent="0.3">
      <c r="A16" t="s">
        <v>1462</v>
      </c>
      <c r="C16" t="s">
        <v>1463</v>
      </c>
      <c r="O16">
        <v>4</v>
      </c>
      <c r="P16" t="s">
        <v>59</v>
      </c>
      <c r="W16" t="s">
        <v>1057</v>
      </c>
      <c r="X16" t="s">
        <v>1464</v>
      </c>
      <c r="Y16">
        <v>1440</v>
      </c>
      <c r="AB16">
        <v>0</v>
      </c>
      <c r="AC16" t="s">
        <v>297</v>
      </c>
      <c r="AI16">
        <v>3</v>
      </c>
      <c r="AZ16">
        <v>0</v>
      </c>
    </row>
    <row r="17" spans="1:52" x14ac:dyDescent="0.3">
      <c r="A17" t="s">
        <v>1462</v>
      </c>
      <c r="C17" t="s">
        <v>1463</v>
      </c>
      <c r="O17">
        <v>4</v>
      </c>
      <c r="P17" t="s">
        <v>59</v>
      </c>
      <c r="W17" t="s">
        <v>1057</v>
      </c>
      <c r="X17" t="s">
        <v>1464</v>
      </c>
      <c r="Y17">
        <v>2880</v>
      </c>
      <c r="AB17">
        <v>0</v>
      </c>
      <c r="AC17" t="s">
        <v>297</v>
      </c>
      <c r="AI17">
        <v>3</v>
      </c>
      <c r="AZ17">
        <v>0</v>
      </c>
    </row>
    <row r="18" spans="1:52" x14ac:dyDescent="0.3">
      <c r="A18" t="s">
        <v>1462</v>
      </c>
      <c r="C18" t="s">
        <v>1463</v>
      </c>
      <c r="O18">
        <v>4</v>
      </c>
      <c r="P18" t="s">
        <v>59</v>
      </c>
      <c r="W18" t="s">
        <v>1057</v>
      </c>
      <c r="X18" t="s">
        <v>1464</v>
      </c>
      <c r="Y18">
        <v>5</v>
      </c>
      <c r="AB18">
        <v>3</v>
      </c>
      <c r="AC18" t="s">
        <v>297</v>
      </c>
      <c r="AI18">
        <v>3</v>
      </c>
      <c r="AZ18">
        <v>3</v>
      </c>
    </row>
    <row r="19" spans="1:52" x14ac:dyDescent="0.3">
      <c r="A19" t="s">
        <v>1462</v>
      </c>
      <c r="C19" t="s">
        <v>1463</v>
      </c>
      <c r="O19">
        <v>4</v>
      </c>
      <c r="P19" t="s">
        <v>59</v>
      </c>
      <c r="W19" t="s">
        <v>1057</v>
      </c>
      <c r="X19" t="s">
        <v>1464</v>
      </c>
      <c r="Y19">
        <v>15</v>
      </c>
      <c r="AB19">
        <v>3</v>
      </c>
      <c r="AC19" t="s">
        <v>297</v>
      </c>
      <c r="AI19">
        <v>3</v>
      </c>
      <c r="AZ19">
        <v>3</v>
      </c>
    </row>
    <row r="20" spans="1:52" x14ac:dyDescent="0.3">
      <c r="A20" t="s">
        <v>1462</v>
      </c>
      <c r="C20" t="s">
        <v>1463</v>
      </c>
      <c r="O20">
        <v>4</v>
      </c>
      <c r="P20" t="s">
        <v>59</v>
      </c>
      <c r="W20" t="s">
        <v>1057</v>
      </c>
      <c r="X20" t="s">
        <v>1464</v>
      </c>
      <c r="Y20">
        <v>30</v>
      </c>
      <c r="AB20">
        <v>0</v>
      </c>
      <c r="AC20" t="s">
        <v>297</v>
      </c>
      <c r="AI20">
        <v>3</v>
      </c>
      <c r="AZ20">
        <v>0</v>
      </c>
    </row>
    <row r="21" spans="1:52" x14ac:dyDescent="0.3">
      <c r="A21" t="s">
        <v>1462</v>
      </c>
      <c r="C21" t="s">
        <v>1463</v>
      </c>
      <c r="O21">
        <v>4</v>
      </c>
      <c r="P21" t="s">
        <v>59</v>
      </c>
      <c r="W21" t="s">
        <v>1057</v>
      </c>
      <c r="X21" t="s">
        <v>1464</v>
      </c>
      <c r="Y21">
        <v>60</v>
      </c>
      <c r="AB21">
        <v>0</v>
      </c>
      <c r="AC21" t="s">
        <v>297</v>
      </c>
      <c r="AI21">
        <v>3</v>
      </c>
      <c r="AZ21">
        <v>0</v>
      </c>
    </row>
    <row r="22" spans="1:52" x14ac:dyDescent="0.3">
      <c r="A22" t="s">
        <v>1462</v>
      </c>
      <c r="C22" t="s">
        <v>1463</v>
      </c>
      <c r="O22">
        <v>4</v>
      </c>
      <c r="P22" t="s">
        <v>59</v>
      </c>
      <c r="W22" t="s">
        <v>1057</v>
      </c>
      <c r="X22" t="s">
        <v>1464</v>
      </c>
      <c r="Y22">
        <v>120</v>
      </c>
      <c r="AB22">
        <v>0</v>
      </c>
      <c r="AC22" t="s">
        <v>297</v>
      </c>
      <c r="AI22">
        <v>3</v>
      </c>
      <c r="AZ22">
        <v>0</v>
      </c>
    </row>
    <row r="23" spans="1:52" x14ac:dyDescent="0.3">
      <c r="A23" t="s">
        <v>1462</v>
      </c>
      <c r="C23" t="s">
        <v>1463</v>
      </c>
      <c r="O23">
        <v>4</v>
      </c>
      <c r="P23" t="s">
        <v>59</v>
      </c>
      <c r="W23" t="s">
        <v>1057</v>
      </c>
      <c r="X23" t="s">
        <v>1464</v>
      </c>
      <c r="Y23">
        <v>240</v>
      </c>
      <c r="AB23">
        <v>0</v>
      </c>
      <c r="AC23" t="s">
        <v>297</v>
      </c>
      <c r="AI23">
        <v>3</v>
      </c>
      <c r="AZ23">
        <v>0</v>
      </c>
    </row>
    <row r="24" spans="1:52" x14ac:dyDescent="0.3">
      <c r="A24" t="s">
        <v>1462</v>
      </c>
      <c r="C24" t="s">
        <v>1463</v>
      </c>
      <c r="O24">
        <v>4</v>
      </c>
      <c r="P24" t="s">
        <v>59</v>
      </c>
      <c r="W24" t="s">
        <v>1057</v>
      </c>
      <c r="X24" t="s">
        <v>1464</v>
      </c>
      <c r="Y24">
        <v>1440</v>
      </c>
      <c r="AB24">
        <v>0</v>
      </c>
      <c r="AC24" t="s">
        <v>297</v>
      </c>
      <c r="AI24">
        <v>3</v>
      </c>
      <c r="AZ24">
        <v>0</v>
      </c>
    </row>
    <row r="25" spans="1:52" x14ac:dyDescent="0.3">
      <c r="A25" t="s">
        <v>1462</v>
      </c>
      <c r="C25" t="s">
        <v>1463</v>
      </c>
      <c r="O25">
        <v>4</v>
      </c>
      <c r="P25" t="s">
        <v>59</v>
      </c>
      <c r="W25" t="s">
        <v>1057</v>
      </c>
      <c r="X25" t="s">
        <v>1464</v>
      </c>
      <c r="Y25">
        <v>2880</v>
      </c>
      <c r="AB25">
        <v>0</v>
      </c>
      <c r="AC25" t="s">
        <v>297</v>
      </c>
      <c r="AI25">
        <v>3</v>
      </c>
      <c r="AZ25">
        <v>0</v>
      </c>
    </row>
    <row r="26" spans="1:52" x14ac:dyDescent="0.3">
      <c r="A26" t="s">
        <v>1462</v>
      </c>
      <c r="C26" t="s">
        <v>1463</v>
      </c>
      <c r="O26">
        <v>4</v>
      </c>
      <c r="P26" t="s">
        <v>59</v>
      </c>
      <c r="W26" t="s">
        <v>1057</v>
      </c>
      <c r="X26" t="s">
        <v>1464</v>
      </c>
      <c r="Y26">
        <v>5</v>
      </c>
      <c r="AB26">
        <v>3</v>
      </c>
      <c r="AC26" t="s">
        <v>297</v>
      </c>
      <c r="AI26">
        <v>3</v>
      </c>
      <c r="AZ26">
        <v>3</v>
      </c>
    </row>
    <row r="27" spans="1:52" x14ac:dyDescent="0.3">
      <c r="A27" t="s">
        <v>1462</v>
      </c>
      <c r="C27" t="s">
        <v>1463</v>
      </c>
      <c r="O27">
        <v>4</v>
      </c>
      <c r="P27" t="s">
        <v>59</v>
      </c>
      <c r="W27" t="s">
        <v>1057</v>
      </c>
      <c r="X27" t="s">
        <v>1464</v>
      </c>
      <c r="Y27">
        <v>15</v>
      </c>
      <c r="AB27">
        <v>3</v>
      </c>
      <c r="AC27" t="s">
        <v>297</v>
      </c>
      <c r="AI27">
        <v>3</v>
      </c>
      <c r="AZ27">
        <v>3</v>
      </c>
    </row>
    <row r="28" spans="1:52" x14ac:dyDescent="0.3">
      <c r="A28" t="s">
        <v>1462</v>
      </c>
      <c r="C28" t="s">
        <v>1463</v>
      </c>
      <c r="O28">
        <v>4</v>
      </c>
      <c r="P28" t="s">
        <v>59</v>
      </c>
      <c r="W28" t="s">
        <v>1057</v>
      </c>
      <c r="X28" t="s">
        <v>1464</v>
      </c>
      <c r="Y28">
        <v>30</v>
      </c>
      <c r="AB28">
        <v>0</v>
      </c>
      <c r="AC28" t="s">
        <v>297</v>
      </c>
      <c r="AI28">
        <v>3</v>
      </c>
      <c r="AZ28">
        <v>0</v>
      </c>
    </row>
    <row r="29" spans="1:52" x14ac:dyDescent="0.3">
      <c r="A29" t="s">
        <v>1462</v>
      </c>
      <c r="C29" t="s">
        <v>1463</v>
      </c>
      <c r="O29">
        <v>4</v>
      </c>
      <c r="P29" t="s">
        <v>59</v>
      </c>
      <c r="W29" t="s">
        <v>1057</v>
      </c>
      <c r="X29" t="s">
        <v>1464</v>
      </c>
      <c r="Y29">
        <v>60</v>
      </c>
      <c r="AB29">
        <v>0</v>
      </c>
      <c r="AC29" t="s">
        <v>297</v>
      </c>
      <c r="AI29">
        <v>3</v>
      </c>
      <c r="AZ29">
        <v>0</v>
      </c>
    </row>
    <row r="30" spans="1:52" x14ac:dyDescent="0.3">
      <c r="A30" t="s">
        <v>1462</v>
      </c>
      <c r="C30" t="s">
        <v>1463</v>
      </c>
      <c r="O30">
        <v>4</v>
      </c>
      <c r="P30" t="s">
        <v>59</v>
      </c>
      <c r="W30" t="s">
        <v>1057</v>
      </c>
      <c r="X30" t="s">
        <v>1466</v>
      </c>
      <c r="Y30">
        <v>120</v>
      </c>
      <c r="AB30">
        <v>0</v>
      </c>
      <c r="AC30" t="s">
        <v>297</v>
      </c>
      <c r="AI30">
        <v>3</v>
      </c>
      <c r="AZ30">
        <v>0</v>
      </c>
    </row>
    <row r="31" spans="1:52" x14ac:dyDescent="0.3">
      <c r="A31" t="s">
        <v>1462</v>
      </c>
      <c r="C31" t="s">
        <v>1463</v>
      </c>
      <c r="O31">
        <v>4</v>
      </c>
      <c r="P31" t="s">
        <v>59</v>
      </c>
      <c r="W31" t="s">
        <v>1057</v>
      </c>
      <c r="X31" t="s">
        <v>1466</v>
      </c>
      <c r="Y31">
        <v>240</v>
      </c>
      <c r="AB31">
        <v>0</v>
      </c>
      <c r="AC31" t="s">
        <v>297</v>
      </c>
      <c r="AI31">
        <v>3</v>
      </c>
      <c r="AZ31">
        <v>0</v>
      </c>
    </row>
    <row r="32" spans="1:52" x14ac:dyDescent="0.3">
      <c r="A32" t="s">
        <v>1462</v>
      </c>
      <c r="C32" t="s">
        <v>1463</v>
      </c>
      <c r="O32">
        <v>4</v>
      </c>
      <c r="P32" t="s">
        <v>59</v>
      </c>
      <c r="W32" t="s">
        <v>1057</v>
      </c>
      <c r="X32" t="s">
        <v>1464</v>
      </c>
      <c r="Y32">
        <v>1440</v>
      </c>
      <c r="AB32">
        <v>0</v>
      </c>
      <c r="AC32" t="s">
        <v>297</v>
      </c>
      <c r="AI32">
        <v>3</v>
      </c>
      <c r="AZ32">
        <v>0</v>
      </c>
    </row>
    <row r="33" spans="1:52" x14ac:dyDescent="0.3">
      <c r="A33" t="s">
        <v>1462</v>
      </c>
      <c r="C33" t="s">
        <v>1463</v>
      </c>
      <c r="O33">
        <v>4</v>
      </c>
      <c r="P33" t="s">
        <v>59</v>
      </c>
      <c r="W33" t="s">
        <v>1057</v>
      </c>
      <c r="X33" t="s">
        <v>1464</v>
      </c>
      <c r="Y33">
        <v>2880</v>
      </c>
      <c r="AB33">
        <v>0</v>
      </c>
      <c r="AC33" t="s">
        <v>297</v>
      </c>
      <c r="AI33">
        <v>3</v>
      </c>
      <c r="AZ33">
        <v>0</v>
      </c>
    </row>
    <row r="34" spans="1:52" x14ac:dyDescent="0.3">
      <c r="A34" t="s">
        <v>1462</v>
      </c>
      <c r="C34" t="s">
        <v>1463</v>
      </c>
      <c r="O34">
        <v>4</v>
      </c>
      <c r="P34" t="s">
        <v>59</v>
      </c>
      <c r="W34" t="s">
        <v>1057</v>
      </c>
      <c r="X34" t="s">
        <v>1464</v>
      </c>
      <c r="Y34">
        <v>5</v>
      </c>
      <c r="AB34">
        <v>3</v>
      </c>
      <c r="AC34" t="s">
        <v>297</v>
      </c>
      <c r="AI34">
        <v>3</v>
      </c>
      <c r="AZ34">
        <v>3</v>
      </c>
    </row>
    <row r="35" spans="1:52" x14ac:dyDescent="0.3">
      <c r="A35" t="s">
        <v>1462</v>
      </c>
      <c r="C35" t="s">
        <v>1463</v>
      </c>
      <c r="O35">
        <v>4</v>
      </c>
      <c r="P35" t="s">
        <v>59</v>
      </c>
      <c r="W35" t="s">
        <v>1057</v>
      </c>
      <c r="X35" t="s">
        <v>1464</v>
      </c>
      <c r="Y35">
        <v>15</v>
      </c>
      <c r="AB35">
        <v>0</v>
      </c>
      <c r="AC35" t="s">
        <v>297</v>
      </c>
      <c r="AI35">
        <v>3</v>
      </c>
      <c r="AZ35">
        <v>0</v>
      </c>
    </row>
    <row r="36" spans="1:52" x14ac:dyDescent="0.3">
      <c r="A36" t="s">
        <v>1462</v>
      </c>
      <c r="C36" t="s">
        <v>1463</v>
      </c>
      <c r="O36">
        <v>4</v>
      </c>
      <c r="P36" t="s">
        <v>59</v>
      </c>
      <c r="W36" t="s">
        <v>1057</v>
      </c>
      <c r="X36" t="s">
        <v>1464</v>
      </c>
      <c r="Y36">
        <v>30</v>
      </c>
      <c r="AB36">
        <v>0</v>
      </c>
      <c r="AC36" t="s">
        <v>297</v>
      </c>
      <c r="AI36">
        <v>3</v>
      </c>
      <c r="AZ36">
        <v>0</v>
      </c>
    </row>
    <row r="37" spans="1:52" x14ac:dyDescent="0.3">
      <c r="A37" t="s">
        <v>1462</v>
      </c>
      <c r="C37" t="s">
        <v>1463</v>
      </c>
      <c r="O37">
        <v>4</v>
      </c>
      <c r="P37" t="s">
        <v>59</v>
      </c>
      <c r="W37" t="s">
        <v>1057</v>
      </c>
      <c r="X37" t="s">
        <v>1464</v>
      </c>
      <c r="Y37">
        <v>60</v>
      </c>
      <c r="AB37">
        <v>0</v>
      </c>
      <c r="AC37" t="s">
        <v>297</v>
      </c>
      <c r="AI37">
        <v>3</v>
      </c>
      <c r="AZ37">
        <v>0</v>
      </c>
    </row>
    <row r="38" spans="1:52" x14ac:dyDescent="0.3">
      <c r="A38" t="s">
        <v>1462</v>
      </c>
      <c r="C38" t="s">
        <v>1463</v>
      </c>
      <c r="O38">
        <v>4</v>
      </c>
      <c r="P38" t="s">
        <v>59</v>
      </c>
      <c r="W38" t="s">
        <v>1057</v>
      </c>
      <c r="X38" t="s">
        <v>1464</v>
      </c>
      <c r="Y38">
        <v>120</v>
      </c>
      <c r="AB38">
        <v>0</v>
      </c>
      <c r="AC38" t="s">
        <v>297</v>
      </c>
      <c r="AI38">
        <v>3</v>
      </c>
      <c r="AZ38">
        <v>0</v>
      </c>
    </row>
    <row r="39" spans="1:52" x14ac:dyDescent="0.3">
      <c r="A39" t="s">
        <v>1462</v>
      </c>
      <c r="C39" t="s">
        <v>1463</v>
      </c>
      <c r="O39">
        <v>4</v>
      </c>
      <c r="P39" t="s">
        <v>59</v>
      </c>
      <c r="W39" t="s">
        <v>1057</v>
      </c>
      <c r="X39" t="s">
        <v>1464</v>
      </c>
      <c r="Y39">
        <v>240</v>
      </c>
      <c r="AB39">
        <v>0</v>
      </c>
      <c r="AC39" t="s">
        <v>297</v>
      </c>
      <c r="AI39">
        <v>3</v>
      </c>
      <c r="AZ39">
        <v>0</v>
      </c>
    </row>
    <row r="40" spans="1:52" x14ac:dyDescent="0.3">
      <c r="A40" t="s">
        <v>1462</v>
      </c>
      <c r="C40" t="s">
        <v>1463</v>
      </c>
      <c r="O40">
        <v>4</v>
      </c>
      <c r="P40" t="s">
        <v>59</v>
      </c>
      <c r="W40" t="s">
        <v>1057</v>
      </c>
      <c r="X40" t="s">
        <v>1464</v>
      </c>
      <c r="Y40">
        <v>1440</v>
      </c>
      <c r="AB40">
        <v>0</v>
      </c>
      <c r="AC40" t="s">
        <v>297</v>
      </c>
      <c r="AI40">
        <v>3</v>
      </c>
      <c r="AZ40">
        <v>0</v>
      </c>
    </row>
    <row r="41" spans="1:52" x14ac:dyDescent="0.3">
      <c r="A41" t="s">
        <v>1462</v>
      </c>
      <c r="C41" t="s">
        <v>1463</v>
      </c>
      <c r="O41">
        <v>4</v>
      </c>
      <c r="P41" t="s">
        <v>59</v>
      </c>
      <c r="W41" t="s">
        <v>1057</v>
      </c>
      <c r="X41" t="s">
        <v>1464</v>
      </c>
      <c r="Y41">
        <v>2880</v>
      </c>
      <c r="AB41">
        <v>0</v>
      </c>
      <c r="AC41" t="s">
        <v>297</v>
      </c>
      <c r="AI41">
        <v>3</v>
      </c>
      <c r="AZ41">
        <v>0</v>
      </c>
    </row>
    <row r="42" spans="1:52" x14ac:dyDescent="0.3">
      <c r="A42" t="s">
        <v>1462</v>
      </c>
      <c r="C42" t="s">
        <v>1463</v>
      </c>
      <c r="O42">
        <v>4</v>
      </c>
      <c r="P42" t="s">
        <v>59</v>
      </c>
      <c r="W42" t="s">
        <v>1057</v>
      </c>
      <c r="X42" t="s">
        <v>1464</v>
      </c>
      <c r="Y42">
        <v>5</v>
      </c>
      <c r="AB42">
        <v>3</v>
      </c>
      <c r="AC42" t="s">
        <v>297</v>
      </c>
      <c r="AI42">
        <v>3</v>
      </c>
      <c r="AZ42">
        <v>3</v>
      </c>
    </row>
    <row r="43" spans="1:52" x14ac:dyDescent="0.3">
      <c r="A43" t="s">
        <v>1462</v>
      </c>
      <c r="C43" t="s">
        <v>1463</v>
      </c>
      <c r="O43">
        <v>4</v>
      </c>
      <c r="P43" t="s">
        <v>59</v>
      </c>
      <c r="W43" t="s">
        <v>1057</v>
      </c>
      <c r="X43" t="s">
        <v>1464</v>
      </c>
      <c r="Y43">
        <v>15</v>
      </c>
      <c r="AB43">
        <v>2</v>
      </c>
      <c r="AC43" t="s">
        <v>297</v>
      </c>
      <c r="AI43">
        <v>3</v>
      </c>
      <c r="AZ43">
        <v>2</v>
      </c>
    </row>
    <row r="44" spans="1:52" x14ac:dyDescent="0.3">
      <c r="A44" t="s">
        <v>1462</v>
      </c>
      <c r="C44" t="s">
        <v>1463</v>
      </c>
      <c r="O44">
        <v>4</v>
      </c>
      <c r="P44" t="s">
        <v>59</v>
      </c>
      <c r="W44" t="s">
        <v>1057</v>
      </c>
      <c r="X44" t="s">
        <v>1464</v>
      </c>
      <c r="Y44">
        <v>30</v>
      </c>
      <c r="AB44">
        <v>0</v>
      </c>
      <c r="AC44" t="s">
        <v>297</v>
      </c>
      <c r="AI44">
        <v>3</v>
      </c>
      <c r="AZ44">
        <v>0</v>
      </c>
    </row>
    <row r="45" spans="1:52" x14ac:dyDescent="0.3">
      <c r="A45" t="s">
        <v>1462</v>
      </c>
      <c r="C45" t="s">
        <v>1463</v>
      </c>
      <c r="O45">
        <v>4</v>
      </c>
      <c r="P45" t="s">
        <v>59</v>
      </c>
      <c r="W45" t="s">
        <v>1057</v>
      </c>
      <c r="X45" t="s">
        <v>1464</v>
      </c>
      <c r="Y45">
        <v>60</v>
      </c>
      <c r="AB45">
        <v>0</v>
      </c>
      <c r="AC45" t="s">
        <v>297</v>
      </c>
      <c r="AI45">
        <v>3</v>
      </c>
      <c r="AZ45">
        <v>0</v>
      </c>
    </row>
    <row r="46" spans="1:52" x14ac:dyDescent="0.3">
      <c r="A46" t="s">
        <v>1462</v>
      </c>
      <c r="C46" t="s">
        <v>1463</v>
      </c>
      <c r="O46">
        <v>4</v>
      </c>
      <c r="P46" t="s">
        <v>59</v>
      </c>
      <c r="W46" t="s">
        <v>1057</v>
      </c>
      <c r="X46" t="s">
        <v>1464</v>
      </c>
      <c r="Y46">
        <v>120</v>
      </c>
      <c r="AB46">
        <v>0</v>
      </c>
      <c r="AC46" t="s">
        <v>297</v>
      </c>
      <c r="AI46">
        <v>3</v>
      </c>
      <c r="AZ46">
        <v>0</v>
      </c>
    </row>
    <row r="47" spans="1:52" x14ac:dyDescent="0.3">
      <c r="A47" t="s">
        <v>1462</v>
      </c>
      <c r="C47" t="s">
        <v>1463</v>
      </c>
      <c r="O47">
        <v>4</v>
      </c>
      <c r="P47" t="s">
        <v>59</v>
      </c>
      <c r="W47" t="s">
        <v>1057</v>
      </c>
      <c r="X47" t="s">
        <v>1464</v>
      </c>
      <c r="Y47">
        <v>240</v>
      </c>
      <c r="AB47">
        <v>0</v>
      </c>
      <c r="AC47" t="s">
        <v>297</v>
      </c>
      <c r="AI47">
        <v>3</v>
      </c>
      <c r="AZ47">
        <v>0</v>
      </c>
    </row>
    <row r="48" spans="1:52" x14ac:dyDescent="0.3">
      <c r="A48" t="s">
        <v>1462</v>
      </c>
      <c r="C48" t="s">
        <v>1463</v>
      </c>
      <c r="O48">
        <v>4</v>
      </c>
      <c r="P48" t="s">
        <v>59</v>
      </c>
      <c r="W48" t="s">
        <v>1057</v>
      </c>
      <c r="X48" t="s">
        <v>1464</v>
      </c>
      <c r="Y48">
        <v>1440</v>
      </c>
      <c r="AB48">
        <v>0</v>
      </c>
      <c r="AC48" t="s">
        <v>297</v>
      </c>
      <c r="AI48">
        <v>3</v>
      </c>
      <c r="AZ48">
        <v>0</v>
      </c>
    </row>
    <row r="49" spans="1:52" x14ac:dyDescent="0.3">
      <c r="A49" t="s">
        <v>1462</v>
      </c>
      <c r="C49" t="s">
        <v>1463</v>
      </c>
      <c r="O49">
        <v>4</v>
      </c>
      <c r="P49" t="s">
        <v>59</v>
      </c>
      <c r="W49" t="s">
        <v>1057</v>
      </c>
      <c r="X49" t="s">
        <v>1464</v>
      </c>
      <c r="Y49">
        <v>2880</v>
      </c>
      <c r="AB49">
        <v>0</v>
      </c>
      <c r="AC49" t="s">
        <v>297</v>
      </c>
      <c r="AI49">
        <v>3</v>
      </c>
      <c r="AZ49">
        <v>0</v>
      </c>
    </row>
    <row r="50" spans="1:52" x14ac:dyDescent="0.3">
      <c r="A50" t="s">
        <v>1462</v>
      </c>
      <c r="C50" t="s">
        <v>1463</v>
      </c>
      <c r="O50">
        <v>4</v>
      </c>
      <c r="P50" t="s">
        <v>59</v>
      </c>
      <c r="W50" t="s">
        <v>1057</v>
      </c>
      <c r="X50" t="s">
        <v>1464</v>
      </c>
      <c r="Y50">
        <v>5</v>
      </c>
      <c r="AB50">
        <v>3</v>
      </c>
      <c r="AC50" t="s">
        <v>297</v>
      </c>
      <c r="AI50">
        <v>3</v>
      </c>
      <c r="AZ50">
        <v>3</v>
      </c>
    </row>
    <row r="51" spans="1:52" x14ac:dyDescent="0.3">
      <c r="A51" t="s">
        <v>1462</v>
      </c>
      <c r="C51" t="s">
        <v>1463</v>
      </c>
      <c r="O51">
        <v>4</v>
      </c>
      <c r="P51" t="s">
        <v>59</v>
      </c>
      <c r="W51" t="s">
        <v>1057</v>
      </c>
      <c r="X51" t="s">
        <v>1464</v>
      </c>
      <c r="Y51">
        <v>15</v>
      </c>
      <c r="AB51">
        <v>3</v>
      </c>
      <c r="AC51" t="s">
        <v>297</v>
      </c>
      <c r="AI51">
        <v>3</v>
      </c>
      <c r="AZ51">
        <v>3</v>
      </c>
    </row>
    <row r="52" spans="1:52" x14ac:dyDescent="0.3">
      <c r="A52" t="s">
        <v>1462</v>
      </c>
      <c r="C52" t="s">
        <v>1463</v>
      </c>
      <c r="O52">
        <v>4</v>
      </c>
      <c r="P52" t="s">
        <v>59</v>
      </c>
      <c r="W52" t="s">
        <v>1057</v>
      </c>
      <c r="X52" t="s">
        <v>1464</v>
      </c>
      <c r="Y52">
        <v>30</v>
      </c>
      <c r="AB52">
        <v>0</v>
      </c>
      <c r="AC52" t="s">
        <v>297</v>
      </c>
      <c r="AI52">
        <v>3</v>
      </c>
      <c r="AZ52">
        <v>0</v>
      </c>
    </row>
    <row r="53" spans="1:52" x14ac:dyDescent="0.3">
      <c r="A53" t="s">
        <v>1462</v>
      </c>
      <c r="C53" t="s">
        <v>1463</v>
      </c>
      <c r="O53">
        <v>4</v>
      </c>
      <c r="P53" t="s">
        <v>59</v>
      </c>
      <c r="W53" t="s">
        <v>1057</v>
      </c>
      <c r="X53" t="s">
        <v>1464</v>
      </c>
      <c r="Y53">
        <v>60</v>
      </c>
      <c r="AB53">
        <v>0</v>
      </c>
      <c r="AC53" t="s">
        <v>297</v>
      </c>
      <c r="AI53">
        <v>3</v>
      </c>
      <c r="AZ53">
        <v>0</v>
      </c>
    </row>
    <row r="54" spans="1:52" x14ac:dyDescent="0.3">
      <c r="A54" t="s">
        <v>1462</v>
      </c>
      <c r="C54" t="s">
        <v>1463</v>
      </c>
      <c r="O54">
        <v>4</v>
      </c>
      <c r="P54" t="s">
        <v>59</v>
      </c>
      <c r="W54" t="s">
        <v>1057</v>
      </c>
      <c r="X54" t="s">
        <v>1464</v>
      </c>
      <c r="Y54">
        <v>120</v>
      </c>
      <c r="AB54">
        <v>0</v>
      </c>
      <c r="AC54" t="s">
        <v>297</v>
      </c>
      <c r="AI54">
        <v>3</v>
      </c>
      <c r="AZ54">
        <v>0</v>
      </c>
    </row>
    <row r="55" spans="1:52" x14ac:dyDescent="0.3">
      <c r="A55" t="s">
        <v>1462</v>
      </c>
      <c r="C55" t="s">
        <v>1463</v>
      </c>
      <c r="O55">
        <v>4</v>
      </c>
      <c r="P55" t="s">
        <v>59</v>
      </c>
      <c r="W55" t="s">
        <v>1057</v>
      </c>
      <c r="X55" t="s">
        <v>1464</v>
      </c>
      <c r="Y55">
        <v>240</v>
      </c>
      <c r="AB55">
        <v>0</v>
      </c>
      <c r="AC55" t="s">
        <v>297</v>
      </c>
      <c r="AI55">
        <v>3</v>
      </c>
      <c r="AZ55">
        <v>0</v>
      </c>
    </row>
    <row r="56" spans="1:52" x14ac:dyDescent="0.3">
      <c r="A56" t="s">
        <v>1462</v>
      </c>
      <c r="C56" t="s">
        <v>1463</v>
      </c>
      <c r="O56">
        <v>4</v>
      </c>
      <c r="P56" t="s">
        <v>59</v>
      </c>
      <c r="W56" t="s">
        <v>1057</v>
      </c>
      <c r="X56" t="s">
        <v>1464</v>
      </c>
      <c r="Y56">
        <v>1440</v>
      </c>
      <c r="AB56">
        <v>0</v>
      </c>
      <c r="AC56" t="s">
        <v>297</v>
      </c>
      <c r="AI56">
        <v>3</v>
      </c>
      <c r="AZ56">
        <v>0</v>
      </c>
    </row>
    <row r="57" spans="1:52" x14ac:dyDescent="0.3">
      <c r="A57" t="s">
        <v>1462</v>
      </c>
      <c r="C57" t="s">
        <v>1463</v>
      </c>
      <c r="O57">
        <v>4</v>
      </c>
      <c r="P57" t="s">
        <v>59</v>
      </c>
      <c r="W57" t="s">
        <v>1057</v>
      </c>
      <c r="X57" t="s">
        <v>1464</v>
      </c>
      <c r="Y57">
        <v>2880</v>
      </c>
      <c r="AB57">
        <v>0</v>
      </c>
      <c r="AC57" t="s">
        <v>297</v>
      </c>
      <c r="AI57">
        <v>3</v>
      </c>
      <c r="AZ57">
        <v>0</v>
      </c>
    </row>
    <row r="58" spans="1:52" x14ac:dyDescent="0.3">
      <c r="A58" t="s">
        <v>1462</v>
      </c>
      <c r="C58" t="s">
        <v>1463</v>
      </c>
      <c r="O58">
        <v>4</v>
      </c>
      <c r="P58" t="s">
        <v>59</v>
      </c>
      <c r="W58" t="s">
        <v>1057</v>
      </c>
      <c r="X58" t="s">
        <v>1464</v>
      </c>
      <c r="Y58">
        <v>5</v>
      </c>
      <c r="AB58">
        <v>3</v>
      </c>
      <c r="AC58" t="s">
        <v>297</v>
      </c>
      <c r="AI58">
        <v>3</v>
      </c>
      <c r="AZ58">
        <v>3</v>
      </c>
    </row>
    <row r="59" spans="1:52" x14ac:dyDescent="0.3">
      <c r="A59" t="s">
        <v>1462</v>
      </c>
      <c r="C59" t="s">
        <v>1463</v>
      </c>
      <c r="O59">
        <v>4</v>
      </c>
      <c r="P59" t="s">
        <v>59</v>
      </c>
      <c r="W59" t="s">
        <v>1057</v>
      </c>
      <c r="X59" t="s">
        <v>1464</v>
      </c>
      <c r="Y59">
        <v>15</v>
      </c>
      <c r="AB59">
        <v>3</v>
      </c>
      <c r="AC59" t="s">
        <v>297</v>
      </c>
      <c r="AI59">
        <v>3</v>
      </c>
      <c r="AZ59">
        <v>3</v>
      </c>
    </row>
    <row r="60" spans="1:52" x14ac:dyDescent="0.3">
      <c r="A60" t="s">
        <v>1462</v>
      </c>
      <c r="C60" t="s">
        <v>1463</v>
      </c>
      <c r="O60">
        <v>4</v>
      </c>
      <c r="P60" t="s">
        <v>59</v>
      </c>
      <c r="W60" t="s">
        <v>1057</v>
      </c>
      <c r="X60" t="s">
        <v>1464</v>
      </c>
      <c r="Y60">
        <v>30</v>
      </c>
      <c r="AB60">
        <v>3</v>
      </c>
      <c r="AC60" t="s">
        <v>297</v>
      </c>
      <c r="AI60">
        <v>3</v>
      </c>
      <c r="AZ60">
        <v>3</v>
      </c>
    </row>
    <row r="61" spans="1:52" x14ac:dyDescent="0.3">
      <c r="A61" t="s">
        <v>1462</v>
      </c>
      <c r="C61" t="s">
        <v>1463</v>
      </c>
      <c r="O61">
        <v>4</v>
      </c>
      <c r="P61" t="s">
        <v>59</v>
      </c>
      <c r="W61" t="s">
        <v>1057</v>
      </c>
      <c r="X61" t="s">
        <v>1464</v>
      </c>
      <c r="Y61">
        <v>60</v>
      </c>
      <c r="AB61">
        <v>3</v>
      </c>
      <c r="AC61" t="s">
        <v>297</v>
      </c>
      <c r="AI61">
        <v>3</v>
      </c>
      <c r="AZ61">
        <v>3</v>
      </c>
    </row>
    <row r="62" spans="1:52" x14ac:dyDescent="0.3">
      <c r="A62" t="s">
        <v>1462</v>
      </c>
      <c r="C62" t="s">
        <v>1463</v>
      </c>
      <c r="O62">
        <v>4</v>
      </c>
      <c r="P62" t="s">
        <v>59</v>
      </c>
      <c r="W62" t="s">
        <v>1057</v>
      </c>
      <c r="X62" t="s">
        <v>1464</v>
      </c>
      <c r="Y62">
        <v>120</v>
      </c>
      <c r="AB62">
        <v>3</v>
      </c>
      <c r="AC62" t="s">
        <v>297</v>
      </c>
      <c r="AI62">
        <v>3</v>
      </c>
      <c r="AZ62">
        <v>3</v>
      </c>
    </row>
    <row r="63" spans="1:52" x14ac:dyDescent="0.3">
      <c r="A63" t="s">
        <v>1462</v>
      </c>
      <c r="C63" t="s">
        <v>1463</v>
      </c>
      <c r="O63">
        <v>4</v>
      </c>
      <c r="P63" t="s">
        <v>59</v>
      </c>
      <c r="W63" t="s">
        <v>1057</v>
      </c>
      <c r="X63" t="s">
        <v>1464</v>
      </c>
      <c r="Y63">
        <v>240</v>
      </c>
      <c r="AB63">
        <v>0</v>
      </c>
      <c r="AC63" t="s">
        <v>297</v>
      </c>
      <c r="AI63">
        <v>3</v>
      </c>
      <c r="AZ63">
        <v>0</v>
      </c>
    </row>
    <row r="64" spans="1:52" x14ac:dyDescent="0.3">
      <c r="A64" t="s">
        <v>1462</v>
      </c>
      <c r="C64" t="s">
        <v>1463</v>
      </c>
      <c r="O64">
        <v>4</v>
      </c>
      <c r="P64" t="s">
        <v>59</v>
      </c>
      <c r="W64" t="s">
        <v>1057</v>
      </c>
      <c r="X64" t="s">
        <v>1464</v>
      </c>
      <c r="Y64">
        <v>1440</v>
      </c>
      <c r="AB64">
        <v>0</v>
      </c>
      <c r="AC64" t="s">
        <v>297</v>
      </c>
      <c r="AI64">
        <v>3</v>
      </c>
      <c r="AZ64">
        <v>0</v>
      </c>
    </row>
    <row r="65" spans="1:52" x14ac:dyDescent="0.3">
      <c r="A65" t="s">
        <v>1462</v>
      </c>
      <c r="C65" t="s">
        <v>1463</v>
      </c>
      <c r="O65">
        <v>4</v>
      </c>
      <c r="P65" t="s">
        <v>59</v>
      </c>
      <c r="W65" t="s">
        <v>1057</v>
      </c>
      <c r="X65" t="s">
        <v>1464</v>
      </c>
      <c r="Y65">
        <v>2880</v>
      </c>
      <c r="AB65">
        <v>0</v>
      </c>
      <c r="AC65" t="s">
        <v>297</v>
      </c>
      <c r="AI65">
        <v>3</v>
      </c>
      <c r="AZ65">
        <v>0</v>
      </c>
    </row>
    <row r="66" spans="1:52" x14ac:dyDescent="0.3">
      <c r="A66" t="s">
        <v>1462</v>
      </c>
      <c r="C66" t="s">
        <v>1463</v>
      </c>
      <c r="O66">
        <v>4</v>
      </c>
      <c r="P66" t="s">
        <v>59</v>
      </c>
      <c r="W66" t="s">
        <v>1057</v>
      </c>
      <c r="X66" t="s">
        <v>1464</v>
      </c>
      <c r="Y66">
        <v>5</v>
      </c>
      <c r="AB66">
        <v>3</v>
      </c>
      <c r="AC66" t="s">
        <v>297</v>
      </c>
      <c r="AI66">
        <v>3</v>
      </c>
      <c r="AZ66">
        <v>3</v>
      </c>
    </row>
    <row r="67" spans="1:52" x14ac:dyDescent="0.3">
      <c r="A67" t="s">
        <v>1462</v>
      </c>
      <c r="C67" t="s">
        <v>1463</v>
      </c>
      <c r="O67">
        <v>4</v>
      </c>
      <c r="P67" t="s">
        <v>59</v>
      </c>
      <c r="W67" t="s">
        <v>1057</v>
      </c>
      <c r="X67" t="s">
        <v>1464</v>
      </c>
      <c r="Y67">
        <v>15</v>
      </c>
      <c r="AB67">
        <v>3</v>
      </c>
      <c r="AC67" t="s">
        <v>297</v>
      </c>
      <c r="AI67">
        <v>3</v>
      </c>
      <c r="AZ67">
        <v>3</v>
      </c>
    </row>
    <row r="68" spans="1:52" x14ac:dyDescent="0.3">
      <c r="A68" t="s">
        <v>1462</v>
      </c>
      <c r="C68" t="s">
        <v>1463</v>
      </c>
      <c r="O68">
        <v>4</v>
      </c>
      <c r="P68" t="s">
        <v>59</v>
      </c>
      <c r="W68" t="s">
        <v>1057</v>
      </c>
      <c r="X68" t="s">
        <v>1464</v>
      </c>
      <c r="Y68">
        <v>30</v>
      </c>
      <c r="AB68">
        <v>3</v>
      </c>
      <c r="AC68" t="s">
        <v>297</v>
      </c>
      <c r="AI68">
        <v>3</v>
      </c>
      <c r="AZ68">
        <v>3</v>
      </c>
    </row>
    <row r="69" spans="1:52" x14ac:dyDescent="0.3">
      <c r="A69" t="s">
        <v>1462</v>
      </c>
      <c r="C69" t="s">
        <v>1463</v>
      </c>
      <c r="O69">
        <v>4</v>
      </c>
      <c r="P69" t="s">
        <v>59</v>
      </c>
      <c r="W69" t="s">
        <v>1057</v>
      </c>
      <c r="X69" t="s">
        <v>1464</v>
      </c>
      <c r="Y69">
        <v>60</v>
      </c>
      <c r="AB69">
        <v>3</v>
      </c>
      <c r="AC69" t="s">
        <v>297</v>
      </c>
      <c r="AI69">
        <v>3</v>
      </c>
      <c r="AZ69">
        <v>3</v>
      </c>
    </row>
    <row r="70" spans="1:52" x14ac:dyDescent="0.3">
      <c r="A70" t="s">
        <v>1462</v>
      </c>
      <c r="C70" t="s">
        <v>1463</v>
      </c>
      <c r="O70">
        <v>4</v>
      </c>
      <c r="P70" t="s">
        <v>59</v>
      </c>
      <c r="W70" t="s">
        <v>1057</v>
      </c>
      <c r="X70" t="s">
        <v>1464</v>
      </c>
      <c r="Y70">
        <v>120</v>
      </c>
      <c r="AB70">
        <v>3</v>
      </c>
      <c r="AC70" t="s">
        <v>297</v>
      </c>
      <c r="AI70">
        <v>3</v>
      </c>
      <c r="AZ70">
        <v>3</v>
      </c>
    </row>
    <row r="71" spans="1:52" x14ac:dyDescent="0.3">
      <c r="A71" t="s">
        <v>1462</v>
      </c>
      <c r="C71" t="s">
        <v>1463</v>
      </c>
      <c r="O71">
        <v>4</v>
      </c>
      <c r="P71" t="s">
        <v>59</v>
      </c>
      <c r="W71" t="s">
        <v>1057</v>
      </c>
      <c r="X71" t="s">
        <v>1464</v>
      </c>
      <c r="Y71">
        <v>240</v>
      </c>
      <c r="AB71">
        <v>0</v>
      </c>
      <c r="AC71" t="s">
        <v>297</v>
      </c>
      <c r="AI71">
        <v>3</v>
      </c>
      <c r="AZ71">
        <v>0</v>
      </c>
    </row>
    <row r="72" spans="1:52" x14ac:dyDescent="0.3">
      <c r="A72" t="s">
        <v>1462</v>
      </c>
      <c r="C72" t="s">
        <v>1463</v>
      </c>
      <c r="O72">
        <v>4</v>
      </c>
      <c r="P72" t="s">
        <v>59</v>
      </c>
      <c r="W72" t="s">
        <v>1057</v>
      </c>
      <c r="X72" t="s">
        <v>1464</v>
      </c>
      <c r="Y72">
        <v>1440</v>
      </c>
      <c r="AB72">
        <v>0</v>
      </c>
      <c r="AC72" t="s">
        <v>297</v>
      </c>
      <c r="AI72">
        <v>3</v>
      </c>
      <c r="AZ72">
        <v>0</v>
      </c>
    </row>
    <row r="73" spans="1:52" x14ac:dyDescent="0.3">
      <c r="A73" t="s">
        <v>1462</v>
      </c>
      <c r="C73" t="s">
        <v>1463</v>
      </c>
      <c r="O73">
        <v>4</v>
      </c>
      <c r="P73" t="s">
        <v>59</v>
      </c>
      <c r="W73" t="s">
        <v>1057</v>
      </c>
      <c r="X73" t="s">
        <v>1464</v>
      </c>
      <c r="Y73">
        <v>2880</v>
      </c>
      <c r="AB73">
        <v>0</v>
      </c>
      <c r="AC73" t="s">
        <v>297</v>
      </c>
      <c r="AI73">
        <v>3</v>
      </c>
      <c r="AZ73">
        <v>0</v>
      </c>
    </row>
    <row r="74" spans="1:52" x14ac:dyDescent="0.3">
      <c r="A74" t="s">
        <v>1462</v>
      </c>
      <c r="C74" t="s">
        <v>1463</v>
      </c>
      <c r="O74">
        <v>4</v>
      </c>
      <c r="P74" t="s">
        <v>59</v>
      </c>
      <c r="W74" t="s">
        <v>1057</v>
      </c>
      <c r="X74" t="s">
        <v>1464</v>
      </c>
      <c r="Y74">
        <v>5</v>
      </c>
      <c r="AB74">
        <v>3</v>
      </c>
      <c r="AC74" t="s">
        <v>297</v>
      </c>
      <c r="AI74">
        <v>3</v>
      </c>
      <c r="AZ74">
        <v>3</v>
      </c>
    </row>
    <row r="75" spans="1:52" x14ac:dyDescent="0.3">
      <c r="A75" t="s">
        <v>1462</v>
      </c>
      <c r="C75" t="s">
        <v>1463</v>
      </c>
      <c r="O75">
        <v>4</v>
      </c>
      <c r="P75" t="s">
        <v>59</v>
      </c>
      <c r="W75" t="s">
        <v>1057</v>
      </c>
      <c r="X75" t="s">
        <v>1464</v>
      </c>
      <c r="Y75">
        <v>15</v>
      </c>
      <c r="AB75">
        <v>2</v>
      </c>
      <c r="AC75" t="s">
        <v>297</v>
      </c>
      <c r="AI75">
        <v>3</v>
      </c>
      <c r="AZ75">
        <v>2</v>
      </c>
    </row>
    <row r="76" spans="1:52" x14ac:dyDescent="0.3">
      <c r="A76" t="s">
        <v>1462</v>
      </c>
      <c r="C76" t="s">
        <v>1463</v>
      </c>
      <c r="O76">
        <v>4</v>
      </c>
      <c r="P76" t="s">
        <v>59</v>
      </c>
      <c r="W76" t="s">
        <v>1057</v>
      </c>
      <c r="X76" t="s">
        <v>1464</v>
      </c>
      <c r="Y76">
        <v>30</v>
      </c>
      <c r="AB76">
        <v>0</v>
      </c>
      <c r="AC76" t="s">
        <v>297</v>
      </c>
      <c r="AI76">
        <v>3</v>
      </c>
      <c r="AZ76">
        <v>0</v>
      </c>
    </row>
    <row r="77" spans="1:52" x14ac:dyDescent="0.3">
      <c r="A77" t="s">
        <v>1462</v>
      </c>
      <c r="C77" t="s">
        <v>1463</v>
      </c>
      <c r="O77">
        <v>4</v>
      </c>
      <c r="P77" t="s">
        <v>59</v>
      </c>
      <c r="W77" t="s">
        <v>1057</v>
      </c>
      <c r="X77" t="s">
        <v>1464</v>
      </c>
      <c r="Y77">
        <v>60</v>
      </c>
      <c r="AB77">
        <v>0</v>
      </c>
      <c r="AC77" t="s">
        <v>297</v>
      </c>
      <c r="AI77">
        <v>3</v>
      </c>
      <c r="AZ77">
        <v>0</v>
      </c>
    </row>
    <row r="78" spans="1:52" x14ac:dyDescent="0.3">
      <c r="A78" t="s">
        <v>1462</v>
      </c>
      <c r="C78" t="s">
        <v>1463</v>
      </c>
      <c r="O78">
        <v>4</v>
      </c>
      <c r="P78" t="s">
        <v>59</v>
      </c>
      <c r="W78" t="s">
        <v>1057</v>
      </c>
      <c r="X78" t="s">
        <v>1464</v>
      </c>
      <c r="Y78">
        <v>120</v>
      </c>
      <c r="AB78">
        <v>0</v>
      </c>
      <c r="AC78" t="s">
        <v>297</v>
      </c>
      <c r="AI78">
        <v>3</v>
      </c>
      <c r="AZ78">
        <v>0</v>
      </c>
    </row>
    <row r="79" spans="1:52" x14ac:dyDescent="0.3">
      <c r="A79" t="s">
        <v>1462</v>
      </c>
      <c r="C79" t="s">
        <v>1463</v>
      </c>
      <c r="O79">
        <v>4</v>
      </c>
      <c r="P79" t="s">
        <v>59</v>
      </c>
      <c r="W79" t="s">
        <v>1057</v>
      </c>
      <c r="X79" t="s">
        <v>1464</v>
      </c>
      <c r="Y79">
        <v>240</v>
      </c>
      <c r="AB79">
        <v>0</v>
      </c>
      <c r="AC79" t="s">
        <v>297</v>
      </c>
      <c r="AI79">
        <v>3</v>
      </c>
      <c r="AZ79">
        <v>0</v>
      </c>
    </row>
    <row r="80" spans="1:52" x14ac:dyDescent="0.3">
      <c r="A80" t="s">
        <v>1462</v>
      </c>
      <c r="C80" t="s">
        <v>1463</v>
      </c>
      <c r="O80">
        <v>4</v>
      </c>
      <c r="P80" t="s">
        <v>59</v>
      </c>
      <c r="W80" t="s">
        <v>1057</v>
      </c>
      <c r="X80" t="s">
        <v>1464</v>
      </c>
      <c r="Y80">
        <v>1440</v>
      </c>
      <c r="AB80">
        <v>0</v>
      </c>
      <c r="AC80" t="s">
        <v>297</v>
      </c>
      <c r="AI80">
        <v>3</v>
      </c>
      <c r="AZ80">
        <v>0</v>
      </c>
    </row>
    <row r="81" spans="1:52" x14ac:dyDescent="0.3">
      <c r="A81" t="s">
        <v>1462</v>
      </c>
      <c r="C81" t="s">
        <v>1463</v>
      </c>
      <c r="O81">
        <v>4</v>
      </c>
      <c r="P81" t="s">
        <v>59</v>
      </c>
      <c r="W81" t="s">
        <v>1057</v>
      </c>
      <c r="X81" t="s">
        <v>1464</v>
      </c>
      <c r="Y81">
        <v>2880</v>
      </c>
      <c r="AB81">
        <v>0</v>
      </c>
      <c r="AC81" t="s">
        <v>297</v>
      </c>
      <c r="AI81">
        <v>3</v>
      </c>
      <c r="AZ81">
        <v>0</v>
      </c>
    </row>
    <row r="82" spans="1:52" x14ac:dyDescent="0.3">
      <c r="A82" t="s">
        <v>1462</v>
      </c>
      <c r="C82" t="s">
        <v>1463</v>
      </c>
      <c r="O82">
        <v>4</v>
      </c>
      <c r="P82" t="s">
        <v>59</v>
      </c>
      <c r="W82" t="s">
        <v>1057</v>
      </c>
      <c r="X82" t="s">
        <v>1464</v>
      </c>
      <c r="Y82">
        <v>5</v>
      </c>
      <c r="AB82">
        <v>0</v>
      </c>
      <c r="AC82" t="s">
        <v>297</v>
      </c>
      <c r="AI82">
        <v>3</v>
      </c>
      <c r="AZ82">
        <v>0</v>
      </c>
    </row>
    <row r="83" spans="1:52" x14ac:dyDescent="0.3">
      <c r="A83" t="s">
        <v>1462</v>
      </c>
      <c r="C83" t="s">
        <v>1463</v>
      </c>
      <c r="O83">
        <v>4</v>
      </c>
      <c r="P83" t="s">
        <v>59</v>
      </c>
      <c r="W83" t="s">
        <v>1057</v>
      </c>
      <c r="X83" t="s">
        <v>1464</v>
      </c>
      <c r="Y83">
        <v>15</v>
      </c>
      <c r="AB83">
        <v>0</v>
      </c>
      <c r="AC83" t="s">
        <v>297</v>
      </c>
      <c r="AI83">
        <v>3</v>
      </c>
      <c r="AZ83">
        <v>0</v>
      </c>
    </row>
    <row r="84" spans="1:52" x14ac:dyDescent="0.3">
      <c r="A84" t="s">
        <v>1462</v>
      </c>
      <c r="C84" t="s">
        <v>1463</v>
      </c>
      <c r="O84">
        <v>4</v>
      </c>
      <c r="P84" t="s">
        <v>59</v>
      </c>
      <c r="W84" t="s">
        <v>1057</v>
      </c>
      <c r="X84" t="s">
        <v>1464</v>
      </c>
      <c r="Y84">
        <v>30</v>
      </c>
      <c r="AB84">
        <v>0</v>
      </c>
      <c r="AC84" t="s">
        <v>297</v>
      </c>
      <c r="AI84">
        <v>3</v>
      </c>
      <c r="AZ84">
        <v>0</v>
      </c>
    </row>
    <row r="85" spans="1:52" x14ac:dyDescent="0.3">
      <c r="A85" t="s">
        <v>1462</v>
      </c>
      <c r="C85" t="s">
        <v>1463</v>
      </c>
      <c r="O85">
        <v>4</v>
      </c>
      <c r="P85" t="s">
        <v>59</v>
      </c>
      <c r="W85" t="s">
        <v>1057</v>
      </c>
      <c r="X85" t="s">
        <v>1464</v>
      </c>
      <c r="Y85">
        <v>60</v>
      </c>
      <c r="AB85">
        <v>0</v>
      </c>
      <c r="AC85" t="s">
        <v>297</v>
      </c>
      <c r="AI85">
        <v>3</v>
      </c>
      <c r="AZ85">
        <v>0</v>
      </c>
    </row>
    <row r="86" spans="1:52" x14ac:dyDescent="0.3">
      <c r="A86" t="s">
        <v>1462</v>
      </c>
      <c r="C86" t="s">
        <v>1463</v>
      </c>
      <c r="O86">
        <v>4</v>
      </c>
      <c r="P86" t="s">
        <v>59</v>
      </c>
      <c r="W86" t="s">
        <v>1057</v>
      </c>
      <c r="X86" t="s">
        <v>1464</v>
      </c>
      <c r="Y86">
        <v>120</v>
      </c>
      <c r="AB86">
        <v>0</v>
      </c>
      <c r="AC86" t="s">
        <v>297</v>
      </c>
      <c r="AI86">
        <v>3</v>
      </c>
      <c r="AZ86">
        <v>0</v>
      </c>
    </row>
    <row r="87" spans="1:52" x14ac:dyDescent="0.3">
      <c r="A87" t="s">
        <v>1462</v>
      </c>
      <c r="C87" t="s">
        <v>1463</v>
      </c>
      <c r="O87">
        <v>4</v>
      </c>
      <c r="P87" t="s">
        <v>59</v>
      </c>
      <c r="W87" t="s">
        <v>1057</v>
      </c>
      <c r="X87" t="s">
        <v>1464</v>
      </c>
      <c r="Y87">
        <v>240</v>
      </c>
      <c r="AB87">
        <v>0</v>
      </c>
      <c r="AC87" t="s">
        <v>297</v>
      </c>
      <c r="AI87">
        <v>3</v>
      </c>
      <c r="AZ87">
        <v>0</v>
      </c>
    </row>
    <row r="88" spans="1:52" x14ac:dyDescent="0.3">
      <c r="A88" t="s">
        <v>1462</v>
      </c>
      <c r="C88" t="s">
        <v>1463</v>
      </c>
      <c r="O88">
        <v>4</v>
      </c>
      <c r="P88" t="s">
        <v>59</v>
      </c>
      <c r="W88" t="s">
        <v>1057</v>
      </c>
      <c r="X88" t="s">
        <v>1464</v>
      </c>
      <c r="Y88">
        <v>1440</v>
      </c>
      <c r="AB88">
        <v>0</v>
      </c>
      <c r="AC88" t="s">
        <v>297</v>
      </c>
      <c r="AI88">
        <v>3</v>
      </c>
      <c r="AZ88">
        <v>0</v>
      </c>
    </row>
    <row r="89" spans="1:52" x14ac:dyDescent="0.3">
      <c r="A89" t="s">
        <v>1462</v>
      </c>
      <c r="C89" t="s">
        <v>1463</v>
      </c>
      <c r="O89">
        <v>4</v>
      </c>
      <c r="P89" t="s">
        <v>59</v>
      </c>
      <c r="W89" t="s">
        <v>1057</v>
      </c>
      <c r="X89" t="s">
        <v>1464</v>
      </c>
      <c r="Y89">
        <v>2880</v>
      </c>
      <c r="AB89">
        <v>0</v>
      </c>
      <c r="AC89" t="s">
        <v>297</v>
      </c>
      <c r="AI89">
        <v>3</v>
      </c>
      <c r="AZ89">
        <v>0</v>
      </c>
    </row>
  </sheetData>
  <pageMargins left="0.75" right="0.75" top="1" bottom="1" header="0.5" footer="0.5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9"/>
  <sheetViews>
    <sheetView workbookViewId="0">
      <selection activeCell="C17" sqref="C17:F17"/>
    </sheetView>
  </sheetViews>
  <sheetFormatPr defaultRowHeight="14.4" x14ac:dyDescent="0.3"/>
  <cols>
    <col min="1" max="1" width="32.109375" bestFit="1" customWidth="1"/>
    <col min="2" max="2" width="16.6640625" bestFit="1" customWidth="1"/>
    <col min="3" max="3" width="8.6640625" bestFit="1" customWidth="1"/>
    <col min="4" max="4" width="9.109375" bestFit="1" customWidth="1"/>
    <col min="5" max="5" width="12" bestFit="1" customWidth="1"/>
    <col min="6" max="6" width="16.5546875" bestFit="1" customWidth="1"/>
  </cols>
  <sheetData>
    <row r="1" spans="1:6" x14ac:dyDescent="0.3">
      <c r="A1" s="1"/>
      <c r="B1" s="3" t="s">
        <v>1581</v>
      </c>
      <c r="C1" s="3"/>
      <c r="D1" s="3"/>
      <c r="E1" s="3"/>
      <c r="F1" s="3"/>
    </row>
    <row r="2" spans="1:6" x14ac:dyDescent="0.3">
      <c r="A2" s="3" t="s">
        <v>1582</v>
      </c>
      <c r="B2" s="3">
        <f>COUNTA(SuspensionMaster[Ref])</f>
        <v>88</v>
      </c>
      <c r="C2" s="3"/>
      <c r="D2" s="3"/>
      <c r="E2" s="3"/>
      <c r="F2" s="3"/>
    </row>
    <row r="3" spans="1:6" x14ac:dyDescent="0.3">
      <c r="A3" s="3" t="s">
        <v>1583</v>
      </c>
      <c r="B3" s="3">
        <f>COUNTA(SuspensionMaster[GrimeDirt])</f>
        <v>0</v>
      </c>
      <c r="C3" s="3"/>
      <c r="D3" s="3"/>
      <c r="E3" s="3"/>
      <c r="F3" s="3"/>
    </row>
    <row r="4" spans="1:6" x14ac:dyDescent="0.3">
      <c r="A4" s="3" t="s">
        <v>1584</v>
      </c>
      <c r="B4" s="3">
        <f>COUNTA(SuspensionMaster[Rinsate])</f>
        <v>0</v>
      </c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 t="s">
        <v>1585</v>
      </c>
      <c r="C10" s="3" t="s">
        <v>1586</v>
      </c>
      <c r="D10" s="3" t="s">
        <v>1587</v>
      </c>
      <c r="E10" s="3" t="s">
        <v>1588</v>
      </c>
      <c r="F10" s="3" t="s">
        <v>1589</v>
      </c>
    </row>
    <row r="11" spans="1:6" x14ac:dyDescent="0.3">
      <c r="A11" s="3" t="s">
        <v>1590</v>
      </c>
      <c r="B11" s="3" t="str" cm="1">
        <f t="array" ref="B11">IFERROR(IF(IF(COUNTA(SuspensionMaster[CoupAreaUn]),COUNTIF(SuspensionMaster[CoupAreaUn],INDEX(SuspensionMaster[CoupAreaUn],MATCH(TRUE,SuspensionMaster[CoupAreaUn]&lt;&gt;"",0)))=COUNTIF(SuspensionMaster[CoupAreaUn],"&lt;&gt;"),""),INDEX(SuspensionMaster[CoupAreaUn],MATCH(TRUE,SuspensionMaster[CoupAreaUn]&lt;&gt;"",0)), "multiple units given"),"NA")</f>
        <v>NA</v>
      </c>
      <c r="C11" s="3" t="str">
        <f>IF(AND(ISNUMBER(E11),ISNUMBER(F11)),MIN(SuspensionMaster[CoupArea]),"NA")</f>
        <v>NA</v>
      </c>
      <c r="D11" s="3" t="str">
        <f>IF(AND(ISNUMBER(E11),ISNUMBER(F11)),MAX(SuspensionMaster[CoupArea]),"NA")</f>
        <v>NA</v>
      </c>
      <c r="E11" s="3" t="str">
        <f>IFERROR(AVERAGE(SuspensionMaster[CoupArea]),"NA")</f>
        <v>NA</v>
      </c>
      <c r="F11" s="3" t="str">
        <f>IFERROR(STDEV(SuspensionMaster[CoupArea]),"NA")</f>
        <v>NA</v>
      </c>
    </row>
    <row r="12" spans="1:6" x14ac:dyDescent="0.3">
      <c r="A12" s="3" t="s">
        <v>1591</v>
      </c>
      <c r="B12" s="3" t="str" cm="1">
        <f t="array" ref="B12">IFERROR(IF(IF(COUNTA(SuspensionMaster[LoadingUn]),COUNTIF(SuspensionMaster[LoadingUn],INDEX(SuspensionMaster[LoadingUn],MATCH(TRUE,SuspensionMaster[LoadingUn]&lt;&gt;"",0)))=COUNTIF(SuspensionMaster[LoadingUn],"&lt;&gt;"),""),INDEX(SuspensionMaster[LoadingUn],MATCH(TRUE,SuspensionMaster[LoadingUn]&lt;&gt;"",0)), "multiple units given"),"NA")</f>
        <v>NA</v>
      </c>
      <c r="C12" s="3" t="str">
        <f>IF(AND(ISNUMBER(E12),ISNUMBER(F12)),MIN(SuspensionMaster[LoadingNum]),"NA")</f>
        <v>NA</v>
      </c>
      <c r="D12" s="3" t="str">
        <f>IF(AND(ISNUMBER(E12),ISNUMBER(F12)),MAX(SuspensionMaster[LoadingNum]),"NA")</f>
        <v>NA</v>
      </c>
      <c r="E12" s="3" t="str">
        <f>IFERROR(AVERAGE(SuspensionMaster[LoadingNum]),"NA")</f>
        <v>NA</v>
      </c>
      <c r="F12" s="3" t="str">
        <f>IFERROR(STDEV(SuspensionMaster[LoadingNum]),"NA")</f>
        <v>NA</v>
      </c>
    </row>
    <row r="13" spans="1:6" x14ac:dyDescent="0.3">
      <c r="A13" s="3" t="s">
        <v>1592</v>
      </c>
      <c r="B13" s="3" t="str">
        <f>IF(E13 = "NA", "NA", "#")</f>
        <v>NA</v>
      </c>
      <c r="C13" s="3" t="str">
        <f>IF(AND(ISNUMBER(E13),ISNUMBER(F13)),MIN(SuspensionMaster[TotalApp]),"NA")</f>
        <v>NA</v>
      </c>
      <c r="D13" s="3" t="str">
        <f>IF(AND(ISNUMBER(E13),ISNUMBER(F13)),MAX(SuspensionMaster[TotalApp]),"NA")</f>
        <v>NA</v>
      </c>
      <c r="E13" s="3" t="str">
        <f>IFERROR(AVERAGE(SuspensionMaster[TotalApp]),"NA")</f>
        <v>NA</v>
      </c>
      <c r="F13" s="3" t="str">
        <f>IFERROR(STDEV(SuspensionMaster[TotalApp]),"NA")</f>
        <v>NA</v>
      </c>
    </row>
    <row r="14" spans="1:6" x14ac:dyDescent="0.3">
      <c r="A14" s="3" t="s">
        <v>1593</v>
      </c>
      <c r="B14" s="3" t="s">
        <v>1594</v>
      </c>
      <c r="C14" s="3" t="str">
        <f>IF(AND(ISNUMBER(E14),ISNUMBER(F14)),MIN(SuspensionMaster[TempNum]),"NA")</f>
        <v>NA</v>
      </c>
      <c r="D14" s="3" t="str">
        <f>IF(AND(ISNUMBER(E14),ISNUMBER(F14)),MAX(SuspensionMaster[TempNum]),"NA")</f>
        <v>NA</v>
      </c>
      <c r="E14" s="3" t="str">
        <f>IFERROR(AVERAGE(SuspensionMaster[TempNum]),"NA")</f>
        <v>NA</v>
      </c>
      <c r="F14" s="3" t="str">
        <f>IFERROR(STDEV(SuspensionMaster[TempNum]),"NA")</f>
        <v>NA</v>
      </c>
    </row>
    <row r="15" spans="1:6" x14ac:dyDescent="0.3">
      <c r="A15" s="3" t="s">
        <v>1595</v>
      </c>
      <c r="B15" s="3" t="s">
        <v>1527</v>
      </c>
      <c r="C15" s="3" t="str">
        <f>IF(AND(ISNUMBER(E15),ISNUMBER(F15)),MIN(SuspensionMaster[RHNum]),"NA")</f>
        <v>NA</v>
      </c>
      <c r="D15" s="3" t="str">
        <f>IF(AND(ISNUMBER(E15),ISNUMBER(F15)),MAX(SuspensionMaster[RHNum]),"NA")</f>
        <v>NA</v>
      </c>
      <c r="E15" s="3" t="str">
        <f>IFERROR(AVERAGE(SuspensionMaster[RHNum]),"NA")</f>
        <v>NA</v>
      </c>
      <c r="F15" s="3" t="str">
        <f>IFERROR(STDEV(SuspensionMaster[RHNum]),"NA")</f>
        <v>NA</v>
      </c>
    </row>
    <row r="16" spans="1:6" x14ac:dyDescent="0.3">
      <c r="A16" s="3" t="s">
        <v>1596</v>
      </c>
      <c r="B16" s="3" t="s">
        <v>1597</v>
      </c>
      <c r="C16" s="3">
        <f>IF(AND(ISNUMBER(E16),ISNUMBER(F16)),MIN(SuspensionMaster[ContTimeNumMin]),"NA")</f>
        <v>5</v>
      </c>
      <c r="D16" s="3">
        <f>IF(AND(ISNUMBER(E16),ISNUMBER(F16)),MAX(SuspensionMaster[ContTimeNumMin]),"NA")</f>
        <v>2880</v>
      </c>
      <c r="E16" s="3">
        <f>IFERROR(AVERAGE(SuspensionMaster[ContTimeNumMin]),"NA")</f>
        <v>598.75</v>
      </c>
      <c r="F16" s="3">
        <f>IFERROR(STDEV(SuspensionMaster[ContTimeNumMin]),"NA")</f>
        <v>978.76366125725224</v>
      </c>
    </row>
    <row r="17" spans="1:6" x14ac:dyDescent="0.3">
      <c r="A17" s="3" t="s">
        <v>1598</v>
      </c>
      <c r="B17" s="3" t="str" cm="1">
        <f t="array" ref="B17">IFERROR(IF(IF(COUNTA(SuspensionMaster[ConcDoseUn]),COUNTIF(SuspensionMaster[ConcDoseUn],INDEX(SuspensionMaster[ConcDoseUn],MATCH(TRUE,SuspensionMaster[ConcDoseUn]&lt;&gt;"",0)))=COUNTIF(SuspensionMaster[ConcDoseUn],"&lt;&gt;"),""),INDEX(SuspensionMaster[ConcDoseUn],MATCH(TRUE,SuspensionMaster[ConcDoseUn]&lt;&gt;"",0)), "multiple units given"),"NA")</f>
        <v>wt%</v>
      </c>
      <c r="C17" s="3">
        <f>IF(AND(ISNUMBER(E17),ISNUMBER(F17)),MIN(SuspensionMaster[ConcDoseNum]),"NA")</f>
        <v>4</v>
      </c>
      <c r="D17" s="3">
        <f>IF(AND(ISNUMBER(E17),ISNUMBER(F17)),MAX(SuspensionMaster[ConcDoseNum]),"NA")</f>
        <v>4</v>
      </c>
      <c r="E17" s="3">
        <f>IFERROR(AVERAGE(SuspensionMaster[ConcDoseNum]),"NA")</f>
        <v>4</v>
      </c>
      <c r="F17" s="3">
        <f>IFERROR(STDEV(SuspensionMaster[ConcDoseNum]),"NA")</f>
        <v>0</v>
      </c>
    </row>
    <row r="18" spans="1:6" x14ac:dyDescent="0.3">
      <c r="A18" s="3" t="s">
        <v>1599</v>
      </c>
      <c r="B18" s="3" t="str" cm="1">
        <f t="array" ref="B18">IFERROR(IF(IF(COUNTA(SuspensionMaster[EffMeas]),COUNTIF(SuspensionMaster[EffMeas],INDEX(SuspensionMaster[EffMeas],MATCH(TRUE,SuspensionMaster[EffMeas]&lt;&gt;"",0)))=COUNTIF(SuspensionMaster[EffMeas],"&lt;&gt;"),""),INDEX(SuspensionMaster[EffMeas],MATCH(TRUE,SuspensionMaster[EffMeas]&lt;&gt;"",0)), "multiple units given"),"NA")</f>
        <v>multiple units given</v>
      </c>
      <c r="C18" s="3">
        <f>IF(AND(ISNUMBER(E18),ISNUMBER(F18)),MIN(SuspensionMaster[Eff]),"NA")</f>
        <v>0</v>
      </c>
      <c r="D18" s="3">
        <f>IF(AND(ISNUMBER(E18),ISNUMBER(F18)),MAX(SuspensionMaster[Eff]),"NA")</f>
        <v>3</v>
      </c>
      <c r="E18" s="3">
        <f>IFERROR(AVERAGE(SuspensionMaster[Eff]),"NA")</f>
        <v>0.79545454545454541</v>
      </c>
      <c r="F18" s="3">
        <f>IFERROR(STDEV(SuspensionMaster[Eff]),"NA")</f>
        <v>1.3144562348410216</v>
      </c>
    </row>
    <row r="19" spans="1:6" x14ac:dyDescent="0.3">
      <c r="A19" s="3" t="s">
        <v>1600</v>
      </c>
      <c r="B19" s="3" t="str" cm="1">
        <f t="array" ref="B19">IFERROR(IF(IF(COUNTA(SuspensionMaster[ConvertedVolAppUn]),COUNTIF(SuspensionMaster[ConvertedVolAppUn],INDEX(SuspensionMaster[ConvertedVolAppUn],MATCH(TRUE,SuspensionMaster[ConvertedVolAppUn]&lt;&gt;"",0)))=COUNTIF(SuspensionMaster[ConvertedVolAppUn],"&lt;&gt;"),""),INDEX(SuspensionMaster[ConvertedVolAppUn],MATCH(TRUE,SuspensionMaster[ConvertedVolAppUn]&lt;&gt;"",0)), "multiple units given"),"NA")</f>
        <v>NA</v>
      </c>
      <c r="C19" s="3" t="str">
        <f>IF(AND(ISNUMBER(E19),ISNUMBER(F19)),MIN(SuspensionMaster[ConvertedVolApp]),"NA")</f>
        <v>NA</v>
      </c>
      <c r="D19" s="3" t="str">
        <f>IF(AND(ISNUMBER(E19),ISNUMBER(F19)),MAX(SuspensionMaster[ConvertedVolApp]),"NA")</f>
        <v>NA</v>
      </c>
      <c r="E19" s="3" t="str">
        <f>IFERROR(AVERAGE(SuspensionMaster[ConvertedVolApp]),"NA")</f>
        <v>NA</v>
      </c>
      <c r="F19" s="3" t="str">
        <f>IFERROR(STDEV(SuspensionMaster[ConvertedVolApp]),"NA")</f>
        <v>NA</v>
      </c>
    </row>
  </sheetData>
  <conditionalFormatting sqref="B11:B19">
    <cfRule type="cellIs" dxfId="0" priority="1" operator="equal">
      <formula>"multiple units given"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Aerosol Master</vt:lpstr>
      <vt:lpstr>Aerosol Data</vt:lpstr>
      <vt:lpstr>Aqueous Suspension Master</vt:lpstr>
      <vt:lpstr>Aqueous Suspension Data</vt:lpstr>
      <vt:lpstr>Foam Ambiguous Master</vt:lpstr>
      <vt:lpstr>Foam Ambiguous Data</vt:lpstr>
      <vt:lpstr>Foam Spray Master</vt:lpstr>
      <vt:lpstr>Foam Spray Data</vt:lpstr>
      <vt:lpstr>Fogging Master</vt:lpstr>
      <vt:lpstr>Fogging Data</vt:lpstr>
      <vt:lpstr>Fumigation Master</vt:lpstr>
      <vt:lpstr>Fumigation Data</vt:lpstr>
      <vt:lpstr>Fumigation Liquid Master</vt:lpstr>
      <vt:lpstr>Fumigation Liquid Data</vt:lpstr>
      <vt:lpstr>Gauze Covering Master</vt:lpstr>
      <vt:lpstr>Gauze Covering Data</vt:lpstr>
      <vt:lpstr>Gauze Wipe Master</vt:lpstr>
      <vt:lpstr>Gauze Wipe Data</vt:lpstr>
      <vt:lpstr>Gel Master</vt:lpstr>
      <vt:lpstr>Gel Data</vt:lpstr>
      <vt:lpstr>Immersion Master</vt:lpstr>
      <vt:lpstr>Immersion Data</vt:lpstr>
      <vt:lpstr>Liquid Master</vt:lpstr>
      <vt:lpstr>Liquid Data</vt:lpstr>
      <vt:lpstr>Liquid Ambiguous Master</vt:lpstr>
      <vt:lpstr>Liquid Ambiguous Data</vt:lpstr>
      <vt:lpstr>Liquid Dropper Master</vt:lpstr>
      <vt:lpstr>Liquid Dropper Data</vt:lpstr>
      <vt:lpstr>Liquid Immersion Master</vt:lpstr>
      <vt:lpstr>Liquid Immersion Data</vt:lpstr>
      <vt:lpstr>Liquid Spray Master</vt:lpstr>
      <vt:lpstr>Liquid Spray Data</vt:lpstr>
      <vt:lpstr>Liquid Suspension Master</vt:lpstr>
      <vt:lpstr>Liquid Suspension Data</vt:lpstr>
      <vt:lpstr>Liquid Wipe Master</vt:lpstr>
      <vt:lpstr>Liquid Wipe Data</vt:lpstr>
      <vt:lpstr>Physical Master</vt:lpstr>
      <vt:lpstr>Physical Data</vt:lpstr>
      <vt:lpstr>Solid Powder Master</vt:lpstr>
      <vt:lpstr>Solid Powder Data</vt:lpstr>
      <vt:lpstr>Suspension Master</vt:lpstr>
      <vt:lpstr>Suspension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Peraza, Emily (Contractor)</cp:lastModifiedBy>
  <dcterms:created xsi:type="dcterms:W3CDTF">2020-04-08T13:54:56Z</dcterms:created>
  <dcterms:modified xsi:type="dcterms:W3CDTF">2020-04-09T02:01:29Z</dcterms:modified>
</cp:coreProperties>
</file>